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metadata.xml" ContentType="application/vnd.openxmlformats-officedocument.spreadsheetml.sheetMetadata+xml"/>
  <Override PartName="/docProps/core.xml" ContentType="application/vnd.openxmlformats-package.core-properties+xml"/>
  <Default Extension="bin" ContentType="application/vnd.openxmlformats-officedocument.spreadsheetml.printerSettings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EstaPasta_de_trabalho" defaultThemeVersion="124226"/>
  <bookViews>
    <workbookView xWindow="28680" yWindow="-120" windowWidth="19320" windowHeight="13020" tabRatio="801" activeTab="4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BM!$C$15:$C$264</definedName>
    <definedName name="_xlnm._FilterDatabase" localSheetId="5" hidden="1">CÁLCULO!$C$15:$C$264</definedName>
    <definedName name="_xlnm._FilterDatabase" localSheetId="7" hidden="1">CRONO!$F$13:$F$48</definedName>
    <definedName name="_xlnm._FilterDatabase" localSheetId="8" hidden="1">CRONOPLE!$A$13:$A$15</definedName>
    <definedName name="_xlnm._FilterDatabase" localSheetId="4" hidden="1">ORÇAMENTO!$L$15:$L$264</definedName>
    <definedName name="_xlnm._FilterDatabase" localSheetId="9" hidden="1">PLE!$A$13:$A$35</definedName>
    <definedName name="_xlnm._FilterDatabase" localSheetId="10" hidden="1">QCI!$C$13:$C$25</definedName>
    <definedName name="_xlnm._FilterDatabase" localSheetId="12" hidden="1">RRE!$D$13:$D$30</definedName>
    <definedName name="ACOMPANHAMENTO" hidden="1">IF(VALUE(MENU!$O$4)=2,"BM","PLE")</definedName>
    <definedName name="_xlnm.Print_Area" localSheetId="3">BDI!$J$1:$S$132</definedName>
    <definedName name="_xlnm.Print_Area" localSheetId="11">BM!$D$1:$O$279</definedName>
    <definedName name="_xlnm.Print_Area" localSheetId="5">CÁLCULO!$E$1:$AA$272</definedName>
    <definedName name="_xlnm.Print_Area" localSheetId="7">CRONO!$H$1:$AF$48</definedName>
    <definedName name="_xlnm.Print_Area" localSheetId="0">MENU!$A$1:$I$25</definedName>
    <definedName name="_xlnm.Print_Area" localSheetId="13">OFÍCIO!$A$1:$G$56</definedName>
    <definedName name="_xlnm.Print_Area" localSheetId="4">ORÇAMENTO!$O$1:$Y$281</definedName>
    <definedName name="_xlnm.Print_Area" localSheetId="9">PLE!$B$3:$AG$36</definedName>
    <definedName name="_xlnm.Print_Area" localSheetId="10">QCI!$D$1:$O$37</definedName>
    <definedName name="_xlnm.Print_Area" localSheetId="12">RRE!$E$1:$P$49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BM!$C$15:$C$264</definedName>
    <definedName name="BM.firstrow" hidden="1">BM!$15:$15</definedName>
    <definedName name="BM.FormulaMed" hidden="1">BM!$AO$7</definedName>
    <definedName name="BM.lastrow" hidden="1">BM!$264:$264</definedName>
    <definedName name="BM.LinhaPadrão" hidden="1">BM!$14:$14</definedName>
    <definedName name="BM.MaxMed" hidden="1">IF(RegimeExecucao="Global",1,BM!$G1)</definedName>
    <definedName name="BM.MCAIXA.Filter" hidden="1">BM!$C$15:$Z$264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CÁLCULO!$C$15:$C$264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CÁLCULO!$264:$264</definedName>
    <definedName name="CÁLCULO.LinhaPadrão" hidden="1">CÁLCULO!$14:$14</definedName>
    <definedName name="CÁLCULO.margemrow" hidden="1">CÁLCULO!$272:$272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CÁLCULO!$264:$264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CÁLCULO!$264:$264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CÁLCULO!$264:$264</definedName>
    <definedName name="CÁLCULO.NúmeroDeEventos" hidden="1">IF(AUTOEVENTO&lt;&gt;"manual",MAX(CÁLCULO!$M$15:$M$264),MAX(OFFSET(EVENTOS!$C$14:$C$21,1,0)))</definedName>
    <definedName name="CÁLCULO.NúmeroDeFrentes" hidden="1">COLUMN(CÁLCULO!$AA$15)-COLUMN(CÁLCULO!$Q$15)</definedName>
    <definedName name="CÁLCULO.TotalAdmLocal" hidden="1">IF(AUTOEVENTO="manual",SUMIF(CÁLCULO!$M$15:$M$264,1,ORÇAMENTO!$X$15:$X$264),0)</definedName>
    <definedName name="CRONO.ColunaPadrão" hidden="1">CRONO!$D:$D</definedName>
    <definedName name="CRONO.Filtro" hidden="1">CRONO!$F$13:$F$48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CRONO!$43:$43</definedName>
    <definedName name="CRONO.LinhaPadrão" hidden="1">CRONO!$1:$3</definedName>
    <definedName name="CRONO.LinhasNecessarias" hidden="1">COUNTIF(QCI!$B$13:$B$24,"Manual")+COUNTIF(QCI!$B$13:$B$24,"SemiAuto")+COUNT(ORÇAMENTO.ListaCrono)</definedName>
    <definedName name="CRONO.margemrow" hidden="1">CRONO!$48:$48</definedName>
    <definedName name="CRONO.MaxParc" hidden="1">CRONO!$G1048576+CRONO!A1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CRONOPLE!$21:$21</definedName>
    <definedName name="CRONOPLE.LinhaPadrão" hidden="1">CRONOPLE!$1:$1</definedName>
    <definedName name="CRONOPLE.margemrow" hidden="1">CRONOPLE!$22:$22</definedName>
    <definedName name="CRONOPLE.ValorDoEvento" hidden="1">SUMIF(CÁLCULO!$M$15:$M$264,CRONOPLE!$B1,OFFSET(CÁLCULO!$AA$15:$AA$264,0,CRONOPLE!A$12))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EVENTOS!$21:$21</definedName>
    <definedName name="EVENTOS.LinhaPadrão" hidden="1">EVENTOS!$14:$14</definedName>
    <definedName name="EVENTOS.Lista" hidden="1">EVENTOS!$C$15:OFFSET(EVENTOS!$C$21,-1,0)</definedName>
    <definedName name="EVENTOS.ListaValidacao" hidden="1">EVENTOS!$B$15:OFFSET(EVENTOS!$B$21,-1,0)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BM!$D$267</definedName>
    <definedName name="Import.BMAFAcumulado" hidden="1">OFFSET(BM!$R$15,1,0):OFFSET(BM!$R$264,-1,0)</definedName>
    <definedName name="Import.BMArred" hidden="1">BM!$A$9</definedName>
    <definedName name="Import.CNPJ" hidden="1">DADOS!$F$39</definedName>
    <definedName name="Import.Código" hidden="1">OFFSET(ORÇAMENTO!$Q$15,1,0):OFFSET(ORÇAMENTO!$Q$264,-1,0)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OFFSET(CRONOPLE!$F$15,1,1):OFFSET(CRONOPLE!$AF$21,-1,-1)</definedName>
    <definedName name="Import.CTEF" hidden="1">DADOS!$F$37</definedName>
    <definedName name="Import.CustoUnitário" hidden="1">OFFSET(ORÇAMENTO!$U$15,1,0):OFFSET(ORÇAMENTO!$U$264,-1,0)</definedName>
    <definedName name="Import.DataBase" hidden="1">OFFSET(DADOS!$G$19,0,-1)</definedName>
    <definedName name="Import.DataBaseLicit" hidden="1">OFFSET(DADOS!$G$41,0,-1)</definedName>
    <definedName name="Import.DataEmissaoLicit" hidden="1">DADOS!$F$36</definedName>
    <definedName name="Import.DataInicioObra" hidden="1">DADOS!$F$47</definedName>
    <definedName name="Import.DescLote" hidden="1">DADOS!$F$17</definedName>
    <definedName name="Import.Descrição" hidden="1">OFFSET(ORÇAMENTO!$R$15,1,0):OFFSET(ORÇAMENTO!$R$264,-1,0)</definedName>
    <definedName name="Import.Desoneracao" hidden="1">OFFSET(DADOS!$G$18,0,-1)</definedName>
    <definedName name="Import.empresa" hidden="1">DADOS!$F$38</definedName>
    <definedName name="Import.Eventos.Nível" hidden="1">EVENTOS!$C$6</definedName>
    <definedName name="Import.Eventos.Nomes" hidden="1">OFFSET(EVENTOS!$D$15,1,0):OFFSET(EVENTOS!$D$21,-1,0)</definedName>
    <definedName name="Import.Fonte" hidden="1">OFFSET(ORÇAMENTO!$P$15,1,0):OFFSET(ORÇAMENTO!$P$264,-1,0)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OFFSET(ORÇAMENTO!$M$15,1,0):OFFSET(ORÇAMENTO!$M$264,-1,0)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OFFSET(ORÇAMENTO!$V$15,1,0):OFFSET(ORÇAMENTO!$V$264,-1,0)</definedName>
    <definedName name="Import.ORÇAMENTO.DivRecurso" hidden="1">OFFSET(ORÇAMENTO!$Y$15,1,0):OFFSET(ORÇAMENTO!$Y$264,-1,0)</definedName>
    <definedName name="Import.ORÇAMENTO.Obs" hidden="1">ORÇAMENTO!$O$270</definedName>
    <definedName name="Import.PLE" hidden="1">OFFSET(PLE!$G$15,1,1):OFFSET(PLE!$AG$21,-1,-1)</definedName>
    <definedName name="Import.PLE.Datas" hidden="1">PLE!$I$24:$AF$24</definedName>
    <definedName name="Import.PLQ" hidden="1">OFFSET(CÁLCULO!$P$15,1,1):OFFSET(CÁLCULO!$AA$264,-1,-1)</definedName>
    <definedName name="Import.PLQ.MemCalc" hidden="1">OFFSET(CÁLCULO!$I$15,1,0):OFFSET(CÁLCULO!$I$264,-1,0)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OFFSET(QCI!$V$13,1,0):OFFSET(QCI!$V$24,-1,0)</definedName>
    <definedName name="Import.QCI.ItemInv" hidden="1">OFFSET(QCI!$E$13,1,0):OFFSET(QCI!$E$24,-1,0)</definedName>
    <definedName name="Import.QCI.Obs" hidden="1">QCI!$D$28</definedName>
    <definedName name="Import.QCI.Qtde" hidden="1">OFFSET(QCI!$I$13,1,0):OFFSET(QCI!$I$24,-1,0)</definedName>
    <definedName name="Import.QCI.Situacao" hidden="1">OFFSET(QCI!$H$13,1,0):OFFSET(QCI!$H$24,-1,0)</definedName>
    <definedName name="Import.QCI.SubItemInv" hidden="1">OFFSET(QCI!$F$13,1,0):OFFSET(QCI!$F$24,-1,0)</definedName>
    <definedName name="Import.QCICP" hidden="1">OFFSET(QCI!$W$13,1,0):OFFSET(QCI!$W$24,-1,0)</definedName>
    <definedName name="Import.QCIDesc" hidden="1">OFFSET(QCI!$R$13,1,0):OFFSET(QCI!$R$24,-1,0)</definedName>
    <definedName name="Import.QCIInv" hidden="1">OFFSET(QCI!$U$13,1,0):OFFSET(QCI!$U$24,-1,0)</definedName>
    <definedName name="Import.QCILote" hidden="1">OFFSET(QCI!$T$13,1,0):OFFSET(QCI!$T$24,-1,0)</definedName>
    <definedName name="Import.QCIOutros" hidden="1">OFFSET(QCI!$X$13,1,0):OFFSET(QCI!$X$24,-1,0)</definedName>
    <definedName name="Import.Quantidade" hidden="1">OFFSET(ORÇAMENTO!$AJ$15,1,0):OFFSET(ORÇAMENTO!$AJ$264,-1,0)</definedName>
    <definedName name="import.recurso" hidden="1">DADOS!$F$4</definedName>
    <definedName name="Import.RegimeExecução" hidden="1">OFFSET(DADOS!$G$40,0,-1)</definedName>
    <definedName name="Import.Repasse" hidden="1">DADOS!$F$9</definedName>
    <definedName name="Import.RespFiscalização" hidden="1">DADOS!$F$51:$F$54</definedName>
    <definedName name="Import.RespOrçamento" hidden="1">DADOS!$F$22:$F$24</definedName>
    <definedName name="Import.RRE.Financeiro" hidden="1">RRE!$M$47:$O$49</definedName>
    <definedName name="Import.RRE.Obs" hidden="1">RRE!$E$31</definedName>
    <definedName name="Import.RRE.Social" hidden="1">RRE!$F$47:$G$49</definedName>
    <definedName name="Import.SICONV" hidden="1">DADOS!$F$8</definedName>
    <definedName name="Import.TipoArredondamento" hidden="1">DADOS!$F$31</definedName>
    <definedName name="Import.TransfereGOV" hidden="1">DADOS!$F$8</definedName>
    <definedName name="Import.Unidade" hidden="1">OFFSET(ORÇAMENTO!$S$15,1,0):OFFSET(ORÇAMENTO!$S$264,-1,0)</definedName>
    <definedName name="Import.UnitarioLicitado" hidden="1">OFFSET(ORÇAMENTO!$AL$15,1,0):OFFSET(ORÇAMENTO!$AL$264,-1,0)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ORÇAMENTO!$L$15:$L$264</definedName>
    <definedName name="ORÇAMENTO.firstrow" hidden="1">ORÇAMENTO!$15:$15</definedName>
    <definedName name="ORÇAMENTO.Fonte" hidden="1">ORÇAMENTO!$P1</definedName>
    <definedName name="ORÇAMENTO.lastrow" hidden="1">ORÇAMENTO!$264:$264</definedName>
    <definedName name="ORÇAMENTO.LinhaPadrão" hidden="1">ORÇAMENTO!$14:$14</definedName>
    <definedName name="ORÇAMENTO.ListaCrono" hidden="1">OFFSET(ORÇAMENTO!$AD$15,1,0):OFFSET(ORÇAMENTO!$AD$264,-1,0)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OFFSET(ORÇAMENTO!$P$15,1,0):OFFSET(ORÇAMENTO!$S$264,-1,0)</definedName>
    <definedName name="ORÇAMENTO.PasteFormat2" hidden="1">OFFSET(ORÇAMENTO!$U$15,1,0):OFFSET(ORÇAMENTO!$V$264,-1,0)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OFFSET(ORÇAMENTO!$T$15,1,0):OFFSET(ORÇAMENTO!$T$264,-1,0)</definedName>
    <definedName name="ORÇAMENTO.SumCPMANUAL" hidden="1">SUMIF(ORÇAMENTO!$Z$15:$Z$264,"CP",ORÇAMENTO!$AA$15:$AA$264)</definedName>
    <definedName name="ORÇAMENTO.SumINVMANUAL" hidden="1">SUMIF(ORÇAMENTO!$Z$15:$Z$264,"RP",ORÇAMENTO!$X$15:$X$264)+SUMIF(ORÇAMENTO!$Z$15:$Z$264,"CP",ORÇAMENTO!$X$15:$X$264)+SUMIF(ORÇAMENTO!$Z$15:$Z$264,"OU",ORÇAMENTO!$X$15:$X$264)</definedName>
    <definedName name="ORÇAMENTO.SumOUTROSMANUAL" hidden="1">SUMIF(ORÇAMENTO!$Z$15:$Z$264,"OU",ORÇAMENTO!$AB$15:$AB$264)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PLE!$A$13:$A$35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PLE!$21:$21</definedName>
    <definedName name="PLE.LinhaPadrão" hidden="1">PLE!$1:$1</definedName>
    <definedName name="PLE.margemrow" hidden="1">PLE!$36:$36</definedName>
    <definedName name="PLE.Medicao" hidden="1">PLE!$J$9</definedName>
    <definedName name="PLE.MEDIÇÕES.firstrow" hidden="1">PLE!$22:$22</definedName>
    <definedName name="PLE.MEDIÇÕES.lastrow" hidden="1">PLE!$30:$30</definedName>
    <definedName name="PLE.MEDIÇÕES.LinhaPadrão" hidden="1">PLE!$22:$29</definedName>
    <definedName name="PLE.ValorDoEvento" hidden="1">SUMIF(CÁLCULO!$M$15:$M$264,PLE!$B1,OFFSET(CÁLCULO!$AA$15:$AA$264,0,PLE!A$12))</definedName>
    <definedName name="PO.ValoresBDI" hidden="1">OFFSET(ORÇAMENTO!$AH$15,1,0):OFFSET(ORÇAMENTO!$AH$264,-1,0)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(COUNTIF(QCI!$B$13:$B$24,"Manual")+COUNTIF(QCI!$B$13:$B$24,"SemiAuto"))&gt;0</definedName>
    <definedName name="QCI.Filtro" hidden="1">QCI!$C$13:$C$25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QCI!$24:$24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SUMIF(QCI!$B$13:$B$24,"Manual",QCI!$AA$13:$AA$24)</definedName>
    <definedName name="QCI.SumINVMANUAL" hidden="1">SUMIF(QCI!$B$13:$B$24,"Manual",QCI!$O$13:$O$24)</definedName>
    <definedName name="QCI.SumOUTROSMANUAL" hidden="1">SUMIF(QCI!$B$13:$B$24,"Manual",QCI!$AB$13:$AB$24)</definedName>
    <definedName name="QCI.SumREPASSEMANUAL" hidden="1">QCI.SumINVMANUAL-QCI.CPManual-QCI.OutrosManual</definedName>
    <definedName name="QCI.TotalCP" hidden="1">QCI!$M$24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RRE!$Y$26:$Z$27</definedName>
    <definedName name="RRE.Filtro" hidden="1">RRE!$D$13:$D$28</definedName>
    <definedName name="RRE.firstrow" hidden="1">RRE!$13:$13</definedName>
    <definedName name="RRE.lastrow" hidden="1">RRE!$24:$24</definedName>
    <definedName name="RRE.LinhaPadrão" hidden="1">RRE!$12:$12</definedName>
    <definedName name="RRE.MaxCPAcum" hidden="1">RRE!$AD$26</definedName>
    <definedName name="RRE.MaxCPAnt" hidden="1">RRE!$AC$26</definedName>
    <definedName name="RRE.MaxOUAcum" hidden="1">RRE!$AD$27</definedName>
    <definedName name="RRE.MaxOUAnt" hidden="1">RRE!$AC$27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3">BDI!$1:$13</definedName>
    <definedName name="_xlnm.Print_Titles" localSheetId="11">BM!$1:$15</definedName>
    <definedName name="_xlnm.Print_Titles" localSheetId="5">CÁLCULO!$E:$H,CÁLCULO!$1:$15</definedName>
    <definedName name="_xlnm.Print_Titles" localSheetId="7">CRONO!$H:$S,CRONO!$1:$13</definedName>
    <definedName name="_xlnm.Print_Titles" localSheetId="4">ORÇAMENTO!$1:$15</definedName>
    <definedName name="_xlnm.Print_Titles" localSheetId="9">PLE!$B:$E,PLE!$1:$13</definedName>
    <definedName name="_xlnm.Print_Titles" localSheetId="10">QCI!$1:$13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IF(BM!$I1=0,0,CHOOSE(MATCH(RegimeExecucao,{"Global","Unitário"},0),ROUND(ROUND(BM!XFB1,15-13*BM!$A$9)/100*BM!$I1,15-13*ORÇAMENTO!$AF$11),ROUND(ROUND(BM!XFB1,15-13*BM!$A$9)*ROUND(BM!$H1,15-13*ORÇAMENTO!$AF$10),15-13*ORÇAMENTO!$AF$11)))</definedName>
    <definedName name="VTOTALMED" hidden="1">BM!$P$14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2"/>
  <c r="G27"/>
  <c r="F27"/>
  <c r="H26"/>
  <c r="G26"/>
  <c r="F26"/>
  <c r="H25"/>
  <c r="G25"/>
  <c r="F25"/>
  <c r="H24"/>
  <c r="G24"/>
  <c r="F24"/>
  <c r="H23"/>
  <c r="G23"/>
  <c r="F23"/>
  <c r="A27" i="5"/>
  <c r="A26"/>
  <c r="A25"/>
  <c r="A24"/>
  <c r="A23"/>
  <c r="A22" l="1"/>
  <c r="S26" i="4"/>
  <c r="AO23" i="13" l="1"/>
  <c r="AN23"/>
  <c r="AM23"/>
  <c r="AL23"/>
  <c r="AK23"/>
  <c r="AJ23"/>
  <c r="H23"/>
  <c r="G23"/>
  <c r="AO22"/>
  <c r="AN22"/>
  <c r="AM22"/>
  <c r="AL22"/>
  <c r="AK22"/>
  <c r="AJ22"/>
  <c r="H22"/>
  <c r="G22"/>
  <c r="E22"/>
  <c r="AO21"/>
  <c r="AN21"/>
  <c r="AM21"/>
  <c r="AL21"/>
  <c r="AK21"/>
  <c r="AJ21"/>
  <c r="H21"/>
  <c r="G21"/>
  <c r="AO20"/>
  <c r="AN20"/>
  <c r="AM20"/>
  <c r="AL20"/>
  <c r="AK20"/>
  <c r="AJ20"/>
  <c r="H20"/>
  <c r="G20"/>
  <c r="AO19"/>
  <c r="AN19"/>
  <c r="AM19"/>
  <c r="AL19"/>
  <c r="AK19"/>
  <c r="AJ19"/>
  <c r="H19"/>
  <c r="G19"/>
  <c r="AO18"/>
  <c r="AN18"/>
  <c r="AM18"/>
  <c r="AL18"/>
  <c r="AK18"/>
  <c r="AJ18"/>
  <c r="H18"/>
  <c r="G18"/>
  <c r="AO17"/>
  <c r="AN17"/>
  <c r="AM17"/>
  <c r="AL17"/>
  <c r="AK17"/>
  <c r="AJ17"/>
  <c r="H17"/>
  <c r="G17"/>
  <c r="AO16"/>
  <c r="AN16"/>
  <c r="AM16"/>
  <c r="AL16"/>
  <c r="AK16"/>
  <c r="AJ16"/>
  <c r="H16"/>
  <c r="G16"/>
  <c r="AO15"/>
  <c r="AN15"/>
  <c r="AM15"/>
  <c r="AL15"/>
  <c r="AK15"/>
  <c r="AJ15"/>
  <c r="H15"/>
  <c r="G15"/>
  <c r="AO14"/>
  <c r="AN14"/>
  <c r="AM14"/>
  <c r="AL14"/>
  <c r="AK14"/>
  <c r="AJ14"/>
  <c r="H14"/>
  <c r="G14"/>
  <c r="J23" i="11"/>
  <c r="I23" i="13" s="1"/>
  <c r="D23" i="11"/>
  <c r="E23" i="13" s="1"/>
  <c r="J22" i="11"/>
  <c r="I22" i="13" s="1"/>
  <c r="D22" i="11"/>
  <c r="A22"/>
  <c r="J21"/>
  <c r="I21" i="13" s="1"/>
  <c r="D21" i="11"/>
  <c r="A21" s="1"/>
  <c r="J20"/>
  <c r="I20" i="13" s="1"/>
  <c r="D20" i="11"/>
  <c r="E20" i="13" s="1"/>
  <c r="A20" i="11"/>
  <c r="J19"/>
  <c r="I19" i="13" s="1"/>
  <c r="D19" i="11"/>
  <c r="E19" i="13" s="1"/>
  <c r="A19" i="11"/>
  <c r="J18"/>
  <c r="I18" i="13" s="1"/>
  <c r="D18" i="11"/>
  <c r="E18" i="13" s="1"/>
  <c r="A18" i="11"/>
  <c r="J17"/>
  <c r="I17" i="13" s="1"/>
  <c r="D17" i="11"/>
  <c r="E17" i="13" s="1"/>
  <c r="J16" i="11"/>
  <c r="I16" i="13" s="1"/>
  <c r="D16" i="11"/>
  <c r="A16" s="1"/>
  <c r="J15"/>
  <c r="I15" i="13" s="1"/>
  <c r="D15" i="11"/>
  <c r="A15" s="1"/>
  <c r="J14"/>
  <c r="I14" i="13" s="1"/>
  <c r="D14" i="11"/>
  <c r="E14" i="13" s="1"/>
  <c r="A14" i="8"/>
  <c r="A17" s="1"/>
  <c r="A20" s="1"/>
  <c r="B16" i="10"/>
  <c r="B17" s="1"/>
  <c r="B18" s="1"/>
  <c r="B16" i="9"/>
  <c r="B17" s="1"/>
  <c r="B18" s="1"/>
  <c r="B19" s="1"/>
  <c r="B20" s="1"/>
  <c r="C16" i="7"/>
  <c r="B16" s="1"/>
  <c r="A263" i="5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1"/>
  <c r="A20"/>
  <c r="A19"/>
  <c r="A18"/>
  <c r="A17"/>
  <c r="C16"/>
  <c r="N16" s="1"/>
  <c r="A16"/>
  <c r="P7" i="13"/>
  <c r="E28" i="14" s="1"/>
  <c r="C15"/>
  <c r="L4" i="13"/>
  <c r="I5" i="12"/>
  <c r="F4" i="11"/>
  <c r="D7" i="10"/>
  <c r="J8" i="8"/>
  <c r="L5" i="4"/>
  <c r="C14" i="15"/>
  <c r="C52" i="3"/>
  <c r="G5" i="6" a="1"/>
  <c r="G5" s="1"/>
  <c r="Q5" i="5" a="1"/>
  <c r="Q5" s="1"/>
  <c r="F9"/>
  <c r="F8"/>
  <c r="F25" i="2"/>
  <c r="P85" i="4" s="1"/>
  <c r="C51" i="3"/>
  <c r="C47"/>
  <c r="C43"/>
  <c r="C41"/>
  <c r="C39"/>
  <c r="S108" i="4"/>
  <c r="S68"/>
  <c r="S28"/>
  <c r="E2" i="15"/>
  <c r="C34" i="3"/>
  <c r="C32"/>
  <c r="Q13" i="6"/>
  <c r="R13" s="1"/>
  <c r="S13" s="1"/>
  <c r="T13" s="1"/>
  <c r="U13" s="1"/>
  <c r="V13" s="1"/>
  <c r="W13" s="1"/>
  <c r="X13" s="1"/>
  <c r="Y13" s="1"/>
  <c r="Z13" s="1"/>
  <c r="A12"/>
  <c r="AX13"/>
  <c r="AY13" s="1"/>
  <c r="AZ13" s="1"/>
  <c r="AB13"/>
  <c r="AB12" s="1"/>
  <c r="AM13"/>
  <c r="AM12" s="1"/>
  <c r="H12" i="10"/>
  <c r="H11" s="1"/>
  <c r="BG15" i="6"/>
  <c r="BF15"/>
  <c r="BE15"/>
  <c r="BD15"/>
  <c r="BC15"/>
  <c r="BB15"/>
  <c r="BA15"/>
  <c r="AZ15"/>
  <c r="AY15"/>
  <c r="AX15"/>
  <c r="I25" i="10"/>
  <c r="N9"/>
  <c r="G12" i="9"/>
  <c r="G11" s="1"/>
  <c r="C20" i="3"/>
  <c r="C22"/>
  <c r="C24"/>
  <c r="C26"/>
  <c r="C28"/>
  <c r="C19"/>
  <c r="C15"/>
  <c r="C14"/>
  <c r="C12"/>
  <c r="I36" i="11"/>
  <c r="I35"/>
  <c r="Z46" i="8" a="1"/>
  <c r="T270" i="6" a="1"/>
  <c r="T272" s="1"/>
  <c r="I270" a="1"/>
  <c r="I271" s="1"/>
  <c r="AB13" i="12"/>
  <c r="AC13" s="1"/>
  <c r="AD13" s="1"/>
  <c r="AE13" s="1"/>
  <c r="AF13" s="1"/>
  <c r="AG13" s="1"/>
  <c r="AH13" s="1"/>
  <c r="AI13" s="1"/>
  <c r="AJ13" s="1"/>
  <c r="AK13" s="1"/>
  <c r="AL13" s="1"/>
  <c r="AM13" s="1"/>
  <c r="C2" i="4"/>
  <c r="Z7" i="11"/>
  <c r="U12" i="8"/>
  <c r="V12" s="1"/>
  <c r="W12" s="1"/>
  <c r="X12" s="1"/>
  <c r="Y12" s="1"/>
  <c r="Z12" s="1"/>
  <c r="AA12" s="1"/>
  <c r="AB12" s="1"/>
  <c r="AC12" s="1"/>
  <c r="AD12" s="1"/>
  <c r="AE12" s="1"/>
  <c r="D12"/>
  <c r="C11" i="10"/>
  <c r="A14" i="5"/>
  <c r="C14" s="1"/>
  <c r="B14" i="6" s="1"/>
  <c r="AV15"/>
  <c r="AU15"/>
  <c r="AT15"/>
  <c r="AS15"/>
  <c r="AR15"/>
  <c r="AQ15"/>
  <c r="AP15"/>
  <c r="AO15"/>
  <c r="AN15"/>
  <c r="AM15"/>
  <c r="D12" i="11"/>
  <c r="A12" s="1"/>
  <c r="L39" i="13"/>
  <c r="F48" i="2"/>
  <c r="S107" i="4"/>
  <c r="S109" s="1"/>
  <c r="I95" s="1"/>
  <c r="S67"/>
  <c r="S69" s="1"/>
  <c r="I92" s="1"/>
  <c r="C8"/>
  <c r="C9"/>
  <c r="C10"/>
  <c r="C11"/>
  <c r="C12"/>
  <c r="C13"/>
  <c r="L46" i="13"/>
  <c r="A1" i="8"/>
  <c r="C10" i="15"/>
  <c r="G22"/>
  <c r="C22"/>
  <c r="E24"/>
  <c r="E22"/>
  <c r="G18"/>
  <c r="E18"/>
  <c r="C18"/>
  <c r="C12"/>
  <c r="E12"/>
  <c r="G10"/>
  <c r="E10"/>
  <c r="B20"/>
  <c r="B16"/>
  <c r="B8"/>
  <c r="Q8" i="5"/>
  <c r="O1" i="4"/>
  <c r="A3"/>
  <c r="C3" s="1"/>
  <c r="J5"/>
  <c r="N5"/>
  <c r="J8"/>
  <c r="C14"/>
  <c r="A15"/>
  <c r="C15" s="1"/>
  <c r="C20"/>
  <c r="A21"/>
  <c r="A22" s="1"/>
  <c r="A23" s="1"/>
  <c r="A24" s="1"/>
  <c r="A25" s="1"/>
  <c r="C25" s="1"/>
  <c r="J21"/>
  <c r="R21"/>
  <c r="J22"/>
  <c r="R22"/>
  <c r="J23"/>
  <c r="R23"/>
  <c r="J24"/>
  <c r="R24"/>
  <c r="J25"/>
  <c r="R25"/>
  <c r="C26"/>
  <c r="A27"/>
  <c r="A28" s="1"/>
  <c r="A29" s="1"/>
  <c r="C29" s="1"/>
  <c r="C32"/>
  <c r="A33"/>
  <c r="A34" s="1"/>
  <c r="A35" s="1"/>
  <c r="N35"/>
  <c r="C38"/>
  <c r="C39"/>
  <c r="C40"/>
  <c r="C41"/>
  <c r="C42"/>
  <c r="C43"/>
  <c r="C44"/>
  <c r="J38"/>
  <c r="A45"/>
  <c r="A46" s="1"/>
  <c r="A47" s="1"/>
  <c r="A48" s="1"/>
  <c r="J40"/>
  <c r="J45"/>
  <c r="K50" a="1"/>
  <c r="K52" s="1"/>
  <c r="J61"/>
  <c r="R61"/>
  <c r="J62"/>
  <c r="R62"/>
  <c r="J63"/>
  <c r="R63"/>
  <c r="J64"/>
  <c r="R64"/>
  <c r="J65"/>
  <c r="R65"/>
  <c r="N75"/>
  <c r="J78"/>
  <c r="J80"/>
  <c r="J85"/>
  <c r="K90" a="1"/>
  <c r="K92" s="1"/>
  <c r="J101"/>
  <c r="R101"/>
  <c r="J102"/>
  <c r="R102"/>
  <c r="J103"/>
  <c r="R103"/>
  <c r="J104"/>
  <c r="R104"/>
  <c r="J105"/>
  <c r="R105"/>
  <c r="N115"/>
  <c r="J118"/>
  <c r="J120"/>
  <c r="J125"/>
  <c r="K130" a="1"/>
  <c r="K131" s="1"/>
  <c r="E2" i="12"/>
  <c r="E1"/>
  <c r="D5"/>
  <c r="F5"/>
  <c r="J5"/>
  <c r="O5"/>
  <c r="A7"/>
  <c r="I7"/>
  <c r="D8"/>
  <c r="E8"/>
  <c r="F8"/>
  <c r="I8"/>
  <c r="E10"/>
  <c r="J12"/>
  <c r="Q12"/>
  <c r="V13"/>
  <c r="W13"/>
  <c r="X13"/>
  <c r="D15"/>
  <c r="AB15"/>
  <c r="D273"/>
  <c r="E274"/>
  <c r="K276" a="1"/>
  <c r="K278" s="1"/>
  <c r="F1" i="6"/>
  <c r="F2"/>
  <c r="E5"/>
  <c r="I5"/>
  <c r="K5"/>
  <c r="S5"/>
  <c r="U5"/>
  <c r="O13"/>
  <c r="O15" s="1"/>
  <c r="B15"/>
  <c r="C15"/>
  <c r="D15"/>
  <c r="E15"/>
  <c r="B264"/>
  <c r="C264"/>
  <c r="F268"/>
  <c r="R4" i="8"/>
  <c r="R5"/>
  <c r="Y7"/>
  <c r="AE7"/>
  <c r="H8"/>
  <c r="K8"/>
  <c r="T8"/>
  <c r="Y8"/>
  <c r="AE8"/>
  <c r="D13"/>
  <c r="U13"/>
  <c r="V13" s="1"/>
  <c r="W13" s="1"/>
  <c r="X13" s="1"/>
  <c r="Y13" s="1"/>
  <c r="Z13" s="1"/>
  <c r="AA13" s="1"/>
  <c r="AB13" s="1"/>
  <c r="AC13" s="1"/>
  <c r="AD13" s="1"/>
  <c r="AE13" s="1"/>
  <c r="S34"/>
  <c r="S39"/>
  <c r="H44"/>
  <c r="B1" i="9"/>
  <c r="E12"/>
  <c r="E11" s="1"/>
  <c r="L2" i="2"/>
  <c r="N2"/>
  <c r="P2"/>
  <c r="R2"/>
  <c r="T2"/>
  <c r="V2"/>
  <c r="X2"/>
  <c r="Z2"/>
  <c r="AB2"/>
  <c r="AD2"/>
  <c r="AF2"/>
  <c r="AH2"/>
  <c r="AJ2"/>
  <c r="AL2"/>
  <c r="AN2"/>
  <c r="AP2"/>
  <c r="AR2"/>
  <c r="E9"/>
  <c r="C9" i="7"/>
  <c r="C14"/>
  <c r="B14" s="1"/>
  <c r="B15"/>
  <c r="C8" i="3"/>
  <c r="C9"/>
  <c r="C18" i="14"/>
  <c r="C19"/>
  <c r="B22"/>
  <c r="B24"/>
  <c r="B30"/>
  <c r="B54"/>
  <c r="B55"/>
  <c r="R2" i="5"/>
  <c r="O5"/>
  <c r="R5"/>
  <c r="S5"/>
  <c r="O274"/>
  <c r="R7"/>
  <c r="S7"/>
  <c r="V7"/>
  <c r="W7"/>
  <c r="X7"/>
  <c r="R8"/>
  <c r="S8"/>
  <c r="U13"/>
  <c r="V13"/>
  <c r="AH13"/>
  <c r="M15"/>
  <c r="N15"/>
  <c r="O15"/>
  <c r="O277"/>
  <c r="T279" a="1"/>
  <c r="T279" s="1"/>
  <c r="B1" i="10"/>
  <c r="H4"/>
  <c r="V6"/>
  <c r="AE6"/>
  <c r="B7"/>
  <c r="H7"/>
  <c r="O7"/>
  <c r="V7"/>
  <c r="AE7"/>
  <c r="F12"/>
  <c r="F11" s="1"/>
  <c r="B31"/>
  <c r="W33" a="1"/>
  <c r="W34" s="1"/>
  <c r="D4" i="11"/>
  <c r="G4"/>
  <c r="J4"/>
  <c r="M6"/>
  <c r="D7"/>
  <c r="L7"/>
  <c r="M7"/>
  <c r="N7"/>
  <c r="J12"/>
  <c r="I12" i="13" s="1"/>
  <c r="L13" i="11"/>
  <c r="L9" s="1"/>
  <c r="D33"/>
  <c r="F1" i="13"/>
  <c r="E4"/>
  <c r="I4"/>
  <c r="P4"/>
  <c r="M6"/>
  <c r="E7"/>
  <c r="I7"/>
  <c r="M7"/>
  <c r="N7"/>
  <c r="M11"/>
  <c r="Y11"/>
  <c r="G12"/>
  <c r="H12"/>
  <c r="J25"/>
  <c r="AC2" s="1"/>
  <c r="E35"/>
  <c r="E39"/>
  <c r="F40"/>
  <c r="M40"/>
  <c r="E41"/>
  <c r="F41"/>
  <c r="L41"/>
  <c r="M41"/>
  <c r="M42"/>
  <c r="L43"/>
  <c r="M43"/>
  <c r="E46"/>
  <c r="E48"/>
  <c r="L48"/>
  <c r="E49"/>
  <c r="L49"/>
  <c r="D271" i="12"/>
  <c r="I15"/>
  <c r="O15"/>
  <c r="M15"/>
  <c r="J15" s="1"/>
  <c r="AO12" i="13"/>
  <c r="AL12"/>
  <c r="AK12"/>
  <c r="AJ12"/>
  <c r="AM12"/>
  <c r="AN12"/>
  <c r="C33" i="4"/>
  <c r="K25" i="10"/>
  <c r="M25" s="1"/>
  <c r="O25" s="1"/>
  <c r="Q25" s="1"/>
  <c r="S25" s="1"/>
  <c r="U25" s="1"/>
  <c r="W25" s="1"/>
  <c r="Y25" s="1"/>
  <c r="AA25" s="1"/>
  <c r="AC25" s="1"/>
  <c r="AE25" s="1"/>
  <c r="C45" i="4"/>
  <c r="C27"/>
  <c r="C34"/>
  <c r="E12" i="13"/>
  <c r="O8" i="5"/>
  <c r="K50" i="4" l="1"/>
  <c r="C48"/>
  <c r="A49"/>
  <c r="C49" s="1"/>
  <c r="A16"/>
  <c r="F20" i="7"/>
  <c r="W36" i="10"/>
  <c r="K130" i="4"/>
  <c r="O7" i="11"/>
  <c r="A23"/>
  <c r="C47" i="4"/>
  <c r="C23"/>
  <c r="A14" i="11"/>
  <c r="A30" i="4"/>
  <c r="C46"/>
  <c r="E16" i="13"/>
  <c r="C28" i="4"/>
  <c r="K279" i="12"/>
  <c r="C21" i="4"/>
  <c r="C22"/>
  <c r="K132"/>
  <c r="E15" i="13"/>
  <c r="A17" i="11"/>
  <c r="E21" i="13"/>
  <c r="B39" i="14"/>
  <c r="A23" i="8"/>
  <c r="F17" i="7"/>
  <c r="F16"/>
  <c r="F18"/>
  <c r="B16" i="5"/>
  <c r="B19" i="10"/>
  <c r="B20" s="1"/>
  <c r="C17" i="7"/>
  <c r="F19"/>
  <c r="W35" i="10"/>
  <c r="I16" i="5"/>
  <c r="E16" i="12"/>
  <c r="W16" i="5"/>
  <c r="H16" i="12" s="1"/>
  <c r="AE16" i="5"/>
  <c r="F16"/>
  <c r="C17"/>
  <c r="W17" s="1"/>
  <c r="H17" i="12" s="1"/>
  <c r="G16" i="5"/>
  <c r="H16"/>
  <c r="K276" i="12"/>
  <c r="D16" i="6"/>
  <c r="A16" i="12"/>
  <c r="B16" i="6"/>
  <c r="A16" s="1"/>
  <c r="T281" i="5"/>
  <c r="B37" i="14"/>
  <c r="C14"/>
  <c r="O7" i="13"/>
  <c r="T271" i="6"/>
  <c r="P125" i="4"/>
  <c r="H47" i="8"/>
  <c r="I272" i="6"/>
  <c r="I270"/>
  <c r="AX12"/>
  <c r="AC13"/>
  <c r="AN13"/>
  <c r="B14" i="5"/>
  <c r="F14"/>
  <c r="I80" i="4"/>
  <c r="G15" i="9"/>
  <c r="M15" i="6"/>
  <c r="L35" i="13"/>
  <c r="F14" i="7"/>
  <c r="F15"/>
  <c r="A15" i="10" s="1"/>
  <c r="H15"/>
  <c r="N15" i="12"/>
  <c r="I86" i="4"/>
  <c r="I88"/>
  <c r="I83"/>
  <c r="S110"/>
  <c r="H5" i="5" s="1"/>
  <c r="X8" s="1"/>
  <c r="I55" i="4"/>
  <c r="I69"/>
  <c r="I12" i="10"/>
  <c r="H12" i="9"/>
  <c r="I12" s="1"/>
  <c r="I70" i="4"/>
  <c r="I63"/>
  <c r="I82"/>
  <c r="I56"/>
  <c r="I58"/>
  <c r="I67"/>
  <c r="L15" i="12"/>
  <c r="K15" s="1"/>
  <c r="I72" i="4"/>
  <c r="I60"/>
  <c r="I78"/>
  <c r="I71"/>
  <c r="I66"/>
  <c r="I116"/>
  <c r="I79"/>
  <c r="I130"/>
  <c r="I76"/>
  <c r="I122"/>
  <c r="N10" i="12"/>
  <c r="I104" i="4"/>
  <c r="I119"/>
  <c r="A36"/>
  <c r="C35"/>
  <c r="C30"/>
  <c r="A31"/>
  <c r="C31" s="1"/>
  <c r="AZ12" i="6"/>
  <c r="BA13"/>
  <c r="I112" i="4"/>
  <c r="I117"/>
  <c r="I126"/>
  <c r="I121"/>
  <c r="I96"/>
  <c r="I109"/>
  <c r="I105"/>
  <c r="I115"/>
  <c r="I98"/>
  <c r="I125"/>
  <c r="I113"/>
  <c r="I111"/>
  <c r="I101"/>
  <c r="I132"/>
  <c r="I108"/>
  <c r="I103"/>
  <c r="I129"/>
  <c r="I100"/>
  <c r="I127"/>
  <c r="I124"/>
  <c r="I107"/>
  <c r="I106"/>
  <c r="I94"/>
  <c r="I118"/>
  <c r="I131"/>
  <c r="I128"/>
  <c r="I114"/>
  <c r="I102"/>
  <c r="I120"/>
  <c r="I97"/>
  <c r="I123"/>
  <c r="C24"/>
  <c r="I110"/>
  <c r="I99"/>
  <c r="Z47" i="8"/>
  <c r="Z48"/>
  <c r="Z46"/>
  <c r="P45" i="4"/>
  <c r="K14" i="5"/>
  <c r="J14"/>
  <c r="H14"/>
  <c r="A14" i="12"/>
  <c r="D14" i="5"/>
  <c r="B14" i="12" s="1"/>
  <c r="AD14" i="5"/>
  <c r="E14"/>
  <c r="G14"/>
  <c r="AE14"/>
  <c r="N14"/>
  <c r="I62" i="4"/>
  <c r="I74"/>
  <c r="I68"/>
  <c r="I61"/>
  <c r="I64"/>
  <c r="I87"/>
  <c r="I89"/>
  <c r="I57"/>
  <c r="I73"/>
  <c r="I93"/>
  <c r="I85"/>
  <c r="I84"/>
  <c r="I77"/>
  <c r="I65"/>
  <c r="I54"/>
  <c r="I59"/>
  <c r="I90"/>
  <c r="I81"/>
  <c r="I75"/>
  <c r="I91"/>
  <c r="E277" i="12"/>
  <c r="B34" i="10"/>
  <c r="F271" i="6"/>
  <c r="O280" i="5"/>
  <c r="D36" i="11"/>
  <c r="M8" i="12"/>
  <c r="AO7"/>
  <c r="AY12" i="6"/>
  <c r="W33" i="10"/>
  <c r="A4" i="4"/>
  <c r="K51"/>
  <c r="K277" i="12"/>
  <c r="S70" i="4"/>
  <c r="G5" i="5" s="1"/>
  <c r="W8" s="1"/>
  <c r="K91" i="4"/>
  <c r="T270" i="6"/>
  <c r="K90" i="4"/>
  <c r="T280" i="5"/>
  <c r="C16" i="4" l="1"/>
  <c r="A17"/>
  <c r="E16" i="5"/>
  <c r="E17" s="1"/>
  <c r="F16" i="6"/>
  <c r="B42" i="14"/>
  <c r="A26" i="8"/>
  <c r="A29" s="1"/>
  <c r="F17" i="5"/>
  <c r="AE17"/>
  <c r="H17"/>
  <c r="B17" i="7"/>
  <c r="C18"/>
  <c r="B17" i="5"/>
  <c r="G17"/>
  <c r="E17" i="12"/>
  <c r="I17" i="5"/>
  <c r="N17"/>
  <c r="D17" i="6" s="1"/>
  <c r="B17"/>
  <c r="A17" s="1"/>
  <c r="C18" i="5"/>
  <c r="A17" i="12"/>
  <c r="AD16" i="5"/>
  <c r="AN16" i="6"/>
  <c r="AM16"/>
  <c r="BG16"/>
  <c r="BF16"/>
  <c r="BE16"/>
  <c r="BC16"/>
  <c r="BB16"/>
  <c r="BA16"/>
  <c r="AZ16"/>
  <c r="AY16"/>
  <c r="AX16"/>
  <c r="BD16"/>
  <c r="AS16"/>
  <c r="AR16"/>
  <c r="AQ16"/>
  <c r="AP16"/>
  <c r="AO16"/>
  <c r="N16"/>
  <c r="AU16"/>
  <c r="AT16"/>
  <c r="M16"/>
  <c r="AV16"/>
  <c r="H16"/>
  <c r="T16" i="5" s="1"/>
  <c r="G16" i="12" s="1"/>
  <c r="G16" i="6"/>
  <c r="AC12"/>
  <c r="AD13"/>
  <c r="H11" i="9"/>
  <c r="AO13" i="6"/>
  <c r="AN12"/>
  <c r="B8" i="14"/>
  <c r="I10" i="13"/>
  <c r="I11" i="9"/>
  <c r="J12"/>
  <c r="I11" i="10"/>
  <c r="J12"/>
  <c r="D14" i="6"/>
  <c r="BB13"/>
  <c r="C4" i="4"/>
  <c r="A5"/>
  <c r="J14" i="12"/>
  <c r="L14"/>
  <c r="C36" i="4"/>
  <c r="A37"/>
  <c r="C37" s="1"/>
  <c r="A18" l="1"/>
  <c r="C17"/>
  <c r="A18" i="12"/>
  <c r="J18" s="1"/>
  <c r="A14" i="13"/>
  <c r="B14" i="11"/>
  <c r="G14" s="1"/>
  <c r="F14" i="13" s="1"/>
  <c r="AD18" i="5"/>
  <c r="AE18"/>
  <c r="N18"/>
  <c r="D18" i="6" s="1"/>
  <c r="F17"/>
  <c r="D18" i="5"/>
  <c r="B18" i="12" s="1"/>
  <c r="H18" i="5"/>
  <c r="AD17"/>
  <c r="C19" i="7"/>
  <c r="C20" s="1"/>
  <c r="B20" s="1"/>
  <c r="B18"/>
  <c r="F18" i="5"/>
  <c r="J18"/>
  <c r="K18"/>
  <c r="B18"/>
  <c r="C19" s="1"/>
  <c r="B18" i="6"/>
  <c r="G18" i="5"/>
  <c r="AC16" i="6"/>
  <c r="E18" i="5"/>
  <c r="AN17" i="6"/>
  <c r="AM17"/>
  <c r="BG17"/>
  <c r="BF17"/>
  <c r="BE17"/>
  <c r="BC17"/>
  <c r="BB17"/>
  <c r="BA17"/>
  <c r="AZ17"/>
  <c r="AY17"/>
  <c r="AX17"/>
  <c r="AU17"/>
  <c r="AT17"/>
  <c r="AS17"/>
  <c r="AR17"/>
  <c r="AQ17"/>
  <c r="AP17"/>
  <c r="AO17"/>
  <c r="BD17"/>
  <c r="AV17"/>
  <c r="N17"/>
  <c r="M17"/>
  <c r="H17"/>
  <c r="T17" i="5" s="1"/>
  <c r="G17" i="12" s="1"/>
  <c r="G17" i="6"/>
  <c r="AB16"/>
  <c r="AE13"/>
  <c r="AF13" s="1"/>
  <c r="AD12"/>
  <c r="AD16" s="1"/>
  <c r="AO12"/>
  <c r="AP13"/>
  <c r="K12" i="10"/>
  <c r="J11"/>
  <c r="K12" i="9"/>
  <c r="BC13" i="6"/>
  <c r="BB12"/>
  <c r="A14"/>
  <c r="N14" s="1"/>
  <c r="K14" i="12"/>
  <c r="C5" i="4"/>
  <c r="A6"/>
  <c r="AC3" i="6"/>
  <c r="C18" i="4" l="1"/>
  <c r="A19"/>
  <c r="C19" s="1"/>
  <c r="L18" i="12"/>
  <c r="K18" s="1"/>
  <c r="C20" i="5"/>
  <c r="AE20" s="1"/>
  <c r="C14" i="13"/>
  <c r="K14" s="1"/>
  <c r="K14" i="11"/>
  <c r="J14" i="13" s="1"/>
  <c r="F19" i="5"/>
  <c r="A19" i="12"/>
  <c r="E19" i="5"/>
  <c r="AD19"/>
  <c r="B19" i="6"/>
  <c r="A18"/>
  <c r="N18" s="1"/>
  <c r="AC17"/>
  <c r="G19" i="5"/>
  <c r="H19"/>
  <c r="W19"/>
  <c r="H19" i="12" s="1"/>
  <c r="AB17" i="6"/>
  <c r="AE19" i="5"/>
  <c r="B19"/>
  <c r="N19"/>
  <c r="D19" i="6" s="1"/>
  <c r="B19" i="7"/>
  <c r="H18" i="6"/>
  <c r="T18" i="5" s="1"/>
  <c r="AD17" i="6"/>
  <c r="AD3"/>
  <c r="AB3"/>
  <c r="AQ13"/>
  <c r="L12" i="9"/>
  <c r="K11"/>
  <c r="M14" i="6"/>
  <c r="AX14" s="1"/>
  <c r="L12" i="10"/>
  <c r="AF12" i="6"/>
  <c r="AG13"/>
  <c r="A7" i="4"/>
  <c r="C7" s="1"/>
  <c r="C6"/>
  <c r="BC12" i="6"/>
  <c r="BD13"/>
  <c r="G20" i="5" l="1"/>
  <c r="D20"/>
  <c r="B20" i="12" s="1"/>
  <c r="AD20" i="5"/>
  <c r="B20" i="6"/>
  <c r="A20" i="12"/>
  <c r="J20" s="1"/>
  <c r="C21" i="5"/>
  <c r="C22" s="1"/>
  <c r="H20"/>
  <c r="N20"/>
  <c r="D20" i="6" s="1"/>
  <c r="K20" i="5"/>
  <c r="J20"/>
  <c r="F20"/>
  <c r="B20"/>
  <c r="E20"/>
  <c r="M18" i="6"/>
  <c r="AF16"/>
  <c r="AF17"/>
  <c r="H19"/>
  <c r="T19" i="5" s="1"/>
  <c r="A19" i="6"/>
  <c r="G18" i="12"/>
  <c r="AO14" i="6"/>
  <c r="BD14"/>
  <c r="AQ12"/>
  <c r="AR13"/>
  <c r="AR14" s="1"/>
  <c r="BE14"/>
  <c r="AZ14"/>
  <c r="BC14"/>
  <c r="BA14"/>
  <c r="AP14"/>
  <c r="AQ14"/>
  <c r="AN14"/>
  <c r="AM14"/>
  <c r="AY14"/>
  <c r="BF14"/>
  <c r="BG14"/>
  <c r="L11" i="9"/>
  <c r="M12"/>
  <c r="BB14" i="6"/>
  <c r="L11" i="10"/>
  <c r="M12"/>
  <c r="AH13" i="6"/>
  <c r="AG12"/>
  <c r="BD12"/>
  <c r="BE13"/>
  <c r="Z69" i="4"/>
  <c r="Y29"/>
  <c r="Z21"/>
  <c r="Y64"/>
  <c r="X21"/>
  <c r="Y24"/>
  <c r="S24" s="1"/>
  <c r="X103"/>
  <c r="Y102"/>
  <c r="Y101"/>
  <c r="Y21"/>
  <c r="S21" s="1"/>
  <c r="X105"/>
  <c r="Y103"/>
  <c r="Z62"/>
  <c r="X29"/>
  <c r="X109"/>
  <c r="X101"/>
  <c r="Z23"/>
  <c r="Y62"/>
  <c r="X62"/>
  <c r="Z109"/>
  <c r="Z103"/>
  <c r="Z102"/>
  <c r="Z24"/>
  <c r="X61"/>
  <c r="Z63"/>
  <c r="X23"/>
  <c r="X65"/>
  <c r="Z105"/>
  <c r="Y104"/>
  <c r="Z61"/>
  <c r="Z29"/>
  <c r="Y65"/>
  <c r="Y109"/>
  <c r="Z104"/>
  <c r="Y69"/>
  <c r="X25"/>
  <c r="Z25"/>
  <c r="X22"/>
  <c r="X63"/>
  <c r="Y25"/>
  <c r="S25" s="1"/>
  <c r="Y22"/>
  <c r="S22" s="1"/>
  <c r="Z65"/>
  <c r="X69"/>
  <c r="U69" s="1"/>
  <c r="Y61"/>
  <c r="X102"/>
  <c r="X104"/>
  <c r="X64"/>
  <c r="Y105"/>
  <c r="Y63"/>
  <c r="Z22"/>
  <c r="Z101"/>
  <c r="Z64"/>
  <c r="X24"/>
  <c r="Y23"/>
  <c r="S23" s="1"/>
  <c r="S27" l="1"/>
  <c r="S29" s="1"/>
  <c r="U29" s="1"/>
  <c r="BC18" i="6"/>
  <c r="A22" i="12"/>
  <c r="B22" i="6"/>
  <c r="J22" i="5"/>
  <c r="AE22"/>
  <c r="N22"/>
  <c r="K22"/>
  <c r="AD22"/>
  <c r="D22"/>
  <c r="B22" i="12" s="1"/>
  <c r="L20"/>
  <c r="K20" s="1"/>
  <c r="A21"/>
  <c r="L21" s="1"/>
  <c r="B21" i="5"/>
  <c r="B22" s="1"/>
  <c r="G21"/>
  <c r="G22" s="1"/>
  <c r="AD21"/>
  <c r="D21"/>
  <c r="B21" i="12" s="1"/>
  <c r="N21" i="5"/>
  <c r="D21" i="6" s="1"/>
  <c r="H21" i="5"/>
  <c r="H22" s="1"/>
  <c r="K21"/>
  <c r="B21" i="6"/>
  <c r="G19"/>
  <c r="E19" i="12"/>
  <c r="F19" i="6"/>
  <c r="AE21" i="5"/>
  <c r="F21"/>
  <c r="J21"/>
  <c r="E21"/>
  <c r="E22" s="1"/>
  <c r="AN18" i="6"/>
  <c r="AP18"/>
  <c r="BE18"/>
  <c r="AZ18"/>
  <c r="AY18"/>
  <c r="BA18"/>
  <c r="AF18"/>
  <c r="AO18"/>
  <c r="AX18"/>
  <c r="M19"/>
  <c r="AG19" s="1"/>
  <c r="AQ18"/>
  <c r="BD18"/>
  <c r="AM18"/>
  <c r="BB18"/>
  <c r="AR18"/>
  <c r="N19"/>
  <c r="A20"/>
  <c r="AG16"/>
  <c r="AG17"/>
  <c r="AG18"/>
  <c r="G19" i="12"/>
  <c r="H20" i="6"/>
  <c r="T20" i="5" s="1"/>
  <c r="U109" i="4"/>
  <c r="K112" s="1"/>
  <c r="AS13" i="6"/>
  <c r="AS18" s="1"/>
  <c r="AR12"/>
  <c r="M11" i="10"/>
  <c r="N12"/>
  <c r="M11" i="9"/>
  <c r="N12"/>
  <c r="AH12" i="6"/>
  <c r="AI13"/>
  <c r="J72" i="4"/>
  <c r="K72"/>
  <c r="BF13" i="6"/>
  <c r="BF18" s="1"/>
  <c r="BE12"/>
  <c r="S30" i="4" l="1"/>
  <c r="F5" i="5" s="1"/>
  <c r="C23"/>
  <c r="B23" s="1"/>
  <c r="L22" i="12"/>
  <c r="J22"/>
  <c r="D22" i="6"/>
  <c r="F22" i="5"/>
  <c r="M20" i="6"/>
  <c r="J21" i="12"/>
  <c r="K21" s="1"/>
  <c r="AQ19" i="6"/>
  <c r="BB19"/>
  <c r="AZ19"/>
  <c r="AX19"/>
  <c r="AC19"/>
  <c r="AY19"/>
  <c r="A21"/>
  <c r="N21" s="1"/>
  <c r="BA19"/>
  <c r="AF19"/>
  <c r="AB19"/>
  <c r="AD19"/>
  <c r="BE19"/>
  <c r="BD19"/>
  <c r="AP19"/>
  <c r="AM19"/>
  <c r="AO19"/>
  <c r="AR19"/>
  <c r="AN19"/>
  <c r="BC19"/>
  <c r="N20"/>
  <c r="AS19"/>
  <c r="G20" i="12"/>
  <c r="BF19" i="6"/>
  <c r="AH16"/>
  <c r="AH17"/>
  <c r="AH18"/>
  <c r="AH19"/>
  <c r="I19" i="5"/>
  <c r="H21" i="6"/>
  <c r="T21" i="5" s="1"/>
  <c r="J112" i="4"/>
  <c r="AS14" i="6"/>
  <c r="AT13"/>
  <c r="AS12"/>
  <c r="O12" i="9"/>
  <c r="N11"/>
  <c r="O12" i="10"/>
  <c r="N11"/>
  <c r="AI12" i="6"/>
  <c r="AJ13"/>
  <c r="K32" i="4"/>
  <c r="J32"/>
  <c r="BG13" i="6"/>
  <c r="BF12"/>
  <c r="AH23" i="5" l="1"/>
  <c r="AN23" s="1"/>
  <c r="AH242"/>
  <c r="AN242" s="1"/>
  <c r="AH252"/>
  <c r="AN252" s="1"/>
  <c r="AH246"/>
  <c r="AN246" s="1"/>
  <c r="AH253"/>
  <c r="AN253" s="1"/>
  <c r="AH254"/>
  <c r="AN254" s="1"/>
  <c r="AH202"/>
  <c r="AN202" s="1"/>
  <c r="AH193"/>
  <c r="AN193" s="1"/>
  <c r="AH198"/>
  <c r="AN198" s="1"/>
  <c r="AH188"/>
  <c r="AN188" s="1"/>
  <c r="AH203"/>
  <c r="AN203" s="1"/>
  <c r="AH199"/>
  <c r="AN199" s="1"/>
  <c r="AH195"/>
  <c r="AN195" s="1"/>
  <c r="AH251"/>
  <c r="AN251" s="1"/>
  <c r="AH181"/>
  <c r="AN181" s="1"/>
  <c r="AH76"/>
  <c r="AN76" s="1"/>
  <c r="AH187"/>
  <c r="AN187" s="1"/>
  <c r="AH72"/>
  <c r="AN72" s="1"/>
  <c r="AH41"/>
  <c r="AN41" s="1"/>
  <c r="AH83"/>
  <c r="AN83" s="1"/>
  <c r="AH99"/>
  <c r="AN99" s="1"/>
  <c r="AH87"/>
  <c r="AN87" s="1"/>
  <c r="AH59"/>
  <c r="AN59" s="1"/>
  <c r="AH63"/>
  <c r="AN63" s="1"/>
  <c r="AH74"/>
  <c r="AN74" s="1"/>
  <c r="AH118"/>
  <c r="AN118" s="1"/>
  <c r="AH113"/>
  <c r="AN113" s="1"/>
  <c r="AH156"/>
  <c r="AN156" s="1"/>
  <c r="AH122"/>
  <c r="AN122" s="1"/>
  <c r="AH42"/>
  <c r="AN42" s="1"/>
  <c r="AH165"/>
  <c r="AN165" s="1"/>
  <c r="AH14"/>
  <c r="AH262"/>
  <c r="AN262" s="1"/>
  <c r="AH204"/>
  <c r="AN204" s="1"/>
  <c r="AH126"/>
  <c r="AN126" s="1"/>
  <c r="AH152"/>
  <c r="AN152" s="1"/>
  <c r="AH131"/>
  <c r="AN131" s="1"/>
  <c r="AH89"/>
  <c r="AN89" s="1"/>
  <c r="AH106"/>
  <c r="AN106" s="1"/>
  <c r="AH97"/>
  <c r="AN97" s="1"/>
  <c r="AH200"/>
  <c r="AN200" s="1"/>
  <c r="AH36"/>
  <c r="AN36" s="1"/>
  <c r="AH57"/>
  <c r="AN57" s="1"/>
  <c r="AH30"/>
  <c r="AN30" s="1"/>
  <c r="AH260"/>
  <c r="AN260" s="1"/>
  <c r="AH232"/>
  <c r="AN232" s="1"/>
  <c r="AH179"/>
  <c r="AN179" s="1"/>
  <c r="AH173"/>
  <c r="AN173" s="1"/>
  <c r="AH137"/>
  <c r="AN137" s="1"/>
  <c r="AH169"/>
  <c r="AN169" s="1"/>
  <c r="AH116"/>
  <c r="AN116" s="1"/>
  <c r="AH75"/>
  <c r="AN75" s="1"/>
  <c r="AH64"/>
  <c r="AN64" s="1"/>
  <c r="AH24"/>
  <c r="AH255"/>
  <c r="AN255" s="1"/>
  <c r="AH214"/>
  <c r="AN214" s="1"/>
  <c r="AH213"/>
  <c r="AN213" s="1"/>
  <c r="AH220"/>
  <c r="AN220" s="1"/>
  <c r="AH216"/>
  <c r="AN216" s="1"/>
  <c r="AH210"/>
  <c r="AN210" s="1"/>
  <c r="AH201"/>
  <c r="AN201" s="1"/>
  <c r="AH219"/>
  <c r="AN219" s="1"/>
  <c r="AH196"/>
  <c r="AN196" s="1"/>
  <c r="AH130"/>
  <c r="AN130" s="1"/>
  <c r="AH171"/>
  <c r="AN171" s="1"/>
  <c r="AH248"/>
  <c r="AN248" s="1"/>
  <c r="AH125"/>
  <c r="AN125" s="1"/>
  <c r="AH221"/>
  <c r="AN221" s="1"/>
  <c r="AH105"/>
  <c r="AN105" s="1"/>
  <c r="AH84"/>
  <c r="AN84" s="1"/>
  <c r="AH79"/>
  <c r="AN79" s="1"/>
  <c r="AH43"/>
  <c r="AN43" s="1"/>
  <c r="AH101"/>
  <c r="AN101" s="1"/>
  <c r="AH109"/>
  <c r="AN109" s="1"/>
  <c r="AH88"/>
  <c r="AN88" s="1"/>
  <c r="AH82"/>
  <c r="AN82" s="1"/>
  <c r="AH112"/>
  <c r="AN112" s="1"/>
  <c r="AH77"/>
  <c r="AN77" s="1"/>
  <c r="AH32"/>
  <c r="AH50"/>
  <c r="AN50" s="1"/>
  <c r="AH40"/>
  <c r="AN40" s="1"/>
  <c r="AH96"/>
  <c r="AN96" s="1"/>
  <c r="AH100"/>
  <c r="AN100" s="1"/>
  <c r="AH21"/>
  <c r="AH25"/>
  <c r="AH257"/>
  <c r="AN257" s="1"/>
  <c r="AH243"/>
  <c r="AN243" s="1"/>
  <c r="AH228"/>
  <c r="AN228" s="1"/>
  <c r="AH231"/>
  <c r="AN231" s="1"/>
  <c r="AH235"/>
  <c r="AN235" s="1"/>
  <c r="AH223"/>
  <c r="AN223" s="1"/>
  <c r="AH241"/>
  <c r="AN241" s="1"/>
  <c r="AH141"/>
  <c r="AN141" s="1"/>
  <c r="AH140"/>
  <c r="AN140" s="1"/>
  <c r="AH58"/>
  <c r="AN58" s="1"/>
  <c r="AH103"/>
  <c r="AN103" s="1"/>
  <c r="AH45"/>
  <c r="AN45" s="1"/>
  <c r="AH129"/>
  <c r="AN129" s="1"/>
  <c r="AH108"/>
  <c r="AN108" s="1"/>
  <c r="AH19"/>
  <c r="AN19" s="1"/>
  <c r="AH56"/>
  <c r="AN56" s="1"/>
  <c r="AH44"/>
  <c r="AN44" s="1"/>
  <c r="AH73"/>
  <c r="AN73" s="1"/>
  <c r="AH26"/>
  <c r="AH259"/>
  <c r="AN259" s="1"/>
  <c r="AH205"/>
  <c r="AN205" s="1"/>
  <c r="AH236"/>
  <c r="AN236" s="1"/>
  <c r="AH244"/>
  <c r="AN244" s="1"/>
  <c r="AH176"/>
  <c r="AN176" s="1"/>
  <c r="AH184"/>
  <c r="AN184" s="1"/>
  <c r="AH143"/>
  <c r="AN143" s="1"/>
  <c r="AH47"/>
  <c r="AN47" s="1"/>
  <c r="AH162"/>
  <c r="AN162" s="1"/>
  <c r="AH178"/>
  <c r="AN178" s="1"/>
  <c r="AH61"/>
  <c r="AN61" s="1"/>
  <c r="AH153"/>
  <c r="AN153" s="1"/>
  <c r="AH27"/>
  <c r="AH261"/>
  <c r="AN261" s="1"/>
  <c r="AH218"/>
  <c r="AN218" s="1"/>
  <c r="AH207"/>
  <c r="AN207" s="1"/>
  <c r="AH226"/>
  <c r="AN226" s="1"/>
  <c r="AH258"/>
  <c r="AN258" s="1"/>
  <c r="AH224"/>
  <c r="AN224" s="1"/>
  <c r="AH249"/>
  <c r="AN249" s="1"/>
  <c r="AH239"/>
  <c r="AN239" s="1"/>
  <c r="AH240"/>
  <c r="AN240" s="1"/>
  <c r="AH150"/>
  <c r="AN150" s="1"/>
  <c r="AH145"/>
  <c r="AN145" s="1"/>
  <c r="AH197"/>
  <c r="AN197" s="1"/>
  <c r="AH180"/>
  <c r="AN180" s="1"/>
  <c r="AH91"/>
  <c r="AN91" s="1"/>
  <c r="AH151"/>
  <c r="AN151" s="1"/>
  <c r="AH121"/>
  <c r="AN121" s="1"/>
  <c r="AH104"/>
  <c r="AN104" s="1"/>
  <c r="AH49"/>
  <c r="AN49" s="1"/>
  <c r="AH33"/>
  <c r="AN33" s="1"/>
  <c r="AH102"/>
  <c r="AN102" s="1"/>
  <c r="AH166"/>
  <c r="AN166" s="1"/>
  <c r="AH119"/>
  <c r="AN119" s="1"/>
  <c r="AH54"/>
  <c r="AN54" s="1"/>
  <c r="AH85"/>
  <c r="AN85" s="1"/>
  <c r="AH114"/>
  <c r="AN114" s="1"/>
  <c r="AH163"/>
  <c r="AN163" s="1"/>
  <c r="AH78"/>
  <c r="AN78" s="1"/>
  <c r="AH94"/>
  <c r="AN94" s="1"/>
  <c r="AH38"/>
  <c r="AN38" s="1"/>
  <c r="AH29"/>
  <c r="AH28"/>
  <c r="AN28" s="1"/>
  <c r="AH93"/>
  <c r="AN93" s="1"/>
  <c r="AH52"/>
  <c r="AN52" s="1"/>
  <c r="AH139"/>
  <c r="AN139" s="1"/>
  <c r="AH256"/>
  <c r="AN256" s="1"/>
  <c r="AH22"/>
  <c r="AH263"/>
  <c r="AN263" s="1"/>
  <c r="AH222"/>
  <c r="AN222" s="1"/>
  <c r="AH209"/>
  <c r="AN209" s="1"/>
  <c r="AH227"/>
  <c r="AN227" s="1"/>
  <c r="AH225"/>
  <c r="AN225" s="1"/>
  <c r="AH237"/>
  <c r="AN237" s="1"/>
  <c r="AH174"/>
  <c r="AN174" s="1"/>
  <c r="AH215"/>
  <c r="AN215" s="1"/>
  <c r="AH172"/>
  <c r="AN172" s="1"/>
  <c r="AH160"/>
  <c r="AN160" s="1"/>
  <c r="AH167"/>
  <c r="AN167" s="1"/>
  <c r="AH133"/>
  <c r="AN133" s="1"/>
  <c r="AH191"/>
  <c r="AN191" s="1"/>
  <c r="AH92"/>
  <c r="AN92" s="1"/>
  <c r="AH120"/>
  <c r="AN120" s="1"/>
  <c r="AH134"/>
  <c r="AN134" s="1"/>
  <c r="AH107"/>
  <c r="AN107" s="1"/>
  <c r="AH51"/>
  <c r="AN51" s="1"/>
  <c r="AH35"/>
  <c r="AN35" s="1"/>
  <c r="AH146"/>
  <c r="AN146" s="1"/>
  <c r="AH168"/>
  <c r="AN168" s="1"/>
  <c r="AH189"/>
  <c r="AN189" s="1"/>
  <c r="AH70"/>
  <c r="AN70" s="1"/>
  <c r="AH95"/>
  <c r="AN95" s="1"/>
  <c r="AH123"/>
  <c r="AN123" s="1"/>
  <c r="AH17"/>
  <c r="AN17" s="1"/>
  <c r="AH98"/>
  <c r="AN98" s="1"/>
  <c r="AH135"/>
  <c r="AN135" s="1"/>
  <c r="AH18"/>
  <c r="AH138"/>
  <c r="AN138" s="1"/>
  <c r="AH31"/>
  <c r="AH62"/>
  <c r="AN62" s="1"/>
  <c r="AH164"/>
  <c r="AN164" s="1"/>
  <c r="AH68"/>
  <c r="AN68" s="1"/>
  <c r="AH16"/>
  <c r="AN16" s="1"/>
  <c r="AH245"/>
  <c r="AN245" s="1"/>
  <c r="AH194"/>
  <c r="AN194" s="1"/>
  <c r="AH190"/>
  <c r="AN190" s="1"/>
  <c r="AH159"/>
  <c r="AN159" s="1"/>
  <c r="AH136"/>
  <c r="AN136" s="1"/>
  <c r="AH128"/>
  <c r="AN128" s="1"/>
  <c r="AH177"/>
  <c r="AN177" s="1"/>
  <c r="AH39"/>
  <c r="AN39" s="1"/>
  <c r="AH69"/>
  <c r="AN69" s="1"/>
  <c r="AH71"/>
  <c r="AN71" s="1"/>
  <c r="AH20"/>
  <c r="AH111"/>
  <c r="AN111" s="1"/>
  <c r="AH115"/>
  <c r="AN115" s="1"/>
  <c r="AH144"/>
  <c r="AN144" s="1"/>
  <c r="AH117"/>
  <c r="AN117" s="1"/>
  <c r="AH48"/>
  <c r="AN48" s="1"/>
  <c r="AH66"/>
  <c r="AN66" s="1"/>
  <c r="AH250"/>
  <c r="AN250" s="1"/>
  <c r="AH211"/>
  <c r="AN211" s="1"/>
  <c r="AH229"/>
  <c r="AN229" s="1"/>
  <c r="AH233"/>
  <c r="AN233" s="1"/>
  <c r="AH238"/>
  <c r="AN238" s="1"/>
  <c r="AH186"/>
  <c r="AN186" s="1"/>
  <c r="AH170"/>
  <c r="AN170" s="1"/>
  <c r="AH182"/>
  <c r="AN182" s="1"/>
  <c r="AH192"/>
  <c r="AN192" s="1"/>
  <c r="AH154"/>
  <c r="AN154" s="1"/>
  <c r="AH149"/>
  <c r="AN149" s="1"/>
  <c r="AH132"/>
  <c r="AN132" s="1"/>
  <c r="AH124"/>
  <c r="AN124" s="1"/>
  <c r="AH80"/>
  <c r="AN80" s="1"/>
  <c r="AH60"/>
  <c r="AN60" s="1"/>
  <c r="AH157"/>
  <c r="AN157" s="1"/>
  <c r="AH53"/>
  <c r="AN53" s="1"/>
  <c r="AH37"/>
  <c r="AN37" s="1"/>
  <c r="AH183"/>
  <c r="AN183" s="1"/>
  <c r="AH127"/>
  <c r="AN127" s="1"/>
  <c r="AH206"/>
  <c r="AN206" s="1"/>
  <c r="AH81"/>
  <c r="AN81" s="1"/>
  <c r="AH175"/>
  <c r="AN175" s="1"/>
  <c r="AH230"/>
  <c r="AN230" s="1"/>
  <c r="AH234"/>
  <c r="AN234" s="1"/>
  <c r="AH247"/>
  <c r="AN247" s="1"/>
  <c r="AH185"/>
  <c r="AN185" s="1"/>
  <c r="AH212"/>
  <c r="AN212" s="1"/>
  <c r="AH158"/>
  <c r="AN158" s="1"/>
  <c r="AH161"/>
  <c r="AN161" s="1"/>
  <c r="AH67"/>
  <c r="AN67" s="1"/>
  <c r="AH55"/>
  <c r="AN55" s="1"/>
  <c r="AH208"/>
  <c r="AN208" s="1"/>
  <c r="AH46"/>
  <c r="AN46" s="1"/>
  <c r="AH34"/>
  <c r="AN34" s="1"/>
  <c r="AH86"/>
  <c r="AN86" s="1"/>
  <c r="AH148"/>
  <c r="AN148" s="1"/>
  <c r="AH147"/>
  <c r="AN147" s="1"/>
  <c r="V8"/>
  <c r="AH217"/>
  <c r="AN217" s="1"/>
  <c r="AH65"/>
  <c r="AN65" s="1"/>
  <c r="AH90"/>
  <c r="AN90" s="1"/>
  <c r="AH110"/>
  <c r="AN110" s="1"/>
  <c r="AH142"/>
  <c r="AN142" s="1"/>
  <c r="AH155"/>
  <c r="AN155" s="1"/>
  <c r="BE20" i="6"/>
  <c r="E23" i="5"/>
  <c r="A23" i="12"/>
  <c r="W23" i="5"/>
  <c r="AD23"/>
  <c r="C24"/>
  <c r="N23"/>
  <c r="D23" i="6" s="1"/>
  <c r="H23" s="1"/>
  <c r="T23" i="5" s="1"/>
  <c r="B23" i="6"/>
  <c r="AE23" i="5"/>
  <c r="F23"/>
  <c r="H23"/>
  <c r="G23"/>
  <c r="K22" i="12"/>
  <c r="H22" i="6"/>
  <c r="T22" i="5" s="1"/>
  <c r="AS20" i="6"/>
  <c r="AO20"/>
  <c r="AH20"/>
  <c r="AR20"/>
  <c r="AZ20"/>
  <c r="BG20"/>
  <c r="BA20"/>
  <c r="AX20"/>
  <c r="AG20"/>
  <c r="AQ20"/>
  <c r="BF20"/>
  <c r="AM20"/>
  <c r="AP20"/>
  <c r="BC20"/>
  <c r="BB20"/>
  <c r="AY20"/>
  <c r="AF20"/>
  <c r="AN20"/>
  <c r="BD20"/>
  <c r="M21"/>
  <c r="AI21" s="1"/>
  <c r="AI16"/>
  <c r="AI17"/>
  <c r="AI18"/>
  <c r="AI19"/>
  <c r="AI20"/>
  <c r="AT18"/>
  <c r="AT19"/>
  <c r="E28" i="12"/>
  <c r="F28" i="6"/>
  <c r="G21" i="12"/>
  <c r="AT20" i="6"/>
  <c r="BG18"/>
  <c r="BG19"/>
  <c r="AT12"/>
  <c r="AU13"/>
  <c r="AT14"/>
  <c r="P12" i="10"/>
  <c r="O11"/>
  <c r="O11" i="9"/>
  <c r="P12"/>
  <c r="AJ12" i="6"/>
  <c r="AK13"/>
  <c r="AK12" s="1"/>
  <c r="BG12"/>
  <c r="AN14" i="5" l="1"/>
  <c r="W14"/>
  <c r="H14" i="12" s="1"/>
  <c r="G23" i="6"/>
  <c r="E23" i="12"/>
  <c r="F23" i="6"/>
  <c r="C25" i="5"/>
  <c r="AD24"/>
  <c r="N24"/>
  <c r="D24" i="6" s="1"/>
  <c r="H24" s="1"/>
  <c r="T24" i="5" s="1"/>
  <c r="B24"/>
  <c r="B24" i="6"/>
  <c r="G24" i="5"/>
  <c r="AE24"/>
  <c r="J24"/>
  <c r="A24" i="12"/>
  <c r="K24" i="5"/>
  <c r="D24"/>
  <c r="B24" i="12" s="1"/>
  <c r="H24" i="5"/>
  <c r="E24"/>
  <c r="F24"/>
  <c r="A22" i="6"/>
  <c r="A23" s="1"/>
  <c r="G22" i="12"/>
  <c r="AY21" i="6"/>
  <c r="AQ21"/>
  <c r="BF21"/>
  <c r="AG21"/>
  <c r="AU21"/>
  <c r="AZ21"/>
  <c r="BC21"/>
  <c r="AM21"/>
  <c r="BB21"/>
  <c r="AR21"/>
  <c r="AO21"/>
  <c r="AF21"/>
  <c r="AN21"/>
  <c r="AS21"/>
  <c r="BA21"/>
  <c r="BD21"/>
  <c r="BG21"/>
  <c r="AX21"/>
  <c r="AP21"/>
  <c r="AH21"/>
  <c r="BE21"/>
  <c r="AT21"/>
  <c r="AK16"/>
  <c r="AK17"/>
  <c r="AK18"/>
  <c r="AK19"/>
  <c r="AK20"/>
  <c r="AK21"/>
  <c r="AJ16"/>
  <c r="AJ17"/>
  <c r="AJ18"/>
  <c r="AJ19"/>
  <c r="AJ20"/>
  <c r="AJ21"/>
  <c r="AU18"/>
  <c r="AU19"/>
  <c r="AU20"/>
  <c r="AU12"/>
  <c r="AV13"/>
  <c r="AU14"/>
  <c r="Q12" i="9"/>
  <c r="P11"/>
  <c r="Q12" i="10"/>
  <c r="P11"/>
  <c r="L24" i="12" l="1"/>
  <c r="J24"/>
  <c r="B25" i="6"/>
  <c r="G25" i="5"/>
  <c r="F25"/>
  <c r="A25" i="12"/>
  <c r="K25" i="5"/>
  <c r="D25"/>
  <c r="B25" i="12" s="1"/>
  <c r="E25" i="5"/>
  <c r="H25"/>
  <c r="N25"/>
  <c r="D25" i="6" s="1"/>
  <c r="B25" i="5"/>
  <c r="C26"/>
  <c r="AD25"/>
  <c r="AE25"/>
  <c r="J25"/>
  <c r="A24" i="6"/>
  <c r="M23"/>
  <c r="N23"/>
  <c r="M22"/>
  <c r="N22"/>
  <c r="G28" i="12"/>
  <c r="AV18" i="6"/>
  <c r="AV19"/>
  <c r="AV20"/>
  <c r="AV21"/>
  <c r="AV12"/>
  <c r="AV14"/>
  <c r="Q11" i="10"/>
  <c r="R12"/>
  <c r="R12" i="9"/>
  <c r="Q11"/>
  <c r="K24" i="12" l="1"/>
  <c r="H25" i="6"/>
  <c r="T25" i="5" s="1"/>
  <c r="B26" i="6"/>
  <c r="G26" i="5"/>
  <c r="N26"/>
  <c r="D26" i="6" s="1"/>
  <c r="H26" s="1"/>
  <c r="T26" i="5" s="1"/>
  <c r="A26" i="12"/>
  <c r="K26" i="5"/>
  <c r="D26"/>
  <c r="B26" i="12" s="1"/>
  <c r="AE26" i="5"/>
  <c r="H26"/>
  <c r="B26"/>
  <c r="F26"/>
  <c r="C27"/>
  <c r="AD26"/>
  <c r="J26"/>
  <c r="E26"/>
  <c r="J25" i="12"/>
  <c r="L25"/>
  <c r="A25" i="6"/>
  <c r="M24"/>
  <c r="N24"/>
  <c r="AS23"/>
  <c r="AY23"/>
  <c r="AZ23"/>
  <c r="BA23"/>
  <c r="AX23"/>
  <c r="BC23"/>
  <c r="BD23"/>
  <c r="AM23"/>
  <c r="BE23"/>
  <c r="AN23"/>
  <c r="BB23"/>
  <c r="BG23"/>
  <c r="AP23"/>
  <c r="AQ23"/>
  <c r="AR23"/>
  <c r="BF23"/>
  <c r="AO23"/>
  <c r="AT23"/>
  <c r="AU23"/>
  <c r="AV23"/>
  <c r="AJ23"/>
  <c r="AC23"/>
  <c r="AI23"/>
  <c r="AK23"/>
  <c r="AD23"/>
  <c r="AB23"/>
  <c r="AF23"/>
  <c r="AG23"/>
  <c r="AH23"/>
  <c r="BB22"/>
  <c r="BG22"/>
  <c r="AP22"/>
  <c r="AQ22"/>
  <c r="BA22"/>
  <c r="AI22"/>
  <c r="BF22"/>
  <c r="AO22"/>
  <c r="AT22"/>
  <c r="AU22"/>
  <c r="BE22"/>
  <c r="AN22"/>
  <c r="AM22"/>
  <c r="AX22"/>
  <c r="AF22"/>
  <c r="BD22"/>
  <c r="AV22"/>
  <c r="AS22"/>
  <c r="AY22"/>
  <c r="AZ22"/>
  <c r="AR22"/>
  <c r="BC22"/>
  <c r="AH22"/>
  <c r="AG22"/>
  <c r="AK22"/>
  <c r="AJ22"/>
  <c r="G29" i="12"/>
  <c r="R11" i="9"/>
  <c r="S12"/>
  <c r="R11" i="10"/>
  <c r="S12"/>
  <c r="K25" i="12" l="1"/>
  <c r="B27" i="6"/>
  <c r="AD27" i="5"/>
  <c r="J27"/>
  <c r="E27"/>
  <c r="A27" i="12"/>
  <c r="G27" i="5"/>
  <c r="N27"/>
  <c r="D27" i="6" s="1"/>
  <c r="H27" s="1"/>
  <c r="T27" i="5" s="1"/>
  <c r="K27"/>
  <c r="D27"/>
  <c r="B27" i="12" s="1"/>
  <c r="AE27" i="5"/>
  <c r="H27"/>
  <c r="F27"/>
  <c r="B27"/>
  <c r="C28" s="1"/>
  <c r="L26" i="12"/>
  <c r="J26"/>
  <c r="BF24" i="6"/>
  <c r="AO24"/>
  <c r="AT24"/>
  <c r="AU24"/>
  <c r="AV24"/>
  <c r="AS24"/>
  <c r="AY24"/>
  <c r="AZ24"/>
  <c r="BA24"/>
  <c r="AX24"/>
  <c r="BC24"/>
  <c r="BD24"/>
  <c r="AM24"/>
  <c r="BE24"/>
  <c r="AN24"/>
  <c r="BB24"/>
  <c r="BG24"/>
  <c r="AP24"/>
  <c r="AQ24"/>
  <c r="AR24"/>
  <c r="AF24"/>
  <c r="AG24"/>
  <c r="AK24"/>
  <c r="AH24"/>
  <c r="AJ24"/>
  <c r="AI24"/>
  <c r="M25"/>
  <c r="N25"/>
  <c r="A26"/>
  <c r="E30" i="12"/>
  <c r="F30" i="6"/>
  <c r="T12" i="10"/>
  <c r="S11"/>
  <c r="S11" i="9"/>
  <c r="T12"/>
  <c r="C29" i="5" l="1"/>
  <c r="W28"/>
  <c r="H28" i="12" s="1"/>
  <c r="AD28" i="5"/>
  <c r="F28"/>
  <c r="E28"/>
  <c r="B28" i="6"/>
  <c r="A28" s="1"/>
  <c r="H28" i="5"/>
  <c r="G28"/>
  <c r="A28" i="12"/>
  <c r="I28" i="5"/>
  <c r="AE28"/>
  <c r="B28"/>
  <c r="N28"/>
  <c r="D28" i="6" s="1"/>
  <c r="K26" i="12"/>
  <c r="J27"/>
  <c r="L27"/>
  <c r="M26" i="6"/>
  <c r="N26"/>
  <c r="A27"/>
  <c r="BB25"/>
  <c r="BG25"/>
  <c r="AP25"/>
  <c r="AQ25"/>
  <c r="AR25"/>
  <c r="BF25"/>
  <c r="AO25"/>
  <c r="AT25"/>
  <c r="AU25"/>
  <c r="AV25"/>
  <c r="AS25"/>
  <c r="AY25"/>
  <c r="AZ25"/>
  <c r="BA25"/>
  <c r="AX25"/>
  <c r="BC25"/>
  <c r="BD25"/>
  <c r="AM25"/>
  <c r="BE25"/>
  <c r="AN25"/>
  <c r="AF25"/>
  <c r="AG25"/>
  <c r="AJ25"/>
  <c r="AK25"/>
  <c r="AH25"/>
  <c r="AI25"/>
  <c r="U12" i="10"/>
  <c r="T11"/>
  <c r="T11" i="9"/>
  <c r="U12"/>
  <c r="K27" i="12" l="1"/>
  <c r="AP28" i="6"/>
  <c r="BD28"/>
  <c r="BF28"/>
  <c r="AR28"/>
  <c r="AO28"/>
  <c r="M28"/>
  <c r="H28"/>
  <c r="AU28"/>
  <c r="BB28"/>
  <c r="AN28"/>
  <c r="AS28"/>
  <c r="BA28"/>
  <c r="G28"/>
  <c r="AQ28"/>
  <c r="AT28"/>
  <c r="BC28"/>
  <c r="AX28"/>
  <c r="N28"/>
  <c r="AM28"/>
  <c r="BE28"/>
  <c r="AY28"/>
  <c r="BG28"/>
  <c r="AZ28"/>
  <c r="AV28"/>
  <c r="N29" i="5"/>
  <c r="D29" i="6" s="1"/>
  <c r="A29" i="12"/>
  <c r="B29" i="5"/>
  <c r="C30" s="1"/>
  <c r="H29"/>
  <c r="AD29"/>
  <c r="B29" i="6"/>
  <c r="K29" i="5"/>
  <c r="F29"/>
  <c r="AE29"/>
  <c r="J29"/>
  <c r="E29"/>
  <c r="D29"/>
  <c r="B29" i="12" s="1"/>
  <c r="G29" i="5"/>
  <c r="AS26" i="6"/>
  <c r="AY26"/>
  <c r="AZ26"/>
  <c r="BA26"/>
  <c r="AX26"/>
  <c r="BC26"/>
  <c r="BD26"/>
  <c r="AM26"/>
  <c r="BE26"/>
  <c r="AN26"/>
  <c r="BB26"/>
  <c r="BG26"/>
  <c r="AP26"/>
  <c r="AQ26"/>
  <c r="AR26"/>
  <c r="BF26"/>
  <c r="AO26"/>
  <c r="AT26"/>
  <c r="AU26"/>
  <c r="AV26"/>
  <c r="AI26"/>
  <c r="AF26"/>
  <c r="AG26"/>
  <c r="AJ26"/>
  <c r="AK26"/>
  <c r="AH26"/>
  <c r="M27"/>
  <c r="N27"/>
  <c r="G30" i="12"/>
  <c r="V12" i="10"/>
  <c r="U11"/>
  <c r="V12" i="9"/>
  <c r="U11"/>
  <c r="AF28" i="6" l="1"/>
  <c r="AC28"/>
  <c r="A29"/>
  <c r="N29" s="1"/>
  <c r="H29"/>
  <c r="T29" i="5" s="1"/>
  <c r="L29" i="12"/>
  <c r="J29"/>
  <c r="F30" i="5"/>
  <c r="AE30"/>
  <c r="G30"/>
  <c r="A30" i="12"/>
  <c r="H30" i="5"/>
  <c r="W30"/>
  <c r="H30" i="12" s="1"/>
  <c r="AD30" i="5"/>
  <c r="E30"/>
  <c r="C31"/>
  <c r="B30"/>
  <c r="N30"/>
  <c r="D30" i="6" s="1"/>
  <c r="BA30" s="1"/>
  <c r="B30"/>
  <c r="A30" s="1"/>
  <c r="T28" i="5"/>
  <c r="AJ28" i="6"/>
  <c r="AD28"/>
  <c r="AB28"/>
  <c r="AK28"/>
  <c r="AI28"/>
  <c r="AH28"/>
  <c r="AG28"/>
  <c r="AX27"/>
  <c r="BC27"/>
  <c r="BD27"/>
  <c r="AM27"/>
  <c r="BE27"/>
  <c r="AN27"/>
  <c r="BB27"/>
  <c r="BG27"/>
  <c r="AP27"/>
  <c r="AQ27"/>
  <c r="AR27"/>
  <c r="BF27"/>
  <c r="AO27"/>
  <c r="AT27"/>
  <c r="AU27"/>
  <c r="AV27"/>
  <c r="AS27"/>
  <c r="AY27"/>
  <c r="AZ27"/>
  <c r="BA27"/>
  <c r="AI27"/>
  <c r="AK27"/>
  <c r="AJ27"/>
  <c r="AG27"/>
  <c r="AF27"/>
  <c r="AH27"/>
  <c r="I30" i="5"/>
  <c r="G31" i="12"/>
  <c r="W12" i="9"/>
  <c r="V11"/>
  <c r="W12" i="10"/>
  <c r="V11"/>
  <c r="AR30" i="6" l="1"/>
  <c r="AU30"/>
  <c r="BB30"/>
  <c r="AQ30"/>
  <c r="AN30"/>
  <c r="BD30"/>
  <c r="BC30"/>
  <c r="AY30"/>
  <c r="BF30"/>
  <c r="AM30"/>
  <c r="AZ30"/>
  <c r="BE30"/>
  <c r="AV30"/>
  <c r="BG30"/>
  <c r="AS30"/>
  <c r="AX30"/>
  <c r="AO30"/>
  <c r="AP30"/>
  <c r="M29"/>
  <c r="AX29" s="1"/>
  <c r="K29" i="12"/>
  <c r="C32" i="5"/>
  <c r="A31" i="12"/>
  <c r="B31" i="5"/>
  <c r="AE31"/>
  <c r="B31" i="6"/>
  <c r="D31" i="5"/>
  <c r="B31" i="12" s="1"/>
  <c r="K31" i="5"/>
  <c r="F31"/>
  <c r="AD31"/>
  <c r="G31"/>
  <c r="H31"/>
  <c r="E31"/>
  <c r="N31"/>
  <c r="D31" i="6" s="1"/>
  <c r="J31" i="5"/>
  <c r="G30" i="6"/>
  <c r="H30"/>
  <c r="M30"/>
  <c r="AT30" s="1"/>
  <c r="N30"/>
  <c r="W11" i="10"/>
  <c r="X12"/>
  <c r="W11" i="9"/>
  <c r="X12"/>
  <c r="AO29" i="6" l="1"/>
  <c r="AQ29"/>
  <c r="BG29"/>
  <c r="AH29"/>
  <c r="AU29"/>
  <c r="AJ29"/>
  <c r="BE29"/>
  <c r="AF29"/>
  <c r="AG29"/>
  <c r="BD29"/>
  <c r="AP29"/>
  <c r="AT29"/>
  <c r="AM29"/>
  <c r="AY29"/>
  <c r="AI29"/>
  <c r="BC29"/>
  <c r="AS29"/>
  <c r="BA29"/>
  <c r="BB29"/>
  <c r="AZ29"/>
  <c r="AK29"/>
  <c r="BF29"/>
  <c r="AR29"/>
  <c r="AN29"/>
  <c r="AV29"/>
  <c r="H31"/>
  <c r="E32" i="5"/>
  <c r="K32"/>
  <c r="D32"/>
  <c r="B32" i="12" s="1"/>
  <c r="B32" i="5"/>
  <c r="G32"/>
  <c r="AD32"/>
  <c r="N32"/>
  <c r="D32" i="6" s="1"/>
  <c r="H32" s="1"/>
  <c r="T32" i="5" s="1"/>
  <c r="B32" i="6"/>
  <c r="F32" i="5"/>
  <c r="AE32"/>
  <c r="A32" i="12"/>
  <c r="J32" i="5"/>
  <c r="A31" i="6"/>
  <c r="N31" s="1"/>
  <c r="J31" i="12"/>
  <c r="L31"/>
  <c r="H32" i="5"/>
  <c r="T30"/>
  <c r="AJ30" i="6"/>
  <c r="AD30"/>
  <c r="AH30"/>
  <c r="AC30"/>
  <c r="AF30"/>
  <c r="AB30"/>
  <c r="AG30"/>
  <c r="AI30"/>
  <c r="AK30"/>
  <c r="G32" i="12"/>
  <c r="X11" i="9"/>
  <c r="Y12"/>
  <c r="Y12" i="10"/>
  <c r="X11"/>
  <c r="T31" i="5" l="1"/>
  <c r="J32" i="12"/>
  <c r="L32"/>
  <c r="K31"/>
  <c r="M31" i="6"/>
  <c r="AF31" s="1"/>
  <c r="A32"/>
  <c r="Y11" i="10"/>
  <c r="Z12"/>
  <c r="Y11" i="9"/>
  <c r="Z12"/>
  <c r="K32" i="12" l="1"/>
  <c r="AJ31" i="6"/>
  <c r="M32"/>
  <c r="N32"/>
  <c r="AG31"/>
  <c r="AQ31"/>
  <c r="AN31"/>
  <c r="AS31"/>
  <c r="AX31"/>
  <c r="AU31"/>
  <c r="BC31"/>
  <c r="BG31"/>
  <c r="AV31"/>
  <c r="AO31"/>
  <c r="AZ31"/>
  <c r="BF31"/>
  <c r="BD31"/>
  <c r="AT31"/>
  <c r="BB31"/>
  <c r="AM31"/>
  <c r="AP31"/>
  <c r="BA31"/>
  <c r="AY31"/>
  <c r="AR31"/>
  <c r="BE31"/>
  <c r="AI31"/>
  <c r="AH31"/>
  <c r="AK31"/>
  <c r="Z11" i="10"/>
  <c r="AA12"/>
  <c r="Z11" i="9"/>
  <c r="AA12"/>
  <c r="BC32" i="6" l="1"/>
  <c r="BE32"/>
  <c r="BF32"/>
  <c r="AV32"/>
  <c r="AG32"/>
  <c r="AS32"/>
  <c r="AT32"/>
  <c r="AI32"/>
  <c r="AY32"/>
  <c r="BD32"/>
  <c r="AH32"/>
  <c r="AZ32"/>
  <c r="AN32"/>
  <c r="AO32"/>
  <c r="AP32"/>
  <c r="AQ32"/>
  <c r="BB32"/>
  <c r="AU32"/>
  <c r="AF32"/>
  <c r="AR32"/>
  <c r="BG32"/>
  <c r="BA32"/>
  <c r="AJ32"/>
  <c r="AM32"/>
  <c r="AX32"/>
  <c r="AK32"/>
  <c r="AB12" i="10"/>
  <c r="AA11"/>
  <c r="AB12" i="9"/>
  <c r="AA11"/>
  <c r="C33" i="5" l="1"/>
  <c r="AB11" i="10"/>
  <c r="AC12"/>
  <c r="AC12" i="9"/>
  <c r="AB11"/>
  <c r="C34" i="5" l="1"/>
  <c r="F33"/>
  <c r="W33"/>
  <c r="H33" i="12" s="1"/>
  <c r="D33" i="5"/>
  <c r="B33" i="12" s="1"/>
  <c r="B33" i="6"/>
  <c r="H33" i="5"/>
  <c r="AD33"/>
  <c r="E33"/>
  <c r="A33" i="12"/>
  <c r="J33" i="5"/>
  <c r="AE33"/>
  <c r="G33"/>
  <c r="N33"/>
  <c r="D33" i="6" s="1"/>
  <c r="H33" s="1"/>
  <c r="T33" i="5" s="1"/>
  <c r="B33"/>
  <c r="K33"/>
  <c r="G33" i="12"/>
  <c r="AC11" i="10"/>
  <c r="AD12"/>
  <c r="AC11" i="9"/>
  <c r="AD12"/>
  <c r="X33" i="5" l="1"/>
  <c r="AM33" s="1"/>
  <c r="J33" i="12"/>
  <c r="L33"/>
  <c r="A34"/>
  <c r="C35" i="5"/>
  <c r="E34"/>
  <c r="K34"/>
  <c r="D34"/>
  <c r="B34" i="12" s="1"/>
  <c r="W34" i="5"/>
  <c r="H34" i="12" s="1"/>
  <c r="H34" i="5"/>
  <c r="B34" i="6"/>
  <c r="F34" i="5"/>
  <c r="J34"/>
  <c r="AE34"/>
  <c r="B34"/>
  <c r="N34"/>
  <c r="D34" i="6" s="1"/>
  <c r="H34" s="1"/>
  <c r="T34" i="5" s="1"/>
  <c r="AD34"/>
  <c r="G34"/>
  <c r="A33" i="6"/>
  <c r="N33" s="1"/>
  <c r="G34" i="12"/>
  <c r="AD11" i="9"/>
  <c r="AE12"/>
  <c r="AE11" s="1"/>
  <c r="AE12" i="10"/>
  <c r="AD11"/>
  <c r="Z33" i="5" l="1"/>
  <c r="AB33" s="1"/>
  <c r="I33" i="12"/>
  <c r="M33" s="1"/>
  <c r="L33" i="5"/>
  <c r="O33" s="1"/>
  <c r="M33" i="6"/>
  <c r="BB33" s="1"/>
  <c r="K33" i="12"/>
  <c r="X34" i="5"/>
  <c r="L34" s="1"/>
  <c r="A34" i="6"/>
  <c r="L34" i="12"/>
  <c r="J34"/>
  <c r="N35" i="5"/>
  <c r="D35" i="6" s="1"/>
  <c r="H35" s="1"/>
  <c r="T35" i="5" s="1"/>
  <c r="D35"/>
  <c r="B35" i="12" s="1"/>
  <c r="W35" i="5"/>
  <c r="H35" i="12" s="1"/>
  <c r="F35" i="5"/>
  <c r="AE35"/>
  <c r="H35"/>
  <c r="K35"/>
  <c r="E35"/>
  <c r="C36"/>
  <c r="G35"/>
  <c r="B35" i="6"/>
  <c r="AD35" i="5"/>
  <c r="A35" i="12"/>
  <c r="J35" i="5"/>
  <c r="B35"/>
  <c r="AA33"/>
  <c r="G35" i="12"/>
  <c r="AE11" i="10"/>
  <c r="AF12"/>
  <c r="AF11" s="1"/>
  <c r="C33" i="6" l="1"/>
  <c r="C33" i="12"/>
  <c r="AO33"/>
  <c r="O33"/>
  <c r="Z34" i="5"/>
  <c r="AA34" s="1"/>
  <c r="BA33" i="6"/>
  <c r="AV33"/>
  <c r="AC33"/>
  <c r="AP33"/>
  <c r="BC33"/>
  <c r="AQ33"/>
  <c r="AI33"/>
  <c r="AG33"/>
  <c r="AR33"/>
  <c r="AD33"/>
  <c r="AU33"/>
  <c r="AJ33"/>
  <c r="AY33"/>
  <c r="AS33"/>
  <c r="AM33"/>
  <c r="AF33"/>
  <c r="AB33"/>
  <c r="AX33"/>
  <c r="AT33"/>
  <c r="AK33"/>
  <c r="AZ33"/>
  <c r="AO33"/>
  <c r="BE33"/>
  <c r="BF33"/>
  <c r="X35" i="5"/>
  <c r="Z35" s="1"/>
  <c r="AN33" i="6"/>
  <c r="BG33"/>
  <c r="AH33"/>
  <c r="BD33"/>
  <c r="K34" i="12"/>
  <c r="I34"/>
  <c r="AO34" s="1"/>
  <c r="AM34" i="5"/>
  <c r="A35" i="6"/>
  <c r="N35" s="1"/>
  <c r="M34"/>
  <c r="N34"/>
  <c r="J35" i="12"/>
  <c r="L35"/>
  <c r="B36" i="5"/>
  <c r="G36"/>
  <c r="AE36"/>
  <c r="H36"/>
  <c r="B36" i="6"/>
  <c r="N36" i="5"/>
  <c r="D36" i="6" s="1"/>
  <c r="H36" s="1"/>
  <c r="T36" i="5" s="1"/>
  <c r="D36"/>
  <c r="B36" i="12" s="1"/>
  <c r="J36" i="5"/>
  <c r="A36" i="12"/>
  <c r="K36" i="5"/>
  <c r="C37"/>
  <c r="W36"/>
  <c r="H36" i="12" s="1"/>
  <c r="E36" i="5"/>
  <c r="AD36"/>
  <c r="F36"/>
  <c r="G36" i="12"/>
  <c r="C34"/>
  <c r="M34"/>
  <c r="N33"/>
  <c r="Y33"/>
  <c r="C34" i="6"/>
  <c r="O34" i="5"/>
  <c r="D33" i="12"/>
  <c r="E33" i="6"/>
  <c r="O34" i="12" l="1"/>
  <c r="N34" s="1"/>
  <c r="X36" i="5"/>
  <c r="I36" i="12" s="1"/>
  <c r="AB34" i="5"/>
  <c r="L35"/>
  <c r="O35" s="1"/>
  <c r="I35" i="12"/>
  <c r="O35" s="1"/>
  <c r="AM35" i="5"/>
  <c r="K35" i="12"/>
  <c r="M35" i="6"/>
  <c r="BB34"/>
  <c r="BD34"/>
  <c r="BF34"/>
  <c r="AB34"/>
  <c r="BE34"/>
  <c r="AK34"/>
  <c r="BA34"/>
  <c r="BC34"/>
  <c r="AI34"/>
  <c r="AM34"/>
  <c r="AJ34"/>
  <c r="AT34"/>
  <c r="AN34"/>
  <c r="AS34"/>
  <c r="AV34"/>
  <c r="BG34"/>
  <c r="AH34"/>
  <c r="AZ34"/>
  <c r="AY34"/>
  <c r="AR34"/>
  <c r="AU34"/>
  <c r="AP34"/>
  <c r="AC34"/>
  <c r="AF34"/>
  <c r="AX34"/>
  <c r="AD34"/>
  <c r="AG34"/>
  <c r="AQ34"/>
  <c r="AO34"/>
  <c r="J36" i="12"/>
  <c r="L36"/>
  <c r="A36" i="6"/>
  <c r="A37" i="12"/>
  <c r="J37" i="5"/>
  <c r="D37"/>
  <c r="B37" i="12" s="1"/>
  <c r="W37" i="5"/>
  <c r="H37" i="12" s="1"/>
  <c r="C38" i="5"/>
  <c r="F37"/>
  <c r="AE37"/>
  <c r="G37"/>
  <c r="AD37"/>
  <c r="B37" i="6"/>
  <c r="H37" i="5"/>
  <c r="B37"/>
  <c r="K37"/>
  <c r="N37"/>
  <c r="D37" i="6" s="1"/>
  <c r="H37" s="1"/>
  <c r="T37" i="5" s="1"/>
  <c r="E37"/>
  <c r="X33" i="12"/>
  <c r="W33"/>
  <c r="G37"/>
  <c r="AB35" i="5"/>
  <c r="AA35"/>
  <c r="D34" i="12"/>
  <c r="E34" i="6"/>
  <c r="M35" i="12" l="1"/>
  <c r="AO35"/>
  <c r="Y35" s="1"/>
  <c r="W35" s="1"/>
  <c r="C35"/>
  <c r="Y34"/>
  <c r="X34" s="1"/>
  <c r="X37" i="5"/>
  <c r="Z37" s="1"/>
  <c r="AM36"/>
  <c r="Z36"/>
  <c r="AA36" s="1"/>
  <c r="L36"/>
  <c r="O36" s="1"/>
  <c r="C35" i="6"/>
  <c r="K36" i="12"/>
  <c r="AV35" i="6"/>
  <c r="BC35"/>
  <c r="AH35"/>
  <c r="AJ35"/>
  <c r="AK35"/>
  <c r="AG35"/>
  <c r="AP35"/>
  <c r="AR35"/>
  <c r="AF35"/>
  <c r="AY35"/>
  <c r="AZ35"/>
  <c r="AX35"/>
  <c r="AM35"/>
  <c r="BF35"/>
  <c r="AU35"/>
  <c r="BA35"/>
  <c r="AS35"/>
  <c r="AN35"/>
  <c r="AT35"/>
  <c r="BE35"/>
  <c r="AI35"/>
  <c r="AO35"/>
  <c r="AB35"/>
  <c r="BB35"/>
  <c r="AD35"/>
  <c r="AC35"/>
  <c r="AQ35"/>
  <c r="BG35"/>
  <c r="BD35"/>
  <c r="A38" i="12"/>
  <c r="C39" i="5"/>
  <c r="G38"/>
  <c r="AD38"/>
  <c r="W38"/>
  <c r="H38" i="12" s="1"/>
  <c r="F38" i="5"/>
  <c r="AE38"/>
  <c r="B38"/>
  <c r="H38"/>
  <c r="B38" i="6"/>
  <c r="N38" i="5"/>
  <c r="D38" i="6" s="1"/>
  <c r="H38" s="1"/>
  <c r="T38" i="5" s="1"/>
  <c r="E38"/>
  <c r="K38"/>
  <c r="D38"/>
  <c r="B38" i="12" s="1"/>
  <c r="J38" i="5"/>
  <c r="L37" i="12"/>
  <c r="J37"/>
  <c r="A37" i="6"/>
  <c r="N36"/>
  <c r="M36"/>
  <c r="N35" i="12"/>
  <c r="C36"/>
  <c r="AO36"/>
  <c r="M36"/>
  <c r="O36"/>
  <c r="D35"/>
  <c r="E35" i="6"/>
  <c r="G38" i="12"/>
  <c r="U33"/>
  <c r="T33"/>
  <c r="V33"/>
  <c r="I37" l="1"/>
  <c r="M37" s="1"/>
  <c r="W34"/>
  <c r="U34" s="1"/>
  <c r="C36" i="6"/>
  <c r="X38" i="5"/>
  <c r="Z38" s="1"/>
  <c r="L37"/>
  <c r="O37" s="1"/>
  <c r="AM37"/>
  <c r="AB36"/>
  <c r="J38" i="12"/>
  <c r="L38"/>
  <c r="N37" i="6"/>
  <c r="M37"/>
  <c r="B39"/>
  <c r="J39" i="5"/>
  <c r="G39"/>
  <c r="AD39"/>
  <c r="K39"/>
  <c r="N39"/>
  <c r="D39" i="6" s="1"/>
  <c r="H39" s="1"/>
  <c r="T39" i="5" s="1"/>
  <c r="F39"/>
  <c r="B39"/>
  <c r="D39"/>
  <c r="B39" i="12" s="1"/>
  <c r="E39" i="5"/>
  <c r="C40"/>
  <c r="H39"/>
  <c r="W39"/>
  <c r="H39" i="12" s="1"/>
  <c r="A39"/>
  <c r="AE39" i="5"/>
  <c r="A38" i="6"/>
  <c r="AI36"/>
  <c r="BE36"/>
  <c r="AY36"/>
  <c r="AT36"/>
  <c r="AZ36"/>
  <c r="AS36"/>
  <c r="AV36"/>
  <c r="BF36"/>
  <c r="AP36"/>
  <c r="AN36"/>
  <c r="AJ36"/>
  <c r="AK36"/>
  <c r="AR36"/>
  <c r="AF36"/>
  <c r="AH36"/>
  <c r="AO36"/>
  <c r="BB36"/>
  <c r="AU36"/>
  <c r="BG36"/>
  <c r="BD36"/>
  <c r="AQ36"/>
  <c r="AM36"/>
  <c r="BC36"/>
  <c r="AG36"/>
  <c r="AC36"/>
  <c r="AX36"/>
  <c r="AB36"/>
  <c r="BA36"/>
  <c r="AD36"/>
  <c r="K37" i="12"/>
  <c r="X35"/>
  <c r="Y36"/>
  <c r="X36" s="1"/>
  <c r="AB37" i="5"/>
  <c r="AA37"/>
  <c r="G39" i="12"/>
  <c r="D36"/>
  <c r="E36" i="6"/>
  <c r="U35" i="12"/>
  <c r="T35"/>
  <c r="V35"/>
  <c r="N36"/>
  <c r="C37"/>
  <c r="O37"/>
  <c r="AO37" l="1"/>
  <c r="Y37" s="1"/>
  <c r="T34"/>
  <c r="V34"/>
  <c r="AM38" i="5"/>
  <c r="L38"/>
  <c r="C38" i="6" s="1"/>
  <c r="I38" i="12"/>
  <c r="AO38" s="1"/>
  <c r="C37" i="6"/>
  <c r="K38" i="12"/>
  <c r="X39" i="5"/>
  <c r="Z39" s="1"/>
  <c r="A39" i="6"/>
  <c r="J39" i="12"/>
  <c r="L39"/>
  <c r="B40" i="6"/>
  <c r="N40" i="5"/>
  <c r="D40" i="6" s="1"/>
  <c r="H40" s="1"/>
  <c r="T40" i="5" s="1"/>
  <c r="G40"/>
  <c r="AD40"/>
  <c r="A40" i="12"/>
  <c r="H40" i="5"/>
  <c r="E40"/>
  <c r="C41"/>
  <c r="F40"/>
  <c r="B40"/>
  <c r="K40"/>
  <c r="D40"/>
  <c r="B40" i="12" s="1"/>
  <c r="AE40" i="5"/>
  <c r="W40"/>
  <c r="H40" i="12" s="1"/>
  <c r="J40" i="5"/>
  <c r="N38" i="6"/>
  <c r="M38"/>
  <c r="AP37"/>
  <c r="BF37"/>
  <c r="AD37"/>
  <c r="AC37"/>
  <c r="BB37"/>
  <c r="BD37"/>
  <c r="AU37"/>
  <c r="BG37"/>
  <c r="AK37"/>
  <c r="AB37"/>
  <c r="AG37"/>
  <c r="AX37"/>
  <c r="BC37"/>
  <c r="BA37"/>
  <c r="AI37"/>
  <c r="AR37"/>
  <c r="AY37"/>
  <c r="AF37"/>
  <c r="AS37"/>
  <c r="AN37"/>
  <c r="AZ37"/>
  <c r="AV37"/>
  <c r="AT37"/>
  <c r="AJ37"/>
  <c r="AQ37"/>
  <c r="AM37"/>
  <c r="AH37"/>
  <c r="BE37"/>
  <c r="AO37"/>
  <c r="W36" i="12"/>
  <c r="V36" s="1"/>
  <c r="D37"/>
  <c r="E37" i="6"/>
  <c r="G40" i="12"/>
  <c r="O38"/>
  <c r="O38" i="5"/>
  <c r="AA38"/>
  <c r="AB38"/>
  <c r="N37" i="12"/>
  <c r="C38" l="1"/>
  <c r="M38"/>
  <c r="I39"/>
  <c r="M39" s="1"/>
  <c r="L39" i="5"/>
  <c r="O39" s="1"/>
  <c r="AM39"/>
  <c r="X40"/>
  <c r="L40" s="1"/>
  <c r="K39" i="12"/>
  <c r="N39" i="6"/>
  <c r="M39"/>
  <c r="N41" i="5"/>
  <c r="D41" i="6" s="1"/>
  <c r="H41" s="1"/>
  <c r="T41" i="5" s="1"/>
  <c r="F41"/>
  <c r="B41"/>
  <c r="H41"/>
  <c r="W41"/>
  <c r="H41" i="12" s="1"/>
  <c r="C42" i="5"/>
  <c r="B41" i="6"/>
  <c r="J41" i="5"/>
  <c r="E41"/>
  <c r="AD41"/>
  <c r="A41" i="12"/>
  <c r="K41" i="5"/>
  <c r="G41"/>
  <c r="AE41"/>
  <c r="D41"/>
  <c r="B41" i="12" s="1"/>
  <c r="AN38" i="6"/>
  <c r="BG38"/>
  <c r="AM38"/>
  <c r="AV38"/>
  <c r="AS38"/>
  <c r="AR38"/>
  <c r="AT38"/>
  <c r="AB38"/>
  <c r="BE38"/>
  <c r="BD38"/>
  <c r="AP38"/>
  <c r="AO38"/>
  <c r="BA38"/>
  <c r="AZ38"/>
  <c r="AF38"/>
  <c r="AY38"/>
  <c r="AH38"/>
  <c r="BC38"/>
  <c r="BB38"/>
  <c r="AQ38"/>
  <c r="AC38"/>
  <c r="AD38"/>
  <c r="AI38"/>
  <c r="AX38"/>
  <c r="AG38"/>
  <c r="BF38"/>
  <c r="AK38"/>
  <c r="AU38"/>
  <c r="AJ38"/>
  <c r="J40" i="12"/>
  <c r="L40"/>
  <c r="A40" i="6"/>
  <c r="M40" s="1"/>
  <c r="BB40" s="1"/>
  <c r="U36" i="12"/>
  <c r="N38"/>
  <c r="T36"/>
  <c r="X37"/>
  <c r="W37"/>
  <c r="Y38"/>
  <c r="D38"/>
  <c r="E38" i="6"/>
  <c r="AA39" i="5"/>
  <c r="AB39"/>
  <c r="G41" i="12"/>
  <c r="I40" l="1"/>
  <c r="C40" s="1"/>
  <c r="Z40" i="5"/>
  <c r="AA40" s="1"/>
  <c r="AM40"/>
  <c r="X41"/>
  <c r="Z41" s="1"/>
  <c r="C39" i="12"/>
  <c r="O39"/>
  <c r="AO39"/>
  <c r="C39" i="6"/>
  <c r="AJ40"/>
  <c r="AX40"/>
  <c r="AR40"/>
  <c r="AZ40"/>
  <c r="AS40"/>
  <c r="AU40"/>
  <c r="AN40"/>
  <c r="BE40"/>
  <c r="AP40"/>
  <c r="BA40"/>
  <c r="AV40"/>
  <c r="AO40"/>
  <c r="AC40"/>
  <c r="AB40"/>
  <c r="B42"/>
  <c r="N42" i="5"/>
  <c r="D42" i="6" s="1"/>
  <c r="H42" s="1"/>
  <c r="T42" i="5" s="1"/>
  <c r="H42"/>
  <c r="AD42"/>
  <c r="A42" i="12"/>
  <c r="C43" i="5"/>
  <c r="G42"/>
  <c r="AE42"/>
  <c r="W42"/>
  <c r="H42" i="12" s="1"/>
  <c r="J42" i="5"/>
  <c r="D42"/>
  <c r="B42" i="12" s="1"/>
  <c r="B42" i="5"/>
  <c r="K42"/>
  <c r="E42"/>
  <c r="F42"/>
  <c r="AG40" i="6"/>
  <c r="AH40"/>
  <c r="AT40"/>
  <c r="BG40"/>
  <c r="AQ40"/>
  <c r="AY40"/>
  <c r="AM40"/>
  <c r="AI40"/>
  <c r="AK40"/>
  <c r="K40" i="12"/>
  <c r="J41"/>
  <c r="L41"/>
  <c r="BF39" i="6"/>
  <c r="BE39"/>
  <c r="BA39"/>
  <c r="AG39"/>
  <c r="AV39"/>
  <c r="BG39"/>
  <c r="AH39"/>
  <c r="AJ39"/>
  <c r="AB39"/>
  <c r="BD39"/>
  <c r="BB39"/>
  <c r="AZ39"/>
  <c r="AP39"/>
  <c r="AT39"/>
  <c r="AX39"/>
  <c r="AU39"/>
  <c r="AI39"/>
  <c r="AK39"/>
  <c r="AO39"/>
  <c r="AF39"/>
  <c r="BC39"/>
  <c r="AD39"/>
  <c r="AY39"/>
  <c r="AQ39"/>
  <c r="AN39"/>
  <c r="AR39"/>
  <c r="AC39"/>
  <c r="AM39"/>
  <c r="AS39"/>
  <c r="A41"/>
  <c r="AF40"/>
  <c r="BF40"/>
  <c r="BD40"/>
  <c r="BC40"/>
  <c r="AD40"/>
  <c r="N40"/>
  <c r="N39" i="12"/>
  <c r="X38"/>
  <c r="W38"/>
  <c r="C40" i="6"/>
  <c r="O40" i="5"/>
  <c r="G42" i="12"/>
  <c r="V37"/>
  <c r="U37"/>
  <c r="T37"/>
  <c r="D39"/>
  <c r="E39" i="6"/>
  <c r="AO40" i="12" l="1"/>
  <c r="M40"/>
  <c r="AB40" i="5"/>
  <c r="O40" i="12"/>
  <c r="L41" i="5"/>
  <c r="O41" s="1"/>
  <c r="I41" i="12"/>
  <c r="O41" s="1"/>
  <c r="X42" i="5"/>
  <c r="AM42" s="1"/>
  <c r="AM41"/>
  <c r="Y39" i="12"/>
  <c r="X39" s="1"/>
  <c r="N41" i="6"/>
  <c r="M41"/>
  <c r="J42" i="12"/>
  <c r="L42"/>
  <c r="A42" i="6"/>
  <c r="B43"/>
  <c r="J43" i="5"/>
  <c r="G43"/>
  <c r="AD43"/>
  <c r="K43"/>
  <c r="AE43"/>
  <c r="D43"/>
  <c r="B43" i="12" s="1"/>
  <c r="E43" i="5"/>
  <c r="A43" i="12"/>
  <c r="W43" i="5"/>
  <c r="H43" i="12" s="1"/>
  <c r="N43" i="5"/>
  <c r="D43" i="6" s="1"/>
  <c r="H43" s="1"/>
  <c r="T43" i="5" s="1"/>
  <c r="F43"/>
  <c r="B43"/>
  <c r="H43"/>
  <c r="C44"/>
  <c r="K41" i="12"/>
  <c r="V38"/>
  <c r="U38"/>
  <c r="T38"/>
  <c r="C41"/>
  <c r="D40"/>
  <c r="E40" i="6"/>
  <c r="AB41" i="5"/>
  <c r="AA41"/>
  <c r="G43" i="12"/>
  <c r="N40" l="1"/>
  <c r="Y40"/>
  <c r="AO41"/>
  <c r="Y41" s="1"/>
  <c r="W41" s="1"/>
  <c r="C41" i="6"/>
  <c r="M41" i="12"/>
  <c r="N41" s="1"/>
  <c r="Z42" i="5"/>
  <c r="AA42" s="1"/>
  <c r="X43"/>
  <c r="I43" i="12" s="1"/>
  <c r="I42"/>
  <c r="AO42" s="1"/>
  <c r="L42" i="5"/>
  <c r="O42" s="1"/>
  <c r="W39" i="12"/>
  <c r="U39" s="1"/>
  <c r="K42"/>
  <c r="M42" i="6"/>
  <c r="N42"/>
  <c r="J43" i="12"/>
  <c r="L43"/>
  <c r="AJ41" i="6"/>
  <c r="AD41"/>
  <c r="AC41"/>
  <c r="AF41"/>
  <c r="AO41"/>
  <c r="AT41"/>
  <c r="AN41"/>
  <c r="AI41"/>
  <c r="BC41"/>
  <c r="AV41"/>
  <c r="AM41"/>
  <c r="BF41"/>
  <c r="AB41"/>
  <c r="AZ41"/>
  <c r="AS41"/>
  <c r="AR41"/>
  <c r="AY41"/>
  <c r="AH41"/>
  <c r="BE41"/>
  <c r="BG41"/>
  <c r="AG41"/>
  <c r="AK41"/>
  <c r="BA41"/>
  <c r="AU41"/>
  <c r="AQ41"/>
  <c r="BB41"/>
  <c r="BD41"/>
  <c r="AP41"/>
  <c r="AX41"/>
  <c r="A43"/>
  <c r="B44" i="5"/>
  <c r="AE44"/>
  <c r="H44"/>
  <c r="D44"/>
  <c r="B44" i="12" s="1"/>
  <c r="N44" i="5"/>
  <c r="D44" i="6" s="1"/>
  <c r="H44" s="1"/>
  <c r="T44" i="5" s="1"/>
  <c r="K44"/>
  <c r="F44"/>
  <c r="AD44"/>
  <c r="B44" i="6"/>
  <c r="A44" i="12"/>
  <c r="C45" i="5"/>
  <c r="J44"/>
  <c r="E44"/>
  <c r="W44"/>
  <c r="H44" i="12" s="1"/>
  <c r="G44" i="5"/>
  <c r="G44" i="12"/>
  <c r="D41"/>
  <c r="E41" i="6"/>
  <c r="AB42" i="5"/>
  <c r="W40" i="12"/>
  <c r="X40"/>
  <c r="O42" l="1"/>
  <c r="Y42" s="1"/>
  <c r="C42" i="6"/>
  <c r="C42" i="12"/>
  <c r="M42"/>
  <c r="L43" i="5"/>
  <c r="O43" s="1"/>
  <c r="Z43"/>
  <c r="AB43" s="1"/>
  <c r="AM43"/>
  <c r="V39" i="12"/>
  <c r="T39"/>
  <c r="K43"/>
  <c r="A44" i="6"/>
  <c r="M44" s="1"/>
  <c r="AR44" s="1"/>
  <c r="X44" i="5"/>
  <c r="AM44" s="1"/>
  <c r="M43" i="6"/>
  <c r="N43"/>
  <c r="BE42"/>
  <c r="BC42"/>
  <c r="AX42"/>
  <c r="AC42"/>
  <c r="AB42"/>
  <c r="AI42"/>
  <c r="AU42"/>
  <c r="AN42"/>
  <c r="AR42"/>
  <c r="AH42"/>
  <c r="AP42"/>
  <c r="AQ42"/>
  <c r="AK42"/>
  <c r="BA42"/>
  <c r="AO42"/>
  <c r="BD42"/>
  <c r="AM42"/>
  <c r="AT42"/>
  <c r="AG42"/>
  <c r="AF42"/>
  <c r="AJ42"/>
  <c r="AD42"/>
  <c r="AV42"/>
  <c r="AY42"/>
  <c r="AZ42"/>
  <c r="BB42"/>
  <c r="AS42"/>
  <c r="BG42"/>
  <c r="BF42"/>
  <c r="A45" i="12"/>
  <c r="K45" i="5"/>
  <c r="AD45"/>
  <c r="E45"/>
  <c r="W45"/>
  <c r="H45" i="12" s="1"/>
  <c r="N45" i="5"/>
  <c r="D45" i="6" s="1"/>
  <c r="H45" s="1"/>
  <c r="T45" i="5" s="1"/>
  <c r="F45"/>
  <c r="G45"/>
  <c r="AE45"/>
  <c r="C46"/>
  <c r="H45"/>
  <c r="D45"/>
  <c r="B45" i="12" s="1"/>
  <c r="B45" i="5"/>
  <c r="B45" i="6"/>
  <c r="J45" i="5"/>
  <c r="J44" i="12"/>
  <c r="L44"/>
  <c r="X41"/>
  <c r="D42"/>
  <c r="E42" i="6"/>
  <c r="U41" i="12"/>
  <c r="T41"/>
  <c r="V41"/>
  <c r="V40"/>
  <c r="U40"/>
  <c r="T40"/>
  <c r="C43"/>
  <c r="AO43"/>
  <c r="M43"/>
  <c r="O43"/>
  <c r="G45"/>
  <c r="N42" l="1"/>
  <c r="C43" i="6"/>
  <c r="AA43" i="5"/>
  <c r="X45"/>
  <c r="Z45" s="1"/>
  <c r="BC44" i="6"/>
  <c r="AD44"/>
  <c r="AU44"/>
  <c r="AP44"/>
  <c r="AC44"/>
  <c r="AZ44"/>
  <c r="AI44"/>
  <c r="BF44"/>
  <c r="BG44"/>
  <c r="AS44"/>
  <c r="BE44"/>
  <c r="AV44"/>
  <c r="AT44"/>
  <c r="AM44"/>
  <c r="AB44"/>
  <c r="AJ44"/>
  <c r="BD44"/>
  <c r="AK44"/>
  <c r="AF44"/>
  <c r="AH44"/>
  <c r="BB44"/>
  <c r="A45"/>
  <c r="M45" s="1"/>
  <c r="BA45" s="1"/>
  <c r="AQ44"/>
  <c r="AY44"/>
  <c r="AN44"/>
  <c r="AX44"/>
  <c r="N44"/>
  <c r="AO44"/>
  <c r="AG44"/>
  <c r="BA44"/>
  <c r="L44" i="5"/>
  <c r="O44" s="1"/>
  <c r="Z44"/>
  <c r="AA44" s="1"/>
  <c r="I44" i="12"/>
  <c r="AO44" s="1"/>
  <c r="K44"/>
  <c r="A46"/>
  <c r="C47" i="5"/>
  <c r="K46"/>
  <c r="G46"/>
  <c r="W46"/>
  <c r="H46" i="12" s="1"/>
  <c r="AD46" i="5"/>
  <c r="D46"/>
  <c r="B46" i="12" s="1"/>
  <c r="B46" i="5"/>
  <c r="AE46"/>
  <c r="H46"/>
  <c r="F46"/>
  <c r="B46" i="6"/>
  <c r="N46" i="5"/>
  <c r="D46" i="6" s="1"/>
  <c r="H46" s="1"/>
  <c r="T46" i="5" s="1"/>
  <c r="X46" s="1"/>
  <c r="J46"/>
  <c r="E46"/>
  <c r="AS43" i="6"/>
  <c r="BE43"/>
  <c r="AT43"/>
  <c r="AV43"/>
  <c r="AU43"/>
  <c r="AY43"/>
  <c r="AC43"/>
  <c r="AK43"/>
  <c r="BF43"/>
  <c r="BA43"/>
  <c r="AZ43"/>
  <c r="AR43"/>
  <c r="AJ43"/>
  <c r="BB43"/>
  <c r="AN43"/>
  <c r="AM43"/>
  <c r="AP43"/>
  <c r="BC43"/>
  <c r="AQ43"/>
  <c r="BG43"/>
  <c r="AO43"/>
  <c r="AH43"/>
  <c r="BD43"/>
  <c r="AX43"/>
  <c r="AG43"/>
  <c r="AD43"/>
  <c r="AF43"/>
  <c r="AB43"/>
  <c r="AI43"/>
  <c r="L45" i="12"/>
  <c r="J45"/>
  <c r="N43"/>
  <c r="D43"/>
  <c r="E43" i="6"/>
  <c r="G46" i="12"/>
  <c r="X42"/>
  <c r="W42"/>
  <c r="Y43"/>
  <c r="AY45" i="6" l="1"/>
  <c r="AZ45"/>
  <c r="N45"/>
  <c r="AK45"/>
  <c r="AJ45"/>
  <c r="AB45"/>
  <c r="AN45"/>
  <c r="BD45"/>
  <c r="BC45"/>
  <c r="AB44" i="5"/>
  <c r="L45"/>
  <c r="C45" i="6" s="1"/>
  <c r="AM45" i="5"/>
  <c r="I45" i="12"/>
  <c r="M45" s="1"/>
  <c r="AG45" i="6"/>
  <c r="AU45"/>
  <c r="AH45"/>
  <c r="AI45"/>
  <c r="AS45"/>
  <c r="AM45"/>
  <c r="AC45"/>
  <c r="AP45"/>
  <c r="BE45"/>
  <c r="BF45"/>
  <c r="AO45"/>
  <c r="AV45"/>
  <c r="AD45"/>
  <c r="AF45"/>
  <c r="AX45"/>
  <c r="BB45"/>
  <c r="AT45"/>
  <c r="C44" i="12"/>
  <c r="BG45" i="6"/>
  <c r="AR45"/>
  <c r="O44" i="12"/>
  <c r="Y44" s="1"/>
  <c r="AQ45" i="6"/>
  <c r="C44"/>
  <c r="M44" i="12"/>
  <c r="K45"/>
  <c r="J46"/>
  <c r="L46"/>
  <c r="A47"/>
  <c r="K47" i="5"/>
  <c r="AE47"/>
  <c r="G47"/>
  <c r="F47"/>
  <c r="W47"/>
  <c r="H47" i="12" s="1"/>
  <c r="N47" i="5"/>
  <c r="D47" i="6" s="1"/>
  <c r="H47" s="1"/>
  <c r="T47" i="5" s="1"/>
  <c r="C48"/>
  <c r="H47"/>
  <c r="B47"/>
  <c r="D47"/>
  <c r="B47" i="12" s="1"/>
  <c r="B47" i="6"/>
  <c r="AD47" i="5"/>
  <c r="J47"/>
  <c r="E47"/>
  <c r="A46" i="6"/>
  <c r="I46" i="12"/>
  <c r="AM46" i="5"/>
  <c r="L46"/>
  <c r="Z46"/>
  <c r="X43" i="12"/>
  <c r="W43"/>
  <c r="AB45" i="5"/>
  <c r="AA45"/>
  <c r="G47" i="12"/>
  <c r="O45" i="5"/>
  <c r="D44" i="12"/>
  <c r="E44" i="6"/>
  <c r="T42" i="12"/>
  <c r="V42"/>
  <c r="U42"/>
  <c r="AO45" l="1"/>
  <c r="C45"/>
  <c r="O45"/>
  <c r="N45" s="1"/>
  <c r="X47" i="5"/>
  <c r="I47" i="12" s="1"/>
  <c r="N44"/>
  <c r="K46"/>
  <c r="N46" i="6"/>
  <c r="M46"/>
  <c r="B48" i="5"/>
  <c r="AE48"/>
  <c r="AD48"/>
  <c r="D48"/>
  <c r="B48" i="12" s="1"/>
  <c r="B48" i="6"/>
  <c r="N48" i="5"/>
  <c r="D48" i="6" s="1"/>
  <c r="H48" s="1"/>
  <c r="T48" i="5" s="1"/>
  <c r="F48"/>
  <c r="E48"/>
  <c r="W48"/>
  <c r="H48" i="12" s="1"/>
  <c r="J48" i="5"/>
  <c r="A48" i="12"/>
  <c r="C49" i="5"/>
  <c r="G48"/>
  <c r="H48"/>
  <c r="K48"/>
  <c r="A47" i="6"/>
  <c r="L47" i="12"/>
  <c r="J47"/>
  <c r="L47" i="5"/>
  <c r="AM47"/>
  <c r="V43" i="12"/>
  <c r="U43"/>
  <c r="T43"/>
  <c r="D45"/>
  <c r="E45" i="6"/>
  <c r="AB46" i="5"/>
  <c r="AA46"/>
  <c r="X44" i="12"/>
  <c r="W44"/>
  <c r="G48"/>
  <c r="C46" i="6"/>
  <c r="O46" i="5"/>
  <c r="C46" i="12"/>
  <c r="AO46"/>
  <c r="M46"/>
  <c r="O46"/>
  <c r="Z47" i="5" l="1"/>
  <c r="AA47" s="1"/>
  <c r="Y45" i="12"/>
  <c r="X45" s="1"/>
  <c r="X48" i="5"/>
  <c r="Z48" s="1"/>
  <c r="L48" i="12"/>
  <c r="J48"/>
  <c r="N47" i="6"/>
  <c r="M47"/>
  <c r="N49" i="5"/>
  <c r="D49" i="6" s="1"/>
  <c r="H49" s="1"/>
  <c r="T49" i="5" s="1"/>
  <c r="G49"/>
  <c r="D49"/>
  <c r="B49" i="12" s="1"/>
  <c r="C50" i="5"/>
  <c r="H49"/>
  <c r="AE49"/>
  <c r="AD49"/>
  <c r="A49" i="12"/>
  <c r="F49" i="5"/>
  <c r="W49"/>
  <c r="H49" i="12" s="1"/>
  <c r="B49" i="6"/>
  <c r="J49" i="5"/>
  <c r="B49"/>
  <c r="E49"/>
  <c r="K49"/>
  <c r="AM46" i="6"/>
  <c r="BF46"/>
  <c r="BE46"/>
  <c r="BB46"/>
  <c r="BC46"/>
  <c r="AV46"/>
  <c r="AU46"/>
  <c r="AO46"/>
  <c r="AI46"/>
  <c r="AK46"/>
  <c r="AY46"/>
  <c r="AX46"/>
  <c r="BG46"/>
  <c r="AD46"/>
  <c r="AC46"/>
  <c r="AF46"/>
  <c r="AT46"/>
  <c r="BA46"/>
  <c r="AZ46"/>
  <c r="BD46"/>
  <c r="AB46"/>
  <c r="AH46"/>
  <c r="AQ46"/>
  <c r="AP46"/>
  <c r="AR46"/>
  <c r="AN46"/>
  <c r="AJ46"/>
  <c r="AS46"/>
  <c r="AG46"/>
  <c r="K47" i="12"/>
  <c r="A48" i="6"/>
  <c r="N46" i="12"/>
  <c r="Y46"/>
  <c r="X46" s="1"/>
  <c r="V44"/>
  <c r="U44"/>
  <c r="T44"/>
  <c r="D46"/>
  <c r="E46" i="6"/>
  <c r="G49" i="12"/>
  <c r="C47" i="6"/>
  <c r="O47" i="5"/>
  <c r="C47" i="12"/>
  <c r="AO47"/>
  <c r="M47"/>
  <c r="O47"/>
  <c r="W45" l="1"/>
  <c r="T45" s="1"/>
  <c r="AB47" i="5"/>
  <c r="X49"/>
  <c r="K48" i="12"/>
  <c r="I48"/>
  <c r="AO48" s="1"/>
  <c r="AM48" i="5"/>
  <c r="L48"/>
  <c r="C48" i="6" s="1"/>
  <c r="N48"/>
  <c r="M48"/>
  <c r="A49"/>
  <c r="L49" i="12"/>
  <c r="J49"/>
  <c r="B50" i="6"/>
  <c r="N50" i="5"/>
  <c r="D50" i="6" s="1"/>
  <c r="H50" s="1"/>
  <c r="T50" i="5" s="1"/>
  <c r="E50"/>
  <c r="AD50"/>
  <c r="G50"/>
  <c r="A50" i="12"/>
  <c r="C51" i="5"/>
  <c r="F50"/>
  <c r="AE50"/>
  <c r="W50"/>
  <c r="H50" i="12" s="1"/>
  <c r="J50" i="5"/>
  <c r="H50"/>
  <c r="D50"/>
  <c r="B50" i="12" s="1"/>
  <c r="B50" i="5"/>
  <c r="K50"/>
  <c r="AG47" i="6"/>
  <c r="AB47"/>
  <c r="AN47"/>
  <c r="AQ47"/>
  <c r="BF47"/>
  <c r="AC47"/>
  <c r="AY47"/>
  <c r="BC47"/>
  <c r="AI47"/>
  <c r="AX47"/>
  <c r="BG47"/>
  <c r="AP47"/>
  <c r="AR47"/>
  <c r="AD47"/>
  <c r="AZ47"/>
  <c r="AH47"/>
  <c r="AV47"/>
  <c r="BD47"/>
  <c r="BE47"/>
  <c r="AS47"/>
  <c r="AK47"/>
  <c r="AJ47"/>
  <c r="AF47"/>
  <c r="BB47"/>
  <c r="AU47"/>
  <c r="AM47"/>
  <c r="BA47"/>
  <c r="AO47"/>
  <c r="AT47"/>
  <c r="U45" i="12"/>
  <c r="N47"/>
  <c r="W46"/>
  <c r="U46" s="1"/>
  <c r="O48" i="5"/>
  <c r="G50" i="12"/>
  <c r="Y47"/>
  <c r="AA48" i="5"/>
  <c r="AB48"/>
  <c r="I49" i="12"/>
  <c r="L49" i="5"/>
  <c r="AM49"/>
  <c r="Z49"/>
  <c r="D47" i="12"/>
  <c r="E47" i="6"/>
  <c r="V45" i="12" l="1"/>
  <c r="C48"/>
  <c r="M48"/>
  <c r="O48"/>
  <c r="Y48" s="1"/>
  <c r="X50" i="5"/>
  <c r="Z50" s="1"/>
  <c r="A50" i="6"/>
  <c r="M50" s="1"/>
  <c r="AG50" s="1"/>
  <c r="BA48"/>
  <c r="AQ48"/>
  <c r="BF48"/>
  <c r="AU48"/>
  <c r="BC48"/>
  <c r="AF48"/>
  <c r="AV48"/>
  <c r="AD48"/>
  <c r="AO48"/>
  <c r="AK48"/>
  <c r="AG48"/>
  <c r="AS48"/>
  <c r="AJ48"/>
  <c r="AP48"/>
  <c r="AH48"/>
  <c r="AC48"/>
  <c r="AY48"/>
  <c r="BD48"/>
  <c r="BE48"/>
  <c r="AB48"/>
  <c r="AR48"/>
  <c r="BG48"/>
  <c r="BB48"/>
  <c r="AM48"/>
  <c r="AI48"/>
  <c r="AX48"/>
  <c r="AZ48"/>
  <c r="AN48"/>
  <c r="AT48"/>
  <c r="J50" i="12"/>
  <c r="L50"/>
  <c r="N49" i="6"/>
  <c r="M49"/>
  <c r="C52" i="5"/>
  <c r="H51"/>
  <c r="D51"/>
  <c r="B51" i="12" s="1"/>
  <c r="W51" i="5"/>
  <c r="H51" i="12" s="1"/>
  <c r="B51" i="6"/>
  <c r="J51" i="5"/>
  <c r="E51"/>
  <c r="AD51"/>
  <c r="A51" i="12"/>
  <c r="K51" i="5"/>
  <c r="F51"/>
  <c r="AE51"/>
  <c r="N51"/>
  <c r="D51" i="6" s="1"/>
  <c r="H51" s="1"/>
  <c r="T51" i="5" s="1"/>
  <c r="G51"/>
  <c r="B51"/>
  <c r="K49" i="12"/>
  <c r="V46"/>
  <c r="T46"/>
  <c r="C49"/>
  <c r="AO49"/>
  <c r="O49"/>
  <c r="M49"/>
  <c r="G51"/>
  <c r="X47"/>
  <c r="W47"/>
  <c r="AB49" i="5"/>
  <c r="AA49"/>
  <c r="D48" i="12"/>
  <c r="E48" i="6"/>
  <c r="C49"/>
  <c r="O49" i="5"/>
  <c r="I50" i="12" l="1"/>
  <c r="M50" s="1"/>
  <c r="N48"/>
  <c r="X51" i="5"/>
  <c r="Z51" s="1"/>
  <c r="K50" i="12"/>
  <c r="AM50" i="5"/>
  <c r="L50"/>
  <c r="O50" s="1"/>
  <c r="AP50" i="6"/>
  <c r="BB50"/>
  <c r="AD50"/>
  <c r="AN50"/>
  <c r="AV50"/>
  <c r="AZ50"/>
  <c r="AY50"/>
  <c r="AQ50"/>
  <c r="AI50"/>
  <c r="BA50"/>
  <c r="AO50"/>
  <c r="AU50"/>
  <c r="AC50"/>
  <c r="AX50"/>
  <c r="AH50"/>
  <c r="BG50"/>
  <c r="BF50"/>
  <c r="AR50"/>
  <c r="AB50"/>
  <c r="BD50"/>
  <c r="AM50"/>
  <c r="BE50"/>
  <c r="N50"/>
  <c r="AS50"/>
  <c r="AJ50"/>
  <c r="AF50"/>
  <c r="AT50"/>
  <c r="BC50"/>
  <c r="AK50"/>
  <c r="AV49"/>
  <c r="BC49"/>
  <c r="AH49"/>
  <c r="AB49"/>
  <c r="AP49"/>
  <c r="AR49"/>
  <c r="AJ49"/>
  <c r="AM49"/>
  <c r="BD49"/>
  <c r="AX49"/>
  <c r="AS49"/>
  <c r="BF49"/>
  <c r="AI49"/>
  <c r="BE49"/>
  <c r="AU49"/>
  <c r="AF49"/>
  <c r="AO49"/>
  <c r="AC49"/>
  <c r="BG49"/>
  <c r="AG49"/>
  <c r="AK49"/>
  <c r="AN49"/>
  <c r="AD49"/>
  <c r="BA49"/>
  <c r="AT49"/>
  <c r="BB49"/>
  <c r="AQ49"/>
  <c r="AY49"/>
  <c r="AZ49"/>
  <c r="J51" i="12"/>
  <c r="L51"/>
  <c r="B52" i="6"/>
  <c r="N52" i="5"/>
  <c r="D52" i="6" s="1"/>
  <c r="H52" s="1"/>
  <c r="T52" i="5" s="1"/>
  <c r="J52"/>
  <c r="G52"/>
  <c r="A52" i="12"/>
  <c r="C53" i="5"/>
  <c r="H52"/>
  <c r="D52"/>
  <c r="B52" i="12" s="1"/>
  <c r="W52" i="5"/>
  <c r="H52" i="12" s="1"/>
  <c r="K52" i="5"/>
  <c r="E52"/>
  <c r="B52"/>
  <c r="F52"/>
  <c r="AD52"/>
  <c r="AE52"/>
  <c r="A51" i="6"/>
  <c r="D49" i="12"/>
  <c r="E49" i="6"/>
  <c r="X48" i="12"/>
  <c r="W48"/>
  <c r="AB50" i="5"/>
  <c r="AA50"/>
  <c r="V47" i="12"/>
  <c r="U47"/>
  <c r="T47"/>
  <c r="N49"/>
  <c r="Y49"/>
  <c r="G52"/>
  <c r="C50" l="1"/>
  <c r="O50"/>
  <c r="Y50" s="1"/>
  <c r="W50" s="1"/>
  <c r="AO50"/>
  <c r="C50" i="6"/>
  <c r="X52" i="5"/>
  <c r="L52" s="1"/>
  <c r="I51" i="12"/>
  <c r="C51" s="1"/>
  <c r="L51" i="5"/>
  <c r="AM51"/>
  <c r="K51" i="12"/>
  <c r="C54" i="5"/>
  <c r="H53"/>
  <c r="W53"/>
  <c r="H53" i="12" s="1"/>
  <c r="AE53" i="5"/>
  <c r="J53"/>
  <c r="K53"/>
  <c r="E53"/>
  <c r="B53" i="6"/>
  <c r="D53" i="5"/>
  <c r="B53" i="12" s="1"/>
  <c r="F53" i="5"/>
  <c r="A53" i="12"/>
  <c r="N53" i="5"/>
  <c r="D53" i="6" s="1"/>
  <c r="H53" s="1"/>
  <c r="T53" i="5" s="1"/>
  <c r="G53"/>
  <c r="B53"/>
  <c r="AD53"/>
  <c r="N51" i="6"/>
  <c r="M51"/>
  <c r="J52" i="12"/>
  <c r="L52"/>
  <c r="A52" i="6"/>
  <c r="V48" i="12"/>
  <c r="U48"/>
  <c r="T48"/>
  <c r="AA51" i="5"/>
  <c r="AB51"/>
  <c r="C51" i="6"/>
  <c r="O51" i="5"/>
  <c r="D50" i="12"/>
  <c r="E50" i="6"/>
  <c r="G53" i="12"/>
  <c r="X49"/>
  <c r="W49"/>
  <c r="N50" l="1"/>
  <c r="X53" i="5"/>
  <c r="Z53" s="1"/>
  <c r="AM52"/>
  <c r="I52" i="12"/>
  <c r="AO52" s="1"/>
  <c r="Z52" i="5"/>
  <c r="AB52" s="1"/>
  <c r="O51" i="12"/>
  <c r="AO51"/>
  <c r="M51"/>
  <c r="K52"/>
  <c r="AO51" i="6"/>
  <c r="AI51"/>
  <c r="AF51"/>
  <c r="AK51"/>
  <c r="AT51"/>
  <c r="AV51"/>
  <c r="BG51"/>
  <c r="AN51"/>
  <c r="BF51"/>
  <c r="AS51"/>
  <c r="AZ51"/>
  <c r="BB51"/>
  <c r="AR51"/>
  <c r="AU51"/>
  <c r="AD51"/>
  <c r="AH51"/>
  <c r="AM51"/>
  <c r="AJ51"/>
  <c r="BE51"/>
  <c r="AP51"/>
  <c r="BA51"/>
  <c r="AC51"/>
  <c r="BC51"/>
  <c r="AY51"/>
  <c r="AQ51"/>
  <c r="AX51"/>
  <c r="AG51"/>
  <c r="BD51"/>
  <c r="AB51"/>
  <c r="B54" i="5"/>
  <c r="AE54"/>
  <c r="E54"/>
  <c r="F54"/>
  <c r="G54"/>
  <c r="C55"/>
  <c r="AD54"/>
  <c r="B54" i="6"/>
  <c r="N54" i="5"/>
  <c r="D54" i="6" s="1"/>
  <c r="H54" s="1"/>
  <c r="T54" i="5" s="1"/>
  <c r="J54"/>
  <c r="A54" i="12"/>
  <c r="H54" i="5"/>
  <c r="K54"/>
  <c r="W54"/>
  <c r="H54" i="12" s="1"/>
  <c r="D54" i="5"/>
  <c r="B54" i="12" s="1"/>
  <c r="J53"/>
  <c r="L53"/>
  <c r="N52" i="6"/>
  <c r="M52"/>
  <c r="A53"/>
  <c r="X50" i="12"/>
  <c r="C52"/>
  <c r="V49"/>
  <c r="T49"/>
  <c r="U49"/>
  <c r="D51"/>
  <c r="E51" i="6"/>
  <c r="I53" i="12"/>
  <c r="V50"/>
  <c r="U50"/>
  <c r="T50"/>
  <c r="C52" i="6"/>
  <c r="O52" i="5"/>
  <c r="G54" i="12"/>
  <c r="AA52" i="5"/>
  <c r="L53" l="1"/>
  <c r="O53" s="1"/>
  <c r="AM53"/>
  <c r="M52" i="12"/>
  <c r="O52"/>
  <c r="Y52" s="1"/>
  <c r="X52" s="1"/>
  <c r="Y51"/>
  <c r="W51" s="1"/>
  <c r="N51"/>
  <c r="X54" i="5"/>
  <c r="L54" s="1"/>
  <c r="K53" i="12"/>
  <c r="N53" i="6"/>
  <c r="M53"/>
  <c r="A54"/>
  <c r="A55" i="12"/>
  <c r="K55" i="5"/>
  <c r="F55"/>
  <c r="E55"/>
  <c r="N55"/>
  <c r="D55" i="6" s="1"/>
  <c r="H55" s="1"/>
  <c r="T55" i="5" s="1"/>
  <c r="G55"/>
  <c r="W55"/>
  <c r="H55" i="12" s="1"/>
  <c r="C56" i="5"/>
  <c r="H55"/>
  <c r="AD55"/>
  <c r="B55"/>
  <c r="B55" i="6"/>
  <c r="J55" i="5"/>
  <c r="D55"/>
  <c r="B55" i="12" s="1"/>
  <c r="AE55" i="5"/>
  <c r="AK52" i="6"/>
  <c r="AB52"/>
  <c r="AP52"/>
  <c r="BE52"/>
  <c r="AR52"/>
  <c r="AX52"/>
  <c r="AF52"/>
  <c r="BF52"/>
  <c r="AY52"/>
  <c r="AN52"/>
  <c r="AQ52"/>
  <c r="AV52"/>
  <c r="AM52"/>
  <c r="AC52"/>
  <c r="BB52"/>
  <c r="AZ52"/>
  <c r="BD52"/>
  <c r="AJ52"/>
  <c r="AI52"/>
  <c r="AG52"/>
  <c r="AU52"/>
  <c r="AH52"/>
  <c r="AD52"/>
  <c r="AO52"/>
  <c r="AT52"/>
  <c r="BC52"/>
  <c r="BG52"/>
  <c r="BA52"/>
  <c r="AS52"/>
  <c r="L54" i="12"/>
  <c r="J54"/>
  <c r="C53"/>
  <c r="M53"/>
  <c r="O53"/>
  <c r="AO53"/>
  <c r="G55"/>
  <c r="D52"/>
  <c r="E52" i="6"/>
  <c r="AB53" i="5"/>
  <c r="AA53"/>
  <c r="C53" i="6" l="1"/>
  <c r="K54" i="12"/>
  <c r="I54"/>
  <c r="C54" s="1"/>
  <c r="N52"/>
  <c r="X55" i="5"/>
  <c r="L55" s="1"/>
  <c r="X51" i="12"/>
  <c r="Z54" i="5"/>
  <c r="AB54" s="1"/>
  <c r="AM54"/>
  <c r="A55" i="6"/>
  <c r="N55" s="1"/>
  <c r="AF53"/>
  <c r="AU53"/>
  <c r="AD53"/>
  <c r="AT53"/>
  <c r="AM53"/>
  <c r="AP53"/>
  <c r="AB53"/>
  <c r="BF53"/>
  <c r="BA53"/>
  <c r="AQ53"/>
  <c r="AG53"/>
  <c r="AI53"/>
  <c r="AZ53"/>
  <c r="BB53"/>
  <c r="AS53"/>
  <c r="AV53"/>
  <c r="AC53"/>
  <c r="AN53"/>
  <c r="AJ53"/>
  <c r="AO53"/>
  <c r="AK53"/>
  <c r="AR53"/>
  <c r="BC53"/>
  <c r="BE53"/>
  <c r="AY53"/>
  <c r="AH53"/>
  <c r="AX53"/>
  <c r="BD53"/>
  <c r="BG53"/>
  <c r="AD56" i="5"/>
  <c r="W56"/>
  <c r="H56" i="12" s="1"/>
  <c r="E56" i="5"/>
  <c r="N56"/>
  <c r="D56" i="6" s="1"/>
  <c r="H56" s="1"/>
  <c r="T56" i="5" s="1"/>
  <c r="B56" i="6"/>
  <c r="B56" i="5"/>
  <c r="G56"/>
  <c r="J56"/>
  <c r="A56" i="12"/>
  <c r="AE56" i="5"/>
  <c r="F56"/>
  <c r="K56"/>
  <c r="D56"/>
  <c r="B56" i="12" s="1"/>
  <c r="H56" i="5"/>
  <c r="C57"/>
  <c r="M54" i="6"/>
  <c r="N54"/>
  <c r="J55" i="12"/>
  <c r="L55"/>
  <c r="W52"/>
  <c r="V52" s="1"/>
  <c r="N53"/>
  <c r="Y53"/>
  <c r="X53" s="1"/>
  <c r="G56"/>
  <c r="C54" i="6"/>
  <c r="O54" i="5"/>
  <c r="U51" i="12"/>
  <c r="T51"/>
  <c r="V51"/>
  <c r="D53"/>
  <c r="E53" i="6"/>
  <c r="AM55" i="5" l="1"/>
  <c r="O54" i="12"/>
  <c r="M54"/>
  <c r="AO54"/>
  <c r="Z55" i="5"/>
  <c r="AA55" s="1"/>
  <c r="I55" i="12"/>
  <c r="M55" s="1"/>
  <c r="AA54" i="5"/>
  <c r="M55" i="6"/>
  <c r="AX55" s="1"/>
  <c r="X56" i="5"/>
  <c r="L56" s="1"/>
  <c r="AU54" i="6"/>
  <c r="AD54"/>
  <c r="AF54"/>
  <c r="AO54"/>
  <c r="BB54"/>
  <c r="AY54"/>
  <c r="BF54"/>
  <c r="AN54"/>
  <c r="AT54"/>
  <c r="AC54"/>
  <c r="AZ54"/>
  <c r="BA54"/>
  <c r="AB54"/>
  <c r="BC54"/>
  <c r="BE54"/>
  <c r="AJ54"/>
  <c r="AI54"/>
  <c r="AR54"/>
  <c r="AM54"/>
  <c r="AV54"/>
  <c r="AH54"/>
  <c r="AS54"/>
  <c r="AK54"/>
  <c r="AX54"/>
  <c r="AG54"/>
  <c r="AP54"/>
  <c r="BD54"/>
  <c r="BG54"/>
  <c r="AQ54"/>
  <c r="L56" i="12"/>
  <c r="J56"/>
  <c r="A56" i="6"/>
  <c r="N57" i="5"/>
  <c r="D57" i="6" s="1"/>
  <c r="H57" s="1"/>
  <c r="T57" i="5" s="1"/>
  <c r="H57"/>
  <c r="F57"/>
  <c r="AD57"/>
  <c r="B57" i="6"/>
  <c r="J57" i="5"/>
  <c r="G57"/>
  <c r="AE57"/>
  <c r="A57" i="12"/>
  <c r="K57" i="5"/>
  <c r="W57"/>
  <c r="H57" i="12" s="1"/>
  <c r="B57" i="5"/>
  <c r="C58"/>
  <c r="E57"/>
  <c r="D57"/>
  <c r="B57" i="12" s="1"/>
  <c r="K55"/>
  <c r="T52"/>
  <c r="U52"/>
  <c r="W53"/>
  <c r="T53" s="1"/>
  <c r="D54"/>
  <c r="E54" i="6"/>
  <c r="C55"/>
  <c r="O55" i="5"/>
  <c r="O55" i="12"/>
  <c r="G57"/>
  <c r="AF58" i="5"/>
  <c r="N54" i="12" l="1"/>
  <c r="AO55"/>
  <c r="Y55" s="1"/>
  <c r="W55" s="1"/>
  <c r="Y54"/>
  <c r="W54" s="1"/>
  <c r="U54" s="1"/>
  <c r="C55"/>
  <c r="AB55" i="5"/>
  <c r="AM56"/>
  <c r="I56" i="12"/>
  <c r="O56" s="1"/>
  <c r="Z56" i="5"/>
  <c r="AA56" s="1"/>
  <c r="BE55" i="6"/>
  <c r="BA55"/>
  <c r="AU55"/>
  <c r="AN55"/>
  <c r="AB55"/>
  <c r="AO55"/>
  <c r="AR55"/>
  <c r="AJ55"/>
  <c r="AG55"/>
  <c r="AD55"/>
  <c r="AY55"/>
  <c r="AK55"/>
  <c r="AT55"/>
  <c r="AS55"/>
  <c r="AP55"/>
  <c r="AH55"/>
  <c r="AV55"/>
  <c r="AZ55"/>
  <c r="AF55"/>
  <c r="X57" i="5"/>
  <c r="L57" s="1"/>
  <c r="BF55" i="6"/>
  <c r="BD55"/>
  <c r="BG55"/>
  <c r="BC55"/>
  <c r="K56" i="12"/>
  <c r="BB55" i="6"/>
  <c r="AM55"/>
  <c r="AQ55"/>
  <c r="AC55"/>
  <c r="AI55"/>
  <c r="A57"/>
  <c r="N57" s="1"/>
  <c r="S58" i="5"/>
  <c r="F58" i="12" s="1"/>
  <c r="AG58" i="5"/>
  <c r="D58"/>
  <c r="B58" i="12" s="1"/>
  <c r="AE58" i="5"/>
  <c r="N58"/>
  <c r="D58" i="6" s="1"/>
  <c r="C59" i="5"/>
  <c r="AD58"/>
  <c r="E58"/>
  <c r="R58"/>
  <c r="H58"/>
  <c r="F58"/>
  <c r="J58"/>
  <c r="B58" i="6"/>
  <c r="W58" i="5"/>
  <c r="H58" i="12" s="1"/>
  <c r="A58"/>
  <c r="G58" i="5"/>
  <c r="B58"/>
  <c r="K58"/>
  <c r="L57" i="12"/>
  <c r="J57"/>
  <c r="N56" i="6"/>
  <c r="M56"/>
  <c r="U53" i="12"/>
  <c r="V53"/>
  <c r="G58"/>
  <c r="C56" i="6"/>
  <c r="O56" i="5"/>
  <c r="Z57"/>
  <c r="N55" i="12"/>
  <c r="D55"/>
  <c r="E55" i="6"/>
  <c r="AF59" i="5"/>
  <c r="AM57" l="1"/>
  <c r="T54" i="12"/>
  <c r="V54"/>
  <c r="X54"/>
  <c r="M56"/>
  <c r="AO56"/>
  <c r="Y56" s="1"/>
  <c r="X56" s="1"/>
  <c r="I57"/>
  <c r="O57" s="1"/>
  <c r="C56"/>
  <c r="A58" i="6"/>
  <c r="N58" s="1"/>
  <c r="AB56" i="5"/>
  <c r="M57" i="6"/>
  <c r="K57" i="12"/>
  <c r="AG59" i="5"/>
  <c r="S59"/>
  <c r="F59" i="12" s="1"/>
  <c r="F58" i="6"/>
  <c r="E58" i="12"/>
  <c r="G58" i="6"/>
  <c r="H58"/>
  <c r="T58" i="5" s="1"/>
  <c r="X58" s="1"/>
  <c r="L58" s="1"/>
  <c r="AG56" i="6"/>
  <c r="AF56"/>
  <c r="AV56"/>
  <c r="AT56"/>
  <c r="AK56"/>
  <c r="BE56"/>
  <c r="BG56"/>
  <c r="AO56"/>
  <c r="AH56"/>
  <c r="AJ56"/>
  <c r="AX56"/>
  <c r="AU56"/>
  <c r="BB56"/>
  <c r="BD56"/>
  <c r="BC56"/>
  <c r="AD56"/>
  <c r="BA56"/>
  <c r="AR56"/>
  <c r="AQ56"/>
  <c r="AY56"/>
  <c r="AM56"/>
  <c r="AI56"/>
  <c r="AB56"/>
  <c r="BF56"/>
  <c r="AZ56"/>
  <c r="AS56"/>
  <c r="AN56"/>
  <c r="AP56"/>
  <c r="AC56"/>
  <c r="A59" i="12"/>
  <c r="N59" i="5"/>
  <c r="D59" i="6" s="1"/>
  <c r="H59" i="5"/>
  <c r="E59"/>
  <c r="R59"/>
  <c r="J59"/>
  <c r="G59"/>
  <c r="B59"/>
  <c r="W59"/>
  <c r="H59" i="12" s="1"/>
  <c r="K59" i="5"/>
  <c r="AD59"/>
  <c r="D59"/>
  <c r="B59" i="12" s="1"/>
  <c r="B59" i="6"/>
  <c r="C60" i="5"/>
  <c r="AE59"/>
  <c r="F59"/>
  <c r="J58" i="12"/>
  <c r="L58"/>
  <c r="X55"/>
  <c r="D56"/>
  <c r="E56" i="6"/>
  <c r="C57"/>
  <c r="O57" i="5"/>
  <c r="AA57"/>
  <c r="AB57"/>
  <c r="V55" i="12"/>
  <c r="T55"/>
  <c r="U55"/>
  <c r="G59"/>
  <c r="N56"/>
  <c r="AF60" i="5"/>
  <c r="M57" i="12" l="1"/>
  <c r="N57" s="1"/>
  <c r="C57"/>
  <c r="AO57"/>
  <c r="Y57" s="1"/>
  <c r="M58" i="6"/>
  <c r="AC58" s="1"/>
  <c r="AM58" i="5"/>
  <c r="Z58"/>
  <c r="AB58" s="1"/>
  <c r="AC58"/>
  <c r="I58" i="12"/>
  <c r="O58" s="1"/>
  <c r="A59" i="6"/>
  <c r="N59" s="1"/>
  <c r="AB57"/>
  <c r="AV57"/>
  <c r="AT57"/>
  <c r="AN57"/>
  <c r="AF57"/>
  <c r="AG57"/>
  <c r="BE57"/>
  <c r="AS57"/>
  <c r="AH57"/>
  <c r="AI57"/>
  <c r="AK57"/>
  <c r="AU57"/>
  <c r="AP57"/>
  <c r="AY57"/>
  <c r="AZ57"/>
  <c r="BD57"/>
  <c r="AM57"/>
  <c r="AO57"/>
  <c r="AJ57"/>
  <c r="AC57"/>
  <c r="BB57"/>
  <c r="BF57"/>
  <c r="BG57"/>
  <c r="AQ57"/>
  <c r="AR57"/>
  <c r="AD57"/>
  <c r="AX57"/>
  <c r="BA57"/>
  <c r="BC57"/>
  <c r="S60" i="5"/>
  <c r="F60" i="12" s="1"/>
  <c r="AG60" i="5"/>
  <c r="B60" i="6"/>
  <c r="H60" i="5"/>
  <c r="AE60"/>
  <c r="K60"/>
  <c r="A60" i="12"/>
  <c r="J60" i="5"/>
  <c r="E60"/>
  <c r="W60"/>
  <c r="H60" i="12" s="1"/>
  <c r="D60" i="5"/>
  <c r="B60" i="12" s="1"/>
  <c r="F60" i="5"/>
  <c r="C61"/>
  <c r="N60"/>
  <c r="D60" i="6" s="1"/>
  <c r="G60" i="5"/>
  <c r="R60"/>
  <c r="AD60"/>
  <c r="B60"/>
  <c r="H59" i="6"/>
  <c r="T59" i="5" s="1"/>
  <c r="X59" s="1"/>
  <c r="I59" i="12" s="1"/>
  <c r="G59" i="6"/>
  <c r="K58" i="12"/>
  <c r="F59" i="6"/>
  <c r="E59" i="12"/>
  <c r="J59"/>
  <c r="L59"/>
  <c r="W56"/>
  <c r="V56" s="1"/>
  <c r="G60"/>
  <c r="C58" i="6"/>
  <c r="O58" i="5"/>
  <c r="D57" i="12"/>
  <c r="E57" i="6"/>
  <c r="AF61" i="5"/>
  <c r="C58" i="12" l="1"/>
  <c r="AO58"/>
  <c r="M58"/>
  <c r="N58" s="1"/>
  <c r="K59"/>
  <c r="AP58" i="6"/>
  <c r="AM58"/>
  <c r="BE58"/>
  <c r="BC58"/>
  <c r="AN58"/>
  <c r="AJ58"/>
  <c r="AX58"/>
  <c r="BG58"/>
  <c r="BA58"/>
  <c r="AF58"/>
  <c r="AR58"/>
  <c r="BB58"/>
  <c r="AB58"/>
  <c r="AZ58"/>
  <c r="AT58"/>
  <c r="AI58"/>
  <c r="AD58"/>
  <c r="AY58"/>
  <c r="AO58"/>
  <c r="AH58"/>
  <c r="BD58"/>
  <c r="AV58"/>
  <c r="AK58"/>
  <c r="AS58"/>
  <c r="BF58"/>
  <c r="AG58"/>
  <c r="AQ58"/>
  <c r="AU58"/>
  <c r="AA58" i="5"/>
  <c r="L59"/>
  <c r="C59" i="6" s="1"/>
  <c r="AM59" i="5"/>
  <c r="M59" i="6"/>
  <c r="AI59" s="1"/>
  <c r="Z59" i="5"/>
  <c r="AA59" s="1"/>
  <c r="AC59"/>
  <c r="S61"/>
  <c r="F61" i="12" s="1"/>
  <c r="AG61" i="5"/>
  <c r="W61"/>
  <c r="H61" i="12" s="1"/>
  <c r="H61" i="5"/>
  <c r="D61"/>
  <c r="B61" i="12" s="1"/>
  <c r="AD61" i="5"/>
  <c r="B61" i="6"/>
  <c r="K61" i="5"/>
  <c r="E61"/>
  <c r="AE61"/>
  <c r="B61"/>
  <c r="F61"/>
  <c r="J61"/>
  <c r="A61" i="12"/>
  <c r="N61" i="5"/>
  <c r="D61" i="6" s="1"/>
  <c r="G61" i="5"/>
  <c r="R61"/>
  <c r="C62"/>
  <c r="H60" i="6"/>
  <c r="G60"/>
  <c r="L60" i="12"/>
  <c r="J60"/>
  <c r="A60" i="6"/>
  <c r="F60"/>
  <c r="E60" i="12"/>
  <c r="T56"/>
  <c r="U56"/>
  <c r="Y58"/>
  <c r="X58" s="1"/>
  <c r="C59"/>
  <c r="O59"/>
  <c r="AO59"/>
  <c r="M59"/>
  <c r="D58"/>
  <c r="E58" i="6"/>
  <c r="G61" i="12"/>
  <c r="X57"/>
  <c r="W57"/>
  <c r="AF62" i="5"/>
  <c r="AB59" l="1"/>
  <c r="O59"/>
  <c r="D59" i="12" s="1"/>
  <c r="AK59" i="6"/>
  <c r="AD59"/>
  <c r="AC59"/>
  <c r="AB59"/>
  <c r="AF59"/>
  <c r="AN59"/>
  <c r="AT59"/>
  <c r="AU59"/>
  <c r="AO59"/>
  <c r="BC59"/>
  <c r="AM59"/>
  <c r="AR59"/>
  <c r="BE59"/>
  <c r="BF59"/>
  <c r="BD59"/>
  <c r="AP59"/>
  <c r="BB59"/>
  <c r="BG59"/>
  <c r="AX59"/>
  <c r="AZ59"/>
  <c r="AS59"/>
  <c r="AY59"/>
  <c r="AV59"/>
  <c r="AQ59"/>
  <c r="BA59"/>
  <c r="K60" i="12"/>
  <c r="AJ59" i="6"/>
  <c r="AG59"/>
  <c r="AH59"/>
  <c r="S62" i="5"/>
  <c r="F62" i="12" s="1"/>
  <c r="AG62" i="5"/>
  <c r="F61" i="6"/>
  <c r="E61" i="12"/>
  <c r="A62"/>
  <c r="H62" i="5"/>
  <c r="D62"/>
  <c r="B62" i="12" s="1"/>
  <c r="J62" i="5"/>
  <c r="E62"/>
  <c r="AE62"/>
  <c r="AD62"/>
  <c r="F62"/>
  <c r="K62"/>
  <c r="R62"/>
  <c r="B62" i="6"/>
  <c r="C63" i="5"/>
  <c r="G62"/>
  <c r="W62"/>
  <c r="H62" i="12" s="1"/>
  <c r="N62" i="5"/>
  <c r="D62" i="6" s="1"/>
  <c r="B62" i="5"/>
  <c r="L61" i="12"/>
  <c r="J61"/>
  <c r="T60" i="5"/>
  <c r="X60" s="1"/>
  <c r="G61" i="6"/>
  <c r="H61"/>
  <c r="T61" i="5" s="1"/>
  <c r="X61" s="1"/>
  <c r="Z61" s="1"/>
  <c r="A61" i="6"/>
  <c r="N61" s="1"/>
  <c r="M60"/>
  <c r="N60"/>
  <c r="W58" i="12"/>
  <c r="U58" s="1"/>
  <c r="Y59"/>
  <c r="X59" s="1"/>
  <c r="V57"/>
  <c r="U57"/>
  <c r="T57"/>
  <c r="E59" i="6"/>
  <c r="N59" i="12"/>
  <c r="G62"/>
  <c r="AF63" i="5"/>
  <c r="AC61" l="1"/>
  <c r="I61" i="12"/>
  <c r="AO61" s="1"/>
  <c r="AM61" i="5"/>
  <c r="L61"/>
  <c r="C61" i="6" s="1"/>
  <c r="AG63" i="5"/>
  <c r="S63"/>
  <c r="F63" i="12" s="1"/>
  <c r="AM60" i="6"/>
  <c r="BD60"/>
  <c r="AS60"/>
  <c r="BG60"/>
  <c r="AX60"/>
  <c r="AY60"/>
  <c r="AZ60"/>
  <c r="AQ60"/>
  <c r="AR60"/>
  <c r="AT60"/>
  <c r="AV60"/>
  <c r="BE60"/>
  <c r="AO60"/>
  <c r="BA60"/>
  <c r="BB60"/>
  <c r="AN60"/>
  <c r="AP60"/>
  <c r="BC60"/>
  <c r="AU60"/>
  <c r="BF60"/>
  <c r="AE63" i="5"/>
  <c r="W63"/>
  <c r="H63" i="12" s="1"/>
  <c r="J63" i="5"/>
  <c r="E63"/>
  <c r="B63"/>
  <c r="K63"/>
  <c r="A63" i="12"/>
  <c r="AD63" i="5"/>
  <c r="G63"/>
  <c r="B63" i="6"/>
  <c r="F63" i="5"/>
  <c r="N63"/>
  <c r="D63" i="6" s="1"/>
  <c r="D63" i="5"/>
  <c r="B63" i="12" s="1"/>
  <c r="R63" i="5"/>
  <c r="H63"/>
  <c r="C64"/>
  <c r="AF60" i="6"/>
  <c r="AD60"/>
  <c r="AK60"/>
  <c r="L62" i="12"/>
  <c r="J62"/>
  <c r="AG60" i="6"/>
  <c r="AI60"/>
  <c r="K61" i="12"/>
  <c r="F62" i="6"/>
  <c r="E62" i="12"/>
  <c r="AH60" i="6"/>
  <c r="AB60"/>
  <c r="M61"/>
  <c r="AF61" s="1"/>
  <c r="I60" i="12"/>
  <c r="AC60" i="5"/>
  <c r="L60"/>
  <c r="AM60"/>
  <c r="Z60"/>
  <c r="G62" i="6"/>
  <c r="H62"/>
  <c r="T62" i="5" s="1"/>
  <c r="X62" s="1"/>
  <c r="I62" i="12" s="1"/>
  <c r="AJ60" i="6"/>
  <c r="AC60"/>
  <c r="A62"/>
  <c r="V58" i="12"/>
  <c r="W59"/>
  <c r="V59" s="1"/>
  <c r="T58"/>
  <c r="G63"/>
  <c r="AB61" i="5"/>
  <c r="AA61"/>
  <c r="AF64"/>
  <c r="O61" l="1"/>
  <c r="D61" i="12" s="1"/>
  <c r="K62"/>
  <c r="O61"/>
  <c r="M61"/>
  <c r="C61"/>
  <c r="AI61" i="6"/>
  <c r="AM62" i="5"/>
  <c r="L62"/>
  <c r="O62" s="1"/>
  <c r="Z62"/>
  <c r="AA62" s="1"/>
  <c r="AC62"/>
  <c r="S64"/>
  <c r="F64" i="12" s="1"/>
  <c r="AG64" i="5"/>
  <c r="O60"/>
  <c r="C60" i="6"/>
  <c r="L63" i="12"/>
  <c r="J63"/>
  <c r="AQ61" i="6"/>
  <c r="BD61"/>
  <c r="BB61"/>
  <c r="AY61"/>
  <c r="AS61"/>
  <c r="AG61"/>
  <c r="AZ61"/>
  <c r="AB61"/>
  <c r="AD61"/>
  <c r="AX61"/>
  <c r="AO61"/>
  <c r="BG61"/>
  <c r="BE61"/>
  <c r="BF61"/>
  <c r="AU61"/>
  <c r="AN61"/>
  <c r="AP61"/>
  <c r="AM61"/>
  <c r="BA61"/>
  <c r="AV61"/>
  <c r="AR61"/>
  <c r="BC61"/>
  <c r="AT61"/>
  <c r="D64" i="5"/>
  <c r="B64" i="12" s="1"/>
  <c r="K64" i="5"/>
  <c r="G64"/>
  <c r="W64"/>
  <c r="H64" i="12" s="1"/>
  <c r="AD64" i="5"/>
  <c r="C65"/>
  <c r="B64" i="6"/>
  <c r="N64" i="5"/>
  <c r="D64" i="6" s="1"/>
  <c r="H64" i="5"/>
  <c r="AE64"/>
  <c r="A64" i="12"/>
  <c r="R64" i="5"/>
  <c r="J64"/>
  <c r="E64"/>
  <c r="F64"/>
  <c r="B64"/>
  <c r="H63" i="6"/>
  <c r="G63"/>
  <c r="AK61"/>
  <c r="N62"/>
  <c r="M62"/>
  <c r="AB60" i="5"/>
  <c r="AA60"/>
  <c r="AO60" i="12"/>
  <c r="O60"/>
  <c r="C60"/>
  <c r="M60"/>
  <c r="AH61" i="6"/>
  <c r="F63"/>
  <c r="E63" i="12"/>
  <c r="AJ61" i="6"/>
  <c r="AC61"/>
  <c r="A63"/>
  <c r="U59" i="12"/>
  <c r="T59"/>
  <c r="Y61"/>
  <c r="X61" s="1"/>
  <c r="C62" i="6"/>
  <c r="C62" i="12"/>
  <c r="O62"/>
  <c r="AO62"/>
  <c r="M62"/>
  <c r="G64"/>
  <c r="AF65" i="5"/>
  <c r="E61" i="6" l="1"/>
  <c r="AB62" i="5"/>
  <c r="N61" i="12"/>
  <c r="N60"/>
  <c r="Y60"/>
  <c r="X60" s="1"/>
  <c r="K63"/>
  <c r="S65" i="5"/>
  <c r="F65" i="12" s="1"/>
  <c r="AG65" i="5"/>
  <c r="F64" i="6"/>
  <c r="E64" i="12"/>
  <c r="G64" i="6"/>
  <c r="H64"/>
  <c r="T64" i="5" s="1"/>
  <c r="X64" s="1"/>
  <c r="AM64" s="1"/>
  <c r="BA62" i="6"/>
  <c r="AK62"/>
  <c r="AV62"/>
  <c r="AO62"/>
  <c r="AU62"/>
  <c r="AT62"/>
  <c r="AI62"/>
  <c r="AQ62"/>
  <c r="AX62"/>
  <c r="AY62"/>
  <c r="AP62"/>
  <c r="BD62"/>
  <c r="AZ62"/>
  <c r="AJ62"/>
  <c r="BF62"/>
  <c r="AC62"/>
  <c r="AN62"/>
  <c r="BB62"/>
  <c r="BE62"/>
  <c r="BC62"/>
  <c r="AR62"/>
  <c r="AG62"/>
  <c r="AD62"/>
  <c r="BG62"/>
  <c r="AB62"/>
  <c r="AS62"/>
  <c r="AM62"/>
  <c r="AH62"/>
  <c r="AF62"/>
  <c r="T63" i="5"/>
  <c r="X63" s="1"/>
  <c r="A65" i="12"/>
  <c r="E65" i="5"/>
  <c r="B65"/>
  <c r="H65"/>
  <c r="F65"/>
  <c r="N65"/>
  <c r="D65" i="6" s="1"/>
  <c r="AD65" i="5"/>
  <c r="J65"/>
  <c r="G65"/>
  <c r="D65"/>
  <c r="B65" i="12" s="1"/>
  <c r="K65" i="5"/>
  <c r="R65"/>
  <c r="B65" i="6"/>
  <c r="AE65" i="5"/>
  <c r="W65"/>
  <c r="H65" i="12" s="1"/>
  <c r="C66" i="5"/>
  <c r="E60" i="6"/>
  <c r="D60" i="12"/>
  <c r="M63" i="6"/>
  <c r="AH63" s="1"/>
  <c r="N63"/>
  <c r="L64" i="12"/>
  <c r="J64"/>
  <c r="A64" i="6"/>
  <c r="W61" i="12"/>
  <c r="U61" s="1"/>
  <c r="Y62"/>
  <c r="X62" s="1"/>
  <c r="G65"/>
  <c r="N62"/>
  <c r="D62"/>
  <c r="E62" i="6"/>
  <c r="AF66" i="5"/>
  <c r="L64" l="1"/>
  <c r="O64" s="1"/>
  <c r="I64" i="12"/>
  <c r="M64" s="1"/>
  <c r="AC64" i="5"/>
  <c r="Z64"/>
  <c r="W60" i="12"/>
  <c r="K64"/>
  <c r="AG66" i="5"/>
  <c r="S66"/>
  <c r="F66" i="12" s="1"/>
  <c r="H66" i="5"/>
  <c r="F66"/>
  <c r="R66"/>
  <c r="AE66"/>
  <c r="AD66"/>
  <c r="N66"/>
  <c r="D66" i="6" s="1"/>
  <c r="J66" i="5"/>
  <c r="B66"/>
  <c r="B66" i="6"/>
  <c r="A66" i="12"/>
  <c r="W66" i="5"/>
  <c r="H66" i="12" s="1"/>
  <c r="K66" i="5"/>
  <c r="G66"/>
  <c r="D66"/>
  <c r="B66" i="12" s="1"/>
  <c r="C67" i="5"/>
  <c r="E66"/>
  <c r="F65" i="6"/>
  <c r="E65" i="12"/>
  <c r="AK63" i="6"/>
  <c r="AB63"/>
  <c r="AI63"/>
  <c r="L65" i="12"/>
  <c r="J65"/>
  <c r="A65" i="6"/>
  <c r="AG63"/>
  <c r="AC63"/>
  <c r="G65"/>
  <c r="H65"/>
  <c r="T65" i="5" s="1"/>
  <c r="X65" s="1"/>
  <c r="AM65" s="1"/>
  <c r="AJ63" i="6"/>
  <c r="N64"/>
  <c r="M64"/>
  <c r="AR63"/>
  <c r="AT63"/>
  <c r="AV63"/>
  <c r="AO63"/>
  <c r="BF63"/>
  <c r="AS63"/>
  <c r="AY63"/>
  <c r="AM63"/>
  <c r="AU63"/>
  <c r="AZ63"/>
  <c r="AN63"/>
  <c r="BC63"/>
  <c r="BE63"/>
  <c r="BA63"/>
  <c r="AP63"/>
  <c r="BG63"/>
  <c r="BB63"/>
  <c r="BD63"/>
  <c r="AQ63"/>
  <c r="AX63"/>
  <c r="AM63" i="5"/>
  <c r="L63"/>
  <c r="I63" i="12"/>
  <c r="AC63" i="5"/>
  <c r="Z63"/>
  <c r="AF63" i="6"/>
  <c r="AD63"/>
  <c r="V61" i="12"/>
  <c r="T61"/>
  <c r="W62"/>
  <c r="V62" s="1"/>
  <c r="G66"/>
  <c r="AB64" i="5"/>
  <c r="AA64"/>
  <c r="C64" i="6"/>
  <c r="AF67" i="5"/>
  <c r="AC65" l="1"/>
  <c r="O64" i="12"/>
  <c r="N64" s="1"/>
  <c r="C64"/>
  <c r="AO64"/>
  <c r="I65"/>
  <c r="O65" s="1"/>
  <c r="L65" i="5"/>
  <c r="O65" s="1"/>
  <c r="Z65"/>
  <c r="AA65" s="1"/>
  <c r="U60" i="12"/>
  <c r="T60"/>
  <c r="V60"/>
  <c r="S67" i="5"/>
  <c r="F67" i="12" s="1"/>
  <c r="AG67" i="5"/>
  <c r="AN64" i="6"/>
  <c r="AU64"/>
  <c r="AM64"/>
  <c r="AC64"/>
  <c r="BE64"/>
  <c r="AK64"/>
  <c r="AG64"/>
  <c r="BB64"/>
  <c r="AB64"/>
  <c r="AV64"/>
  <c r="AD64"/>
  <c r="BD64"/>
  <c r="BC64"/>
  <c r="AP64"/>
  <c r="AH64"/>
  <c r="AZ64"/>
  <c r="BA64"/>
  <c r="AT64"/>
  <c r="BF64"/>
  <c r="AQ64"/>
  <c r="AX64"/>
  <c r="AS64"/>
  <c r="AI64"/>
  <c r="BG64"/>
  <c r="AY64"/>
  <c r="AR64"/>
  <c r="AO64"/>
  <c r="AJ64"/>
  <c r="AF64"/>
  <c r="B67"/>
  <c r="F67" i="5"/>
  <c r="AD67"/>
  <c r="R67"/>
  <c r="A67" i="12"/>
  <c r="G67" i="5"/>
  <c r="N67"/>
  <c r="D67" i="6" s="1"/>
  <c r="C68" i="5"/>
  <c r="K67"/>
  <c r="D67"/>
  <c r="B67" i="12" s="1"/>
  <c r="J67" i="5"/>
  <c r="E67"/>
  <c r="H67"/>
  <c r="AE67"/>
  <c r="W67"/>
  <c r="H67" i="12" s="1"/>
  <c r="B67" i="5"/>
  <c r="F66" i="6"/>
  <c r="E66" i="12"/>
  <c r="AA63" i="5"/>
  <c r="AB63"/>
  <c r="N65" i="6"/>
  <c r="M65"/>
  <c r="O63" i="5"/>
  <c r="C63" i="6"/>
  <c r="A66"/>
  <c r="AO63" i="12"/>
  <c r="O63"/>
  <c r="M63"/>
  <c r="C63"/>
  <c r="J66"/>
  <c r="L66"/>
  <c r="H66" i="6"/>
  <c r="G66"/>
  <c r="K65" i="12"/>
  <c r="T62"/>
  <c r="U62"/>
  <c r="C65" i="6"/>
  <c r="D64" i="12"/>
  <c r="E64" i="6"/>
  <c r="G67" i="12"/>
  <c r="AF68" i="5"/>
  <c r="AB65" l="1"/>
  <c r="AO65" i="12"/>
  <c r="Y65" s="1"/>
  <c r="X65" s="1"/>
  <c r="M65"/>
  <c r="N65" s="1"/>
  <c r="C65"/>
  <c r="Y64"/>
  <c r="X64" s="1"/>
  <c r="N63"/>
  <c r="Y63"/>
  <c r="K66"/>
  <c r="AG68" i="5"/>
  <c r="S68"/>
  <c r="F68" i="12" s="1"/>
  <c r="AR65" i="6"/>
  <c r="BC65"/>
  <c r="AH65"/>
  <c r="AO65"/>
  <c r="AU65"/>
  <c r="AS65"/>
  <c r="AK65"/>
  <c r="AF65"/>
  <c r="AB65"/>
  <c r="AG65"/>
  <c r="BA65"/>
  <c r="AY65"/>
  <c r="BF65"/>
  <c r="AD65"/>
  <c r="AV65"/>
  <c r="BD65"/>
  <c r="AQ65"/>
  <c r="BE65"/>
  <c r="AP65"/>
  <c r="AM65"/>
  <c r="AZ65"/>
  <c r="AJ65"/>
  <c r="AI65"/>
  <c r="AC65"/>
  <c r="AX65"/>
  <c r="BG65"/>
  <c r="BB65"/>
  <c r="AN65"/>
  <c r="AT65"/>
  <c r="E63"/>
  <c r="D63" i="12"/>
  <c r="G67" i="6"/>
  <c r="H67"/>
  <c r="T66" i="5"/>
  <c r="X66" s="1"/>
  <c r="B68" i="6"/>
  <c r="R68" i="5"/>
  <c r="B68"/>
  <c r="K68"/>
  <c r="A68" i="12"/>
  <c r="W68" i="5"/>
  <c r="H68" i="12" s="1"/>
  <c r="E68" i="5"/>
  <c r="N68"/>
  <c r="D68" i="6" s="1"/>
  <c r="D68" i="5"/>
  <c r="B68" i="12" s="1"/>
  <c r="F68" i="5"/>
  <c r="J68"/>
  <c r="H68"/>
  <c r="AD68"/>
  <c r="C69"/>
  <c r="AE68"/>
  <c r="G68"/>
  <c r="E67" i="12"/>
  <c r="F67" i="6"/>
  <c r="M66"/>
  <c r="AK66" s="1"/>
  <c r="N66"/>
  <c r="J67" i="12"/>
  <c r="L67"/>
  <c r="A67" i="6"/>
  <c r="G68" i="12"/>
  <c r="D65"/>
  <c r="E65" i="6"/>
  <c r="AF69" i="5"/>
  <c r="W64" i="12" l="1"/>
  <c r="V64" s="1"/>
  <c r="K67"/>
  <c r="W63"/>
  <c r="X63"/>
  <c r="S69" i="5"/>
  <c r="F69" i="12" s="1"/>
  <c r="AG69" i="5"/>
  <c r="G68" i="6"/>
  <c r="H68"/>
  <c r="T68" i="5" s="1"/>
  <c r="X68" s="1"/>
  <c r="Z68" s="1"/>
  <c r="AH66" i="6"/>
  <c r="AF66"/>
  <c r="AJ66"/>
  <c r="J68" i="12"/>
  <c r="L68"/>
  <c r="A68" i="6"/>
  <c r="AB66"/>
  <c r="AG66"/>
  <c r="C70" i="5"/>
  <c r="G69"/>
  <c r="W69"/>
  <c r="H69" i="12" s="1"/>
  <c r="AE69" i="5"/>
  <c r="K69"/>
  <c r="N69"/>
  <c r="D69" i="6" s="1"/>
  <c r="H69" i="5"/>
  <c r="AD69"/>
  <c r="B69"/>
  <c r="B69" i="6"/>
  <c r="J69" i="5"/>
  <c r="E69"/>
  <c r="D69"/>
  <c r="B69" i="12" s="1"/>
  <c r="F69" i="5"/>
  <c r="A69" i="12"/>
  <c r="R69" i="5"/>
  <c r="F68" i="6"/>
  <c r="E68" i="12"/>
  <c r="T67" i="5"/>
  <c r="X67" s="1"/>
  <c r="AD66" i="6"/>
  <c r="M67"/>
  <c r="AG67" s="1"/>
  <c r="N67"/>
  <c r="BD66"/>
  <c r="AT66"/>
  <c r="AO66"/>
  <c r="BB66"/>
  <c r="AQ66"/>
  <c r="AM66"/>
  <c r="BE66"/>
  <c r="BF66"/>
  <c r="AZ66"/>
  <c r="AN66"/>
  <c r="AU66"/>
  <c r="BA66"/>
  <c r="BC66"/>
  <c r="BG66"/>
  <c r="AP66"/>
  <c r="AY66"/>
  <c r="AR66"/>
  <c r="AS66"/>
  <c r="AV66"/>
  <c r="AX66"/>
  <c r="I66" i="12"/>
  <c r="Z66" i="5"/>
  <c r="AM66"/>
  <c r="L66"/>
  <c r="AC66"/>
  <c r="AC66" i="6"/>
  <c r="AI66"/>
  <c r="W65" i="12"/>
  <c r="T65" s="1"/>
  <c r="G69"/>
  <c r="AF70" i="5"/>
  <c r="AC68" l="1"/>
  <c r="I68" i="12"/>
  <c r="AO68" s="1"/>
  <c r="L68" i="5"/>
  <c r="C68" i="6" s="1"/>
  <c r="AM68" i="5"/>
  <c r="T64" i="12"/>
  <c r="U64"/>
  <c r="A69" i="6"/>
  <c r="T63" i="12"/>
  <c r="V63"/>
  <c r="U63"/>
  <c r="K68"/>
  <c r="S70" i="5"/>
  <c r="F70" i="12" s="1"/>
  <c r="AG70" i="5"/>
  <c r="AA66"/>
  <c r="AB66"/>
  <c r="B70" i="6"/>
  <c r="AE70" i="5"/>
  <c r="N70"/>
  <c r="D70" i="6" s="1"/>
  <c r="G70" i="5"/>
  <c r="A70" i="12"/>
  <c r="E70" i="5"/>
  <c r="R70"/>
  <c r="F70"/>
  <c r="D70"/>
  <c r="B70" i="12" s="1"/>
  <c r="W70" i="5"/>
  <c r="H70" i="12" s="1"/>
  <c r="H70" i="5"/>
  <c r="J70"/>
  <c r="AD70"/>
  <c r="B70"/>
  <c r="K70"/>
  <c r="C71"/>
  <c r="AD67" i="6"/>
  <c r="AR67"/>
  <c r="BB67"/>
  <c r="AX67"/>
  <c r="AZ67"/>
  <c r="BD67"/>
  <c r="AT67"/>
  <c r="AU67"/>
  <c r="AV67"/>
  <c r="BG67"/>
  <c r="BF67"/>
  <c r="AY67"/>
  <c r="AQ67"/>
  <c r="BA67"/>
  <c r="AN67"/>
  <c r="AP67"/>
  <c r="BC67"/>
  <c r="AM67"/>
  <c r="AO67"/>
  <c r="AS67"/>
  <c r="BE67"/>
  <c r="G69"/>
  <c r="H69"/>
  <c r="T69" i="5" s="1"/>
  <c r="X69" s="1"/>
  <c r="AC69" s="1"/>
  <c r="N68" i="6"/>
  <c r="M68"/>
  <c r="AC67"/>
  <c r="AJ67"/>
  <c r="O66" i="5"/>
  <c r="C66" i="6"/>
  <c r="L67" i="5"/>
  <c r="I67" i="12"/>
  <c r="AC67" i="5"/>
  <c r="Z67"/>
  <c r="AM67"/>
  <c r="L69" i="12"/>
  <c r="J69"/>
  <c r="AH67" i="6"/>
  <c r="AB67"/>
  <c r="C66" i="12"/>
  <c r="AO66"/>
  <c r="M66"/>
  <c r="O66"/>
  <c r="F69" i="6"/>
  <c r="E69" i="12"/>
  <c r="AF67" i="6"/>
  <c r="AK67"/>
  <c r="AI67"/>
  <c r="U65" i="12"/>
  <c r="V65"/>
  <c r="AA68" i="5"/>
  <c r="AB68"/>
  <c r="G70" i="12"/>
  <c r="AF71" i="5"/>
  <c r="O68" l="1"/>
  <c r="E68" i="6" s="1"/>
  <c r="C68" i="12"/>
  <c r="O68"/>
  <c r="Y68" s="1"/>
  <c r="X68" s="1"/>
  <c r="M68"/>
  <c r="I69"/>
  <c r="C69" s="1"/>
  <c r="AM69" i="5"/>
  <c r="Z69"/>
  <c r="AB69" s="1"/>
  <c r="L69"/>
  <c r="O69" s="1"/>
  <c r="A70" i="6"/>
  <c r="M70" s="1"/>
  <c r="BE70" s="1"/>
  <c r="N69"/>
  <c r="M69"/>
  <c r="K69" i="12"/>
  <c r="AG71" i="5"/>
  <c r="S71"/>
  <c r="F71" i="12" s="1"/>
  <c r="AB67" i="5"/>
  <c r="AA67"/>
  <c r="AG68" i="6"/>
  <c r="AQ68"/>
  <c r="BF68"/>
  <c r="AS68"/>
  <c r="AT68"/>
  <c r="BC68"/>
  <c r="AO68"/>
  <c r="AN68"/>
  <c r="BG68"/>
  <c r="AV68"/>
  <c r="BE68"/>
  <c r="AR68"/>
  <c r="BD68"/>
  <c r="BA68"/>
  <c r="AF68"/>
  <c r="AI68"/>
  <c r="AY68"/>
  <c r="AH68"/>
  <c r="AM68"/>
  <c r="AP68"/>
  <c r="AX68"/>
  <c r="BB68"/>
  <c r="AD68"/>
  <c r="AU68"/>
  <c r="AC68"/>
  <c r="AZ68"/>
  <c r="AK68"/>
  <c r="AB68"/>
  <c r="AJ68"/>
  <c r="J70" i="12"/>
  <c r="L70"/>
  <c r="O67" i="5"/>
  <c r="C67" i="6"/>
  <c r="N66" i="12"/>
  <c r="O67"/>
  <c r="AO67"/>
  <c r="C67"/>
  <c r="M67"/>
  <c r="F70" i="6"/>
  <c r="E70" i="12"/>
  <c r="G70" i="6"/>
  <c r="H70"/>
  <c r="D66" i="12"/>
  <c r="E66" i="6"/>
  <c r="R71" i="5"/>
  <c r="G71"/>
  <c r="N71"/>
  <c r="D71" i="6" s="1"/>
  <c r="J71" i="5"/>
  <c r="AD71"/>
  <c r="D71"/>
  <c r="B71" i="12" s="1"/>
  <c r="B71" i="6"/>
  <c r="F71" i="5"/>
  <c r="C72"/>
  <c r="K71"/>
  <c r="AE71"/>
  <c r="E71"/>
  <c r="A71" i="12"/>
  <c r="W71" i="5"/>
  <c r="H71" i="12" s="1"/>
  <c r="H71" i="5"/>
  <c r="B71"/>
  <c r="Y66" i="12"/>
  <c r="G71"/>
  <c r="AF72" i="5"/>
  <c r="D68" i="12" l="1"/>
  <c r="C69" i="6"/>
  <c r="AO69" i="12"/>
  <c r="N68"/>
  <c r="M69"/>
  <c r="O69"/>
  <c r="N70" i="6"/>
  <c r="A71"/>
  <c r="N71" s="1"/>
  <c r="BG70"/>
  <c r="AA69" i="5"/>
  <c r="AR70" i="6"/>
  <c r="AX70"/>
  <c r="BB70"/>
  <c r="BA70"/>
  <c r="AU70"/>
  <c r="AY70"/>
  <c r="AT70"/>
  <c r="AP70"/>
  <c r="AV70"/>
  <c r="AQ70"/>
  <c r="BC70"/>
  <c r="AM70"/>
  <c r="AS70"/>
  <c r="AZ70"/>
  <c r="AO70"/>
  <c r="BF70"/>
  <c r="AN70"/>
  <c r="BD70"/>
  <c r="AV69"/>
  <c r="AN69"/>
  <c r="BA69"/>
  <c r="BD69"/>
  <c r="AP69"/>
  <c r="AJ69"/>
  <c r="AB69"/>
  <c r="AY69"/>
  <c r="AI69"/>
  <c r="BE69"/>
  <c r="AK69"/>
  <c r="AZ69"/>
  <c r="AR69"/>
  <c r="AF69"/>
  <c r="AD69"/>
  <c r="BF69"/>
  <c r="AX69"/>
  <c r="AQ69"/>
  <c r="AO69"/>
  <c r="BC69"/>
  <c r="AT69"/>
  <c r="AM69"/>
  <c r="AC69"/>
  <c r="BG69"/>
  <c r="AU69"/>
  <c r="AG69"/>
  <c r="BB69"/>
  <c r="AH69"/>
  <c r="AS69"/>
  <c r="N67" i="12"/>
  <c r="K70"/>
  <c r="S72" i="5"/>
  <c r="F72" i="12" s="1"/>
  <c r="AG72" i="5"/>
  <c r="X66" i="12"/>
  <c r="W66"/>
  <c r="J71"/>
  <c r="L71"/>
  <c r="B72" i="6"/>
  <c r="J72" i="5"/>
  <c r="E72"/>
  <c r="R72"/>
  <c r="G72"/>
  <c r="W72"/>
  <c r="H72" i="12" s="1"/>
  <c r="A72"/>
  <c r="C73" i="5"/>
  <c r="F72"/>
  <c r="K72"/>
  <c r="D72"/>
  <c r="B72" i="12" s="1"/>
  <c r="AD72" i="5"/>
  <c r="H72"/>
  <c r="B72"/>
  <c r="N72"/>
  <c r="D72" i="6" s="1"/>
  <c r="AE72" i="5"/>
  <c r="F71" i="6"/>
  <c r="E71" i="12"/>
  <c r="T70" i="5"/>
  <c r="X70" s="1"/>
  <c r="AG70" i="6"/>
  <c r="AK70"/>
  <c r="AD70"/>
  <c r="AI70"/>
  <c r="AF70"/>
  <c r="AJ70"/>
  <c r="AH70"/>
  <c r="AB70"/>
  <c r="AC70"/>
  <c r="G71"/>
  <c r="H71"/>
  <c r="T71" i="5" s="1"/>
  <c r="X71" s="1"/>
  <c r="AM71" s="1"/>
  <c r="E67" i="6"/>
  <c r="D67" i="12"/>
  <c r="Y67"/>
  <c r="W68"/>
  <c r="V68" s="1"/>
  <c r="G72"/>
  <c r="D69"/>
  <c r="E69" i="6"/>
  <c r="AF73" i="5"/>
  <c r="Y69" i="12" l="1"/>
  <c r="N69"/>
  <c r="M71" i="6"/>
  <c r="BD71" s="1"/>
  <c r="L71" i="5"/>
  <c r="C71" i="6" s="1"/>
  <c r="Z71" i="5"/>
  <c r="AA71" s="1"/>
  <c r="AC71"/>
  <c r="I71" i="12"/>
  <c r="C71" s="1"/>
  <c r="S73" i="5"/>
  <c r="F73" i="12" s="1"/>
  <c r="AG73" i="5"/>
  <c r="AM70"/>
  <c r="I70" i="12"/>
  <c r="AC70" i="5"/>
  <c r="Z70"/>
  <c r="L70"/>
  <c r="G72" i="6"/>
  <c r="H72"/>
  <c r="J72" i="12"/>
  <c r="L72"/>
  <c r="C74" i="5"/>
  <c r="AD73"/>
  <c r="J73"/>
  <c r="D73"/>
  <c r="B73" i="12" s="1"/>
  <c r="N73" i="5"/>
  <c r="D73" i="6" s="1"/>
  <c r="W73" i="5"/>
  <c r="H73" i="12" s="1"/>
  <c r="G73" i="5"/>
  <c r="B73" i="6"/>
  <c r="B73" i="5"/>
  <c r="K73"/>
  <c r="E73"/>
  <c r="A73" i="12"/>
  <c r="AE73" i="5"/>
  <c r="R73"/>
  <c r="H73"/>
  <c r="F73"/>
  <c r="F72" i="6"/>
  <c r="E72" i="12"/>
  <c r="K71"/>
  <c r="X67"/>
  <c r="W67"/>
  <c r="A72" i="6"/>
  <c r="T66" i="12"/>
  <c r="V66"/>
  <c r="U66"/>
  <c r="T68"/>
  <c r="U68"/>
  <c r="O71" i="5"/>
  <c r="G73" i="12"/>
  <c r="W69"/>
  <c r="X69"/>
  <c r="AF74" i="5"/>
  <c r="AF71" i="6" l="1"/>
  <c r="BE71"/>
  <c r="AU71"/>
  <c r="AP71"/>
  <c r="AM71"/>
  <c r="AS71"/>
  <c r="AC71"/>
  <c r="AK71"/>
  <c r="AI71"/>
  <c r="AQ71"/>
  <c r="AV71"/>
  <c r="BC71"/>
  <c r="BB71"/>
  <c r="AN71"/>
  <c r="AH71"/>
  <c r="AJ71"/>
  <c r="AY71"/>
  <c r="BA71"/>
  <c r="BF71"/>
  <c r="AZ71"/>
  <c r="AD71"/>
  <c r="AG71"/>
  <c r="AB71"/>
  <c r="BG71"/>
  <c r="AX71"/>
  <c r="AO71"/>
  <c r="AR71"/>
  <c r="AT71"/>
  <c r="AB71" i="5"/>
  <c r="AO71" i="12"/>
  <c r="M71"/>
  <c r="O71"/>
  <c r="K72"/>
  <c r="AG74" i="5"/>
  <c r="S74"/>
  <c r="F74" i="12" s="1"/>
  <c r="T72" i="5"/>
  <c r="X72" s="1"/>
  <c r="M72" i="6"/>
  <c r="N72"/>
  <c r="F73"/>
  <c r="E73" i="12"/>
  <c r="AA70" i="5"/>
  <c r="AB70"/>
  <c r="L73" i="12"/>
  <c r="J73"/>
  <c r="C70" i="6"/>
  <c r="O70" i="5"/>
  <c r="A73" i="6"/>
  <c r="V67" i="12"/>
  <c r="T67"/>
  <c r="U67"/>
  <c r="G73" i="6"/>
  <c r="H73"/>
  <c r="T73" i="5" s="1"/>
  <c r="X73" s="1"/>
  <c r="Z73" s="1"/>
  <c r="A74" i="12"/>
  <c r="B74" i="6"/>
  <c r="K74" i="5"/>
  <c r="J74"/>
  <c r="D74"/>
  <c r="B74" i="12" s="1"/>
  <c r="H74" i="5"/>
  <c r="N74"/>
  <c r="D74" i="6" s="1"/>
  <c r="B74" i="5"/>
  <c r="AD74"/>
  <c r="R74"/>
  <c r="AE74"/>
  <c r="E74"/>
  <c r="F74"/>
  <c r="W74"/>
  <c r="H74" i="12" s="1"/>
  <c r="C75" i="5"/>
  <c r="G74"/>
  <c r="M70" i="12"/>
  <c r="O70"/>
  <c r="C70"/>
  <c r="AO70"/>
  <c r="D71"/>
  <c r="E71" i="6"/>
  <c r="G74" i="12"/>
  <c r="V69"/>
  <c r="U69"/>
  <c r="T69"/>
  <c r="AF75" i="5"/>
  <c r="Y71" i="12" l="1"/>
  <c r="W71" s="1"/>
  <c r="N71"/>
  <c r="N70"/>
  <c r="Y70"/>
  <c r="X70" s="1"/>
  <c r="K73"/>
  <c r="AC73" i="5"/>
  <c r="L73"/>
  <c r="O73" s="1"/>
  <c r="I73" i="12"/>
  <c r="M73" s="1"/>
  <c r="AM73" i="5"/>
  <c r="S75"/>
  <c r="F75" i="12" s="1"/>
  <c r="AG75" i="5"/>
  <c r="J74" i="12"/>
  <c r="L74"/>
  <c r="AZ72" i="6"/>
  <c r="BB72"/>
  <c r="AS72"/>
  <c r="AO72"/>
  <c r="BF72"/>
  <c r="AX72"/>
  <c r="AN72"/>
  <c r="AR72"/>
  <c r="AU72"/>
  <c r="BE72"/>
  <c r="AT72"/>
  <c r="AM72"/>
  <c r="AV72"/>
  <c r="BA72"/>
  <c r="BC72"/>
  <c r="BG72"/>
  <c r="AY72"/>
  <c r="AQ72"/>
  <c r="AP72"/>
  <c r="BD72"/>
  <c r="AK72"/>
  <c r="AJ72"/>
  <c r="F74"/>
  <c r="E74" i="12"/>
  <c r="D70"/>
  <c r="E70" i="6"/>
  <c r="A74"/>
  <c r="AH72"/>
  <c r="AB72"/>
  <c r="B75"/>
  <c r="J75" i="5"/>
  <c r="E75"/>
  <c r="R75"/>
  <c r="A75" i="12"/>
  <c r="K75" i="5"/>
  <c r="F75"/>
  <c r="B75"/>
  <c r="N75"/>
  <c r="D75" i="6" s="1"/>
  <c r="G75" i="5"/>
  <c r="AE75"/>
  <c r="W75"/>
  <c r="H75" i="12" s="1"/>
  <c r="C76" i="5"/>
  <c r="H75"/>
  <c r="D75"/>
  <c r="B75" i="12" s="1"/>
  <c r="AD75" i="5"/>
  <c r="G74" i="6"/>
  <c r="H74"/>
  <c r="N73"/>
  <c r="M73"/>
  <c r="AM72" i="5"/>
  <c r="AC72"/>
  <c r="I72" i="12"/>
  <c r="Z72" i="5"/>
  <c r="L72"/>
  <c r="AI72" i="6"/>
  <c r="AC72"/>
  <c r="AD72"/>
  <c r="AF72"/>
  <c r="AG72"/>
  <c r="AB73" i="5"/>
  <c r="AA73"/>
  <c r="C73" i="6"/>
  <c r="C73" i="12"/>
  <c r="G75"/>
  <c r="AF76" i="5"/>
  <c r="AO73" i="12" l="1"/>
  <c r="X71"/>
  <c r="O73"/>
  <c r="N73" s="1"/>
  <c r="W70"/>
  <c r="K74"/>
  <c r="AG76" i="5"/>
  <c r="S76"/>
  <c r="F76" i="12" s="1"/>
  <c r="AA72" i="5"/>
  <c r="AB72"/>
  <c r="BE73" i="6"/>
  <c r="AK73"/>
  <c r="AP73"/>
  <c r="BA73"/>
  <c r="BB73"/>
  <c r="AB73"/>
  <c r="AD73"/>
  <c r="BG73"/>
  <c r="AS73"/>
  <c r="AQ73"/>
  <c r="AH73"/>
  <c r="AT73"/>
  <c r="AG73"/>
  <c r="AU73"/>
  <c r="AI73"/>
  <c r="BD73"/>
  <c r="AV73"/>
  <c r="AF73"/>
  <c r="BC73"/>
  <c r="AC73"/>
  <c r="AZ73"/>
  <c r="AX73"/>
  <c r="AR73"/>
  <c r="AJ73"/>
  <c r="AO73"/>
  <c r="BF73"/>
  <c r="AY73"/>
  <c r="AM73"/>
  <c r="AN73"/>
  <c r="E75" i="12"/>
  <c r="F75" i="6"/>
  <c r="O72" i="5"/>
  <c r="C72" i="6"/>
  <c r="A76" i="12"/>
  <c r="D76" i="5"/>
  <c r="B76" i="12" s="1"/>
  <c r="B76" i="5"/>
  <c r="K76"/>
  <c r="AD76"/>
  <c r="E76"/>
  <c r="R76"/>
  <c r="J76"/>
  <c r="B76" i="6"/>
  <c r="F76" i="5"/>
  <c r="G76"/>
  <c r="W76"/>
  <c r="H76" i="12" s="1"/>
  <c r="C77" i="5"/>
  <c r="H76"/>
  <c r="AE76"/>
  <c r="N76"/>
  <c r="D76" i="6" s="1"/>
  <c r="G75"/>
  <c r="H75"/>
  <c r="L75" i="12"/>
  <c r="J75"/>
  <c r="A75" i="6"/>
  <c r="T74" i="5"/>
  <c r="X74" s="1"/>
  <c r="M74" i="6"/>
  <c r="N74"/>
  <c r="AO72" i="12"/>
  <c r="O72"/>
  <c r="M72"/>
  <c r="C72"/>
  <c r="D73"/>
  <c r="E73" i="6"/>
  <c r="G76" i="12"/>
  <c r="V71"/>
  <c r="U71"/>
  <c r="T71"/>
  <c r="AF77" i="5"/>
  <c r="Y73" i="12" l="1"/>
  <c r="W73" s="1"/>
  <c r="T70"/>
  <c r="U70"/>
  <c r="V70"/>
  <c r="Y72"/>
  <c r="AG77" i="5"/>
  <c r="S77"/>
  <c r="F77" i="12" s="1"/>
  <c r="AO74" i="6"/>
  <c r="AZ74"/>
  <c r="BE74"/>
  <c r="BB74"/>
  <c r="AT74"/>
  <c r="AV74"/>
  <c r="AS74"/>
  <c r="AN74"/>
  <c r="AX74"/>
  <c r="AU74"/>
  <c r="AR74"/>
  <c r="AQ74"/>
  <c r="BD74"/>
  <c r="AP74"/>
  <c r="BF74"/>
  <c r="BG74"/>
  <c r="AM74"/>
  <c r="AY74"/>
  <c r="BC74"/>
  <c r="BA74"/>
  <c r="G76"/>
  <c r="H76"/>
  <c r="T76" i="5" s="1"/>
  <c r="X76" s="1"/>
  <c r="I76" i="12" s="1"/>
  <c r="AG74" i="6"/>
  <c r="AH74"/>
  <c r="M75"/>
  <c r="AI75" s="1"/>
  <c r="N75"/>
  <c r="C78" i="5"/>
  <c r="R77"/>
  <c r="D77"/>
  <c r="B77" i="12" s="1"/>
  <c r="G77" i="5"/>
  <c r="W77"/>
  <c r="H77" i="12" s="1"/>
  <c r="H77" i="5"/>
  <c r="AE77"/>
  <c r="A77" i="12"/>
  <c r="AD77" i="5"/>
  <c r="J77"/>
  <c r="B77"/>
  <c r="N77"/>
  <c r="D77" i="6" s="1"/>
  <c r="K77" i="5"/>
  <c r="F77"/>
  <c r="E77"/>
  <c r="B77" i="6"/>
  <c r="J76" i="12"/>
  <c r="L76"/>
  <c r="AJ74" i="6"/>
  <c r="AD74"/>
  <c r="A76"/>
  <c r="L74" i="5"/>
  <c r="I74" i="12"/>
  <c r="AC74" i="5"/>
  <c r="AM74"/>
  <c r="Z74"/>
  <c r="T75"/>
  <c r="X75" s="1"/>
  <c r="AI74" i="6"/>
  <c r="AF74"/>
  <c r="F76"/>
  <c r="E76" i="12"/>
  <c r="D72"/>
  <c r="E72" i="6"/>
  <c r="N72" i="12"/>
  <c r="AC74" i="6"/>
  <c r="AB74"/>
  <c r="AK74"/>
  <c r="K75" i="12"/>
  <c r="G77"/>
  <c r="X73"/>
  <c r="AF78" i="5"/>
  <c r="AB75" i="6" l="1"/>
  <c r="AG75"/>
  <c r="AM76" i="5"/>
  <c r="AC75" i="6"/>
  <c r="AJ75"/>
  <c r="AH75"/>
  <c r="AD75"/>
  <c r="AF75"/>
  <c r="A77"/>
  <c r="AK75"/>
  <c r="L76" i="5"/>
  <c r="O76" s="1"/>
  <c r="Z76"/>
  <c r="AB76" s="1"/>
  <c r="AC76"/>
  <c r="W72" i="12"/>
  <c r="X72"/>
  <c r="S78" i="5"/>
  <c r="F78" i="12" s="1"/>
  <c r="AG78" i="5"/>
  <c r="N76" i="6"/>
  <c r="M76"/>
  <c r="F78" i="5"/>
  <c r="N78"/>
  <c r="D78" i="6" s="1"/>
  <c r="G78" i="5"/>
  <c r="AE78"/>
  <c r="R78"/>
  <c r="J78"/>
  <c r="B78"/>
  <c r="B78" i="6"/>
  <c r="A78" i="12"/>
  <c r="D78" i="5"/>
  <c r="B78" i="12" s="1"/>
  <c r="C79" i="5"/>
  <c r="E78"/>
  <c r="K78"/>
  <c r="W78"/>
  <c r="H78" i="12" s="1"/>
  <c r="AD78" i="5"/>
  <c r="H78"/>
  <c r="AA74"/>
  <c r="AB74"/>
  <c r="C74" i="6"/>
  <c r="O74" i="5"/>
  <c r="E77" i="12"/>
  <c r="F77" i="6"/>
  <c r="K76" i="12"/>
  <c r="I75"/>
  <c r="AC75" i="5"/>
  <c r="Z75"/>
  <c r="AM75"/>
  <c r="L75"/>
  <c r="O74" i="12"/>
  <c r="AO74"/>
  <c r="C74"/>
  <c r="M74"/>
  <c r="AU75" i="6"/>
  <c r="AP75"/>
  <c r="AQ75"/>
  <c r="BE75"/>
  <c r="BF75"/>
  <c r="AT75"/>
  <c r="BB75"/>
  <c r="AO75"/>
  <c r="AV75"/>
  <c r="AX75"/>
  <c r="AY75"/>
  <c r="AZ75"/>
  <c r="AN75"/>
  <c r="BD75"/>
  <c r="AM75"/>
  <c r="BG75"/>
  <c r="AR75"/>
  <c r="BA75"/>
  <c r="AS75"/>
  <c r="BC75"/>
  <c r="H77"/>
  <c r="T77" i="5" s="1"/>
  <c r="X77" s="1"/>
  <c r="I77" i="12" s="1"/>
  <c r="G77" i="6"/>
  <c r="J77" i="12"/>
  <c r="L77"/>
  <c r="V73"/>
  <c r="U73"/>
  <c r="T73"/>
  <c r="C76"/>
  <c r="O76"/>
  <c r="M76"/>
  <c r="AO76"/>
  <c r="G78"/>
  <c r="AF79" i="5"/>
  <c r="AA76" l="1"/>
  <c r="C76" i="6"/>
  <c r="AM77" i="5"/>
  <c r="Z77"/>
  <c r="AB77" s="1"/>
  <c r="L77"/>
  <c r="O77" s="1"/>
  <c r="A78" i="6"/>
  <c r="AC77" i="5"/>
  <c r="N77" i="6"/>
  <c r="M77"/>
  <c r="AC77" s="1"/>
  <c r="U72" i="12"/>
  <c r="T72"/>
  <c r="V72"/>
  <c r="N74"/>
  <c r="AG79" i="5"/>
  <c r="S79"/>
  <c r="F79" i="12" s="1"/>
  <c r="O75" i="5"/>
  <c r="C75" i="6"/>
  <c r="AO75" i="12"/>
  <c r="M75"/>
  <c r="O75"/>
  <c r="C75"/>
  <c r="E74" i="6"/>
  <c r="D74" i="12"/>
  <c r="L78"/>
  <c r="J78"/>
  <c r="F78" i="6"/>
  <c r="E78" i="12"/>
  <c r="K77"/>
  <c r="G78" i="6"/>
  <c r="H78"/>
  <c r="T78" i="5" s="1"/>
  <c r="X78" s="1"/>
  <c r="AM78" s="1"/>
  <c r="AB75"/>
  <c r="AA75"/>
  <c r="J79"/>
  <c r="E79"/>
  <c r="AD79"/>
  <c r="K79"/>
  <c r="A79" i="12"/>
  <c r="N79" i="5"/>
  <c r="D79" i="6" s="1"/>
  <c r="F79" i="5"/>
  <c r="B79"/>
  <c r="R79"/>
  <c r="B79" i="6"/>
  <c r="C80" i="5"/>
  <c r="G79"/>
  <c r="AE79"/>
  <c r="W79"/>
  <c r="H79" i="12" s="1"/>
  <c r="H79" i="5"/>
  <c r="D79"/>
  <c r="B79" i="12" s="1"/>
  <c r="Y74"/>
  <c r="AC76" i="6"/>
  <c r="AB76"/>
  <c r="AD76"/>
  <c r="BG76"/>
  <c r="AV76"/>
  <c r="AF76"/>
  <c r="BD76"/>
  <c r="AM76"/>
  <c r="AP76"/>
  <c r="BE76"/>
  <c r="AY76"/>
  <c r="AT76"/>
  <c r="AG76"/>
  <c r="AU76"/>
  <c r="AH76"/>
  <c r="AK76"/>
  <c r="AQ76"/>
  <c r="BC76"/>
  <c r="AS76"/>
  <c r="AO76"/>
  <c r="BF76"/>
  <c r="BB76"/>
  <c r="AX76"/>
  <c r="AN76"/>
  <c r="AJ76"/>
  <c r="AI76"/>
  <c r="AR76"/>
  <c r="BA76"/>
  <c r="AZ76"/>
  <c r="Y76" i="12"/>
  <c r="X76" s="1"/>
  <c r="D76"/>
  <c r="E76" i="6"/>
  <c r="C77" i="12"/>
  <c r="O77"/>
  <c r="M77"/>
  <c r="AO77"/>
  <c r="G79"/>
  <c r="N76"/>
  <c r="AF80" i="5"/>
  <c r="AA77" l="1"/>
  <c r="C77" i="6"/>
  <c r="AI77"/>
  <c r="AJ77"/>
  <c r="AH77"/>
  <c r="AB77"/>
  <c r="Z78" i="5"/>
  <c r="AA78" s="1"/>
  <c r="A79" i="6"/>
  <c r="N79" s="1"/>
  <c r="AC78" i="5"/>
  <c r="I78" i="12"/>
  <c r="M78" s="1"/>
  <c r="L78" i="5"/>
  <c r="O78" s="1"/>
  <c r="AK77" i="6"/>
  <c r="N78"/>
  <c r="M78"/>
  <c r="AY77"/>
  <c r="BB77"/>
  <c r="BD77"/>
  <c r="AF77"/>
  <c r="BC77"/>
  <c r="BE77"/>
  <c r="AG77"/>
  <c r="AX77"/>
  <c r="AU77"/>
  <c r="BF77"/>
  <c r="AV77"/>
  <c r="AT77"/>
  <c r="AZ77"/>
  <c r="AQ77"/>
  <c r="BG77"/>
  <c r="AR77"/>
  <c r="AM77"/>
  <c r="BA77"/>
  <c r="AN77"/>
  <c r="AS77"/>
  <c r="AO77"/>
  <c r="AP77"/>
  <c r="AD77"/>
  <c r="Y75" i="12"/>
  <c r="K78"/>
  <c r="AG80" i="5"/>
  <c r="S80"/>
  <c r="F80" i="12" s="1"/>
  <c r="E79"/>
  <c r="F79" i="6"/>
  <c r="L79" i="12"/>
  <c r="J79"/>
  <c r="G79" i="6"/>
  <c r="H79"/>
  <c r="T79" i="5" s="1"/>
  <c r="X79" s="1"/>
  <c r="Z79" s="1"/>
  <c r="E75" i="6"/>
  <c r="D75" i="12"/>
  <c r="N75"/>
  <c r="X74"/>
  <c r="W74"/>
  <c r="F80" i="5"/>
  <c r="B80"/>
  <c r="R80"/>
  <c r="K80"/>
  <c r="A80" i="12"/>
  <c r="W80" i="5"/>
  <c r="H80" i="12" s="1"/>
  <c r="AD80" i="5"/>
  <c r="AE80"/>
  <c r="N80"/>
  <c r="D80" i="6" s="1"/>
  <c r="B80"/>
  <c r="E80" i="5"/>
  <c r="C81"/>
  <c r="G80"/>
  <c r="D80"/>
  <c r="B80" i="12" s="1"/>
  <c r="H80" i="5"/>
  <c r="J80"/>
  <c r="W76" i="12"/>
  <c r="V76" s="1"/>
  <c r="Y77"/>
  <c r="W77" s="1"/>
  <c r="G80"/>
  <c r="N77"/>
  <c r="C78"/>
  <c r="D77"/>
  <c r="E77" i="6"/>
  <c r="AF81" i="5"/>
  <c r="M79" i="6" l="1"/>
  <c r="AU79" s="1"/>
  <c r="AO78" i="12"/>
  <c r="C78" i="6"/>
  <c r="O78" i="12"/>
  <c r="N78" s="1"/>
  <c r="AB78" i="5"/>
  <c r="L79"/>
  <c r="O79" s="1"/>
  <c r="I79" i="12"/>
  <c r="AO79" s="1"/>
  <c r="AC79" i="5"/>
  <c r="AM79"/>
  <c r="AR78" i="6"/>
  <c r="AS78"/>
  <c r="AH78"/>
  <c r="AJ78"/>
  <c r="AO78"/>
  <c r="AG78"/>
  <c r="AV78"/>
  <c r="AD78"/>
  <c r="AX78"/>
  <c r="AY78"/>
  <c r="AN78"/>
  <c r="AZ78"/>
  <c r="BG78"/>
  <c r="AC78"/>
  <c r="BB78"/>
  <c r="AI78"/>
  <c r="AB78"/>
  <c r="AM78"/>
  <c r="BA78"/>
  <c r="BE78"/>
  <c r="BD78"/>
  <c r="AK78"/>
  <c r="AT78"/>
  <c r="BF78"/>
  <c r="AQ78"/>
  <c r="AU78"/>
  <c r="BC78"/>
  <c r="AP78"/>
  <c r="AF78"/>
  <c r="X75" i="12"/>
  <c r="W75"/>
  <c r="K79"/>
  <c r="S81" i="5"/>
  <c r="F81" i="12" s="1"/>
  <c r="AG81" i="5"/>
  <c r="F80" i="6"/>
  <c r="E80" i="12"/>
  <c r="C82" i="5"/>
  <c r="K81"/>
  <c r="E81"/>
  <c r="J81"/>
  <c r="B81" i="6"/>
  <c r="R81" i="5"/>
  <c r="F81"/>
  <c r="AD81"/>
  <c r="A81" i="12"/>
  <c r="W81" i="5"/>
  <c r="H81" i="12" s="1"/>
  <c r="G81" i="5"/>
  <c r="B81"/>
  <c r="N81"/>
  <c r="D81" i="6" s="1"/>
  <c r="H81" i="5"/>
  <c r="D81"/>
  <c r="B81" i="12" s="1"/>
  <c r="AE81" i="5"/>
  <c r="V74" i="12"/>
  <c r="T74"/>
  <c r="U74"/>
  <c r="H80" i="6"/>
  <c r="T80" i="5" s="1"/>
  <c r="X80" s="1"/>
  <c r="Z80" s="1"/>
  <c r="G80" i="6"/>
  <c r="J80" i="12"/>
  <c r="L80"/>
  <c r="A80" i="6"/>
  <c r="X77" i="12"/>
  <c r="U76"/>
  <c r="T76"/>
  <c r="D78"/>
  <c r="E78" i="6"/>
  <c r="T77" i="12"/>
  <c r="V77"/>
  <c r="U77"/>
  <c r="AB79" i="5"/>
  <c r="AA79"/>
  <c r="G81" i="12"/>
  <c r="AF82" i="5"/>
  <c r="AC79" i="6" l="1"/>
  <c r="AR79"/>
  <c r="AI79"/>
  <c r="AZ79"/>
  <c r="AG79"/>
  <c r="AF79"/>
  <c r="AD79"/>
  <c r="AN79"/>
  <c r="AB79"/>
  <c r="BC79"/>
  <c r="BF79"/>
  <c r="AX79"/>
  <c r="AH79"/>
  <c r="AO79"/>
  <c r="AJ79"/>
  <c r="BD79"/>
  <c r="AK79"/>
  <c r="AS79"/>
  <c r="BE79"/>
  <c r="BG79"/>
  <c r="BA79"/>
  <c r="BB79"/>
  <c r="AM79"/>
  <c r="AY79"/>
  <c r="AP79"/>
  <c r="AQ79"/>
  <c r="AV79"/>
  <c r="AT79"/>
  <c r="Y78" i="12"/>
  <c r="W78" s="1"/>
  <c r="C79" i="6"/>
  <c r="O79" i="12"/>
  <c r="Y79" s="1"/>
  <c r="C79"/>
  <c r="M79"/>
  <c r="AC80" i="5"/>
  <c r="I80" i="12"/>
  <c r="C80" s="1"/>
  <c r="T75"/>
  <c r="V75"/>
  <c r="U75"/>
  <c r="AM80" i="5"/>
  <c r="L80"/>
  <c r="O80" s="1"/>
  <c r="S82"/>
  <c r="F82" i="12" s="1"/>
  <c r="AG82" i="5"/>
  <c r="G81" i="6"/>
  <c r="H81"/>
  <c r="L81" i="12"/>
  <c r="J81"/>
  <c r="AE82" i="5"/>
  <c r="R82"/>
  <c r="C83"/>
  <c r="G82"/>
  <c r="F82"/>
  <c r="D82"/>
  <c r="B82" i="12" s="1"/>
  <c r="J82" i="5"/>
  <c r="B82" i="6"/>
  <c r="AD82" i="5"/>
  <c r="K82"/>
  <c r="B82"/>
  <c r="E82"/>
  <c r="H82"/>
  <c r="A82" i="12"/>
  <c r="N82" i="5"/>
  <c r="D82" i="6" s="1"/>
  <c r="W82" i="5"/>
  <c r="H82" i="12" s="1"/>
  <c r="A81" i="6"/>
  <c r="E81" i="12"/>
  <c r="F81" i="6"/>
  <c r="K80" i="12"/>
  <c r="N80" i="6"/>
  <c r="M80"/>
  <c r="X78" i="12"/>
  <c r="AB80" i="5"/>
  <c r="AA80"/>
  <c r="G82" i="12"/>
  <c r="D79"/>
  <c r="E79" i="6"/>
  <c r="O80" i="12"/>
  <c r="AF83" i="5"/>
  <c r="AO80" i="12" l="1"/>
  <c r="Y80" s="1"/>
  <c r="M80"/>
  <c r="N80" s="1"/>
  <c r="K81"/>
  <c r="N79"/>
  <c r="C80" i="6"/>
  <c r="AG83" i="5"/>
  <c r="S83"/>
  <c r="F83" i="12" s="1"/>
  <c r="H82" i="6"/>
  <c r="T82" i="5" s="1"/>
  <c r="X82" s="1"/>
  <c r="L82" s="1"/>
  <c r="G82" i="6"/>
  <c r="B83"/>
  <c r="J83" i="5"/>
  <c r="E83"/>
  <c r="K83"/>
  <c r="A83" i="12"/>
  <c r="N83" i="5"/>
  <c r="D83" i="6" s="1"/>
  <c r="F83" i="5"/>
  <c r="AD83"/>
  <c r="C84"/>
  <c r="G83"/>
  <c r="B83"/>
  <c r="AE83"/>
  <c r="R83"/>
  <c r="H83"/>
  <c r="D83"/>
  <c r="B83" i="12" s="1"/>
  <c r="W83" i="5"/>
  <c r="H83" i="12" s="1"/>
  <c r="A82" i="6"/>
  <c r="M81"/>
  <c r="AK81" s="1"/>
  <c r="N81"/>
  <c r="AR80"/>
  <c r="AK80"/>
  <c r="AM80"/>
  <c r="AP80"/>
  <c r="AS80"/>
  <c r="BE80"/>
  <c r="BG80"/>
  <c r="AO80"/>
  <c r="AZ80"/>
  <c r="AB80"/>
  <c r="AF80"/>
  <c r="AG80"/>
  <c r="AJ80"/>
  <c r="AU80"/>
  <c r="BD80"/>
  <c r="AC80"/>
  <c r="AT80"/>
  <c r="AY80"/>
  <c r="AX80"/>
  <c r="AD80"/>
  <c r="BA80"/>
  <c r="AH80"/>
  <c r="AI80"/>
  <c r="BC80"/>
  <c r="BB80"/>
  <c r="AV80"/>
  <c r="AQ80"/>
  <c r="BF80"/>
  <c r="AN80"/>
  <c r="J82" i="12"/>
  <c r="L82"/>
  <c r="F82" i="6"/>
  <c r="E82" i="12"/>
  <c r="T81" i="5"/>
  <c r="X81" s="1"/>
  <c r="G83" i="12"/>
  <c r="W79"/>
  <c r="X79"/>
  <c r="D80"/>
  <c r="E80" i="6"/>
  <c r="V78" i="12"/>
  <c r="U78"/>
  <c r="T78"/>
  <c r="AF84" i="5"/>
  <c r="AB81" i="6" l="1"/>
  <c r="AC81"/>
  <c r="AC82" i="5"/>
  <c r="Z82"/>
  <c r="AA82" s="1"/>
  <c r="I82" i="12"/>
  <c r="AO82" s="1"/>
  <c r="AM82" i="5"/>
  <c r="AJ81" i="6"/>
  <c r="AH81"/>
  <c r="AF81"/>
  <c r="AG81"/>
  <c r="AI81"/>
  <c r="AD81"/>
  <c r="K82" i="12"/>
  <c r="AG84" i="5"/>
  <c r="S84"/>
  <c r="F84" i="12" s="1"/>
  <c r="Z81" i="5"/>
  <c r="AM81"/>
  <c r="L81"/>
  <c r="I81" i="12"/>
  <c r="AC81" i="5"/>
  <c r="N82" i="6"/>
  <c r="M82"/>
  <c r="E83" i="12"/>
  <c r="F83" i="6"/>
  <c r="B84"/>
  <c r="AD84" i="5"/>
  <c r="B84"/>
  <c r="K84"/>
  <c r="A84" i="12"/>
  <c r="E84" i="5"/>
  <c r="G84"/>
  <c r="N84"/>
  <c r="D84" i="6" s="1"/>
  <c r="AE84" i="5"/>
  <c r="H84"/>
  <c r="R84"/>
  <c r="C85"/>
  <c r="F84"/>
  <c r="D84"/>
  <c r="B84" i="12" s="1"/>
  <c r="W84" i="5"/>
  <c r="H84" i="12" s="1"/>
  <c r="J84" i="5"/>
  <c r="L83" i="12"/>
  <c r="J83"/>
  <c r="A83" i="6"/>
  <c r="BC81"/>
  <c r="AT81"/>
  <c r="AX81"/>
  <c r="BD81"/>
  <c r="BG81"/>
  <c r="AR81"/>
  <c r="BF81"/>
  <c r="AO81"/>
  <c r="AZ81"/>
  <c r="AV81"/>
  <c r="AU81"/>
  <c r="BB81"/>
  <c r="BA81"/>
  <c r="AQ81"/>
  <c r="AM81"/>
  <c r="AY81"/>
  <c r="AS81"/>
  <c r="AN81"/>
  <c r="BE81"/>
  <c r="AP81"/>
  <c r="G83"/>
  <c r="H83"/>
  <c r="T83" i="5" s="1"/>
  <c r="X83" s="1"/>
  <c r="L83" s="1"/>
  <c r="V79" i="12"/>
  <c r="U79"/>
  <c r="T79"/>
  <c r="G84"/>
  <c r="X80"/>
  <c r="W80"/>
  <c r="C82" i="6"/>
  <c r="O82" i="5"/>
  <c r="AF85"/>
  <c r="AB82" l="1"/>
  <c r="M82" i="12"/>
  <c r="C82"/>
  <c r="O82"/>
  <c r="Y82" s="1"/>
  <c r="W82" s="1"/>
  <c r="Z83" i="5"/>
  <c r="AA83" s="1"/>
  <c r="AC83"/>
  <c r="I83" i="12"/>
  <c r="O83" s="1"/>
  <c r="AM83" i="5"/>
  <c r="S85"/>
  <c r="F85" i="12" s="1"/>
  <c r="AG85" i="5"/>
  <c r="BC82" i="6"/>
  <c r="AZ82"/>
  <c r="AN82"/>
  <c r="AO82"/>
  <c r="AX82"/>
  <c r="AP82"/>
  <c r="BA82"/>
  <c r="AY82"/>
  <c r="BE82"/>
  <c r="AM82"/>
  <c r="BD82"/>
  <c r="AI82"/>
  <c r="AK82"/>
  <c r="AF82"/>
  <c r="AD82"/>
  <c r="AV82"/>
  <c r="AC82"/>
  <c r="AJ82"/>
  <c r="BF82"/>
  <c r="BB82"/>
  <c r="AU82"/>
  <c r="AR82"/>
  <c r="AT82"/>
  <c r="AB82"/>
  <c r="BG82"/>
  <c r="AQ82"/>
  <c r="AS82"/>
  <c r="AG82"/>
  <c r="AH82"/>
  <c r="C81"/>
  <c r="O81" i="5"/>
  <c r="N83" i="6"/>
  <c r="M83"/>
  <c r="AD83" s="1"/>
  <c r="F84"/>
  <c r="E84" i="12"/>
  <c r="AO81"/>
  <c r="M81"/>
  <c r="C81"/>
  <c r="O81"/>
  <c r="R85" i="5"/>
  <c r="AE85"/>
  <c r="F85"/>
  <c r="E85"/>
  <c r="B85" i="6"/>
  <c r="B85" i="5"/>
  <c r="K85"/>
  <c r="J85"/>
  <c r="A85" i="12"/>
  <c r="N85" i="5"/>
  <c r="D85" i="6" s="1"/>
  <c r="W85" i="5"/>
  <c r="H85" i="12" s="1"/>
  <c r="G85" i="5"/>
  <c r="C86"/>
  <c r="AD85"/>
  <c r="H85"/>
  <c r="D85"/>
  <c r="B85" i="12" s="1"/>
  <c r="G84" i="6"/>
  <c r="H84"/>
  <c r="T84" i="5" s="1"/>
  <c r="X84" s="1"/>
  <c r="I84" i="12" s="1"/>
  <c r="AA81" i="5"/>
  <c r="AB81"/>
  <c r="J84" i="12"/>
  <c r="L84"/>
  <c r="K83"/>
  <c r="A84" i="6"/>
  <c r="G85" i="12"/>
  <c r="C83" i="6"/>
  <c r="O83" i="5"/>
  <c r="T80" i="12"/>
  <c r="V80"/>
  <c r="U80"/>
  <c r="D82"/>
  <c r="E82" i="6"/>
  <c r="AF86" i="5"/>
  <c r="M83" i="12" l="1"/>
  <c r="N83" s="1"/>
  <c r="AO83"/>
  <c r="Y83" s="1"/>
  <c r="X83" s="1"/>
  <c r="C83"/>
  <c r="AB83" i="5"/>
  <c r="N82" i="12"/>
  <c r="AJ83" i="6"/>
  <c r="Y81" i="12"/>
  <c r="AM84" i="5"/>
  <c r="L84"/>
  <c r="O84" s="1"/>
  <c r="Z84"/>
  <c r="AA84" s="1"/>
  <c r="AC84"/>
  <c r="AF83" i="6"/>
  <c r="S86" i="5"/>
  <c r="F86" i="12" s="1"/>
  <c r="AG86" i="5"/>
  <c r="N84" i="6"/>
  <c r="M84"/>
  <c r="AI84" s="1"/>
  <c r="A86" i="12"/>
  <c r="E86" i="5"/>
  <c r="R86"/>
  <c r="B86"/>
  <c r="J86"/>
  <c r="AD86"/>
  <c r="C87"/>
  <c r="AE86"/>
  <c r="W86"/>
  <c r="H86" i="12" s="1"/>
  <c r="G86" i="5"/>
  <c r="H86"/>
  <c r="D86"/>
  <c r="B86" i="12" s="1"/>
  <c r="F86" i="5"/>
  <c r="K86"/>
  <c r="N86"/>
  <c r="D86" i="6" s="1"/>
  <c r="B86"/>
  <c r="L85" i="12"/>
  <c r="J85"/>
  <c r="F85" i="6"/>
  <c r="E85" i="12"/>
  <c r="D81"/>
  <c r="E81" i="6"/>
  <c r="A85"/>
  <c r="G85"/>
  <c r="H85"/>
  <c r="T85" i="5" s="1"/>
  <c r="X85" s="1"/>
  <c r="Z85" s="1"/>
  <c r="N81" i="12"/>
  <c r="AK83" i="6"/>
  <c r="K84" i="12"/>
  <c r="BG83" i="6"/>
  <c r="BF83"/>
  <c r="BE83"/>
  <c r="AC83"/>
  <c r="AH83"/>
  <c r="AB83"/>
  <c r="AZ83"/>
  <c r="AI83"/>
  <c r="AU83"/>
  <c r="AY83"/>
  <c r="AX83"/>
  <c r="AN83"/>
  <c r="BB83"/>
  <c r="AG83"/>
  <c r="AV83"/>
  <c r="AQ83"/>
  <c r="AR83"/>
  <c r="AS83"/>
  <c r="AT83"/>
  <c r="BC83"/>
  <c r="AO83"/>
  <c r="AP83"/>
  <c r="AM83"/>
  <c r="BD83"/>
  <c r="BA83"/>
  <c r="X82" i="12"/>
  <c r="D83"/>
  <c r="E83" i="6"/>
  <c r="V82" i="12"/>
  <c r="T82"/>
  <c r="U82"/>
  <c r="C84"/>
  <c r="AO84"/>
  <c r="M84"/>
  <c r="O84"/>
  <c r="G86"/>
  <c r="AF87" i="5"/>
  <c r="AB84" l="1"/>
  <c r="C84" i="6"/>
  <c r="I85" i="12"/>
  <c r="O85" s="1"/>
  <c r="K85"/>
  <c r="AM85" i="5"/>
  <c r="L85"/>
  <c r="C85" i="6" s="1"/>
  <c r="AC85" i="5"/>
  <c r="W81" i="12"/>
  <c r="X81"/>
  <c r="AG87" i="5"/>
  <c r="S87"/>
  <c r="F87" i="12" s="1"/>
  <c r="J86"/>
  <c r="L86"/>
  <c r="N85" i="6"/>
  <c r="M85"/>
  <c r="AB85" s="1"/>
  <c r="H86"/>
  <c r="T86" i="5" s="1"/>
  <c r="X86" s="1"/>
  <c r="L86" s="1"/>
  <c r="G86" i="6"/>
  <c r="C88" i="5"/>
  <c r="J87"/>
  <c r="D87"/>
  <c r="B87" i="12" s="1"/>
  <c r="B87" i="5"/>
  <c r="R87"/>
  <c r="K87"/>
  <c r="F87"/>
  <c r="E87"/>
  <c r="B87" i="6"/>
  <c r="G87" i="5"/>
  <c r="A87" i="12"/>
  <c r="N87" i="5"/>
  <c r="D87" i="6" s="1"/>
  <c r="AE87" i="5"/>
  <c r="W87"/>
  <c r="H87" i="12" s="1"/>
  <c r="AD87" i="5"/>
  <c r="H87"/>
  <c r="E86" i="12"/>
  <c r="F86" i="6"/>
  <c r="AX84"/>
  <c r="BD84"/>
  <c r="AN84"/>
  <c r="AQ84"/>
  <c r="AR84"/>
  <c r="AU84"/>
  <c r="AP84"/>
  <c r="AO84"/>
  <c r="AV84"/>
  <c r="BB84"/>
  <c r="AM84"/>
  <c r="AY84"/>
  <c r="BE84"/>
  <c r="AD84"/>
  <c r="AG84"/>
  <c r="AC84"/>
  <c r="AZ84"/>
  <c r="AB84"/>
  <c r="BA84"/>
  <c r="BF84"/>
  <c r="AK84"/>
  <c r="AS84"/>
  <c r="BG84"/>
  <c r="BC84"/>
  <c r="AJ84"/>
  <c r="AH84"/>
  <c r="AT84"/>
  <c r="AF84"/>
  <c r="A86"/>
  <c r="W83" i="12"/>
  <c r="V83" s="1"/>
  <c r="G87"/>
  <c r="AA85" i="5"/>
  <c r="AB85"/>
  <c r="D84" i="12"/>
  <c r="E84" i="6"/>
  <c r="N84" i="12"/>
  <c r="Y84"/>
  <c r="AF88" i="5"/>
  <c r="AM86" l="1"/>
  <c r="M85" i="12"/>
  <c r="N85" s="1"/>
  <c r="O85" i="5"/>
  <c r="E85" i="6" s="1"/>
  <c r="C85" i="12"/>
  <c r="AO85"/>
  <c r="Y85" s="1"/>
  <c r="X85" s="1"/>
  <c r="AG85" i="6"/>
  <c r="Z86" i="5"/>
  <c r="AB86" s="1"/>
  <c r="K86" i="12"/>
  <c r="U81"/>
  <c r="V81"/>
  <c r="T81"/>
  <c r="AC86" i="5"/>
  <c r="I86" i="12"/>
  <c r="M86" s="1"/>
  <c r="AG88" i="5"/>
  <c r="S88"/>
  <c r="F88" i="12" s="1"/>
  <c r="J87"/>
  <c r="L87"/>
  <c r="AH85" i="6"/>
  <c r="N86"/>
  <c r="M86"/>
  <c r="G87"/>
  <c r="H87"/>
  <c r="F87"/>
  <c r="E87" i="12"/>
  <c r="F88" i="5"/>
  <c r="J88"/>
  <c r="G88"/>
  <c r="N88"/>
  <c r="D88" i="6" s="1"/>
  <c r="B88"/>
  <c r="A88" i="12"/>
  <c r="E88" i="5"/>
  <c r="H88"/>
  <c r="AE88"/>
  <c r="B88"/>
  <c r="C89"/>
  <c r="R88"/>
  <c r="D88"/>
  <c r="B88" i="12" s="1"/>
  <c r="W88" i="5"/>
  <c r="H88" i="12" s="1"/>
  <c r="AD88" i="5"/>
  <c r="K88"/>
  <c r="A87" i="6"/>
  <c r="BB85"/>
  <c r="AT85"/>
  <c r="BE85"/>
  <c r="AZ85"/>
  <c r="AR85"/>
  <c r="AU85"/>
  <c r="AJ85"/>
  <c r="BG85"/>
  <c r="BC85"/>
  <c r="AX85"/>
  <c r="AN85"/>
  <c r="AS85"/>
  <c r="AF85"/>
  <c r="AK85"/>
  <c r="AM85"/>
  <c r="AO85"/>
  <c r="AV85"/>
  <c r="AD85"/>
  <c r="AQ85"/>
  <c r="BD85"/>
  <c r="AI85"/>
  <c r="AC85"/>
  <c r="BF85"/>
  <c r="AP85"/>
  <c r="AY85"/>
  <c r="BA85"/>
  <c r="U83" i="12"/>
  <c r="T83"/>
  <c r="C86" i="6"/>
  <c r="O86" i="5"/>
  <c r="X84" i="12"/>
  <c r="W84"/>
  <c r="G88"/>
  <c r="AF89" i="5"/>
  <c r="O86" i="12" l="1"/>
  <c r="AA86" i="5"/>
  <c r="AO86" i="12"/>
  <c r="D85"/>
  <c r="C86"/>
  <c r="K87"/>
  <c r="AG89" i="5"/>
  <c r="S89"/>
  <c r="F89" i="12" s="1"/>
  <c r="J88"/>
  <c r="L88"/>
  <c r="T87" i="5"/>
  <c r="X87" s="1"/>
  <c r="A89" i="12"/>
  <c r="N89" i="5"/>
  <c r="D89" i="6" s="1"/>
  <c r="E89" i="5"/>
  <c r="W89"/>
  <c r="H89" i="12" s="1"/>
  <c r="K89" i="5"/>
  <c r="C90"/>
  <c r="F89"/>
  <c r="AE89"/>
  <c r="AD89"/>
  <c r="R89"/>
  <c r="G89"/>
  <c r="B89"/>
  <c r="J89"/>
  <c r="H89"/>
  <c r="D89"/>
  <c r="B89" i="12" s="1"/>
  <c r="B89" i="6"/>
  <c r="E88" i="12"/>
  <c r="F88" i="6"/>
  <c r="H88"/>
  <c r="T88" i="5" s="1"/>
  <c r="X88" s="1"/>
  <c r="AM88" s="1"/>
  <c r="G88" i="6"/>
  <c r="BB86"/>
  <c r="AN86"/>
  <c r="AD86"/>
  <c r="AY86"/>
  <c r="BD86"/>
  <c r="AV86"/>
  <c r="AH86"/>
  <c r="AS86"/>
  <c r="AM86"/>
  <c r="AQ86"/>
  <c r="AX86"/>
  <c r="AR86"/>
  <c r="AT86"/>
  <c r="BG86"/>
  <c r="AZ86"/>
  <c r="AF86"/>
  <c r="AB86"/>
  <c r="BE86"/>
  <c r="AG86"/>
  <c r="AK86"/>
  <c r="BF86"/>
  <c r="BC86"/>
  <c r="AO86"/>
  <c r="AJ86"/>
  <c r="AC86"/>
  <c r="BA86"/>
  <c r="AP86"/>
  <c r="AI86"/>
  <c r="AU86"/>
  <c r="M87"/>
  <c r="AD87" s="1"/>
  <c r="N87"/>
  <c r="A88"/>
  <c r="W85" i="12"/>
  <c r="T85" s="1"/>
  <c r="N86"/>
  <c r="V84"/>
  <c r="U84"/>
  <c r="T84"/>
  <c r="D86"/>
  <c r="E86" i="6"/>
  <c r="G89" i="12"/>
  <c r="AF90" i="5"/>
  <c r="Y86" i="12" l="1"/>
  <c r="X86" s="1"/>
  <c r="Z88" i="5"/>
  <c r="AA88" s="1"/>
  <c r="AC88"/>
  <c r="I88" i="12"/>
  <c r="C88" s="1"/>
  <c r="L88" i="5"/>
  <c r="O88" s="1"/>
  <c r="K88" i="12"/>
  <c r="AG90" i="5"/>
  <c r="S90"/>
  <c r="F90" i="12" s="1"/>
  <c r="AM87" i="5"/>
  <c r="L87"/>
  <c r="I87" i="12"/>
  <c r="AC87" i="5"/>
  <c r="Z87"/>
  <c r="AB87" i="6"/>
  <c r="AF87"/>
  <c r="M88"/>
  <c r="N88"/>
  <c r="A89"/>
  <c r="AK87"/>
  <c r="AH87"/>
  <c r="AI87"/>
  <c r="J89" i="12"/>
  <c r="L89"/>
  <c r="AC87" i="6"/>
  <c r="AZ87"/>
  <c r="BC87"/>
  <c r="BE87"/>
  <c r="BG87"/>
  <c r="BA87"/>
  <c r="AV87"/>
  <c r="AO87"/>
  <c r="AS87"/>
  <c r="AX87"/>
  <c r="BD87"/>
  <c r="AT87"/>
  <c r="AP87"/>
  <c r="AY87"/>
  <c r="AQ87"/>
  <c r="BB87"/>
  <c r="AM87"/>
  <c r="AN87"/>
  <c r="AR87"/>
  <c r="BF87"/>
  <c r="AU87"/>
  <c r="F89"/>
  <c r="E89" i="12"/>
  <c r="B90" i="6"/>
  <c r="AD90" i="5"/>
  <c r="H90"/>
  <c r="K90"/>
  <c r="A90" i="12"/>
  <c r="E90" i="5"/>
  <c r="C91"/>
  <c r="R90"/>
  <c r="AE90"/>
  <c r="B90"/>
  <c r="W90"/>
  <c r="H90" i="12" s="1"/>
  <c r="N90" i="5"/>
  <c r="D90" i="6" s="1"/>
  <c r="F90" i="5"/>
  <c r="D90"/>
  <c r="B90" i="12" s="1"/>
  <c r="G90" i="5"/>
  <c r="J90"/>
  <c r="H89" i="6"/>
  <c r="T89" i="5" s="1"/>
  <c r="X89" s="1"/>
  <c r="L89" s="1"/>
  <c r="G89" i="6"/>
  <c r="AJ87"/>
  <c r="AG87"/>
  <c r="U85" i="12"/>
  <c r="V85"/>
  <c r="C88" i="6"/>
  <c r="W86" i="12"/>
  <c r="G90"/>
  <c r="AF91" i="5"/>
  <c r="M88" i="12" l="1"/>
  <c r="O88"/>
  <c r="AO88"/>
  <c r="AB88" i="5"/>
  <c r="K89" i="12"/>
  <c r="Z89" i="5"/>
  <c r="AB89" s="1"/>
  <c r="AM89"/>
  <c r="AC89"/>
  <c r="I89" i="12"/>
  <c r="O89" s="1"/>
  <c r="S91" i="5"/>
  <c r="F91" i="12" s="1"/>
  <c r="AG91" i="5"/>
  <c r="J90" i="12"/>
  <c r="L90"/>
  <c r="O87"/>
  <c r="AO87"/>
  <c r="C87"/>
  <c r="M87"/>
  <c r="A90" i="6"/>
  <c r="AH88"/>
  <c r="AG88"/>
  <c r="AV88"/>
  <c r="BB88"/>
  <c r="AQ88"/>
  <c r="AR88"/>
  <c r="AC88"/>
  <c r="AJ88"/>
  <c r="AB88"/>
  <c r="BD88"/>
  <c r="BF88"/>
  <c r="BE88"/>
  <c r="BC88"/>
  <c r="AI88"/>
  <c r="AD88"/>
  <c r="AT88"/>
  <c r="AS88"/>
  <c r="AU88"/>
  <c r="AP88"/>
  <c r="AK88"/>
  <c r="BA88"/>
  <c r="BG88"/>
  <c r="AZ88"/>
  <c r="AX88"/>
  <c r="AO88"/>
  <c r="AM88"/>
  <c r="AY88"/>
  <c r="AF88"/>
  <c r="AN88"/>
  <c r="B91"/>
  <c r="B91" i="5"/>
  <c r="F91"/>
  <c r="G91"/>
  <c r="A91" i="12"/>
  <c r="N91" i="5"/>
  <c r="D91" i="6" s="1"/>
  <c r="W91" i="5"/>
  <c r="H91" i="12" s="1"/>
  <c r="H91" i="5"/>
  <c r="C92"/>
  <c r="AD91"/>
  <c r="D91"/>
  <c r="B91" i="12" s="1"/>
  <c r="J91" i="5"/>
  <c r="R91"/>
  <c r="E91"/>
  <c r="K91"/>
  <c r="AE91"/>
  <c r="AB87"/>
  <c r="AA87"/>
  <c r="G90" i="6"/>
  <c r="H90"/>
  <c r="F90"/>
  <c r="E90" i="12"/>
  <c r="N89" i="6"/>
  <c r="M89"/>
  <c r="AB89" s="1"/>
  <c r="O87" i="5"/>
  <c r="C87" i="6"/>
  <c r="D88" i="12"/>
  <c r="E88" i="6"/>
  <c r="AA89" i="5"/>
  <c r="C89" i="6"/>
  <c r="O89" i="5"/>
  <c r="V86" i="12"/>
  <c r="U86"/>
  <c r="T86"/>
  <c r="G91"/>
  <c r="AF92" i="5"/>
  <c r="N88" i="12" l="1"/>
  <c r="C89"/>
  <c r="M89"/>
  <c r="N89" s="1"/>
  <c r="Y88"/>
  <c r="X88" s="1"/>
  <c r="AO89"/>
  <c r="Y89" s="1"/>
  <c r="W89" s="1"/>
  <c r="N87"/>
  <c r="K90"/>
  <c r="S92" i="5"/>
  <c r="F92" i="12" s="1"/>
  <c r="AG92" i="5"/>
  <c r="M90" i="6"/>
  <c r="AK90" s="1"/>
  <c r="N90"/>
  <c r="AF89"/>
  <c r="Y87" i="12"/>
  <c r="AM89" i="6"/>
  <c r="AO89"/>
  <c r="BF89"/>
  <c r="BD89"/>
  <c r="BB89"/>
  <c r="BA89"/>
  <c r="AN89"/>
  <c r="AP89"/>
  <c r="AC89"/>
  <c r="AH89"/>
  <c r="AG89"/>
  <c r="AI89"/>
  <c r="AQ89"/>
  <c r="AU89"/>
  <c r="AS89"/>
  <c r="AX89"/>
  <c r="AR89"/>
  <c r="AK89"/>
  <c r="BG89"/>
  <c r="BE89"/>
  <c r="AJ89"/>
  <c r="AY89"/>
  <c r="AZ89"/>
  <c r="BC89"/>
  <c r="AV89"/>
  <c r="AT89"/>
  <c r="T90" i="5"/>
  <c r="X90" s="1"/>
  <c r="F91" i="6"/>
  <c r="E91" i="12"/>
  <c r="AE92" i="5"/>
  <c r="B92"/>
  <c r="G92"/>
  <c r="F92"/>
  <c r="D92"/>
  <c r="B92" i="12" s="1"/>
  <c r="N92" i="5"/>
  <c r="D92" i="6" s="1"/>
  <c r="C93" i="5"/>
  <c r="AD92"/>
  <c r="R92"/>
  <c r="B92" i="6"/>
  <c r="H92" i="5"/>
  <c r="A92" i="12"/>
  <c r="E92" i="5"/>
  <c r="W92"/>
  <c r="H92" i="12" s="1"/>
  <c r="J92" i="5"/>
  <c r="K92"/>
  <c r="J91" i="12"/>
  <c r="L91"/>
  <c r="A91" i="6"/>
  <c r="E87"/>
  <c r="D87" i="12"/>
  <c r="H91" i="6"/>
  <c r="T91" i="5" s="1"/>
  <c r="X91" s="1"/>
  <c r="AM91" s="1"/>
  <c r="G91" i="6"/>
  <c r="AD89"/>
  <c r="W88" i="12"/>
  <c r="U88" s="1"/>
  <c r="G92"/>
  <c r="D89"/>
  <c r="E89" i="6"/>
  <c r="AF93" i="5"/>
  <c r="AH90" i="6" l="1"/>
  <c r="AC90"/>
  <c r="AJ90"/>
  <c r="AG90"/>
  <c r="AD90"/>
  <c r="AI90"/>
  <c r="AF90"/>
  <c r="AB90"/>
  <c r="K91" i="12"/>
  <c r="I91"/>
  <c r="O91" s="1"/>
  <c r="AC91" i="5"/>
  <c r="S93"/>
  <c r="F93" i="12" s="1"/>
  <c r="AG93" i="5"/>
  <c r="E92" i="12"/>
  <c r="F92" i="6"/>
  <c r="I90" i="12"/>
  <c r="AC90" i="5"/>
  <c r="Z90"/>
  <c r="L90"/>
  <c r="AM90"/>
  <c r="Z91"/>
  <c r="AA91" s="1"/>
  <c r="G92" i="6"/>
  <c r="H92"/>
  <c r="T92" i="5" s="1"/>
  <c r="X92" s="1"/>
  <c r="I92" i="12" s="1"/>
  <c r="X87"/>
  <c r="W87"/>
  <c r="A92" i="6"/>
  <c r="N91"/>
  <c r="M91"/>
  <c r="AD91" s="1"/>
  <c r="R93" i="5"/>
  <c r="K93"/>
  <c r="AD93"/>
  <c r="F93"/>
  <c r="B93" i="6"/>
  <c r="W93" i="5"/>
  <c r="H93" i="12" s="1"/>
  <c r="AE93" i="5"/>
  <c r="G93"/>
  <c r="C94"/>
  <c r="A93" i="12"/>
  <c r="N93" i="5"/>
  <c r="D93" i="6" s="1"/>
  <c r="H93" i="5"/>
  <c r="B93"/>
  <c r="D93"/>
  <c r="B93" i="12" s="1"/>
  <c r="J93" i="5"/>
  <c r="E93"/>
  <c r="BE90" i="6"/>
  <c r="AY90"/>
  <c r="AV90"/>
  <c r="AP90"/>
  <c r="AN90"/>
  <c r="BC90"/>
  <c r="BA90"/>
  <c r="BG90"/>
  <c r="AM90"/>
  <c r="AU90"/>
  <c r="BB90"/>
  <c r="BD90"/>
  <c r="AS90"/>
  <c r="AT90"/>
  <c r="AQ90"/>
  <c r="AZ90"/>
  <c r="BF90"/>
  <c r="AO90"/>
  <c r="AR90"/>
  <c r="AX90"/>
  <c r="L91" i="5"/>
  <c r="O91" s="1"/>
  <c r="J92" i="12"/>
  <c r="L92"/>
  <c r="V88"/>
  <c r="T88"/>
  <c r="X89"/>
  <c r="V89"/>
  <c r="U89"/>
  <c r="T89"/>
  <c r="G93"/>
  <c r="AF94" i="5"/>
  <c r="AB91" l="1"/>
  <c r="L92"/>
  <c r="O92" s="1"/>
  <c r="Z92"/>
  <c r="AB92" s="1"/>
  <c r="C91" i="12"/>
  <c r="AF91" i="6"/>
  <c r="AK91"/>
  <c r="AG91"/>
  <c r="AO91" i="12"/>
  <c r="Y91" s="1"/>
  <c r="X91" s="1"/>
  <c r="M91"/>
  <c r="N91" s="1"/>
  <c r="AB91" i="6"/>
  <c r="C91"/>
  <c r="AH91"/>
  <c r="AM92" i="5"/>
  <c r="AC92"/>
  <c r="K92" i="12"/>
  <c r="AG94" i="5"/>
  <c r="S94"/>
  <c r="F94" i="12" s="1"/>
  <c r="AP91" i="6"/>
  <c r="AN91"/>
  <c r="BE91"/>
  <c r="BD91"/>
  <c r="AU91"/>
  <c r="BG91"/>
  <c r="AV91"/>
  <c r="BB91"/>
  <c r="AO91"/>
  <c r="AY91"/>
  <c r="AC91"/>
  <c r="AZ91"/>
  <c r="BA91"/>
  <c r="AT91"/>
  <c r="BC91"/>
  <c r="AR91"/>
  <c r="AS91"/>
  <c r="BF91"/>
  <c r="AX91"/>
  <c r="AM91"/>
  <c r="AQ91"/>
  <c r="AJ91"/>
  <c r="AI91"/>
  <c r="O90" i="12"/>
  <c r="AO90"/>
  <c r="C90"/>
  <c r="M90"/>
  <c r="A94"/>
  <c r="E94" i="5"/>
  <c r="W94"/>
  <c r="H94" i="12" s="1"/>
  <c r="J94" i="5"/>
  <c r="AE94"/>
  <c r="B94"/>
  <c r="G94"/>
  <c r="F94"/>
  <c r="D94"/>
  <c r="B94" i="12" s="1"/>
  <c r="N94" i="5"/>
  <c r="D94" i="6" s="1"/>
  <c r="H94" i="5"/>
  <c r="B94" i="6"/>
  <c r="AD94" i="5"/>
  <c r="R94"/>
  <c r="C95"/>
  <c r="K94"/>
  <c r="F93" i="6"/>
  <c r="E93" i="12"/>
  <c r="T87"/>
  <c r="U87"/>
  <c r="V87"/>
  <c r="A93" i="6"/>
  <c r="L93" i="12"/>
  <c r="J93"/>
  <c r="N92" i="6"/>
  <c r="M92"/>
  <c r="AB90" i="5"/>
  <c r="AA90"/>
  <c r="G93" i="6"/>
  <c r="H93"/>
  <c r="O90" i="5"/>
  <c r="C90" i="6"/>
  <c r="G94" i="12"/>
  <c r="C92"/>
  <c r="AO92"/>
  <c r="M92"/>
  <c r="O92"/>
  <c r="D91"/>
  <c r="E91" i="6"/>
  <c r="AF95" i="5"/>
  <c r="C92" i="6" l="1"/>
  <c r="AA92" i="5"/>
  <c r="K93" i="12"/>
  <c r="N90"/>
  <c r="AG95" i="5"/>
  <c r="S95"/>
  <c r="F95" i="12" s="1"/>
  <c r="A94" i="6"/>
  <c r="L94" i="12"/>
  <c r="J94"/>
  <c r="T93" i="5"/>
  <c r="X93" s="1"/>
  <c r="AP92" i="6"/>
  <c r="AR92"/>
  <c r="AD92"/>
  <c r="AJ92"/>
  <c r="AK92"/>
  <c r="AT92"/>
  <c r="AI92"/>
  <c r="AC92"/>
  <c r="BB92"/>
  <c r="AV92"/>
  <c r="AM92"/>
  <c r="AG92"/>
  <c r="BF92"/>
  <c r="AH92"/>
  <c r="AY92"/>
  <c r="AU92"/>
  <c r="AO92"/>
  <c r="BE92"/>
  <c r="BD92"/>
  <c r="BA92"/>
  <c r="AZ92"/>
  <c r="AS92"/>
  <c r="BG92"/>
  <c r="AQ92"/>
  <c r="AF92"/>
  <c r="AN92"/>
  <c r="BC92"/>
  <c r="AX92"/>
  <c r="AB92"/>
  <c r="M93"/>
  <c r="N93"/>
  <c r="F94"/>
  <c r="E94" i="12"/>
  <c r="G94" i="6"/>
  <c r="H94"/>
  <c r="T94" i="5" s="1"/>
  <c r="X94" s="1"/>
  <c r="AM94" s="1"/>
  <c r="Y90" i="12"/>
  <c r="D90"/>
  <c r="E90" i="6"/>
  <c r="C96" i="5"/>
  <c r="K95"/>
  <c r="E95"/>
  <c r="B95"/>
  <c r="R95"/>
  <c r="G95"/>
  <c r="F95"/>
  <c r="AD95"/>
  <c r="W95"/>
  <c r="H95" i="12" s="1"/>
  <c r="D95" i="5"/>
  <c r="B95" i="12" s="1"/>
  <c r="H95" i="5"/>
  <c r="A95" i="12"/>
  <c r="N95" i="5"/>
  <c r="D95" i="6" s="1"/>
  <c r="J95" i="5"/>
  <c r="AE95"/>
  <c r="B95" i="6"/>
  <c r="W91" i="12"/>
  <c r="V91" s="1"/>
  <c r="N92"/>
  <c r="Y92"/>
  <c r="G95"/>
  <c r="D92"/>
  <c r="E92" i="6"/>
  <c r="AF96" i="5"/>
  <c r="Z94" l="1"/>
  <c r="AA94" s="1"/>
  <c r="L94"/>
  <c r="C94" i="6" s="1"/>
  <c r="AC94" i="5"/>
  <c r="I94" i="12"/>
  <c r="C94" s="1"/>
  <c r="AG96" i="5"/>
  <c r="S96"/>
  <c r="F96" i="12" s="1"/>
  <c r="J95"/>
  <c r="L95"/>
  <c r="AR93" i="6"/>
  <c r="AX93"/>
  <c r="BB93"/>
  <c r="AZ93"/>
  <c r="BF93"/>
  <c r="AN93"/>
  <c r="BA93"/>
  <c r="BD93"/>
  <c r="AY93"/>
  <c r="AQ93"/>
  <c r="BE93"/>
  <c r="AS93"/>
  <c r="AT93"/>
  <c r="AU93"/>
  <c r="AM93"/>
  <c r="AO93"/>
  <c r="BC93"/>
  <c r="BG93"/>
  <c r="AV93"/>
  <c r="AP93"/>
  <c r="A95"/>
  <c r="N95" s="1"/>
  <c r="AK93"/>
  <c r="AJ93"/>
  <c r="G95"/>
  <c r="H95"/>
  <c r="T95" i="5" s="1"/>
  <c r="X95" s="1"/>
  <c r="I95" i="12" s="1"/>
  <c r="E95"/>
  <c r="F95" i="6"/>
  <c r="F96" i="5"/>
  <c r="D96"/>
  <c r="B96" i="12" s="1"/>
  <c r="K96" i="5"/>
  <c r="G96"/>
  <c r="B96" i="6"/>
  <c r="AD96" i="5"/>
  <c r="N96"/>
  <c r="D96" i="6" s="1"/>
  <c r="C97" i="5"/>
  <c r="A96" i="12"/>
  <c r="E96" i="5"/>
  <c r="R96"/>
  <c r="H96"/>
  <c r="AE96"/>
  <c r="B96"/>
  <c r="J96"/>
  <c r="W96"/>
  <c r="H96" i="12" s="1"/>
  <c r="AC93" i="5"/>
  <c r="Z93"/>
  <c r="AM93"/>
  <c r="L93"/>
  <c r="I93" i="12"/>
  <c r="AH93" i="6"/>
  <c r="AD93"/>
  <c r="W90" i="12"/>
  <c r="X90"/>
  <c r="N94" i="6"/>
  <c r="M94"/>
  <c r="AK94" s="1"/>
  <c r="AB93"/>
  <c r="AC93"/>
  <c r="AI93"/>
  <c r="AF93"/>
  <c r="AG93"/>
  <c r="K94" i="12"/>
  <c r="T91"/>
  <c r="U91"/>
  <c r="X92"/>
  <c r="W92"/>
  <c r="G96"/>
  <c r="AF97" i="5"/>
  <c r="O94" i="12" l="1"/>
  <c r="M94"/>
  <c r="AO94"/>
  <c r="O94" i="5"/>
  <c r="D94" i="12" s="1"/>
  <c r="AB94" i="5"/>
  <c r="AC95"/>
  <c r="AM95"/>
  <c r="Z95"/>
  <c r="AA95" s="1"/>
  <c r="L95"/>
  <c r="C95" i="6" s="1"/>
  <c r="A96"/>
  <c r="K95" i="12"/>
  <c r="AG97" i="5"/>
  <c r="S97"/>
  <c r="F97" i="12" s="1"/>
  <c r="C93"/>
  <c r="O93"/>
  <c r="M93"/>
  <c r="AO93"/>
  <c r="J96"/>
  <c r="L96"/>
  <c r="AA93" i="5"/>
  <c r="AB93"/>
  <c r="BF94" i="6"/>
  <c r="AQ94"/>
  <c r="AR94"/>
  <c r="AC94"/>
  <c r="AI94"/>
  <c r="AP94"/>
  <c r="AJ94"/>
  <c r="BC94"/>
  <c r="AN94"/>
  <c r="AX94"/>
  <c r="AU94"/>
  <c r="BE94"/>
  <c r="BA94"/>
  <c r="AM94"/>
  <c r="AY94"/>
  <c r="AS94"/>
  <c r="AT94"/>
  <c r="AO94"/>
  <c r="AZ94"/>
  <c r="AF94"/>
  <c r="BD94"/>
  <c r="AD94"/>
  <c r="BB94"/>
  <c r="AV94"/>
  <c r="AG94"/>
  <c r="BG94"/>
  <c r="E96" i="12"/>
  <c r="F96" i="6"/>
  <c r="G96"/>
  <c r="H96"/>
  <c r="M95"/>
  <c r="U90" i="12"/>
  <c r="V90"/>
  <c r="T90"/>
  <c r="C93" i="6"/>
  <c r="O93" i="5"/>
  <c r="A97" i="12"/>
  <c r="AE97" i="5"/>
  <c r="J97"/>
  <c r="B97"/>
  <c r="R97"/>
  <c r="K97"/>
  <c r="E97"/>
  <c r="W97"/>
  <c r="H97" i="12" s="1"/>
  <c r="D97" i="5"/>
  <c r="B97" i="12" s="1"/>
  <c r="B97" i="6"/>
  <c r="F97" i="5"/>
  <c r="G97"/>
  <c r="AD97"/>
  <c r="N97"/>
  <c r="D97" i="6" s="1"/>
  <c r="H97" i="5"/>
  <c r="C98"/>
  <c r="AB94" i="6"/>
  <c r="AH94"/>
  <c r="G97" i="12"/>
  <c r="V92"/>
  <c r="T92"/>
  <c r="U92"/>
  <c r="C95"/>
  <c r="M95"/>
  <c r="AO95"/>
  <c r="O95"/>
  <c r="AF98" i="5"/>
  <c r="N94" i="12" l="1"/>
  <c r="Y94"/>
  <c r="W94" s="1"/>
  <c r="U94" s="1"/>
  <c r="O95" i="5"/>
  <c r="E95" i="6" s="1"/>
  <c r="AB95" i="5"/>
  <c r="E94" i="6"/>
  <c r="Y93" i="12"/>
  <c r="M96" i="6"/>
  <c r="AG96" s="1"/>
  <c r="N96"/>
  <c r="K96" i="12"/>
  <c r="S98" i="5"/>
  <c r="F98" i="12" s="1"/>
  <c r="AG98" i="5"/>
  <c r="AX95" i="6"/>
  <c r="AK95"/>
  <c r="AI95"/>
  <c r="AQ95"/>
  <c r="BA95"/>
  <c r="BG95"/>
  <c r="AT95"/>
  <c r="AZ95"/>
  <c r="BB95"/>
  <c r="AM95"/>
  <c r="AC95"/>
  <c r="AV95"/>
  <c r="AS95"/>
  <c r="AH95"/>
  <c r="BC95"/>
  <c r="AG95"/>
  <c r="AY95"/>
  <c r="AR95"/>
  <c r="AO95"/>
  <c r="AN95"/>
  <c r="AP95"/>
  <c r="BD95"/>
  <c r="BF95"/>
  <c r="AJ95"/>
  <c r="AF95"/>
  <c r="AD95"/>
  <c r="AU95"/>
  <c r="BE95"/>
  <c r="AB95"/>
  <c r="AE98" i="5"/>
  <c r="B98"/>
  <c r="H98"/>
  <c r="R98"/>
  <c r="F98"/>
  <c r="D98"/>
  <c r="B98" i="12" s="1"/>
  <c r="J98" i="5"/>
  <c r="W98"/>
  <c r="H98" i="12" s="1"/>
  <c r="AD98" i="5"/>
  <c r="K98"/>
  <c r="B98" i="6"/>
  <c r="G98" i="5"/>
  <c r="A98" i="12"/>
  <c r="E98" i="5"/>
  <c r="N98"/>
  <c r="D98" i="6" s="1"/>
  <c r="C99" i="5"/>
  <c r="E93" i="6"/>
  <c r="D93" i="12"/>
  <c r="F97" i="6"/>
  <c r="E97" i="12"/>
  <c r="J97"/>
  <c r="L97"/>
  <c r="G97" i="6"/>
  <c r="H97"/>
  <c r="T97" i="5" s="1"/>
  <c r="X97" s="1"/>
  <c r="Z97" s="1"/>
  <c r="T96"/>
  <c r="X96" s="1"/>
  <c r="A97" i="6"/>
  <c r="N97" s="1"/>
  <c r="N93" i="12"/>
  <c r="N95"/>
  <c r="Y95"/>
  <c r="D95"/>
  <c r="G98"/>
  <c r="V94"/>
  <c r="AF99" i="5"/>
  <c r="T94" i="12" l="1"/>
  <c r="X94"/>
  <c r="AC96" i="6"/>
  <c r="AD96"/>
  <c r="AK96"/>
  <c r="AJ96"/>
  <c r="AI96"/>
  <c r="AF96"/>
  <c r="AB96"/>
  <c r="X93" i="12"/>
  <c r="W93"/>
  <c r="AH96" i="6"/>
  <c r="BE96"/>
  <c r="AP96"/>
  <c r="AS96"/>
  <c r="BB96"/>
  <c r="AX96"/>
  <c r="AM96"/>
  <c r="AR96"/>
  <c r="BD96"/>
  <c r="AZ96"/>
  <c r="AT96"/>
  <c r="BF96"/>
  <c r="AU96"/>
  <c r="BG96"/>
  <c r="AQ96"/>
  <c r="AN96"/>
  <c r="AV96"/>
  <c r="AY96"/>
  <c r="AO96"/>
  <c r="BC96"/>
  <c r="BA96"/>
  <c r="AM97" i="5"/>
  <c r="AC97"/>
  <c r="I97" i="12"/>
  <c r="C97" s="1"/>
  <c r="L97" i="5"/>
  <c r="O97" s="1"/>
  <c r="AG99"/>
  <c r="S99"/>
  <c r="F99" i="12" s="1"/>
  <c r="I96"/>
  <c r="AC96" i="5"/>
  <c r="Z96"/>
  <c r="L96"/>
  <c r="AM96"/>
  <c r="J98" i="12"/>
  <c r="L98"/>
  <c r="K97"/>
  <c r="H98" i="6"/>
  <c r="T98" i="5" s="1"/>
  <c r="X98" s="1"/>
  <c r="L98" s="1"/>
  <c r="G98" i="6"/>
  <c r="A98"/>
  <c r="M97"/>
  <c r="AK97" s="1"/>
  <c r="B99"/>
  <c r="F99" i="5"/>
  <c r="E99"/>
  <c r="AD99"/>
  <c r="C100"/>
  <c r="H99"/>
  <c r="B99"/>
  <c r="A99" i="12"/>
  <c r="N99" i="5"/>
  <c r="D99" i="6" s="1"/>
  <c r="G99" i="5"/>
  <c r="AE99"/>
  <c r="R99"/>
  <c r="J99"/>
  <c r="D99"/>
  <c r="B99" i="12" s="1"/>
  <c r="K99" i="5"/>
  <c r="W99"/>
  <c r="H99" i="12" s="1"/>
  <c r="F98" i="6"/>
  <c r="E98" i="12"/>
  <c r="AB97" i="5"/>
  <c r="AA97"/>
  <c r="G99" i="12"/>
  <c r="X95"/>
  <c r="W95"/>
  <c r="AF100" i="5"/>
  <c r="O97" i="12" l="1"/>
  <c r="M97"/>
  <c r="AO97"/>
  <c r="C97" i="6"/>
  <c r="Z98" i="5"/>
  <c r="AA98" s="1"/>
  <c r="AC98"/>
  <c r="T93" i="12"/>
  <c r="U93"/>
  <c r="V93"/>
  <c r="I98"/>
  <c r="M98" s="1"/>
  <c r="AM98" i="5"/>
  <c r="K98" i="12"/>
  <c r="S100" i="5"/>
  <c r="F100" i="12" s="1"/>
  <c r="AG100" i="5"/>
  <c r="AB96"/>
  <c r="AA96"/>
  <c r="M98" i="6"/>
  <c r="N98"/>
  <c r="C96"/>
  <c r="O96" i="5"/>
  <c r="F99" i="6"/>
  <c r="E99" i="12"/>
  <c r="J99"/>
  <c r="L99"/>
  <c r="BF97" i="6"/>
  <c r="AG97"/>
  <c r="AN97"/>
  <c r="BA97"/>
  <c r="AM97"/>
  <c r="AU97"/>
  <c r="AR97"/>
  <c r="AZ97"/>
  <c r="AS97"/>
  <c r="AQ97"/>
  <c r="BB97"/>
  <c r="BC97"/>
  <c r="AD97"/>
  <c r="BG97"/>
  <c r="AV97"/>
  <c r="AO97"/>
  <c r="AX97"/>
  <c r="AB97"/>
  <c r="AY97"/>
  <c r="BD97"/>
  <c r="AC97"/>
  <c r="AP97"/>
  <c r="AH97"/>
  <c r="AT97"/>
  <c r="AF97"/>
  <c r="BE97"/>
  <c r="AJ97"/>
  <c r="AI97"/>
  <c r="C96" i="12"/>
  <c r="O96"/>
  <c r="M96"/>
  <c r="AO96"/>
  <c r="H99" i="6"/>
  <c r="G99"/>
  <c r="A100" i="12"/>
  <c r="E100" i="5"/>
  <c r="K100"/>
  <c r="G100"/>
  <c r="AE100"/>
  <c r="B100"/>
  <c r="C101"/>
  <c r="R100"/>
  <c r="B100" i="6"/>
  <c r="F100" i="5"/>
  <c r="D100"/>
  <c r="B100" i="12" s="1"/>
  <c r="H100" i="5"/>
  <c r="N100"/>
  <c r="D100" i="6" s="1"/>
  <c r="AD100" i="5"/>
  <c r="J100"/>
  <c r="W100"/>
  <c r="H100" i="12" s="1"/>
  <c r="A99" i="6"/>
  <c r="M99" s="1"/>
  <c r="BG99" s="1"/>
  <c r="G100" i="12"/>
  <c r="D97"/>
  <c r="E97" i="6"/>
  <c r="V95" i="12"/>
  <c r="U95"/>
  <c r="T95"/>
  <c r="C98" i="6"/>
  <c r="O98" i="5"/>
  <c r="AF101"/>
  <c r="AO98" i="12" l="1"/>
  <c r="Y97"/>
  <c r="X97" s="1"/>
  <c r="N97"/>
  <c r="AB98" i="5"/>
  <c r="C98" i="12"/>
  <c r="O98"/>
  <c r="N98" s="1"/>
  <c r="AC99" i="6"/>
  <c r="Y96" i="12"/>
  <c r="AG101" i="5"/>
  <c r="S101"/>
  <c r="F101" i="12" s="1"/>
  <c r="AP99" i="6"/>
  <c r="BE99"/>
  <c r="W101" i="5"/>
  <c r="H101" i="12" s="1"/>
  <c r="C102" i="5"/>
  <c r="G101"/>
  <c r="AD101"/>
  <c r="R101"/>
  <c r="H101"/>
  <c r="B101"/>
  <c r="J101"/>
  <c r="F101"/>
  <c r="D101"/>
  <c r="B101" i="12" s="1"/>
  <c r="K101" i="5"/>
  <c r="A101" i="12"/>
  <c r="N101" i="5"/>
  <c r="D101" i="6" s="1"/>
  <c r="B101"/>
  <c r="E101" i="5"/>
  <c r="AE101"/>
  <c r="T99"/>
  <c r="X99" s="1"/>
  <c r="AD99" i="6"/>
  <c r="AK99"/>
  <c r="AH99"/>
  <c r="AJ99"/>
  <c r="AG99"/>
  <c r="AB99"/>
  <c r="AI99"/>
  <c r="E96"/>
  <c r="D96" i="12"/>
  <c r="K99"/>
  <c r="AS99" i="6"/>
  <c r="N99"/>
  <c r="BD99"/>
  <c r="F100"/>
  <c r="E100" i="12"/>
  <c r="AH98" i="6"/>
  <c r="AM98"/>
  <c r="BA98"/>
  <c r="AY98"/>
  <c r="AR98"/>
  <c r="BF98"/>
  <c r="AC98"/>
  <c r="BE98"/>
  <c r="BG98"/>
  <c r="AP98"/>
  <c r="AN98"/>
  <c r="AV98"/>
  <c r="AF98"/>
  <c r="AK98"/>
  <c r="AD98"/>
  <c r="BC98"/>
  <c r="AX98"/>
  <c r="AZ98"/>
  <c r="AT98"/>
  <c r="AQ98"/>
  <c r="AJ98"/>
  <c r="AG98"/>
  <c r="AB98"/>
  <c r="AI98"/>
  <c r="BB98"/>
  <c r="AU98"/>
  <c r="AO98"/>
  <c r="AS98"/>
  <c r="BD98"/>
  <c r="AQ99"/>
  <c r="AF99"/>
  <c r="AT99"/>
  <c r="BC99"/>
  <c r="BF99"/>
  <c r="AN99"/>
  <c r="AR99"/>
  <c r="AY99"/>
  <c r="AU99"/>
  <c r="AV99"/>
  <c r="BB99"/>
  <c r="BA99"/>
  <c r="AZ99"/>
  <c r="G100"/>
  <c r="H100"/>
  <c r="T100" i="5" s="1"/>
  <c r="X100" s="1"/>
  <c r="AM100" s="1"/>
  <c r="J100" i="12"/>
  <c r="L100"/>
  <c r="A100" i="6"/>
  <c r="AM99"/>
  <c r="N96" i="12"/>
  <c r="AO99" i="6"/>
  <c r="AX99"/>
  <c r="G101" i="12"/>
  <c r="W97"/>
  <c r="D98"/>
  <c r="E98" i="6"/>
  <c r="AF102" i="5"/>
  <c r="Y98" i="12" l="1"/>
  <c r="X98" s="1"/>
  <c r="L100" i="5"/>
  <c r="O100" s="1"/>
  <c r="X96" i="12"/>
  <c r="W96"/>
  <c r="Z100" i="5"/>
  <c r="AB100" s="1"/>
  <c r="AC100"/>
  <c r="I100" i="12"/>
  <c r="C100" s="1"/>
  <c r="S102" i="5"/>
  <c r="F102" i="12" s="1"/>
  <c r="AG102" i="5"/>
  <c r="L99"/>
  <c r="I99" i="12"/>
  <c r="AC99" i="5"/>
  <c r="Z99"/>
  <c r="AM99"/>
  <c r="H101" i="6"/>
  <c r="G101"/>
  <c r="F101"/>
  <c r="E101" i="12"/>
  <c r="W102" i="5"/>
  <c r="H102" i="12" s="1"/>
  <c r="F102" i="5"/>
  <c r="D102"/>
  <c r="B102" i="12" s="1"/>
  <c r="G102" i="5"/>
  <c r="K102"/>
  <c r="B102" i="6"/>
  <c r="AD102" i="5"/>
  <c r="C103"/>
  <c r="J102"/>
  <c r="A102" i="12"/>
  <c r="E102" i="5"/>
  <c r="H102"/>
  <c r="N102"/>
  <c r="D102" i="6" s="1"/>
  <c r="AE102" i="5"/>
  <c r="B102"/>
  <c r="R102"/>
  <c r="K100" i="12"/>
  <c r="A101" i="6"/>
  <c r="N100"/>
  <c r="M100"/>
  <c r="J101" i="12"/>
  <c r="L101"/>
  <c r="W98"/>
  <c r="V98" s="1"/>
  <c r="T97"/>
  <c r="V97"/>
  <c r="U97"/>
  <c r="G102"/>
  <c r="AF103" i="5"/>
  <c r="AO100" i="12" l="1"/>
  <c r="O100"/>
  <c r="M100"/>
  <c r="AA100" i="5"/>
  <c r="C100" i="6"/>
  <c r="K101" i="12"/>
  <c r="T96"/>
  <c r="V96"/>
  <c r="U96"/>
  <c r="AG103" i="5"/>
  <c r="S103"/>
  <c r="F103" i="12" s="1"/>
  <c r="M101" i="6"/>
  <c r="AC101" s="1"/>
  <c r="N101"/>
  <c r="J102" i="12"/>
  <c r="L102"/>
  <c r="A102" i="6"/>
  <c r="AB99" i="5"/>
  <c r="AA99"/>
  <c r="AX100" i="6"/>
  <c r="AR100"/>
  <c r="BA100"/>
  <c r="AC100"/>
  <c r="AH100"/>
  <c r="AI100"/>
  <c r="BF100"/>
  <c r="BD100"/>
  <c r="AB100"/>
  <c r="AP100"/>
  <c r="AV100"/>
  <c r="AJ100"/>
  <c r="AU100"/>
  <c r="BE100"/>
  <c r="BC100"/>
  <c r="AG100"/>
  <c r="AZ100"/>
  <c r="AF100"/>
  <c r="AS100"/>
  <c r="AY100"/>
  <c r="AN100"/>
  <c r="AM100"/>
  <c r="AO100"/>
  <c r="AK100"/>
  <c r="AD100"/>
  <c r="BB100"/>
  <c r="BG100"/>
  <c r="AT100"/>
  <c r="AQ100"/>
  <c r="F102"/>
  <c r="E102" i="12"/>
  <c r="R103" i="5"/>
  <c r="AD103"/>
  <c r="E103"/>
  <c r="G103"/>
  <c r="B103" i="6"/>
  <c r="F103" i="5"/>
  <c r="AE103"/>
  <c r="H103"/>
  <c r="A103" i="12"/>
  <c r="N103" i="5"/>
  <c r="D103" i="6" s="1"/>
  <c r="B103" i="5"/>
  <c r="J103"/>
  <c r="C104"/>
  <c r="D103"/>
  <c r="B103" i="12" s="1"/>
  <c r="K103" i="5"/>
  <c r="W103"/>
  <c r="H103" i="12" s="1"/>
  <c r="O99" i="5"/>
  <c r="C99" i="6"/>
  <c r="G102"/>
  <c r="H102"/>
  <c r="T101" i="5"/>
  <c r="X101" s="1"/>
  <c r="M99" i="12"/>
  <c r="C99"/>
  <c r="AO99"/>
  <c r="O99"/>
  <c r="T98"/>
  <c r="U98"/>
  <c r="G103"/>
  <c r="D100"/>
  <c r="E100" i="6"/>
  <c r="AF104" i="5"/>
  <c r="Y100" i="12" l="1"/>
  <c r="X100" s="1"/>
  <c r="N100"/>
  <c r="AB101" i="6"/>
  <c r="AJ101"/>
  <c r="AF101"/>
  <c r="AG101"/>
  <c r="AI101"/>
  <c r="AH101"/>
  <c r="AD101"/>
  <c r="AK101"/>
  <c r="N99" i="12"/>
  <c r="S104" i="5"/>
  <c r="F104" i="12" s="1"/>
  <c r="AG104" i="5"/>
  <c r="T102"/>
  <c r="X102" s="1"/>
  <c r="I101" i="12"/>
  <c r="AC101" i="5"/>
  <c r="Z101"/>
  <c r="AM101"/>
  <c r="L101"/>
  <c r="E99" i="6"/>
  <c r="D99" i="12"/>
  <c r="A104"/>
  <c r="E104" i="5"/>
  <c r="C105"/>
  <c r="K104"/>
  <c r="AE104"/>
  <c r="B104"/>
  <c r="R104"/>
  <c r="H104"/>
  <c r="F104"/>
  <c r="D104"/>
  <c r="B104" i="12" s="1"/>
  <c r="W104" i="5"/>
  <c r="H104" i="12" s="1"/>
  <c r="N104" i="5"/>
  <c r="D104" i="6" s="1"/>
  <c r="B104"/>
  <c r="AD104" i="5"/>
  <c r="G104"/>
  <c r="J104"/>
  <c r="J103" i="12"/>
  <c r="L103"/>
  <c r="E103"/>
  <c r="F103" i="6"/>
  <c r="Y99" i="12"/>
  <c r="A103" i="6"/>
  <c r="K102" i="12"/>
  <c r="G103" i="6"/>
  <c r="H103"/>
  <c r="T103" i="5" s="1"/>
  <c r="X103" s="1"/>
  <c r="L103" s="1"/>
  <c r="M102" i="6"/>
  <c r="N102"/>
  <c r="AU101"/>
  <c r="AZ101"/>
  <c r="AM101"/>
  <c r="AV101"/>
  <c r="BE101"/>
  <c r="AT101"/>
  <c r="BA101"/>
  <c r="BD101"/>
  <c r="AX101"/>
  <c r="AP101"/>
  <c r="AQ101"/>
  <c r="BB101"/>
  <c r="AR101"/>
  <c r="BF101"/>
  <c r="AO101"/>
  <c r="AN101"/>
  <c r="AY101"/>
  <c r="BG101"/>
  <c r="BC101"/>
  <c r="AS101"/>
  <c r="G104" i="12"/>
  <c r="AF105" i="5"/>
  <c r="W100" i="12" l="1"/>
  <c r="T100" s="1"/>
  <c r="AC103" i="5"/>
  <c r="I103" i="12"/>
  <c r="AO103" s="1"/>
  <c r="AM103" i="5"/>
  <c r="Z103"/>
  <c r="AA103" s="1"/>
  <c r="K103" i="12"/>
  <c r="AG105" i="5"/>
  <c r="S105"/>
  <c r="F105" i="12" s="1"/>
  <c r="AT102" i="6"/>
  <c r="BE102"/>
  <c r="AX102"/>
  <c r="AN102"/>
  <c r="AU102"/>
  <c r="AM102"/>
  <c r="BB102"/>
  <c r="BG102"/>
  <c r="AQ102"/>
  <c r="BF102"/>
  <c r="BC102"/>
  <c r="BA102"/>
  <c r="AV102"/>
  <c r="AO102"/>
  <c r="AS102"/>
  <c r="AR102"/>
  <c r="AZ102"/>
  <c r="BD102"/>
  <c r="AP102"/>
  <c r="AY102"/>
  <c r="M103"/>
  <c r="N103"/>
  <c r="O101" i="5"/>
  <c r="C101" i="6"/>
  <c r="C101" i="12"/>
  <c r="M101"/>
  <c r="O101"/>
  <c r="AO101"/>
  <c r="AG102" i="6"/>
  <c r="AK102"/>
  <c r="F104"/>
  <c r="E104" i="12"/>
  <c r="C106" i="5"/>
  <c r="AE105"/>
  <c r="E105"/>
  <c r="W105"/>
  <c r="H105" i="12" s="1"/>
  <c r="R105" i="5"/>
  <c r="B105"/>
  <c r="G105"/>
  <c r="J105"/>
  <c r="B105" i="6"/>
  <c r="F105" i="5"/>
  <c r="H105"/>
  <c r="K105"/>
  <c r="A105" i="12"/>
  <c r="N105" i="5"/>
  <c r="D105" i="6" s="1"/>
  <c r="D105" i="5"/>
  <c r="B105" i="12" s="1"/>
  <c r="AD105" i="5"/>
  <c r="AB102" i="6"/>
  <c r="AJ102"/>
  <c r="G104"/>
  <c r="H104"/>
  <c r="T104" i="5" s="1"/>
  <c r="X104" s="1"/>
  <c r="Z104" s="1"/>
  <c r="AA101"/>
  <c r="AB101"/>
  <c r="AM102"/>
  <c r="Z102"/>
  <c r="I102" i="12"/>
  <c r="AC102" i="5"/>
  <c r="L102"/>
  <c r="AD102" i="6"/>
  <c r="AI102"/>
  <c r="W99" i="12"/>
  <c r="X99"/>
  <c r="J104"/>
  <c r="L104"/>
  <c r="A104" i="6"/>
  <c r="AC102"/>
  <c r="AH102"/>
  <c r="AF102"/>
  <c r="G105" i="12"/>
  <c r="C103" i="6"/>
  <c r="O103" i="5"/>
  <c r="AF106"/>
  <c r="AB103" l="1"/>
  <c r="V100" i="12"/>
  <c r="U100"/>
  <c r="C103"/>
  <c r="M103"/>
  <c r="O103"/>
  <c r="Y103" s="1"/>
  <c r="X103" s="1"/>
  <c r="I104"/>
  <c r="C104" s="1"/>
  <c r="Y101"/>
  <c r="AC104" i="5"/>
  <c r="AM104"/>
  <c r="L104"/>
  <c r="C104" i="6" s="1"/>
  <c r="N101" i="12"/>
  <c r="S106" i="5"/>
  <c r="F106" i="12" s="1"/>
  <c r="AG106" i="5"/>
  <c r="O102"/>
  <c r="C102" i="6"/>
  <c r="E101"/>
  <c r="D101" i="12"/>
  <c r="AA102" i="5"/>
  <c r="AB102"/>
  <c r="O102" i="12"/>
  <c r="M102"/>
  <c r="C102"/>
  <c r="AO102"/>
  <c r="L105"/>
  <c r="J105"/>
  <c r="E105"/>
  <c r="F105" i="6"/>
  <c r="G106" i="5"/>
  <c r="W106"/>
  <c r="H106" i="12" s="1"/>
  <c r="AE106" i="5"/>
  <c r="B106"/>
  <c r="R106"/>
  <c r="K106"/>
  <c r="F106"/>
  <c r="H106"/>
  <c r="D106"/>
  <c r="B106" i="12" s="1"/>
  <c r="B106" i="6"/>
  <c r="AD106" i="5"/>
  <c r="C107"/>
  <c r="J106"/>
  <c r="A106" i="12"/>
  <c r="E106" i="5"/>
  <c r="N106"/>
  <c r="D106" i="6" s="1"/>
  <c r="AF103"/>
  <c r="AV103"/>
  <c r="BD103"/>
  <c r="AI103"/>
  <c r="BC103"/>
  <c r="AB103"/>
  <c r="AR103"/>
  <c r="BG103"/>
  <c r="BA103"/>
  <c r="AJ103"/>
  <c r="AM103"/>
  <c r="AN103"/>
  <c r="AT103"/>
  <c r="AP103"/>
  <c r="BF103"/>
  <c r="AX103"/>
  <c r="AU103"/>
  <c r="AG103"/>
  <c r="AD103"/>
  <c r="AC103"/>
  <c r="AZ103"/>
  <c r="AQ103"/>
  <c r="AO103"/>
  <c r="BB103"/>
  <c r="AH103"/>
  <c r="BE103"/>
  <c r="AK103"/>
  <c r="AS103"/>
  <c r="AY103"/>
  <c r="K104" i="12"/>
  <c r="A105" i="6"/>
  <c r="N104"/>
  <c r="M104"/>
  <c r="U99" i="12"/>
  <c r="V99"/>
  <c r="T99"/>
  <c r="H105" i="6"/>
  <c r="T105" i="5" s="1"/>
  <c r="X105" s="1"/>
  <c r="I105" i="12" s="1"/>
  <c r="G105" i="6"/>
  <c r="G106" i="12"/>
  <c r="M104"/>
  <c r="D103"/>
  <c r="E103" i="6"/>
  <c r="AA104" i="5"/>
  <c r="AB104"/>
  <c r="AF107"/>
  <c r="O104" l="1"/>
  <c r="E104" i="6" s="1"/>
  <c r="AO104" i="12"/>
  <c r="O104"/>
  <c r="N104" s="1"/>
  <c r="K105"/>
  <c r="N102"/>
  <c r="N103"/>
  <c r="X101"/>
  <c r="W101"/>
  <c r="L105" i="5"/>
  <c r="O105" s="1"/>
  <c r="AG107"/>
  <c r="S107"/>
  <c r="F107" i="12" s="1"/>
  <c r="BE104" i="6"/>
  <c r="AP104"/>
  <c r="AU104"/>
  <c r="BD104"/>
  <c r="BC104"/>
  <c r="AH104"/>
  <c r="AZ104"/>
  <c r="BB104"/>
  <c r="AT104"/>
  <c r="AY104"/>
  <c r="AX104"/>
  <c r="BA104"/>
  <c r="AQ104"/>
  <c r="AV104"/>
  <c r="AG104"/>
  <c r="BF104"/>
  <c r="AR104"/>
  <c r="AF104"/>
  <c r="AB104"/>
  <c r="AS104"/>
  <c r="AK104"/>
  <c r="AO104"/>
  <c r="AN104"/>
  <c r="AD104"/>
  <c r="AC104"/>
  <c r="AJ104"/>
  <c r="BG104"/>
  <c r="AM104"/>
  <c r="AI104"/>
  <c r="F106"/>
  <c r="E106" i="12"/>
  <c r="L106"/>
  <c r="J106"/>
  <c r="AM105" i="5"/>
  <c r="A106" i="6"/>
  <c r="N105"/>
  <c r="M105"/>
  <c r="AF105" s="1"/>
  <c r="D102" i="12"/>
  <c r="E102" i="6"/>
  <c r="Z105" i="5"/>
  <c r="AA105" s="1"/>
  <c r="H106" i="6"/>
  <c r="G106"/>
  <c r="B107"/>
  <c r="K107" i="5"/>
  <c r="AE107"/>
  <c r="J107"/>
  <c r="W107"/>
  <c r="H107" i="12" s="1"/>
  <c r="A107"/>
  <c r="N107" i="5"/>
  <c r="D107" i="6" s="1"/>
  <c r="B107" i="5"/>
  <c r="E107"/>
  <c r="R107"/>
  <c r="AD107"/>
  <c r="C108"/>
  <c r="D107"/>
  <c r="B107" i="12" s="1"/>
  <c r="G107" i="5"/>
  <c r="H107"/>
  <c r="F107"/>
  <c r="AC105"/>
  <c r="Y102" i="12"/>
  <c r="W103"/>
  <c r="U103" s="1"/>
  <c r="C105"/>
  <c r="O105"/>
  <c r="M105"/>
  <c r="AO105"/>
  <c r="G107"/>
  <c r="AF108" i="5"/>
  <c r="D104" i="12" l="1"/>
  <c r="Y104"/>
  <c r="X104" s="1"/>
  <c r="C105" i="6"/>
  <c r="AB105" i="5"/>
  <c r="AH105" i="6"/>
  <c r="AB105"/>
  <c r="AK105"/>
  <c r="AJ105"/>
  <c r="AD105"/>
  <c r="K106" i="12"/>
  <c r="U101"/>
  <c r="T101"/>
  <c r="V101"/>
  <c r="AC105" i="6"/>
  <c r="AG108" i="5"/>
  <c r="S108"/>
  <c r="F108" i="12" s="1"/>
  <c r="W102"/>
  <c r="X102"/>
  <c r="G107" i="6"/>
  <c r="H107"/>
  <c r="T106" i="5"/>
  <c r="X106" s="1"/>
  <c r="A108" i="12"/>
  <c r="E108" i="5"/>
  <c r="H108"/>
  <c r="R108"/>
  <c r="W108"/>
  <c r="H108" i="12" s="1"/>
  <c r="D108" i="5"/>
  <c r="B108" i="12" s="1"/>
  <c r="AE108" i="5"/>
  <c r="B108"/>
  <c r="K108"/>
  <c r="C109"/>
  <c r="B108" i="6"/>
  <c r="AD108" i="5"/>
  <c r="G108"/>
  <c r="N108"/>
  <c r="D108" i="6" s="1"/>
  <c r="F108" i="5"/>
  <c r="J108"/>
  <c r="M106" i="6"/>
  <c r="N106"/>
  <c r="A107"/>
  <c r="M107" s="1"/>
  <c r="AR107" s="1"/>
  <c r="E107" i="12"/>
  <c r="F107" i="6"/>
  <c r="J107" i="12"/>
  <c r="L107"/>
  <c r="BE105" i="6"/>
  <c r="BG105"/>
  <c r="AS105"/>
  <c r="AN105"/>
  <c r="AT105"/>
  <c r="AZ105"/>
  <c r="AY105"/>
  <c r="BC105"/>
  <c r="BB105"/>
  <c r="AM105"/>
  <c r="AI105"/>
  <c r="AG105"/>
  <c r="AU105"/>
  <c r="BD105"/>
  <c r="AV105"/>
  <c r="AQ105"/>
  <c r="AR105"/>
  <c r="AP105"/>
  <c r="AO105"/>
  <c r="BA105"/>
  <c r="AX105"/>
  <c r="BF105"/>
  <c r="V103" i="12"/>
  <c r="T103"/>
  <c r="Y105"/>
  <c r="X105" s="1"/>
  <c r="D105"/>
  <c r="E105" i="6"/>
  <c r="N105" i="12"/>
  <c r="G108"/>
  <c r="AF109" i="5"/>
  <c r="W104" i="12" l="1"/>
  <c r="T104" s="1"/>
  <c r="K107"/>
  <c r="N107" i="6"/>
  <c r="S109" i="5"/>
  <c r="F109" i="12" s="1"/>
  <c r="AG109" i="5"/>
  <c r="AO106" i="6"/>
  <c r="BG106"/>
  <c r="AM106"/>
  <c r="BD106"/>
  <c r="AY106"/>
  <c r="BC106"/>
  <c r="AR106"/>
  <c r="AZ106"/>
  <c r="BA106"/>
  <c r="BF106"/>
  <c r="AS106"/>
  <c r="BE106"/>
  <c r="AX106"/>
  <c r="BB106"/>
  <c r="AN106"/>
  <c r="AQ106"/>
  <c r="AV106"/>
  <c r="AU106"/>
  <c r="AT106"/>
  <c r="AP106"/>
  <c r="J108" i="12"/>
  <c r="L108"/>
  <c r="AD106" i="6"/>
  <c r="AH106"/>
  <c r="G108"/>
  <c r="H108"/>
  <c r="C110" i="5"/>
  <c r="H109"/>
  <c r="B109"/>
  <c r="J109"/>
  <c r="R109"/>
  <c r="F109"/>
  <c r="D109"/>
  <c r="B109" i="12" s="1"/>
  <c r="W109" i="5"/>
  <c r="H109" i="12" s="1"/>
  <c r="B109" i="6"/>
  <c r="K109" i="5"/>
  <c r="E109"/>
  <c r="AD109"/>
  <c r="N109"/>
  <c r="D109" i="6" s="1"/>
  <c r="A109" i="12"/>
  <c r="G109" i="5"/>
  <c r="AE109"/>
  <c r="T107"/>
  <c r="X107" s="1"/>
  <c r="AJ107" i="6"/>
  <c r="AK107"/>
  <c r="AC107"/>
  <c r="AD107"/>
  <c r="AH107"/>
  <c r="AG107"/>
  <c r="AB107"/>
  <c r="AF107"/>
  <c r="AI107"/>
  <c r="AF106"/>
  <c r="AG106"/>
  <c r="AX107"/>
  <c r="AZ107"/>
  <c r="AT107"/>
  <c r="BD107"/>
  <c r="AY107"/>
  <c r="AP107"/>
  <c r="BF107"/>
  <c r="BE107"/>
  <c r="AS107"/>
  <c r="BA107"/>
  <c r="AO107"/>
  <c r="BC107"/>
  <c r="AM107"/>
  <c r="BB107"/>
  <c r="AN107"/>
  <c r="AQ107"/>
  <c r="BG107"/>
  <c r="AU107"/>
  <c r="AV107"/>
  <c r="Z106" i="5"/>
  <c r="L106"/>
  <c r="AM106"/>
  <c r="I106" i="12"/>
  <c r="AC106" i="5"/>
  <c r="U102" i="12"/>
  <c r="T102"/>
  <c r="V102"/>
  <c r="A108" i="6"/>
  <c r="AB106"/>
  <c r="AC106"/>
  <c r="F108"/>
  <c r="E108" i="12"/>
  <c r="AJ106" i="6"/>
  <c r="AK106"/>
  <c r="AI106"/>
  <c r="W105" i="12"/>
  <c r="V105" s="1"/>
  <c r="G109"/>
  <c r="AF110" i="5"/>
  <c r="U104" i="12" l="1"/>
  <c r="V104"/>
  <c r="K108"/>
  <c r="AG110" i="5"/>
  <c r="S110"/>
  <c r="F110" i="12" s="1"/>
  <c r="C106" i="6"/>
  <c r="O106" i="5"/>
  <c r="AM107"/>
  <c r="I107" i="12"/>
  <c r="AC107" i="5"/>
  <c r="L107"/>
  <c r="Z107"/>
  <c r="G109" i="6"/>
  <c r="H109"/>
  <c r="T109" i="5" s="1"/>
  <c r="X109" s="1"/>
  <c r="I109" i="12" s="1"/>
  <c r="F109" i="6"/>
  <c r="E109" i="12"/>
  <c r="AE110" i="5"/>
  <c r="B110"/>
  <c r="G110"/>
  <c r="N110"/>
  <c r="D110" i="6" s="1"/>
  <c r="D110" i="5"/>
  <c r="B110" i="12" s="1"/>
  <c r="R110" i="5"/>
  <c r="W110"/>
  <c r="H110" i="12" s="1"/>
  <c r="F110" i="5"/>
  <c r="H110"/>
  <c r="B110" i="6"/>
  <c r="AD110" i="5"/>
  <c r="J110"/>
  <c r="A110" i="12"/>
  <c r="E110" i="5"/>
  <c r="K110"/>
  <c r="C111"/>
  <c r="A109" i="6"/>
  <c r="M108"/>
  <c r="AD108" s="1"/>
  <c r="N108"/>
  <c r="J109" i="12"/>
  <c r="L109"/>
  <c r="C106"/>
  <c r="M106"/>
  <c r="O106"/>
  <c r="AO106"/>
  <c r="AA106" i="5"/>
  <c r="AB106"/>
  <c r="T108"/>
  <c r="X108" s="1"/>
  <c r="U105" i="12"/>
  <c r="T105"/>
  <c r="G110"/>
  <c r="AF111" i="5"/>
  <c r="AC109" l="1"/>
  <c r="Y106" i="12"/>
  <c r="X106" s="1"/>
  <c r="K109"/>
  <c r="AM109" i="5"/>
  <c r="Z109"/>
  <c r="AB109" s="1"/>
  <c r="A110" i="6"/>
  <c r="N110" s="1"/>
  <c r="L109" i="5"/>
  <c r="C109" i="6" s="1"/>
  <c r="AF108"/>
  <c r="AB108"/>
  <c r="S111" i="5"/>
  <c r="F111" i="12" s="1"/>
  <c r="AG111" i="5"/>
  <c r="I108" i="12"/>
  <c r="AC108" i="5"/>
  <c r="Z108"/>
  <c r="AM108"/>
  <c r="L108"/>
  <c r="A111" i="12"/>
  <c r="N111" i="5"/>
  <c r="D111" i="6" s="1"/>
  <c r="J111" i="5"/>
  <c r="D111"/>
  <c r="B111" i="12" s="1"/>
  <c r="W111" i="5"/>
  <c r="H111" i="12" s="1"/>
  <c r="E111" i="5"/>
  <c r="AD111"/>
  <c r="F111"/>
  <c r="AE111"/>
  <c r="C112"/>
  <c r="R111"/>
  <c r="G111"/>
  <c r="B111" i="6"/>
  <c r="K111" i="5"/>
  <c r="H111"/>
  <c r="B111"/>
  <c r="G110" i="6"/>
  <c r="H110"/>
  <c r="T110" i="5" s="1"/>
  <c r="X110" s="1"/>
  <c r="I110" i="12" s="1"/>
  <c r="AA107" i="5"/>
  <c r="AB107"/>
  <c r="AK108" i="6"/>
  <c r="AH108"/>
  <c r="N106" i="12"/>
  <c r="N109" i="6"/>
  <c r="M109"/>
  <c r="L110" i="12"/>
  <c r="J110"/>
  <c r="O107"/>
  <c r="C107"/>
  <c r="M107"/>
  <c r="AO107"/>
  <c r="AC108" i="6"/>
  <c r="AJ108"/>
  <c r="BF108"/>
  <c r="AN108"/>
  <c r="BC108"/>
  <c r="AV108"/>
  <c r="AT108"/>
  <c r="AU108"/>
  <c r="AQ108"/>
  <c r="BE108"/>
  <c r="BG108"/>
  <c r="AM108"/>
  <c r="AS108"/>
  <c r="AP108"/>
  <c r="AX108"/>
  <c r="AO108"/>
  <c r="AY108"/>
  <c r="BB108"/>
  <c r="AR108"/>
  <c r="BA108"/>
  <c r="BD108"/>
  <c r="AZ108"/>
  <c r="E110" i="12"/>
  <c r="F110" i="6"/>
  <c r="O107" i="5"/>
  <c r="C107" i="6"/>
  <c r="E106"/>
  <c r="D106" i="12"/>
  <c r="AG108" i="6"/>
  <c r="AI108"/>
  <c r="G111" i="12"/>
  <c r="C109"/>
  <c r="M109"/>
  <c r="O109"/>
  <c r="AO109"/>
  <c r="AF112" i="5"/>
  <c r="O109" l="1"/>
  <c r="E109" i="6" s="1"/>
  <c r="AA109" i="5"/>
  <c r="K110" i="12"/>
  <c r="L110" i="5"/>
  <c r="O110" s="1"/>
  <c r="Z110"/>
  <c r="AA110" s="1"/>
  <c r="W106" i="12"/>
  <c r="AM110" i="5"/>
  <c r="A111" i="6"/>
  <c r="AC110" i="5"/>
  <c r="M110" i="6"/>
  <c r="AK110" s="1"/>
  <c r="N107" i="12"/>
  <c r="AG112" i="5"/>
  <c r="S112"/>
  <c r="F112" i="12" s="1"/>
  <c r="AB109" i="6"/>
  <c r="BE109"/>
  <c r="BF109"/>
  <c r="AQ109"/>
  <c r="AZ109"/>
  <c r="AK109"/>
  <c r="AS109"/>
  <c r="AJ109"/>
  <c r="AY109"/>
  <c r="AV109"/>
  <c r="AG109"/>
  <c r="AI109"/>
  <c r="BD109"/>
  <c r="BC109"/>
  <c r="AD109"/>
  <c r="AO109"/>
  <c r="BA109"/>
  <c r="AP109"/>
  <c r="BB109"/>
  <c r="AC109"/>
  <c r="AT109"/>
  <c r="AX109"/>
  <c r="AN109"/>
  <c r="AF109"/>
  <c r="AU109"/>
  <c r="AM109"/>
  <c r="AH109"/>
  <c r="BG109"/>
  <c r="AR109"/>
  <c r="AD112" i="5"/>
  <c r="N112"/>
  <c r="D112" i="6" s="1"/>
  <c r="G112" i="5"/>
  <c r="A112" i="12"/>
  <c r="E112" i="5"/>
  <c r="R112"/>
  <c r="H112"/>
  <c r="AE112"/>
  <c r="B112"/>
  <c r="J112"/>
  <c r="W112"/>
  <c r="H112" i="12" s="1"/>
  <c r="F112" i="5"/>
  <c r="K112"/>
  <c r="C113"/>
  <c r="B112" i="6"/>
  <c r="D112" i="5"/>
  <c r="B112" i="12" s="1"/>
  <c r="G111" i="6"/>
  <c r="H111"/>
  <c r="T111" i="5" s="1"/>
  <c r="X111" s="1"/>
  <c r="AM111" s="1"/>
  <c r="AB108"/>
  <c r="AA108"/>
  <c r="E111" i="12"/>
  <c r="F111" i="6"/>
  <c r="O108" i="5"/>
  <c r="C108" i="6"/>
  <c r="O108" i="12"/>
  <c r="AO108"/>
  <c r="C108"/>
  <c r="M108"/>
  <c r="Y107"/>
  <c r="D107"/>
  <c r="E107" i="6"/>
  <c r="L111" i="12"/>
  <c r="J111"/>
  <c r="Y109"/>
  <c r="W109" s="1"/>
  <c r="N109"/>
  <c r="G112"/>
  <c r="C110"/>
  <c r="O110"/>
  <c r="AO110"/>
  <c r="M110"/>
  <c r="AF113" i="5"/>
  <c r="D109" i="12" l="1"/>
  <c r="Y108"/>
  <c r="W108" s="1"/>
  <c r="V108" s="1"/>
  <c r="C110" i="6"/>
  <c r="AB110" i="5"/>
  <c r="V106" i="12"/>
  <c r="T106"/>
  <c r="U106"/>
  <c r="I111"/>
  <c r="AO111" s="1"/>
  <c r="A112" i="6"/>
  <c r="M112" s="1"/>
  <c r="BC112" s="1"/>
  <c r="L111" i="5"/>
  <c r="O111" s="1"/>
  <c r="AC111"/>
  <c r="Z111"/>
  <c r="AB111" s="1"/>
  <c r="N111" i="6"/>
  <c r="M111"/>
  <c r="AF111" s="1"/>
  <c r="AH110"/>
  <c r="AQ110"/>
  <c r="AT110"/>
  <c r="AN110"/>
  <c r="AU110"/>
  <c r="AS110"/>
  <c r="AC110"/>
  <c r="BA110"/>
  <c r="AR110"/>
  <c r="AV110"/>
  <c r="BE110"/>
  <c r="AJ110"/>
  <c r="AG110"/>
  <c r="BD110"/>
  <c r="AZ110"/>
  <c r="AY110"/>
  <c r="AD110"/>
  <c r="AF110"/>
  <c r="BB110"/>
  <c r="AX110"/>
  <c r="BC110"/>
  <c r="AP110"/>
  <c r="AO110"/>
  <c r="BF110"/>
  <c r="AB110"/>
  <c r="AI110"/>
  <c r="BG110"/>
  <c r="AM110"/>
  <c r="K111" i="12"/>
  <c r="S113" i="5"/>
  <c r="F113" i="12" s="1"/>
  <c r="AG113" i="5"/>
  <c r="A113" i="12"/>
  <c r="N113" i="5"/>
  <c r="D113" i="6" s="1"/>
  <c r="J113" i="5"/>
  <c r="B113"/>
  <c r="C114"/>
  <c r="D113"/>
  <c r="B113" i="12" s="1"/>
  <c r="R113" i="5"/>
  <c r="F113"/>
  <c r="G113"/>
  <c r="AD113"/>
  <c r="B113" i="6"/>
  <c r="K113" i="5"/>
  <c r="H113"/>
  <c r="AE113"/>
  <c r="W113"/>
  <c r="H113" i="12" s="1"/>
  <c r="E113" i="5"/>
  <c r="E112" i="12"/>
  <c r="F112" i="6"/>
  <c r="H112"/>
  <c r="G112"/>
  <c r="D108" i="12"/>
  <c r="E108" i="6"/>
  <c r="L112" i="12"/>
  <c r="J112"/>
  <c r="X107"/>
  <c r="W107"/>
  <c r="N108"/>
  <c r="X109"/>
  <c r="Y110"/>
  <c r="X110" s="1"/>
  <c r="G113"/>
  <c r="D110"/>
  <c r="E110" i="6"/>
  <c r="N110" i="12"/>
  <c r="V109"/>
  <c r="U109"/>
  <c r="T109"/>
  <c r="AF114" i="5"/>
  <c r="AA111" l="1"/>
  <c r="C111" i="12"/>
  <c r="T108"/>
  <c r="O111"/>
  <c r="Y111" s="1"/>
  <c r="X111" s="1"/>
  <c r="U108"/>
  <c r="M111"/>
  <c r="X108"/>
  <c r="AD111" i="6"/>
  <c r="C111"/>
  <c r="N112"/>
  <c r="AY112"/>
  <c r="AM112"/>
  <c r="AB111"/>
  <c r="BG112"/>
  <c r="AV112"/>
  <c r="BE112"/>
  <c r="BA112"/>
  <c r="AP112"/>
  <c r="BB112"/>
  <c r="AZ112"/>
  <c r="AR112"/>
  <c r="AS112"/>
  <c r="K112" i="12"/>
  <c r="AU112" i="6"/>
  <c r="BD112"/>
  <c r="AN112"/>
  <c r="AT112"/>
  <c r="AX112"/>
  <c r="BF112"/>
  <c r="AO112"/>
  <c r="AQ112"/>
  <c r="A113"/>
  <c r="N113" s="1"/>
  <c r="BF111"/>
  <c r="BD111"/>
  <c r="BC111"/>
  <c r="AY111"/>
  <c r="AZ111"/>
  <c r="AG111"/>
  <c r="AI111"/>
  <c r="AX111"/>
  <c r="BG111"/>
  <c r="AP111"/>
  <c r="AQ111"/>
  <c r="AV111"/>
  <c r="BE111"/>
  <c r="AN111"/>
  <c r="AR111"/>
  <c r="AJ111"/>
  <c r="BA111"/>
  <c r="AO111"/>
  <c r="AT111"/>
  <c r="BB111"/>
  <c r="AM111"/>
  <c r="AC111"/>
  <c r="AU111"/>
  <c r="AS111"/>
  <c r="AH111"/>
  <c r="AK111"/>
  <c r="AG114" i="5"/>
  <c r="S114"/>
  <c r="F114" i="12" s="1"/>
  <c r="F113" i="6"/>
  <c r="E113" i="12"/>
  <c r="T112" i="5"/>
  <c r="X112" s="1"/>
  <c r="AB112" i="6"/>
  <c r="AD112"/>
  <c r="AG112"/>
  <c r="AK112"/>
  <c r="AC112"/>
  <c r="AF112"/>
  <c r="AH112"/>
  <c r="AI112"/>
  <c r="AJ112"/>
  <c r="AE114" i="5"/>
  <c r="B114"/>
  <c r="K114"/>
  <c r="G114"/>
  <c r="F114"/>
  <c r="D114"/>
  <c r="B114" i="12" s="1"/>
  <c r="N114" i="5"/>
  <c r="D114" i="6" s="1"/>
  <c r="C115" i="5"/>
  <c r="B114" i="6"/>
  <c r="AD114" i="5"/>
  <c r="R114"/>
  <c r="H114"/>
  <c r="W114"/>
  <c r="H114" i="12" s="1"/>
  <c r="A114"/>
  <c r="E114" i="5"/>
  <c r="J114"/>
  <c r="L113" i="12"/>
  <c r="J113"/>
  <c r="T107"/>
  <c r="V107"/>
  <c r="U107"/>
  <c r="G113" i="6"/>
  <c r="H113"/>
  <c r="T113" i="5" s="1"/>
  <c r="X113" s="1"/>
  <c r="Z113" s="1"/>
  <c r="M113" i="6"/>
  <c r="W110" i="12"/>
  <c r="T110" s="1"/>
  <c r="G114"/>
  <c r="D111"/>
  <c r="E111" i="6"/>
  <c r="AF115" i="5"/>
  <c r="N111" i="12" l="1"/>
  <c r="AC113" i="6"/>
  <c r="K113" i="12"/>
  <c r="BF113" i="6"/>
  <c r="I113" i="12"/>
  <c r="O113" s="1"/>
  <c r="AX113" i="6"/>
  <c r="AP113"/>
  <c r="AN113"/>
  <c r="AG113"/>
  <c r="BC113"/>
  <c r="AS113"/>
  <c r="L113" i="5"/>
  <c r="C113" i="6" s="1"/>
  <c r="AY113"/>
  <c r="BE113"/>
  <c r="BB113"/>
  <c r="AV113"/>
  <c r="AI113"/>
  <c r="BD113"/>
  <c r="AM113" i="5"/>
  <c r="AB113" i="6"/>
  <c r="AK113"/>
  <c r="AQ113"/>
  <c r="AZ113"/>
  <c r="AM113"/>
  <c r="AT113"/>
  <c r="AC113" i="5"/>
  <c r="AH113" i="6"/>
  <c r="AG115" i="5"/>
  <c r="S115"/>
  <c r="F115" i="12" s="1"/>
  <c r="F114" i="6"/>
  <c r="E114" i="12"/>
  <c r="G114" i="6"/>
  <c r="H114"/>
  <c r="T114" i="5" s="1"/>
  <c r="X114" s="1"/>
  <c r="AM114" s="1"/>
  <c r="L112"/>
  <c r="I112" i="12"/>
  <c r="AC112" i="5"/>
  <c r="Z112"/>
  <c r="AM112"/>
  <c r="B115" i="6"/>
  <c r="K115" i="5"/>
  <c r="J115"/>
  <c r="B115"/>
  <c r="C116"/>
  <c r="A115" i="12"/>
  <c r="N115" i="5"/>
  <c r="D115" i="6" s="1"/>
  <c r="W115" i="5"/>
  <c r="H115" i="12" s="1"/>
  <c r="D115" i="5"/>
  <c r="B115" i="12" s="1"/>
  <c r="AD115" i="5"/>
  <c r="H115"/>
  <c r="R115"/>
  <c r="F115"/>
  <c r="G115"/>
  <c r="AE115"/>
  <c r="E115"/>
  <c r="AF113" i="6"/>
  <c r="A114"/>
  <c r="J114" i="12"/>
  <c r="L114"/>
  <c r="AR113" i="6"/>
  <c r="BA113"/>
  <c r="BG113"/>
  <c r="AO113"/>
  <c r="AU113"/>
  <c r="AD113"/>
  <c r="AJ113"/>
  <c r="U110" i="12"/>
  <c r="V110"/>
  <c r="W111"/>
  <c r="V111" s="1"/>
  <c r="C113"/>
  <c r="G115"/>
  <c r="AB113" i="5"/>
  <c r="AA113"/>
  <c r="AF116"/>
  <c r="AO113" i="12" l="1"/>
  <c r="Y113" s="1"/>
  <c r="X113" s="1"/>
  <c r="M113"/>
  <c r="N113" s="1"/>
  <c r="Z114" i="5"/>
  <c r="AB114" s="1"/>
  <c r="O113"/>
  <c r="E113" i="6" s="1"/>
  <c r="L114" i="5"/>
  <c r="O114" s="1"/>
  <c r="AC114"/>
  <c r="I114" i="12"/>
  <c r="AO114" s="1"/>
  <c r="S116" i="5"/>
  <c r="F116" i="12" s="1"/>
  <c r="AG116" i="5"/>
  <c r="N114" i="6"/>
  <c r="M114"/>
  <c r="L115" i="12"/>
  <c r="J115"/>
  <c r="G115" i="6"/>
  <c r="H115"/>
  <c r="AB112" i="5"/>
  <c r="AA112"/>
  <c r="E115" i="12"/>
  <c r="F115" i="6"/>
  <c r="O112" i="5"/>
  <c r="C112" i="6"/>
  <c r="K114" i="12"/>
  <c r="A116"/>
  <c r="E116" i="5"/>
  <c r="W116"/>
  <c r="H116" i="12" s="1"/>
  <c r="J116" i="5"/>
  <c r="B116" i="6"/>
  <c r="AD116" i="5"/>
  <c r="R116"/>
  <c r="H116"/>
  <c r="AE116"/>
  <c r="B116"/>
  <c r="K116"/>
  <c r="G116"/>
  <c r="F116"/>
  <c r="D116"/>
  <c r="B116" i="12" s="1"/>
  <c r="C117" i="5"/>
  <c r="N116"/>
  <c r="D116" i="6" s="1"/>
  <c r="M112" i="12"/>
  <c r="AO112"/>
  <c r="C112"/>
  <c r="O112"/>
  <c r="A115" i="6"/>
  <c r="T111" i="12"/>
  <c r="U111"/>
  <c r="G116"/>
  <c r="AF117" i="5"/>
  <c r="M114" i="12" l="1"/>
  <c r="C114"/>
  <c r="O114"/>
  <c r="Y114" s="1"/>
  <c r="AA114" i="5"/>
  <c r="D113" i="12"/>
  <c r="C114" i="6"/>
  <c r="Y112" i="12"/>
  <c r="K115"/>
  <c r="S117" i="5"/>
  <c r="F117" i="12" s="1"/>
  <c r="AG117" i="5"/>
  <c r="E112" i="6"/>
  <c r="D112" i="12"/>
  <c r="R117" i="5"/>
  <c r="G117"/>
  <c r="AD117"/>
  <c r="E117"/>
  <c r="K117"/>
  <c r="AE117"/>
  <c r="H117"/>
  <c r="W117"/>
  <c r="H117" i="12" s="1"/>
  <c r="B117" i="6"/>
  <c r="C118" i="5"/>
  <c r="A117" i="12"/>
  <c r="N117" i="5"/>
  <c r="D117" i="6" s="1"/>
  <c r="B117" i="5"/>
  <c r="J117"/>
  <c r="D117"/>
  <c r="B117" i="12" s="1"/>
  <c r="F117" i="5"/>
  <c r="F116" i="6"/>
  <c r="E116" i="12"/>
  <c r="G116" i="6"/>
  <c r="H116"/>
  <c r="N112" i="12"/>
  <c r="M115" i="6"/>
  <c r="AG115" s="1"/>
  <c r="N115"/>
  <c r="L116" i="12"/>
  <c r="J116"/>
  <c r="T115" i="5"/>
  <c r="X115" s="1"/>
  <c r="AO114" i="6"/>
  <c r="AU114"/>
  <c r="AD114"/>
  <c r="AB114"/>
  <c r="BC114"/>
  <c r="BG114"/>
  <c r="AK114"/>
  <c r="BE114"/>
  <c r="AM114"/>
  <c r="BF114"/>
  <c r="AJ114"/>
  <c r="BA114"/>
  <c r="BD114"/>
  <c r="AT114"/>
  <c r="AP114"/>
  <c r="AR114"/>
  <c r="AH114"/>
  <c r="AY114"/>
  <c r="AS114"/>
  <c r="AC114"/>
  <c r="AF114"/>
  <c r="AI114"/>
  <c r="AQ114"/>
  <c r="AN114"/>
  <c r="BB114"/>
  <c r="AX114"/>
  <c r="AV114"/>
  <c r="AG114"/>
  <c r="AZ114"/>
  <c r="A116"/>
  <c r="W113" i="12"/>
  <c r="U113" s="1"/>
  <c r="D114"/>
  <c r="E114" i="6"/>
  <c r="G117" i="12"/>
  <c r="AF118" i="5"/>
  <c r="N114" i="12" l="1"/>
  <c r="W112"/>
  <c r="X112"/>
  <c r="K116"/>
  <c r="AB115" i="6"/>
  <c r="AC115"/>
  <c r="AH115"/>
  <c r="AD115"/>
  <c r="S118" i="5"/>
  <c r="F118" i="12" s="1"/>
  <c r="AG118" i="5"/>
  <c r="M116" i="6"/>
  <c r="AD116" s="1"/>
  <c r="N116"/>
  <c r="E117" i="12"/>
  <c r="F117" i="6"/>
  <c r="AI115"/>
  <c r="A117"/>
  <c r="M117" s="1"/>
  <c r="Z115" i="5"/>
  <c r="AM115"/>
  <c r="L115"/>
  <c r="I115" i="12"/>
  <c r="AC115" i="5"/>
  <c r="AS115" i="6"/>
  <c r="BC115"/>
  <c r="BA115"/>
  <c r="AQ115"/>
  <c r="AY115"/>
  <c r="AU115"/>
  <c r="BB115"/>
  <c r="AP115"/>
  <c r="AO115"/>
  <c r="BF115"/>
  <c r="BG115"/>
  <c r="BD115"/>
  <c r="AN115"/>
  <c r="BE115"/>
  <c r="AT115"/>
  <c r="AM115"/>
  <c r="AR115"/>
  <c r="AX115"/>
  <c r="AZ115"/>
  <c r="AV115"/>
  <c r="A118" i="12"/>
  <c r="AE118" i="5"/>
  <c r="B118"/>
  <c r="C119"/>
  <c r="F118"/>
  <c r="H118"/>
  <c r="G118"/>
  <c r="W118"/>
  <c r="H118" i="12" s="1"/>
  <c r="AD118" i="5"/>
  <c r="J118"/>
  <c r="B118" i="6"/>
  <c r="E118" i="5"/>
  <c r="K118"/>
  <c r="R118"/>
  <c r="D118"/>
  <c r="B118" i="12" s="1"/>
  <c r="N118" i="5"/>
  <c r="D118" i="6" s="1"/>
  <c r="J117" i="12"/>
  <c r="L117"/>
  <c r="AK115" i="6"/>
  <c r="AF115"/>
  <c r="AJ115"/>
  <c r="T116" i="5"/>
  <c r="X116" s="1"/>
  <c r="G117" i="6"/>
  <c r="H117"/>
  <c r="V113" i="12"/>
  <c r="T113"/>
  <c r="G118"/>
  <c r="X114"/>
  <c r="W114"/>
  <c r="AF119" i="5"/>
  <c r="N117" i="6" l="1"/>
  <c r="AC116"/>
  <c r="AJ116"/>
  <c r="AH116"/>
  <c r="AI116"/>
  <c r="AF116"/>
  <c r="AB116"/>
  <c r="AG116"/>
  <c r="AK116"/>
  <c r="K117" i="12"/>
  <c r="T112"/>
  <c r="V112"/>
  <c r="U112"/>
  <c r="AG119" i="5"/>
  <c r="S119"/>
  <c r="F119" i="12" s="1"/>
  <c r="H118" i="6"/>
  <c r="T118" i="5" s="1"/>
  <c r="X118" s="1"/>
  <c r="Z118" s="1"/>
  <c r="G118" i="6"/>
  <c r="C120" i="5"/>
  <c r="R119"/>
  <c r="G119"/>
  <c r="H119"/>
  <c r="AD119"/>
  <c r="AE119"/>
  <c r="B119" i="6"/>
  <c r="K119" i="5"/>
  <c r="J119"/>
  <c r="A119" i="12"/>
  <c r="N119" i="5"/>
  <c r="D119" i="6" s="1"/>
  <c r="W119" i="5"/>
  <c r="H119" i="12" s="1"/>
  <c r="D119" i="5"/>
  <c r="B119" i="12" s="1"/>
  <c r="F119" i="5"/>
  <c r="E119"/>
  <c r="B119"/>
  <c r="AA115"/>
  <c r="AB115"/>
  <c r="T117"/>
  <c r="X117" s="1"/>
  <c r="AJ117" i="6"/>
  <c r="AD117"/>
  <c r="AC117"/>
  <c r="AK117"/>
  <c r="AH117"/>
  <c r="AG117"/>
  <c r="AI117"/>
  <c r="AF117"/>
  <c r="AB117"/>
  <c r="L118" i="12"/>
  <c r="J118"/>
  <c r="Z116" i="5"/>
  <c r="L116"/>
  <c r="AM116"/>
  <c r="I116" i="12"/>
  <c r="AC116" i="5"/>
  <c r="F118" i="6"/>
  <c r="E118" i="12"/>
  <c r="C115" i="6"/>
  <c r="O115" i="5"/>
  <c r="AU116" i="6"/>
  <c r="AX116"/>
  <c r="AZ116"/>
  <c r="AQ116"/>
  <c r="AS116"/>
  <c r="AO116"/>
  <c r="AT116"/>
  <c r="BA116"/>
  <c r="BE116"/>
  <c r="AN116"/>
  <c r="BF116"/>
  <c r="AM116"/>
  <c r="BD116"/>
  <c r="AV116"/>
  <c r="BG116"/>
  <c r="BC116"/>
  <c r="AP116"/>
  <c r="AR116"/>
  <c r="AY116"/>
  <c r="BB116"/>
  <c r="AO115" i="12"/>
  <c r="C115"/>
  <c r="O115"/>
  <c r="M115"/>
  <c r="AX117" i="6"/>
  <c r="AY117"/>
  <c r="BG117"/>
  <c r="AP117"/>
  <c r="BA117"/>
  <c r="AT117"/>
  <c r="BC117"/>
  <c r="BE117"/>
  <c r="AU117"/>
  <c r="AV117"/>
  <c r="BF117"/>
  <c r="AM117"/>
  <c r="AZ117"/>
  <c r="AS117"/>
  <c r="BB117"/>
  <c r="AQ117"/>
  <c r="AR117"/>
  <c r="AO117"/>
  <c r="AN117"/>
  <c r="BD117"/>
  <c r="A118"/>
  <c r="G119" i="12"/>
  <c r="I118"/>
  <c r="L118" i="5"/>
  <c r="V114" i="12"/>
  <c r="U114"/>
  <c r="T114"/>
  <c r="AF120" i="5"/>
  <c r="AC118" l="1"/>
  <c r="AM118"/>
  <c r="K118" i="12"/>
  <c r="Y115"/>
  <c r="S120" i="5"/>
  <c r="F120" i="12" s="1"/>
  <c r="AG120" i="5"/>
  <c r="G120"/>
  <c r="AD120"/>
  <c r="R120"/>
  <c r="B120" i="6"/>
  <c r="E120" i="5"/>
  <c r="W120"/>
  <c r="H120" i="12" s="1"/>
  <c r="C121" i="5"/>
  <c r="A120" i="12"/>
  <c r="AE120" i="5"/>
  <c r="B120"/>
  <c r="H120"/>
  <c r="J120"/>
  <c r="F120"/>
  <c r="D120"/>
  <c r="B120" i="12" s="1"/>
  <c r="N120" i="5"/>
  <c r="D120" i="6" s="1"/>
  <c r="K120" i="5"/>
  <c r="M116" i="12"/>
  <c r="O116"/>
  <c r="C116"/>
  <c r="AO116"/>
  <c r="J119"/>
  <c r="L119"/>
  <c r="F119" i="6"/>
  <c r="E119" i="12"/>
  <c r="N115"/>
  <c r="D115"/>
  <c r="E115" i="6"/>
  <c r="AB116" i="5"/>
  <c r="AA116"/>
  <c r="AM117"/>
  <c r="L117"/>
  <c r="I117" i="12"/>
  <c r="AC117" i="5"/>
  <c r="Z117"/>
  <c r="G119" i="6"/>
  <c r="H119"/>
  <c r="A119"/>
  <c r="N118"/>
  <c r="M118"/>
  <c r="O116" i="5"/>
  <c r="C116" i="6"/>
  <c r="C118"/>
  <c r="O118" i="5"/>
  <c r="C118" i="12"/>
  <c r="M118"/>
  <c r="O118"/>
  <c r="AO118"/>
  <c r="G120"/>
  <c r="AB118" i="5"/>
  <c r="AA118"/>
  <c r="AF121"/>
  <c r="K119" i="12" l="1"/>
  <c r="N116"/>
  <c r="X115"/>
  <c r="W115"/>
  <c r="Y116"/>
  <c r="AG121" i="5"/>
  <c r="S121"/>
  <c r="F121" i="12" s="1"/>
  <c r="AZ118" i="6"/>
  <c r="AD118"/>
  <c r="BG118"/>
  <c r="AX118"/>
  <c r="AQ118"/>
  <c r="BD118"/>
  <c r="AC118"/>
  <c r="AG118"/>
  <c r="BE118"/>
  <c r="AP118"/>
  <c r="BB118"/>
  <c r="AU118"/>
  <c r="BA118"/>
  <c r="BC118"/>
  <c r="AR118"/>
  <c r="AY118"/>
  <c r="AK118"/>
  <c r="AS118"/>
  <c r="AH118"/>
  <c r="BF118"/>
  <c r="AN118"/>
  <c r="AI118"/>
  <c r="AO118"/>
  <c r="AB118"/>
  <c r="AF118"/>
  <c r="AT118"/>
  <c r="AJ118"/>
  <c r="AM118"/>
  <c r="AV118"/>
  <c r="O117" i="5"/>
  <c r="C117" i="6"/>
  <c r="G120"/>
  <c r="H120"/>
  <c r="T120" i="5" s="1"/>
  <c r="X120" s="1"/>
  <c r="AM120" s="1"/>
  <c r="R121"/>
  <c r="G121"/>
  <c r="W121"/>
  <c r="H121" i="12" s="1"/>
  <c r="J121" i="5"/>
  <c r="K121"/>
  <c r="D121"/>
  <c r="B121" i="12" s="1"/>
  <c r="B121" i="6"/>
  <c r="AD121" i="5"/>
  <c r="A121" i="12"/>
  <c r="N121" i="5"/>
  <c r="D121" i="6" s="1"/>
  <c r="AE121" i="5"/>
  <c r="E121"/>
  <c r="C122"/>
  <c r="F121"/>
  <c r="H121"/>
  <c r="B121"/>
  <c r="F120" i="6"/>
  <c r="E120" i="12"/>
  <c r="E116" i="6"/>
  <c r="D116" i="12"/>
  <c r="T119" i="5"/>
  <c r="X119" s="1"/>
  <c r="M117" i="12"/>
  <c r="O117"/>
  <c r="C117"/>
  <c r="AO117"/>
  <c r="L120"/>
  <c r="J120"/>
  <c r="A120" i="6"/>
  <c r="M119"/>
  <c r="N119"/>
  <c r="AA117" i="5"/>
  <c r="AB117"/>
  <c r="N118" i="12"/>
  <c r="Y118"/>
  <c r="X118" s="1"/>
  <c r="D118"/>
  <c r="E118" i="6"/>
  <c r="G121" i="12"/>
  <c r="AF122" i="5"/>
  <c r="L120" l="1"/>
  <c r="O120" s="1"/>
  <c r="Z120"/>
  <c r="AB120" s="1"/>
  <c r="AC120"/>
  <c r="I120" i="12"/>
  <c r="M120" s="1"/>
  <c r="U115"/>
  <c r="V115"/>
  <c r="T115"/>
  <c r="X116"/>
  <c r="W116"/>
  <c r="K120"/>
  <c r="S122" i="5"/>
  <c r="F122" i="12" s="1"/>
  <c r="AG122" i="5"/>
  <c r="AP119" i="6"/>
  <c r="AZ119"/>
  <c r="AT119"/>
  <c r="BA119"/>
  <c r="AN119"/>
  <c r="AX119"/>
  <c r="AO119"/>
  <c r="AQ119"/>
  <c r="BD119"/>
  <c r="BE119"/>
  <c r="BC119"/>
  <c r="AS119"/>
  <c r="AY119"/>
  <c r="AV119"/>
  <c r="BB119"/>
  <c r="AU119"/>
  <c r="BG119"/>
  <c r="AM119"/>
  <c r="BF119"/>
  <c r="AR119"/>
  <c r="G121"/>
  <c r="H121"/>
  <c r="Y117" i="12"/>
  <c r="AF119" i="6"/>
  <c r="AK119"/>
  <c r="AI119"/>
  <c r="AJ119"/>
  <c r="AC119"/>
  <c r="A121"/>
  <c r="N117" i="12"/>
  <c r="AG119" i="6"/>
  <c r="AB119"/>
  <c r="N120"/>
  <c r="M120"/>
  <c r="I119" i="12"/>
  <c r="AC119" i="5"/>
  <c r="Z119"/>
  <c r="AM119"/>
  <c r="L119"/>
  <c r="G122"/>
  <c r="AD122"/>
  <c r="C123"/>
  <c r="W122"/>
  <c r="H122" i="12" s="1"/>
  <c r="B122" i="6"/>
  <c r="E122" i="5"/>
  <c r="H122"/>
  <c r="J122"/>
  <c r="A122" i="12"/>
  <c r="AE122" i="5"/>
  <c r="B122"/>
  <c r="K122"/>
  <c r="F122"/>
  <c r="D122"/>
  <c r="B122" i="12" s="1"/>
  <c r="N122" i="5"/>
  <c r="D122" i="6" s="1"/>
  <c r="R122" i="5"/>
  <c r="J121" i="12"/>
  <c r="L121"/>
  <c r="F121" i="6"/>
  <c r="E121" i="12"/>
  <c r="E117" i="6"/>
  <c r="D117" i="12"/>
  <c r="AH119" i="6"/>
  <c r="AD119"/>
  <c r="W118" i="12"/>
  <c r="T118" s="1"/>
  <c r="G122"/>
  <c r="AO120"/>
  <c r="AF123" i="5"/>
  <c r="O120" i="12" l="1"/>
  <c r="C120"/>
  <c r="AA120" i="5"/>
  <c r="C120" i="6"/>
  <c r="K121" i="12"/>
  <c r="U116"/>
  <c r="V116"/>
  <c r="T116"/>
  <c r="S123" i="5"/>
  <c r="F123" i="12" s="1"/>
  <c r="AG123" i="5"/>
  <c r="F122" i="6"/>
  <c r="E122" i="12"/>
  <c r="C119" i="6"/>
  <c r="O119" i="5"/>
  <c r="C119" i="12"/>
  <c r="O119"/>
  <c r="M119"/>
  <c r="AO119"/>
  <c r="X117"/>
  <c r="W117"/>
  <c r="J122"/>
  <c r="L122"/>
  <c r="A122" i="6"/>
  <c r="AB119" i="5"/>
  <c r="AA119"/>
  <c r="M121" i="6"/>
  <c r="AI121" s="1"/>
  <c r="N121"/>
  <c r="G122"/>
  <c r="H122"/>
  <c r="T122" i="5" s="1"/>
  <c r="X122" s="1"/>
  <c r="Z122" s="1"/>
  <c r="R123"/>
  <c r="G123"/>
  <c r="H123"/>
  <c r="AE123"/>
  <c r="B123" i="6"/>
  <c r="K123" i="5"/>
  <c r="J123"/>
  <c r="B123"/>
  <c r="C124"/>
  <c r="A123" i="12"/>
  <c r="N123" i="5"/>
  <c r="D123" i="6" s="1"/>
  <c r="W123" i="5"/>
  <c r="H123" i="12" s="1"/>
  <c r="D123" i="5"/>
  <c r="B123" i="12" s="1"/>
  <c r="F123" i="5"/>
  <c r="AD123"/>
  <c r="E123"/>
  <c r="AF120" i="6"/>
  <c r="AK120"/>
  <c r="AH120"/>
  <c r="AG120"/>
  <c r="AN120"/>
  <c r="BF120"/>
  <c r="AV120"/>
  <c r="AY120"/>
  <c r="AS120"/>
  <c r="AI120"/>
  <c r="AD120"/>
  <c r="AM120"/>
  <c r="BG120"/>
  <c r="AZ120"/>
  <c r="BA120"/>
  <c r="BC120"/>
  <c r="AQ120"/>
  <c r="AJ120"/>
  <c r="AB120"/>
  <c r="AC120"/>
  <c r="AR120"/>
  <c r="AT120"/>
  <c r="AO120"/>
  <c r="BE120"/>
  <c r="AX120"/>
  <c r="BB120"/>
  <c r="BD120"/>
  <c r="AU120"/>
  <c r="AP120"/>
  <c r="T121" i="5"/>
  <c r="X121" s="1"/>
  <c r="U118" i="12"/>
  <c r="V118"/>
  <c r="Y120"/>
  <c r="G123"/>
  <c r="D120"/>
  <c r="E120" i="6"/>
  <c r="N120" i="12"/>
  <c r="AF124" i="5"/>
  <c r="AD121" i="6" l="1"/>
  <c r="AG121"/>
  <c r="AH121"/>
  <c r="Y119" i="12"/>
  <c r="I122"/>
  <c r="AO122" s="1"/>
  <c r="AC122" i="5"/>
  <c r="AC121" i="6"/>
  <c r="AM122" i="5"/>
  <c r="AF121" i="6"/>
  <c r="AK121"/>
  <c r="L122" i="5"/>
  <c r="C122" i="6" s="1"/>
  <c r="AJ121"/>
  <c r="AB121"/>
  <c r="S124" i="5"/>
  <c r="F124" i="12" s="1"/>
  <c r="AG124" i="5"/>
  <c r="A124" i="12"/>
  <c r="AE124" i="5"/>
  <c r="B124"/>
  <c r="K124"/>
  <c r="AD124"/>
  <c r="H124"/>
  <c r="F124"/>
  <c r="D124"/>
  <c r="B124" i="12" s="1"/>
  <c r="N124" i="5"/>
  <c r="D124" i="6" s="1"/>
  <c r="C125" i="5"/>
  <c r="G124"/>
  <c r="R124"/>
  <c r="B124" i="6"/>
  <c r="E124" i="5"/>
  <c r="W124"/>
  <c r="H124" i="12" s="1"/>
  <c r="J124" i="5"/>
  <c r="F123" i="6"/>
  <c r="E123" i="12"/>
  <c r="BB121" i="6"/>
  <c r="AV121"/>
  <c r="BA121"/>
  <c r="AN121"/>
  <c r="BG121"/>
  <c r="AQ121"/>
  <c r="BE121"/>
  <c r="AT121"/>
  <c r="BF121"/>
  <c r="BC121"/>
  <c r="BD121"/>
  <c r="AX121"/>
  <c r="AU121"/>
  <c r="AM121"/>
  <c r="AP121"/>
  <c r="AO121"/>
  <c r="AS121"/>
  <c r="AZ121"/>
  <c r="AY121"/>
  <c r="AR121"/>
  <c r="E119"/>
  <c r="D119" i="12"/>
  <c r="K122"/>
  <c r="Z121" i="5"/>
  <c r="AM121"/>
  <c r="L121"/>
  <c r="I121" i="12"/>
  <c r="AC121" i="5"/>
  <c r="J123" i="12"/>
  <c r="L123"/>
  <c r="A123" i="6"/>
  <c r="M123" s="1"/>
  <c r="N122"/>
  <c r="M122"/>
  <c r="H123"/>
  <c r="G123"/>
  <c r="V117" i="12"/>
  <c r="U117"/>
  <c r="T117"/>
  <c r="N119"/>
  <c r="G124"/>
  <c r="AB122" i="5"/>
  <c r="AA122"/>
  <c r="X120" i="12"/>
  <c r="W120"/>
  <c r="AF125" i="5"/>
  <c r="O122" l="1"/>
  <c r="E122" i="6" s="1"/>
  <c r="M122" i="12"/>
  <c r="X119"/>
  <c r="W119"/>
  <c r="O122"/>
  <c r="Y122" s="1"/>
  <c r="C122"/>
  <c r="N123" i="6"/>
  <c r="S125" i="5"/>
  <c r="F125" i="12" s="1"/>
  <c r="AG125" i="5"/>
  <c r="AH122" i="6"/>
  <c r="AK122"/>
  <c r="BC122"/>
  <c r="AZ122"/>
  <c r="AR122"/>
  <c r="BB122"/>
  <c r="AS122"/>
  <c r="AF122"/>
  <c r="AC122"/>
  <c r="AD122"/>
  <c r="AB122"/>
  <c r="AJ122"/>
  <c r="BF122"/>
  <c r="BA122"/>
  <c r="AY122"/>
  <c r="AO122"/>
  <c r="AU122"/>
  <c r="AQ122"/>
  <c r="AT122"/>
  <c r="AP122"/>
  <c r="BE122"/>
  <c r="BD122"/>
  <c r="AX122"/>
  <c r="BG122"/>
  <c r="AN122"/>
  <c r="AG122"/>
  <c r="AI122"/>
  <c r="AM122"/>
  <c r="AV122"/>
  <c r="T123" i="5"/>
  <c r="X123" s="1"/>
  <c r="AB123" i="6"/>
  <c r="AJ123"/>
  <c r="AH123"/>
  <c r="AI123"/>
  <c r="AD123"/>
  <c r="AF123"/>
  <c r="AC123"/>
  <c r="AG123"/>
  <c r="AK123"/>
  <c r="O121" i="5"/>
  <c r="C121" i="6"/>
  <c r="F124"/>
  <c r="E124" i="12"/>
  <c r="K123"/>
  <c r="AV123" i="6"/>
  <c r="BA123"/>
  <c r="AS123"/>
  <c r="AU123"/>
  <c r="BB123"/>
  <c r="AX123"/>
  <c r="AP123"/>
  <c r="AR123"/>
  <c r="AT123"/>
  <c r="AO123"/>
  <c r="AY123"/>
  <c r="BD123"/>
  <c r="BF123"/>
  <c r="BG123"/>
  <c r="AQ123"/>
  <c r="AM123"/>
  <c r="AN123"/>
  <c r="BC123"/>
  <c r="BE123"/>
  <c r="AZ123"/>
  <c r="M121" i="12"/>
  <c r="C121"/>
  <c r="O121"/>
  <c r="AO121"/>
  <c r="A124" i="6"/>
  <c r="N124" s="1"/>
  <c r="H124"/>
  <c r="G124"/>
  <c r="L124" i="12"/>
  <c r="J124"/>
  <c r="AA121" i="5"/>
  <c r="AB121"/>
  <c r="N125"/>
  <c r="D125" i="6" s="1"/>
  <c r="R125" i="5"/>
  <c r="G125"/>
  <c r="W125"/>
  <c r="H125" i="12" s="1"/>
  <c r="J125" i="5"/>
  <c r="B125" i="6"/>
  <c r="AD125" i="5"/>
  <c r="D125"/>
  <c r="B125" i="12" s="1"/>
  <c r="F125" i="5"/>
  <c r="K125"/>
  <c r="H125"/>
  <c r="A125" i="12"/>
  <c r="C126" i="5"/>
  <c r="AE125"/>
  <c r="E125"/>
  <c r="B125"/>
  <c r="V120" i="12"/>
  <c r="U120"/>
  <c r="T120"/>
  <c r="G125"/>
  <c r="AF126" i="5"/>
  <c r="D122" i="12" l="1"/>
  <c r="N122"/>
  <c r="U119"/>
  <c r="V119"/>
  <c r="T119"/>
  <c r="N121"/>
  <c r="K124"/>
  <c r="S126" i="5"/>
  <c r="F126" i="12" s="1"/>
  <c r="AG126" i="5"/>
  <c r="E125" i="12"/>
  <c r="F125" i="6"/>
  <c r="M124"/>
  <c r="AG124" s="1"/>
  <c r="E121"/>
  <c r="D121" i="12"/>
  <c r="Y121"/>
  <c r="L125"/>
  <c r="J125"/>
  <c r="B126" i="6"/>
  <c r="G126" i="5"/>
  <c r="AE126"/>
  <c r="N126"/>
  <c r="D126" i="6" s="1"/>
  <c r="A126" i="12"/>
  <c r="H126" i="5"/>
  <c r="D126"/>
  <c r="B126" i="12" s="1"/>
  <c r="W126" i="5"/>
  <c r="H126" i="12" s="1"/>
  <c r="C127" i="5"/>
  <c r="E126"/>
  <c r="AD126"/>
  <c r="R126"/>
  <c r="F126"/>
  <c r="J126"/>
  <c r="B126"/>
  <c r="K126"/>
  <c r="A125" i="6"/>
  <c r="M125" s="1"/>
  <c r="H125"/>
  <c r="G125"/>
  <c r="T124" i="5"/>
  <c r="X124" s="1"/>
  <c r="L123"/>
  <c r="I123" i="12"/>
  <c r="AC123" i="5"/>
  <c r="Z123"/>
  <c r="AM123"/>
  <c r="G126" i="12"/>
  <c r="W122"/>
  <c r="X122"/>
  <c r="AF127" i="5"/>
  <c r="AK124" i="6" l="1"/>
  <c r="AB124"/>
  <c r="N125"/>
  <c r="AF124"/>
  <c r="AJ124"/>
  <c r="AI124"/>
  <c r="K125" i="12"/>
  <c r="AG127" i="5"/>
  <c r="S127"/>
  <c r="F127" i="12" s="1"/>
  <c r="AZ125" i="6"/>
  <c r="AR125"/>
  <c r="AM125"/>
  <c r="BE125"/>
  <c r="AS125"/>
  <c r="AT125"/>
  <c r="BF125"/>
  <c r="AY125"/>
  <c r="AU125"/>
  <c r="AN125"/>
  <c r="AO125"/>
  <c r="F126"/>
  <c r="E126" i="12"/>
  <c r="A126" i="6"/>
  <c r="N126" s="1"/>
  <c r="H126"/>
  <c r="G126"/>
  <c r="X121" i="12"/>
  <c r="W121"/>
  <c r="BF124" i="6"/>
  <c r="BB124"/>
  <c r="BG124"/>
  <c r="AY124"/>
  <c r="BA124"/>
  <c r="AN124"/>
  <c r="BD124"/>
  <c r="AR124"/>
  <c r="AT124"/>
  <c r="AZ124"/>
  <c r="AQ124"/>
  <c r="AX124"/>
  <c r="AO124"/>
  <c r="BE124"/>
  <c r="AM124"/>
  <c r="AP124"/>
  <c r="AU124"/>
  <c r="AV124"/>
  <c r="BC124"/>
  <c r="AS124"/>
  <c r="BA125"/>
  <c r="BG125"/>
  <c r="O123" i="12"/>
  <c r="M123"/>
  <c r="AO123"/>
  <c r="C123"/>
  <c r="B127" i="5"/>
  <c r="N127"/>
  <c r="D127" i="6" s="1"/>
  <c r="H127" i="5"/>
  <c r="D127"/>
  <c r="B127" i="12" s="1"/>
  <c r="A127"/>
  <c r="AD127" i="5"/>
  <c r="K127"/>
  <c r="R127"/>
  <c r="B127" i="6"/>
  <c r="W127" i="5"/>
  <c r="H127" i="12" s="1"/>
  <c r="J127" i="5"/>
  <c r="E127"/>
  <c r="F127"/>
  <c r="C128"/>
  <c r="AE127"/>
  <c r="G127"/>
  <c r="J126" i="12"/>
  <c r="L126"/>
  <c r="BB125" i="6"/>
  <c r="AX125"/>
  <c r="L124" i="5"/>
  <c r="I124" i="12"/>
  <c r="AC124" i="5"/>
  <c r="Z124"/>
  <c r="AM124"/>
  <c r="T125"/>
  <c r="X125" s="1"/>
  <c r="AG125" i="6"/>
  <c r="AI125"/>
  <c r="AK125"/>
  <c r="AH125"/>
  <c r="AF125"/>
  <c r="AD125"/>
  <c r="AJ125"/>
  <c r="BD125"/>
  <c r="AV125"/>
  <c r="AC125"/>
  <c r="O123" i="5"/>
  <c r="C123" i="6"/>
  <c r="AB123" i="5"/>
  <c r="AA123"/>
  <c r="AH124" i="6"/>
  <c r="AC124"/>
  <c r="AD124"/>
  <c r="BC125"/>
  <c r="AQ125"/>
  <c r="AB125"/>
  <c r="AP125"/>
  <c r="G127" i="12"/>
  <c r="V122"/>
  <c r="T122"/>
  <c r="U122"/>
  <c r="AF128" i="5"/>
  <c r="K126" i="12" l="1"/>
  <c r="M126" i="6"/>
  <c r="AZ126" s="1"/>
  <c r="S128" i="5"/>
  <c r="F128" i="12" s="1"/>
  <c r="AG128" i="5"/>
  <c r="E123" i="6"/>
  <c r="D123" i="12"/>
  <c r="C124" i="6"/>
  <c r="O124" i="5"/>
  <c r="J127" i="12"/>
  <c r="L127"/>
  <c r="T126" i="5"/>
  <c r="X126" s="1"/>
  <c r="N123" i="12"/>
  <c r="AM125" i="5"/>
  <c r="L125"/>
  <c r="Z125"/>
  <c r="I125" i="12"/>
  <c r="AC125" i="5"/>
  <c r="AO124" i="12"/>
  <c r="O124"/>
  <c r="M124"/>
  <c r="C124"/>
  <c r="B128" i="6"/>
  <c r="R128" i="5"/>
  <c r="AE128"/>
  <c r="K128"/>
  <c r="J128"/>
  <c r="AD128"/>
  <c r="A128" i="12"/>
  <c r="W128" i="5"/>
  <c r="H128" i="12" s="1"/>
  <c r="F128" i="5"/>
  <c r="C129"/>
  <c r="B128"/>
  <c r="G128"/>
  <c r="H128"/>
  <c r="D128"/>
  <c r="B128" i="12" s="1"/>
  <c r="N128" i="5"/>
  <c r="D128" i="6" s="1"/>
  <c r="E128" i="5"/>
  <c r="A127" i="6"/>
  <c r="N127" s="1"/>
  <c r="G127"/>
  <c r="H127"/>
  <c r="V121" i="12"/>
  <c r="U121"/>
  <c r="T121"/>
  <c r="Y123"/>
  <c r="AB124" i="5"/>
  <c r="AA124"/>
  <c r="F127" i="6"/>
  <c r="E127" i="12"/>
  <c r="G128"/>
  <c r="AF129" i="5"/>
  <c r="N124" i="12" l="1"/>
  <c r="AV126" i="6"/>
  <c r="BG126"/>
  <c r="BC126"/>
  <c r="AB126"/>
  <c r="AP126"/>
  <c r="AY126"/>
  <c r="BD126"/>
  <c r="BB126"/>
  <c r="AS126"/>
  <c r="BA126"/>
  <c r="AQ126"/>
  <c r="AO126"/>
  <c r="AF126"/>
  <c r="AJ126"/>
  <c r="AD126"/>
  <c r="AX126"/>
  <c r="AM126"/>
  <c r="AG126"/>
  <c r="AH126"/>
  <c r="AI126"/>
  <c r="BE126"/>
  <c r="AN126"/>
  <c r="BF126"/>
  <c r="AT126"/>
  <c r="AC126"/>
  <c r="AU126"/>
  <c r="AR126"/>
  <c r="AK126"/>
  <c r="M127"/>
  <c r="BD127" s="1"/>
  <c r="K127" i="12"/>
  <c r="AG129" i="5"/>
  <c r="S129"/>
  <c r="F129" i="12" s="1"/>
  <c r="B129" i="5"/>
  <c r="C130"/>
  <c r="D129"/>
  <c r="B129" i="12" s="1"/>
  <c r="R129" i="5"/>
  <c r="J129"/>
  <c r="F129"/>
  <c r="W129"/>
  <c r="H129" i="12" s="1"/>
  <c r="A129"/>
  <c r="G129" i="5"/>
  <c r="B129" i="6"/>
  <c r="AE129" i="5"/>
  <c r="K129"/>
  <c r="AD129"/>
  <c r="H129"/>
  <c r="N129"/>
  <c r="D129" i="6" s="1"/>
  <c r="E129" i="5"/>
  <c r="E128" i="12"/>
  <c r="F128" i="6"/>
  <c r="AA125" i="5"/>
  <c r="AB125"/>
  <c r="Z126"/>
  <c r="AM126"/>
  <c r="L126"/>
  <c r="I126" i="12"/>
  <c r="AC126" i="5"/>
  <c r="G128" i="6"/>
  <c r="H128"/>
  <c r="T128" i="5" s="1"/>
  <c r="X128" s="1"/>
  <c r="L128" s="1"/>
  <c r="L128" i="12"/>
  <c r="J128"/>
  <c r="C125"/>
  <c r="AO125"/>
  <c r="O125"/>
  <c r="M125"/>
  <c r="D124"/>
  <c r="E124" i="6"/>
  <c r="W123" i="12"/>
  <c r="X123"/>
  <c r="T127" i="5"/>
  <c r="X127" s="1"/>
  <c r="O125"/>
  <c r="C125" i="6"/>
  <c r="A128"/>
  <c r="Y124" i="12"/>
  <c r="G129"/>
  <c r="AF130" i="5"/>
  <c r="Y125" i="12" l="1"/>
  <c r="W125" s="1"/>
  <c r="T125" s="1"/>
  <c r="AD127" i="6"/>
  <c r="AG127"/>
  <c r="AC127"/>
  <c r="AJ127"/>
  <c r="AI127"/>
  <c r="AB127"/>
  <c r="AH127"/>
  <c r="AP127"/>
  <c r="AF127"/>
  <c r="AK127"/>
  <c r="AT127"/>
  <c r="BA127"/>
  <c r="BC127"/>
  <c r="AR127"/>
  <c r="AM127"/>
  <c r="AZ127"/>
  <c r="AO127"/>
  <c r="AN127"/>
  <c r="AQ127"/>
  <c r="BE127"/>
  <c r="AS127"/>
  <c r="AX127"/>
  <c r="AU127"/>
  <c r="AV127"/>
  <c r="BG127"/>
  <c r="AY127"/>
  <c r="BF127"/>
  <c r="BB127"/>
  <c r="Z128" i="5"/>
  <c r="AA128" s="1"/>
  <c r="AM128"/>
  <c r="AC128"/>
  <c r="I128" i="12"/>
  <c r="M128" s="1"/>
  <c r="N125"/>
  <c r="K128"/>
  <c r="S130" i="5"/>
  <c r="F130" i="12" s="1"/>
  <c r="AG130" i="5"/>
  <c r="W124" i="12"/>
  <c r="X124"/>
  <c r="O126" i="5"/>
  <c r="C126" i="6"/>
  <c r="G129"/>
  <c r="H129"/>
  <c r="T129" i="5" s="1"/>
  <c r="X129" s="1"/>
  <c r="AM129" s="1"/>
  <c r="E125" i="6"/>
  <c r="D125" i="12"/>
  <c r="U123"/>
  <c r="V123"/>
  <c r="T123"/>
  <c r="C126"/>
  <c r="M126"/>
  <c r="AO126"/>
  <c r="O126"/>
  <c r="L129"/>
  <c r="J129"/>
  <c r="F129" i="6"/>
  <c r="E129" i="12"/>
  <c r="AB126" i="5"/>
  <c r="AA126"/>
  <c r="N128" i="6"/>
  <c r="M128"/>
  <c r="AC128" s="1"/>
  <c r="I127" i="12"/>
  <c r="AC127" i="5"/>
  <c r="Z127"/>
  <c r="AM127"/>
  <c r="L127"/>
  <c r="A130" i="12"/>
  <c r="F130" i="5"/>
  <c r="AD130"/>
  <c r="K130"/>
  <c r="B130"/>
  <c r="AE130"/>
  <c r="N130"/>
  <c r="D130" i="6" s="1"/>
  <c r="C131" i="5"/>
  <c r="J130"/>
  <c r="R130"/>
  <c r="B130" i="6"/>
  <c r="E130" i="5"/>
  <c r="W130"/>
  <c r="H130" i="12" s="1"/>
  <c r="H130" i="5"/>
  <c r="D130"/>
  <c r="B130" i="12" s="1"/>
  <c r="G130" i="5"/>
  <c r="A129" i="6"/>
  <c r="C128"/>
  <c r="O128" i="5"/>
  <c r="G130" i="12"/>
  <c r="AE12" i="6"/>
  <c r="H14"/>
  <c r="AJ14" s="1"/>
  <c r="K11" i="10"/>
  <c r="AP12" i="6"/>
  <c r="J11" i="9"/>
  <c r="BA12" i="6"/>
  <c r="AF131" i="5"/>
  <c r="X125" i="12" l="1"/>
  <c r="U125"/>
  <c r="V125"/>
  <c r="N126"/>
  <c r="AO128"/>
  <c r="O128"/>
  <c r="C128"/>
  <c r="AB128" i="5"/>
  <c r="AD128" i="6"/>
  <c r="Z129" i="5"/>
  <c r="AB129" s="1"/>
  <c r="L129"/>
  <c r="C129" i="6" s="1"/>
  <c r="AC129" i="5"/>
  <c r="I129" i="12"/>
  <c r="C129" s="1"/>
  <c r="K129"/>
  <c r="Y126"/>
  <c r="AG131" i="5"/>
  <c r="S131"/>
  <c r="F131" i="12" s="1"/>
  <c r="L130"/>
  <c r="J130"/>
  <c r="D126"/>
  <c r="E126" i="6"/>
  <c r="N129"/>
  <c r="M129"/>
  <c r="AE129" s="1"/>
  <c r="E130" i="12"/>
  <c r="F130" i="6"/>
  <c r="AA127" i="5"/>
  <c r="AB127"/>
  <c r="G130" i="6"/>
  <c r="H130"/>
  <c r="AR128"/>
  <c r="BD128"/>
  <c r="AB128"/>
  <c r="AZ128"/>
  <c r="AY128"/>
  <c r="AX128"/>
  <c r="AG128"/>
  <c r="BE128"/>
  <c r="AS128"/>
  <c r="AP128"/>
  <c r="BB128"/>
  <c r="AJ128"/>
  <c r="AT128"/>
  <c r="AU128"/>
  <c r="AF128"/>
  <c r="BA128"/>
  <c r="AN128"/>
  <c r="AO128"/>
  <c r="AM128"/>
  <c r="AI128"/>
  <c r="BF128"/>
  <c r="AV128"/>
  <c r="BG128"/>
  <c r="AK128"/>
  <c r="AQ128"/>
  <c r="AH128"/>
  <c r="BC128"/>
  <c r="T124" i="12"/>
  <c r="U124"/>
  <c r="V124"/>
  <c r="A130" i="6"/>
  <c r="A131" i="12"/>
  <c r="W131" i="5"/>
  <c r="H131" i="12" s="1"/>
  <c r="R131" i="5"/>
  <c r="G131"/>
  <c r="AE131"/>
  <c r="F131"/>
  <c r="AD131"/>
  <c r="E131"/>
  <c r="B131" i="6"/>
  <c r="J131" i="5"/>
  <c r="H131"/>
  <c r="C132"/>
  <c r="K131"/>
  <c r="N131"/>
  <c r="D131" i="6" s="1"/>
  <c r="B131" i="5"/>
  <c r="D131"/>
  <c r="B131" i="12" s="1"/>
  <c r="C127" i="6"/>
  <c r="O127" i="5"/>
  <c r="M127" i="12"/>
  <c r="O127"/>
  <c r="AO127"/>
  <c r="C127"/>
  <c r="AE23" i="6"/>
  <c r="G131" i="12"/>
  <c r="D128"/>
  <c r="E128" i="6"/>
  <c r="O129" i="5"/>
  <c r="AE16" i="6"/>
  <c r="AE17"/>
  <c r="AE19"/>
  <c r="AE28"/>
  <c r="AE30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0"/>
  <c r="AE61"/>
  <c r="AE62"/>
  <c r="AE63"/>
  <c r="AE64"/>
  <c r="AE65"/>
  <c r="AE66"/>
  <c r="AE67"/>
  <c r="AE68"/>
  <c r="AE69"/>
  <c r="AE70"/>
  <c r="AE71"/>
  <c r="AE72"/>
  <c r="AE73"/>
  <c r="AE74"/>
  <c r="AE75"/>
  <c r="AE76"/>
  <c r="AE77"/>
  <c r="AE78"/>
  <c r="AE79"/>
  <c r="AE80"/>
  <c r="AE81"/>
  <c r="AE82"/>
  <c r="AE83"/>
  <c r="AE84"/>
  <c r="AE85"/>
  <c r="AE86"/>
  <c r="AE87"/>
  <c r="AE88"/>
  <c r="AE89"/>
  <c r="AE90"/>
  <c r="AE91"/>
  <c r="AE92"/>
  <c r="AE93"/>
  <c r="AE94"/>
  <c r="AE95"/>
  <c r="AE96"/>
  <c r="AE97"/>
  <c r="AE98"/>
  <c r="AE99"/>
  <c r="AE100"/>
  <c r="AE101"/>
  <c r="AE102"/>
  <c r="AE103"/>
  <c r="AE104"/>
  <c r="AE105"/>
  <c r="AE106"/>
  <c r="AE107"/>
  <c r="AE108"/>
  <c r="AE109"/>
  <c r="AE110"/>
  <c r="AE111"/>
  <c r="AE112"/>
  <c r="AE113"/>
  <c r="AE114"/>
  <c r="AE115"/>
  <c r="AE116"/>
  <c r="AE117"/>
  <c r="AE118"/>
  <c r="AE119"/>
  <c r="AE120"/>
  <c r="AE121"/>
  <c r="AE122"/>
  <c r="AE123"/>
  <c r="AE124"/>
  <c r="AE125"/>
  <c r="AE126"/>
  <c r="AE127"/>
  <c r="AE128"/>
  <c r="AK14"/>
  <c r="T14" i="5"/>
  <c r="AB14" i="6"/>
  <c r="AE14"/>
  <c r="AD14"/>
  <c r="AH14"/>
  <c r="AC14"/>
  <c r="AG14"/>
  <c r="AI14"/>
  <c r="AF14"/>
  <c r="AF132" i="5"/>
  <c r="O129" i="12" l="1"/>
  <c r="Y128"/>
  <c r="X128" s="1"/>
  <c r="N128"/>
  <c r="AO129"/>
  <c r="M129"/>
  <c r="N129" s="1"/>
  <c r="AA129" i="5"/>
  <c r="Y127" i="12"/>
  <c r="X127" s="1"/>
  <c r="W126"/>
  <c r="X126"/>
  <c r="K130"/>
  <c r="AG132" i="5"/>
  <c r="S132"/>
  <c r="F132" i="12" s="1"/>
  <c r="A132"/>
  <c r="R132" i="5"/>
  <c r="E132"/>
  <c r="AD132"/>
  <c r="N132"/>
  <c r="D132" i="6" s="1"/>
  <c r="D132" i="5"/>
  <c r="B132" i="12" s="1"/>
  <c r="W132" i="5"/>
  <c r="H132" i="12" s="1"/>
  <c r="B132" i="5"/>
  <c r="G132"/>
  <c r="AE132"/>
  <c r="F132"/>
  <c r="J132"/>
  <c r="K132"/>
  <c r="C133"/>
  <c r="H132"/>
  <c r="B132" i="6"/>
  <c r="M130"/>
  <c r="AD130" s="1"/>
  <c r="N130"/>
  <c r="N127" i="12"/>
  <c r="L131"/>
  <c r="J131"/>
  <c r="T130" i="5"/>
  <c r="X130" s="1"/>
  <c r="A131" i="6"/>
  <c r="E127"/>
  <c r="D127" i="12"/>
  <c r="G131" i="6"/>
  <c r="H131"/>
  <c r="T131" i="5" s="1"/>
  <c r="X131" s="1"/>
  <c r="Z131" s="1"/>
  <c r="E131" i="12"/>
  <c r="F131" i="6"/>
  <c r="BG129"/>
  <c r="AC129"/>
  <c r="AN129"/>
  <c r="AG129"/>
  <c r="AT129"/>
  <c r="BA129"/>
  <c r="AV129"/>
  <c r="BF129"/>
  <c r="BC129"/>
  <c r="BE129"/>
  <c r="AR129"/>
  <c r="AB129"/>
  <c r="AP129"/>
  <c r="AX129"/>
  <c r="AK129"/>
  <c r="AM129"/>
  <c r="BB129"/>
  <c r="AH129"/>
  <c r="AQ129"/>
  <c r="AF129"/>
  <c r="AZ129"/>
  <c r="AO129"/>
  <c r="AU129"/>
  <c r="BD129"/>
  <c r="AJ129"/>
  <c r="AS129"/>
  <c r="AD129"/>
  <c r="AY129"/>
  <c r="AI129"/>
  <c r="G132" i="12"/>
  <c r="D129"/>
  <c r="E129" i="6"/>
  <c r="G14" i="12"/>
  <c r="X14" i="5"/>
  <c r="AF133"/>
  <c r="Y129" i="12" l="1"/>
  <c r="X129" s="1"/>
  <c r="W128"/>
  <c r="T128" s="1"/>
  <c r="W127"/>
  <c r="V126"/>
  <c r="T126"/>
  <c r="U126"/>
  <c r="AC131" i="5"/>
  <c r="AI130" i="6"/>
  <c r="AJ130"/>
  <c r="AM131" i="5"/>
  <c r="AF130" i="6"/>
  <c r="AK130"/>
  <c r="AC130"/>
  <c r="L131" i="5"/>
  <c r="O131" s="1"/>
  <c r="I131" i="12"/>
  <c r="C131" s="1"/>
  <c r="AB130" i="6"/>
  <c r="AG133" i="5"/>
  <c r="S133"/>
  <c r="F133" i="12" s="1"/>
  <c r="N131" i="6"/>
  <c r="M131"/>
  <c r="AC131" s="1"/>
  <c r="K131" i="12"/>
  <c r="A132" i="6"/>
  <c r="AT130"/>
  <c r="BF130"/>
  <c r="AR130"/>
  <c r="BE130"/>
  <c r="BC130"/>
  <c r="AY130"/>
  <c r="BA130"/>
  <c r="BD130"/>
  <c r="BB130"/>
  <c r="BG130"/>
  <c r="AZ130"/>
  <c r="AP130"/>
  <c r="AN130"/>
  <c r="AQ130"/>
  <c r="AX130"/>
  <c r="AO130"/>
  <c r="AM130"/>
  <c r="AV130"/>
  <c r="AS130"/>
  <c r="AU130"/>
  <c r="AE130"/>
  <c r="G132"/>
  <c r="H132"/>
  <c r="T132" i="5" s="1"/>
  <c r="X132" s="1"/>
  <c r="I132" i="12" s="1"/>
  <c r="J132"/>
  <c r="L132"/>
  <c r="L130" i="5"/>
  <c r="I130" i="12"/>
  <c r="AC130" i="5"/>
  <c r="Z130"/>
  <c r="AM130"/>
  <c r="A133" i="12"/>
  <c r="C134" i="5"/>
  <c r="E133"/>
  <c r="N133"/>
  <c r="D133" i="6" s="1"/>
  <c r="J133" i="5"/>
  <c r="F133"/>
  <c r="R133"/>
  <c r="AD133"/>
  <c r="B133"/>
  <c r="G133"/>
  <c r="AE133"/>
  <c r="W133"/>
  <c r="H133" i="12" s="1"/>
  <c r="B133" i="6"/>
  <c r="H133" i="5"/>
  <c r="D133"/>
  <c r="B133" i="12" s="1"/>
  <c r="K133" i="5"/>
  <c r="E132" i="12"/>
  <c r="F132" i="6"/>
  <c r="AG130"/>
  <c r="AH130"/>
  <c r="W129" i="12"/>
  <c r="V129" s="1"/>
  <c r="V128"/>
  <c r="AA131" i="5"/>
  <c r="AB131"/>
  <c r="G133" i="12"/>
  <c r="I14"/>
  <c r="L14" i="5"/>
  <c r="I14"/>
  <c r="Z14"/>
  <c r="AM14"/>
  <c r="AF134"/>
  <c r="U128" i="12" l="1"/>
  <c r="C131" i="6"/>
  <c r="AO131" i="12"/>
  <c r="O131"/>
  <c r="M131"/>
  <c r="AC132" i="5"/>
  <c r="T127" i="12"/>
  <c r="U127"/>
  <c r="V127"/>
  <c r="AM132" i="5"/>
  <c r="Z132"/>
  <c r="AB132" s="1"/>
  <c r="L132"/>
  <c r="O132" s="1"/>
  <c r="A133" i="6"/>
  <c r="S134" i="5"/>
  <c r="F134" i="12" s="1"/>
  <c r="AG134" i="5"/>
  <c r="J133" i="12"/>
  <c r="L133"/>
  <c r="C130"/>
  <c r="M130"/>
  <c r="O130"/>
  <c r="AO130"/>
  <c r="B134" i="5"/>
  <c r="W134"/>
  <c r="H134" i="12" s="1"/>
  <c r="H134" i="5"/>
  <c r="K134"/>
  <c r="J134"/>
  <c r="AD134"/>
  <c r="N134"/>
  <c r="D134" i="6" s="1"/>
  <c r="F134" i="5"/>
  <c r="B134" i="6"/>
  <c r="AE134" i="5"/>
  <c r="C135"/>
  <c r="E134"/>
  <c r="A134" i="12"/>
  <c r="D134" i="5"/>
  <c r="B134" i="12" s="1"/>
  <c r="R134" i="5"/>
  <c r="G134"/>
  <c r="M132" i="6"/>
  <c r="N132"/>
  <c r="F133"/>
  <c r="E133" i="12"/>
  <c r="AB130" i="5"/>
  <c r="AA130"/>
  <c r="K132" i="12"/>
  <c r="G133" i="6"/>
  <c r="H133"/>
  <c r="O130" i="5"/>
  <c r="C130" i="6"/>
  <c r="AF131"/>
  <c r="AV131"/>
  <c r="AD131"/>
  <c r="BG131"/>
  <c r="AO131"/>
  <c r="AI131"/>
  <c r="AY131"/>
  <c r="AH131"/>
  <c r="AX131"/>
  <c r="AZ131"/>
  <c r="AM131"/>
  <c r="AJ131"/>
  <c r="AR131"/>
  <c r="BE131"/>
  <c r="AE131"/>
  <c r="AP131"/>
  <c r="AG131"/>
  <c r="BA131"/>
  <c r="AT131"/>
  <c r="BC131"/>
  <c r="BF131"/>
  <c r="AN131"/>
  <c r="AU131"/>
  <c r="BD131"/>
  <c r="AS131"/>
  <c r="AK131"/>
  <c r="BB131"/>
  <c r="AQ131"/>
  <c r="AB131"/>
  <c r="T129" i="12"/>
  <c r="U129"/>
  <c r="C132"/>
  <c r="M132"/>
  <c r="O132"/>
  <c r="AO132"/>
  <c r="C132" i="6"/>
  <c r="D131" i="12"/>
  <c r="E131" i="6"/>
  <c r="G134" i="12"/>
  <c r="AA14" i="5"/>
  <c r="AB14"/>
  <c r="O14"/>
  <c r="C14" i="6"/>
  <c r="O14" i="12"/>
  <c r="M14"/>
  <c r="C14"/>
  <c r="AO14"/>
  <c r="AF135" i="5"/>
  <c r="N131" i="12" l="1"/>
  <c r="AA132" i="5"/>
  <c r="Y131" i="12"/>
  <c r="X131" s="1"/>
  <c r="M133" i="6"/>
  <c r="AH133" s="1"/>
  <c r="N133"/>
  <c r="Y130" i="12"/>
  <c r="K133"/>
  <c r="A134" i="6"/>
  <c r="AG135" i="5"/>
  <c r="S135"/>
  <c r="F135" i="12" s="1"/>
  <c r="AS132" i="6"/>
  <c r="AN132"/>
  <c r="AG132"/>
  <c r="AX132"/>
  <c r="AQ132"/>
  <c r="AH132"/>
  <c r="BE132"/>
  <c r="AK132"/>
  <c r="AE132"/>
  <c r="AO132"/>
  <c r="BA132"/>
  <c r="AC132"/>
  <c r="AR132"/>
  <c r="AZ132"/>
  <c r="AP132"/>
  <c r="AI132"/>
  <c r="AF132"/>
  <c r="BG132"/>
  <c r="BD132"/>
  <c r="AT132"/>
  <c r="AD132"/>
  <c r="AM132"/>
  <c r="AV132"/>
  <c r="BB132"/>
  <c r="AB132"/>
  <c r="AY132"/>
  <c r="BC132"/>
  <c r="AU132"/>
  <c r="BF132"/>
  <c r="AJ132"/>
  <c r="L134" i="12"/>
  <c r="J134"/>
  <c r="T133" i="5"/>
  <c r="X133" s="1"/>
  <c r="E134" i="12"/>
  <c r="F134" i="6"/>
  <c r="A135" i="12"/>
  <c r="R135" i="5"/>
  <c r="D135"/>
  <c r="B135" i="12" s="1"/>
  <c r="J135" i="5"/>
  <c r="C136"/>
  <c r="W135"/>
  <c r="H135" i="12" s="1"/>
  <c r="H135" i="5"/>
  <c r="N135"/>
  <c r="D135" i="6" s="1"/>
  <c r="E135" i="5"/>
  <c r="B135"/>
  <c r="AD135"/>
  <c r="F135"/>
  <c r="B135" i="6"/>
  <c r="K135" i="5"/>
  <c r="AE135"/>
  <c r="G135"/>
  <c r="G134" i="6"/>
  <c r="H134"/>
  <c r="T134" i="5" s="1"/>
  <c r="X134" s="1"/>
  <c r="L134" s="1"/>
  <c r="N130" i="12"/>
  <c r="E130" i="6"/>
  <c r="D130" i="12"/>
  <c r="Y132"/>
  <c r="W132" s="1"/>
  <c r="N132"/>
  <c r="G135"/>
  <c r="D132"/>
  <c r="E132" i="6"/>
  <c r="N14" i="12"/>
  <c r="Y14"/>
  <c r="D14"/>
  <c r="E14" i="6"/>
  <c r="AF136" i="5"/>
  <c r="W131" i="12" l="1"/>
  <c r="V131" s="1"/>
  <c r="AK133" i="6"/>
  <c r="AB133"/>
  <c r="AI133"/>
  <c r="AJ133"/>
  <c r="K134" i="12"/>
  <c r="AC133" i="6"/>
  <c r="AD133"/>
  <c r="AE133"/>
  <c r="AG133"/>
  <c r="AF133"/>
  <c r="AP133"/>
  <c r="AN133"/>
  <c r="BD133"/>
  <c r="BC133"/>
  <c r="AV133"/>
  <c r="AU133"/>
  <c r="BG133"/>
  <c r="AY133"/>
  <c r="AM133"/>
  <c r="AZ133"/>
  <c r="AS133"/>
  <c r="BF133"/>
  <c r="AO133"/>
  <c r="AX133"/>
  <c r="BA133"/>
  <c r="AT133"/>
  <c r="AR133"/>
  <c r="BB133"/>
  <c r="BE133"/>
  <c r="AQ133"/>
  <c r="X130" i="12"/>
  <c r="W130"/>
  <c r="N134" i="6"/>
  <c r="M134"/>
  <c r="AC134" s="1"/>
  <c r="AM134" i="5"/>
  <c r="AC134"/>
  <c r="I134" i="12"/>
  <c r="O134" s="1"/>
  <c r="Z134" i="5"/>
  <c r="AB134" s="1"/>
  <c r="AG136"/>
  <c r="S136"/>
  <c r="F136" i="12" s="1"/>
  <c r="F135" i="6"/>
  <c r="E135" i="12"/>
  <c r="G135" i="6"/>
  <c r="H135"/>
  <c r="T135" i="5" s="1"/>
  <c r="X135" s="1"/>
  <c r="Z135" s="1"/>
  <c r="Z133"/>
  <c r="AM133"/>
  <c r="AC133"/>
  <c r="L133"/>
  <c r="I133" i="12"/>
  <c r="B136" i="5"/>
  <c r="C137"/>
  <c r="AE136"/>
  <c r="AD136"/>
  <c r="J136"/>
  <c r="K136"/>
  <c r="E136"/>
  <c r="D136"/>
  <c r="B136" i="12" s="1"/>
  <c r="B136" i="6"/>
  <c r="N136" i="5"/>
  <c r="D136" i="6" s="1"/>
  <c r="G136" i="5"/>
  <c r="F136"/>
  <c r="A136" i="12"/>
  <c r="R136" i="5"/>
  <c r="H136"/>
  <c r="W136"/>
  <c r="H136" i="12" s="1"/>
  <c r="L135"/>
  <c r="J135"/>
  <c r="A135" i="6"/>
  <c r="X132" i="12"/>
  <c r="T132"/>
  <c r="V132"/>
  <c r="U132"/>
  <c r="C134" i="6"/>
  <c r="O134" i="5"/>
  <c r="G136" i="12"/>
  <c r="W14"/>
  <c r="X14"/>
  <c r="AF137" i="5"/>
  <c r="T131" i="12" l="1"/>
  <c r="U131"/>
  <c r="M134"/>
  <c r="N134" s="1"/>
  <c r="AA134" i="5"/>
  <c r="C134" i="12"/>
  <c r="AO134"/>
  <c r="Y134" s="1"/>
  <c r="X134" s="1"/>
  <c r="AD134" i="6"/>
  <c r="L135" i="5"/>
  <c r="O135" s="1"/>
  <c r="AK134" i="6"/>
  <c r="AH134"/>
  <c r="I135" i="12"/>
  <c r="O135" s="1"/>
  <c r="AB134" i="6"/>
  <c r="AG134"/>
  <c r="AC135" i="5"/>
  <c r="T130" i="12"/>
  <c r="U130"/>
  <c r="V130"/>
  <c r="AM135" i="5"/>
  <c r="AI134" i="6"/>
  <c r="AF134"/>
  <c r="BF134"/>
  <c r="AP134"/>
  <c r="AS134"/>
  <c r="BE134"/>
  <c r="AU134"/>
  <c r="AZ134"/>
  <c r="AQ134"/>
  <c r="AX134"/>
  <c r="BC134"/>
  <c r="AM134"/>
  <c r="AO134"/>
  <c r="BB134"/>
  <c r="BD134"/>
  <c r="AV134"/>
  <c r="AN134"/>
  <c r="AR134"/>
  <c r="BA134"/>
  <c r="AY134"/>
  <c r="BG134"/>
  <c r="AT134"/>
  <c r="AJ134"/>
  <c r="AE134"/>
  <c r="S137" i="5"/>
  <c r="F137" i="12" s="1"/>
  <c r="AG137" i="5"/>
  <c r="N135" i="6"/>
  <c r="M135"/>
  <c r="F136"/>
  <c r="E136" i="12"/>
  <c r="G136" i="6"/>
  <c r="H136"/>
  <c r="B137" i="5"/>
  <c r="E137"/>
  <c r="C138"/>
  <c r="J137"/>
  <c r="B137" i="6"/>
  <c r="W137" i="5"/>
  <c r="H137" i="12" s="1"/>
  <c r="K137" i="5"/>
  <c r="F137"/>
  <c r="AD137"/>
  <c r="A137" i="12"/>
  <c r="G137" i="5"/>
  <c r="AE137"/>
  <c r="R137"/>
  <c r="H137"/>
  <c r="D137"/>
  <c r="B137" i="12" s="1"/>
  <c r="N137" i="5"/>
  <c r="D137" i="6" s="1"/>
  <c r="C133"/>
  <c r="O133" i="5"/>
  <c r="L136" i="12"/>
  <c r="J136"/>
  <c r="AO133"/>
  <c r="C133"/>
  <c r="O133"/>
  <c r="M133"/>
  <c r="AA133" i="5"/>
  <c r="AB133"/>
  <c r="K135" i="12"/>
  <c r="A136" i="6"/>
  <c r="D134" i="12"/>
  <c r="E134" i="6"/>
  <c r="G137" i="12"/>
  <c r="AB135" i="5"/>
  <c r="AA135"/>
  <c r="U14" i="12"/>
  <c r="V14"/>
  <c r="T14"/>
  <c r="AF138" i="5"/>
  <c r="AO135" i="12" l="1"/>
  <c r="Y135" s="1"/>
  <c r="C135"/>
  <c r="M135"/>
  <c r="N135" s="1"/>
  <c r="C135" i="6"/>
  <c r="S138" i="5"/>
  <c r="F138" i="12" s="1"/>
  <c r="AG138" i="5"/>
  <c r="F137" i="6"/>
  <c r="E137" i="12"/>
  <c r="Y133"/>
  <c r="A137" i="6"/>
  <c r="M137" s="1"/>
  <c r="AN137" s="1"/>
  <c r="E133"/>
  <c r="D133" i="12"/>
  <c r="J137"/>
  <c r="L137"/>
  <c r="B138" i="5"/>
  <c r="N138"/>
  <c r="D138" i="6" s="1"/>
  <c r="H138" i="5"/>
  <c r="R138"/>
  <c r="D138"/>
  <c r="B138" i="12" s="1"/>
  <c r="J138" i="5"/>
  <c r="W138"/>
  <c r="H138" i="12" s="1"/>
  <c r="K138" i="5"/>
  <c r="E138"/>
  <c r="A138" i="12"/>
  <c r="B138" i="6"/>
  <c r="AD138" i="5"/>
  <c r="C139"/>
  <c r="F138"/>
  <c r="G138"/>
  <c r="AE138"/>
  <c r="N133" i="12"/>
  <c r="K136"/>
  <c r="M136" i="6"/>
  <c r="AI136" s="1"/>
  <c r="N136"/>
  <c r="H137"/>
  <c r="G137"/>
  <c r="T136" i="5"/>
  <c r="X136" s="1"/>
  <c r="AI135" i="6"/>
  <c r="BG135"/>
  <c r="BF135"/>
  <c r="AQ135"/>
  <c r="BC135"/>
  <c r="AU135"/>
  <c r="AP135"/>
  <c r="AC135"/>
  <c r="AG135"/>
  <c r="AJ135"/>
  <c r="AH135"/>
  <c r="AM135"/>
  <c r="AS135"/>
  <c r="AX135"/>
  <c r="BB135"/>
  <c r="BA135"/>
  <c r="AB135"/>
  <c r="AO135"/>
  <c r="AT135"/>
  <c r="BD135"/>
  <c r="AE135"/>
  <c r="AV135"/>
  <c r="AZ135"/>
  <c r="AN135"/>
  <c r="BE135"/>
  <c r="AR135"/>
  <c r="AY135"/>
  <c r="AF135"/>
  <c r="AD135"/>
  <c r="AK135"/>
  <c r="W134" i="12"/>
  <c r="T134" s="1"/>
  <c r="G138"/>
  <c r="D135"/>
  <c r="E135" i="6"/>
  <c r="AF139" i="5"/>
  <c r="AK137" i="6" l="1"/>
  <c r="K137" i="12"/>
  <c r="AH137" i="6"/>
  <c r="AJ137"/>
  <c r="AD136"/>
  <c r="AP137"/>
  <c r="AX137"/>
  <c r="AG139" i="5"/>
  <c r="S139"/>
  <c r="F139" i="12" s="1"/>
  <c r="I136"/>
  <c r="AC136" i="5"/>
  <c r="Z136"/>
  <c r="AM136"/>
  <c r="L136"/>
  <c r="BG136" i="6"/>
  <c r="BC136"/>
  <c r="AM136"/>
  <c r="AP136"/>
  <c r="AQ136"/>
  <c r="BE136"/>
  <c r="AZ136"/>
  <c r="AO136"/>
  <c r="AN136"/>
  <c r="AX136"/>
  <c r="BA136"/>
  <c r="BF136"/>
  <c r="BD136"/>
  <c r="AS136"/>
  <c r="AV136"/>
  <c r="AR136"/>
  <c r="AT136"/>
  <c r="AY136"/>
  <c r="BB136"/>
  <c r="AU136"/>
  <c r="L138" i="12"/>
  <c r="J138"/>
  <c r="G138" i="6"/>
  <c r="H138"/>
  <c r="T138" i="5" s="1"/>
  <c r="X138" s="1"/>
  <c r="Z138" s="1"/>
  <c r="AU137" i="6"/>
  <c r="AS137"/>
  <c r="AT137"/>
  <c r="BD137"/>
  <c r="BA137"/>
  <c r="BC137"/>
  <c r="AQ137"/>
  <c r="BB137"/>
  <c r="AV137"/>
  <c r="AJ136"/>
  <c r="AE136"/>
  <c r="AC136"/>
  <c r="A138"/>
  <c r="AY137"/>
  <c r="BE137"/>
  <c r="BG137"/>
  <c r="T137" i="5"/>
  <c r="X137" s="1"/>
  <c r="AB137" i="6"/>
  <c r="AI137"/>
  <c r="AF137"/>
  <c r="F138"/>
  <c r="E138" i="12"/>
  <c r="AH136" i="6"/>
  <c r="AB136"/>
  <c r="AG136"/>
  <c r="AZ137"/>
  <c r="AM137"/>
  <c r="AD137"/>
  <c r="AR137"/>
  <c r="BF137"/>
  <c r="N137"/>
  <c r="B139"/>
  <c r="N139" i="5"/>
  <c r="D139" i="6" s="1"/>
  <c r="F139" i="5"/>
  <c r="D139"/>
  <c r="B139" i="12" s="1"/>
  <c r="A139"/>
  <c r="R139" i="5"/>
  <c r="G139"/>
  <c r="E139"/>
  <c r="W139"/>
  <c r="H139" i="12" s="1"/>
  <c r="C140" i="5"/>
  <c r="H139"/>
  <c r="AD139"/>
  <c r="B139"/>
  <c r="K139"/>
  <c r="J139"/>
  <c r="AE139"/>
  <c r="X133" i="12"/>
  <c r="W133"/>
  <c r="AF136" i="6"/>
  <c r="AK136"/>
  <c r="AE137"/>
  <c r="AG137"/>
  <c r="AO137"/>
  <c r="AC137"/>
  <c r="V134" i="12"/>
  <c r="U134"/>
  <c r="X135"/>
  <c r="W135"/>
  <c r="AC138" i="5"/>
  <c r="G139" i="12"/>
  <c r="AF140" i="5"/>
  <c r="I138" i="12" l="1"/>
  <c r="M138" s="1"/>
  <c r="K138"/>
  <c r="L138" i="5"/>
  <c r="O138" s="1"/>
  <c r="AM138"/>
  <c r="AG140"/>
  <c r="S140"/>
  <c r="F140" i="12" s="1"/>
  <c r="AB136" i="5"/>
  <c r="AA136"/>
  <c r="L139" i="12"/>
  <c r="J139"/>
  <c r="O136" i="5"/>
  <c r="C136" i="6"/>
  <c r="O136" i="12"/>
  <c r="M136"/>
  <c r="AO136"/>
  <c r="C136"/>
  <c r="A139" i="6"/>
  <c r="V133" i="12"/>
  <c r="T133"/>
  <c r="U133"/>
  <c r="J140" i="5"/>
  <c r="C141"/>
  <c r="E140"/>
  <c r="R140"/>
  <c r="AD140"/>
  <c r="B140" i="6"/>
  <c r="K140" i="5"/>
  <c r="F140"/>
  <c r="W140"/>
  <c r="H140" i="12" s="1"/>
  <c r="H140" i="5"/>
  <c r="A140" i="12"/>
  <c r="N140" i="5"/>
  <c r="D140" i="6" s="1"/>
  <c r="G140" i="5"/>
  <c r="AE140"/>
  <c r="B140"/>
  <c r="D140"/>
  <c r="B140" i="12" s="1"/>
  <c r="E139"/>
  <c r="F139" i="6"/>
  <c r="G139"/>
  <c r="H139"/>
  <c r="T139" i="5" s="1"/>
  <c r="X139" s="1"/>
  <c r="L139" s="1"/>
  <c r="Z137"/>
  <c r="I137" i="12"/>
  <c r="AM137" i="5"/>
  <c r="L137"/>
  <c r="AC137"/>
  <c r="N138" i="6"/>
  <c r="M138"/>
  <c r="AA138" i="5"/>
  <c r="AB138"/>
  <c r="G140" i="12"/>
  <c r="V135"/>
  <c r="T135"/>
  <c r="U135"/>
  <c r="AF141" i="5"/>
  <c r="O138" i="12" l="1"/>
  <c r="N138" s="1"/>
  <c r="C138"/>
  <c r="AO138"/>
  <c r="I139"/>
  <c r="C139" s="1"/>
  <c r="AM139" i="5"/>
  <c r="Z139"/>
  <c r="AB139" s="1"/>
  <c r="AC139"/>
  <c r="N136" i="12"/>
  <c r="A140" i="6"/>
  <c r="C138"/>
  <c r="K139" i="12"/>
  <c r="S141" i="5"/>
  <c r="F141" i="12" s="1"/>
  <c r="AG141" i="5"/>
  <c r="AA137"/>
  <c r="AB137"/>
  <c r="N139" i="6"/>
  <c r="M139"/>
  <c r="AO137" i="12"/>
  <c r="O137"/>
  <c r="M137"/>
  <c r="C137"/>
  <c r="F141" i="5"/>
  <c r="AD141"/>
  <c r="J141"/>
  <c r="N141"/>
  <c r="D141" i="6" s="1"/>
  <c r="AE141" i="5"/>
  <c r="K141"/>
  <c r="B141" i="6"/>
  <c r="A141" i="12"/>
  <c r="H141" i="5"/>
  <c r="B141"/>
  <c r="W141"/>
  <c r="H141" i="12" s="1"/>
  <c r="D141" i="5"/>
  <c r="B141" i="12" s="1"/>
  <c r="R141" i="5"/>
  <c r="E141"/>
  <c r="C142"/>
  <c r="G141"/>
  <c r="AF138" i="6"/>
  <c r="AC138"/>
  <c r="AJ138"/>
  <c r="AG138"/>
  <c r="BF138"/>
  <c r="AU138"/>
  <c r="BE138"/>
  <c r="AR138"/>
  <c r="AE138"/>
  <c r="AB138"/>
  <c r="AY138"/>
  <c r="AZ138"/>
  <c r="AP138"/>
  <c r="AK138"/>
  <c r="AV138"/>
  <c r="AN138"/>
  <c r="BB138"/>
  <c r="AO138"/>
  <c r="BG138"/>
  <c r="BA138"/>
  <c r="AD138"/>
  <c r="AI138"/>
  <c r="BC138"/>
  <c r="AM138"/>
  <c r="AH138"/>
  <c r="BD138"/>
  <c r="AT138"/>
  <c r="AQ138"/>
  <c r="AX138"/>
  <c r="AS138"/>
  <c r="J140" i="12"/>
  <c r="L140"/>
  <c r="E136" i="6"/>
  <c r="D136" i="12"/>
  <c r="Y136"/>
  <c r="O137" i="5"/>
  <c r="C137" i="6"/>
  <c r="H140"/>
  <c r="G140"/>
  <c r="F140"/>
  <c r="E140" i="12"/>
  <c r="C139" i="6"/>
  <c r="O139" i="5"/>
  <c r="G141" i="12"/>
  <c r="D138"/>
  <c r="E138" i="6"/>
  <c r="AE3"/>
  <c r="T6" s="1"/>
  <c r="AF142" i="5"/>
  <c r="Y138" i="12" l="1"/>
  <c r="W138" s="1"/>
  <c r="V138" s="1"/>
  <c r="AO139"/>
  <c r="AA139" i="5"/>
  <c r="M139" i="12"/>
  <c r="O139"/>
  <c r="M140" i="6"/>
  <c r="AF140" s="1"/>
  <c r="N140"/>
  <c r="Y137" i="12"/>
  <c r="AG142" i="5"/>
  <c r="S142"/>
  <c r="F142" i="12" s="1"/>
  <c r="T140" i="5"/>
  <c r="X140" s="1"/>
  <c r="A142" i="12"/>
  <c r="B142" i="5"/>
  <c r="N142"/>
  <c r="D142" i="6" s="1"/>
  <c r="F142" i="5"/>
  <c r="J142"/>
  <c r="R142"/>
  <c r="G142"/>
  <c r="K142"/>
  <c r="W142"/>
  <c r="H142" i="12" s="1"/>
  <c r="H142" i="5"/>
  <c r="D142"/>
  <c r="B142" i="12" s="1"/>
  <c r="B142" i="6"/>
  <c r="AD142" i="5"/>
  <c r="AE142"/>
  <c r="E142"/>
  <c r="C143"/>
  <c r="A141" i="6"/>
  <c r="X136" i="12"/>
  <c r="W136"/>
  <c r="J141"/>
  <c r="L141"/>
  <c r="H141" i="6"/>
  <c r="G141"/>
  <c r="AS139"/>
  <c r="AO139"/>
  <c r="AG139"/>
  <c r="AQ139"/>
  <c r="AI139"/>
  <c r="AR139"/>
  <c r="AJ139"/>
  <c r="AP139"/>
  <c r="BF139"/>
  <c r="AK139"/>
  <c r="AX139"/>
  <c r="AY139"/>
  <c r="AN139"/>
  <c r="AE139"/>
  <c r="AZ139"/>
  <c r="AH139"/>
  <c r="AD139"/>
  <c r="AM139"/>
  <c r="BC139"/>
  <c r="BA139"/>
  <c r="BD139"/>
  <c r="AF139"/>
  <c r="AV139"/>
  <c r="AT139"/>
  <c r="BB139"/>
  <c r="AC139"/>
  <c r="AU139"/>
  <c r="BE139"/>
  <c r="BG139"/>
  <c r="AB139"/>
  <c r="K140" i="12"/>
  <c r="D137"/>
  <c r="E137" i="6"/>
  <c r="F141"/>
  <c r="E141" i="12"/>
  <c r="N137"/>
  <c r="G142"/>
  <c r="D139"/>
  <c r="E139" i="6"/>
  <c r="AF143" i="5"/>
  <c r="U138" i="12" l="1"/>
  <c r="T138"/>
  <c r="X138"/>
  <c r="N139"/>
  <c r="Y139"/>
  <c r="X139" s="1"/>
  <c r="AD140" i="6"/>
  <c r="AE140"/>
  <c r="AJ140"/>
  <c r="AH140"/>
  <c r="AG140"/>
  <c r="AI140"/>
  <c r="AM140"/>
  <c r="AT140"/>
  <c r="BA140"/>
  <c r="AP140"/>
  <c r="AY140"/>
  <c r="AO140"/>
  <c r="AZ140"/>
  <c r="AS140"/>
  <c r="AX140"/>
  <c r="AR140"/>
  <c r="AU140"/>
  <c r="BC140"/>
  <c r="BF140"/>
  <c r="BE140"/>
  <c r="AV140"/>
  <c r="AQ140"/>
  <c r="AN140"/>
  <c r="BD140"/>
  <c r="BG140"/>
  <c r="BB140"/>
  <c r="AC140"/>
  <c r="AB140"/>
  <c r="AK140"/>
  <c r="K141" i="12"/>
  <c r="X137"/>
  <c r="W137"/>
  <c r="AG143" i="5"/>
  <c r="S143"/>
  <c r="F143" i="12" s="1"/>
  <c r="B143" i="6"/>
  <c r="C144" i="5"/>
  <c r="AE143"/>
  <c r="D143"/>
  <c r="B143" i="12" s="1"/>
  <c r="K143" i="5"/>
  <c r="F143"/>
  <c r="N143"/>
  <c r="D143" i="6" s="1"/>
  <c r="AD143" i="5"/>
  <c r="R143"/>
  <c r="J143"/>
  <c r="E143"/>
  <c r="G143"/>
  <c r="B143"/>
  <c r="W143"/>
  <c r="H143" i="12" s="1"/>
  <c r="A143"/>
  <c r="H143" i="5"/>
  <c r="M141" i="6"/>
  <c r="AC141" s="1"/>
  <c r="N141"/>
  <c r="J142" i="12"/>
  <c r="L142"/>
  <c r="T141" i="5"/>
  <c r="X141" s="1"/>
  <c r="F142" i="6"/>
  <c r="E142" i="12"/>
  <c r="AM140" i="5"/>
  <c r="I140" i="12"/>
  <c r="AC140" i="5"/>
  <c r="L140"/>
  <c r="Z140"/>
  <c r="V136" i="12"/>
  <c r="T136"/>
  <c r="U136"/>
  <c r="A142" i="6"/>
  <c r="M142" s="1"/>
  <c r="H142"/>
  <c r="G142"/>
  <c r="G143" i="12"/>
  <c r="AF144" i="5"/>
  <c r="W139" i="12" l="1"/>
  <c r="V139" s="1"/>
  <c r="K142"/>
  <c r="AI141" i="6"/>
  <c r="AF141"/>
  <c r="AG141"/>
  <c r="AD141"/>
  <c r="AK141"/>
  <c r="AH141"/>
  <c r="AB141"/>
  <c r="AJ141"/>
  <c r="T137" i="12"/>
  <c r="U137"/>
  <c r="V137"/>
  <c r="N142" i="6"/>
  <c r="S144" i="5"/>
  <c r="F144" i="12" s="1"/>
  <c r="AG144" i="5"/>
  <c r="AP142" i="6"/>
  <c r="AR142"/>
  <c r="AS142"/>
  <c r="BA142"/>
  <c r="AV142"/>
  <c r="AT142"/>
  <c r="AO142"/>
  <c r="AU142"/>
  <c r="AM142"/>
  <c r="BC142"/>
  <c r="BE142"/>
  <c r="AN142"/>
  <c r="AZ142"/>
  <c r="BD142"/>
  <c r="BB142"/>
  <c r="BF142"/>
  <c r="AQ142"/>
  <c r="AX142"/>
  <c r="BG142"/>
  <c r="AY142"/>
  <c r="C140" i="12"/>
  <c r="O140"/>
  <c r="AO140"/>
  <c r="M140"/>
  <c r="J143"/>
  <c r="L143"/>
  <c r="A143" i="6"/>
  <c r="N143" s="1"/>
  <c r="G143"/>
  <c r="H143"/>
  <c r="T142" i="5"/>
  <c r="X142" s="1"/>
  <c r="AE142" i="6"/>
  <c r="AC142"/>
  <c r="AK142"/>
  <c r="AF142"/>
  <c r="AH142"/>
  <c r="AG142"/>
  <c r="AI142"/>
  <c r="AD142"/>
  <c r="AJ142"/>
  <c r="AB142"/>
  <c r="O140" i="5"/>
  <c r="C140" i="6"/>
  <c r="L141" i="5"/>
  <c r="I141" i="12"/>
  <c r="AC141" i="5"/>
  <c r="Z141"/>
  <c r="AM141"/>
  <c r="AT141" i="6"/>
  <c r="BC141"/>
  <c r="AP141"/>
  <c r="AR141"/>
  <c r="BF141"/>
  <c r="AS141"/>
  <c r="BE141"/>
  <c r="AV141"/>
  <c r="AZ141"/>
  <c r="BG141"/>
  <c r="AQ141"/>
  <c r="BB141"/>
  <c r="AO141"/>
  <c r="AN141"/>
  <c r="BA141"/>
  <c r="AU141"/>
  <c r="AY141"/>
  <c r="BD141"/>
  <c r="AX141"/>
  <c r="AM141"/>
  <c r="E143" i="12"/>
  <c r="F143" i="6"/>
  <c r="AB140" i="5"/>
  <c r="AA140"/>
  <c r="K144"/>
  <c r="H144"/>
  <c r="E144"/>
  <c r="D144"/>
  <c r="B144" i="12" s="1"/>
  <c r="N144" i="5"/>
  <c r="D144" i="6" s="1"/>
  <c r="F144" i="5"/>
  <c r="A144" i="12"/>
  <c r="G144" i="5"/>
  <c r="AD144"/>
  <c r="B144" i="6"/>
  <c r="R144" i="5"/>
  <c r="C145"/>
  <c r="B144"/>
  <c r="J144"/>
  <c r="AE144"/>
  <c r="W144"/>
  <c r="H144" i="12" s="1"/>
  <c r="AE141" i="6"/>
  <c r="T139" i="12"/>
  <c r="G144"/>
  <c r="AF145" i="5"/>
  <c r="U139" i="12" l="1"/>
  <c r="Y140"/>
  <c r="K143"/>
  <c r="A144" i="6"/>
  <c r="M144" s="1"/>
  <c r="AP144" s="1"/>
  <c r="AG145" i="5"/>
  <c r="S145"/>
  <c r="F145" i="12" s="1"/>
  <c r="E140" i="6"/>
  <c r="D140" i="12"/>
  <c r="T143" i="5"/>
  <c r="X143" s="1"/>
  <c r="F144" i="6"/>
  <c r="E144" i="12"/>
  <c r="J144"/>
  <c r="L144"/>
  <c r="AA141" i="5"/>
  <c r="AB141"/>
  <c r="Z142"/>
  <c r="AM142"/>
  <c r="L142"/>
  <c r="I142" i="12"/>
  <c r="AC142" i="5"/>
  <c r="M143" i="6"/>
  <c r="AB143" s="1"/>
  <c r="A145" i="12"/>
  <c r="F145" i="5"/>
  <c r="W145"/>
  <c r="H145" i="12" s="1"/>
  <c r="K145" i="5"/>
  <c r="N145"/>
  <c r="D145" i="6" s="1"/>
  <c r="D145" i="5"/>
  <c r="B145" i="12" s="1"/>
  <c r="C146" i="5"/>
  <c r="B145" i="6"/>
  <c r="E145" i="5"/>
  <c r="AD145"/>
  <c r="J145"/>
  <c r="G145"/>
  <c r="AE145"/>
  <c r="H145"/>
  <c r="B145"/>
  <c r="R145"/>
  <c r="O141"/>
  <c r="C141" i="6"/>
  <c r="G144"/>
  <c r="H144"/>
  <c r="T144" i="5" s="1"/>
  <c r="X144" s="1"/>
  <c r="I144" i="12" s="1"/>
  <c r="O141"/>
  <c r="C141"/>
  <c r="M141"/>
  <c r="AO141"/>
  <c r="N140"/>
  <c r="G145"/>
  <c r="AF146" i="5"/>
  <c r="W140" i="12" l="1"/>
  <c r="X140"/>
  <c r="AT144" i="6"/>
  <c r="BE144"/>
  <c r="AZ144"/>
  <c r="BD144"/>
  <c r="AY144"/>
  <c r="Y141" i="12"/>
  <c r="X141" s="1"/>
  <c r="K144"/>
  <c r="BC144" i="6"/>
  <c r="AU144"/>
  <c r="BB144"/>
  <c r="AS144"/>
  <c r="AR144"/>
  <c r="N144"/>
  <c r="A145"/>
  <c r="M145" s="1"/>
  <c r="AP145" s="1"/>
  <c r="AX144"/>
  <c r="BF144"/>
  <c r="AO144"/>
  <c r="AM144"/>
  <c r="AQ144"/>
  <c r="BA144"/>
  <c r="AV144"/>
  <c r="BG144"/>
  <c r="AN144"/>
  <c r="AC144"/>
  <c r="AM144" i="5"/>
  <c r="AF144" i="6"/>
  <c r="L144" i="5"/>
  <c r="O144" s="1"/>
  <c r="AI144" i="6"/>
  <c r="AD144"/>
  <c r="AB144"/>
  <c r="AK144"/>
  <c r="AH144"/>
  <c r="Z144" i="5"/>
  <c r="AA144" s="1"/>
  <c r="AC144"/>
  <c r="S146"/>
  <c r="F146" i="12" s="1"/>
  <c r="AG146" i="5"/>
  <c r="D141" i="12"/>
  <c r="E141" i="6"/>
  <c r="G145"/>
  <c r="H145"/>
  <c r="J145" i="12"/>
  <c r="L145"/>
  <c r="O142" i="5"/>
  <c r="C142" i="6"/>
  <c r="N141" i="12"/>
  <c r="AD143" i="6"/>
  <c r="AK143"/>
  <c r="AO142" i="12"/>
  <c r="M142"/>
  <c r="C142"/>
  <c r="O142"/>
  <c r="AM143" i="5"/>
  <c r="L143"/>
  <c r="Z143"/>
  <c r="I143" i="12"/>
  <c r="AC143" i="5"/>
  <c r="AE144" i="6"/>
  <c r="AF143"/>
  <c r="AI143"/>
  <c r="J146" i="5"/>
  <c r="R146"/>
  <c r="H146"/>
  <c r="D146"/>
  <c r="B146" i="12" s="1"/>
  <c r="N146" i="5"/>
  <c r="D146" i="6" s="1"/>
  <c r="K146" i="5"/>
  <c r="AD146"/>
  <c r="F146"/>
  <c r="G146"/>
  <c r="B146" i="6"/>
  <c r="AE146" i="5"/>
  <c r="W146"/>
  <c r="H146" i="12" s="1"/>
  <c r="E146" i="5"/>
  <c r="A146" i="12"/>
  <c r="B146" i="5"/>
  <c r="C147"/>
  <c r="AA142"/>
  <c r="AB142"/>
  <c r="AG144" i="6"/>
  <c r="AG143"/>
  <c r="AE143"/>
  <c r="AJ144"/>
  <c r="E145" i="12"/>
  <c r="F145" i="6"/>
  <c r="AR143"/>
  <c r="BE143"/>
  <c r="AX143"/>
  <c r="BD143"/>
  <c r="AZ143"/>
  <c r="BC143"/>
  <c r="AP143"/>
  <c r="AN143"/>
  <c r="BA143"/>
  <c r="BB143"/>
  <c r="BF143"/>
  <c r="AV143"/>
  <c r="AU143"/>
  <c r="AY143"/>
  <c r="BG143"/>
  <c r="AM143"/>
  <c r="AO143"/>
  <c r="AS143"/>
  <c r="AT143"/>
  <c r="AQ143"/>
  <c r="AC143"/>
  <c r="AH143"/>
  <c r="AJ143"/>
  <c r="C144" i="12"/>
  <c r="O144"/>
  <c r="M144"/>
  <c r="AO144"/>
  <c r="C144" i="6"/>
  <c r="G146" i="12"/>
  <c r="AF147" i="5"/>
  <c r="W141" i="12" l="1"/>
  <c r="V141" s="1"/>
  <c r="N145" i="6"/>
  <c r="AB144" i="5"/>
  <c r="BF145" i="6"/>
  <c r="BA145"/>
  <c r="AY145"/>
  <c r="AU145"/>
  <c r="BG145"/>
  <c r="V140" i="12"/>
  <c r="T140"/>
  <c r="U140"/>
  <c r="AV145" i="6"/>
  <c r="AT145"/>
  <c r="BB145"/>
  <c r="AQ145"/>
  <c r="K145" i="12"/>
  <c r="AS145" i="6"/>
  <c r="AM145"/>
  <c r="AX145"/>
  <c r="BE145"/>
  <c r="AN145"/>
  <c r="N142" i="12"/>
  <c r="Y142"/>
  <c r="AO145" i="6"/>
  <c r="AR145"/>
  <c r="AZ145"/>
  <c r="BC145"/>
  <c r="BD145"/>
  <c r="AG147" i="5"/>
  <c r="S147"/>
  <c r="F147" i="12" s="1"/>
  <c r="W147" i="5"/>
  <c r="H147" i="12" s="1"/>
  <c r="C148" i="5"/>
  <c r="E147"/>
  <c r="AD147"/>
  <c r="B147"/>
  <c r="J147"/>
  <c r="F147"/>
  <c r="AE147"/>
  <c r="H147"/>
  <c r="B147" i="6"/>
  <c r="N147" i="5"/>
  <c r="D147" i="6" s="1"/>
  <c r="G147" i="5"/>
  <c r="K147"/>
  <c r="A147" i="12"/>
  <c r="R147" i="5"/>
  <c r="D147"/>
  <c r="B147" i="12" s="1"/>
  <c r="M143"/>
  <c r="AO143"/>
  <c r="O143"/>
  <c r="C143"/>
  <c r="D142"/>
  <c r="E142" i="6"/>
  <c r="G146"/>
  <c r="H146"/>
  <c r="T146" i="5" s="1"/>
  <c r="X146" s="1"/>
  <c r="Z146" s="1"/>
  <c r="T145"/>
  <c r="X145" s="1"/>
  <c r="AD145" i="6"/>
  <c r="AF145"/>
  <c r="AH145"/>
  <c r="AI145"/>
  <c r="AB145"/>
  <c r="AC145"/>
  <c r="AK145"/>
  <c r="AG145"/>
  <c r="AE145"/>
  <c r="AJ145"/>
  <c r="J146" i="12"/>
  <c r="L146"/>
  <c r="E146"/>
  <c r="F146" i="6"/>
  <c r="O143" i="5"/>
  <c r="C143" i="6"/>
  <c r="A146"/>
  <c r="AB143" i="5"/>
  <c r="AA143"/>
  <c r="Y144" i="12"/>
  <c r="X144" s="1"/>
  <c r="D144"/>
  <c r="E144" i="6"/>
  <c r="N144" i="12"/>
  <c r="G147"/>
  <c r="AF148" i="5"/>
  <c r="T141" i="12" l="1"/>
  <c r="U141"/>
  <c r="N143"/>
  <c r="X142"/>
  <c r="W142"/>
  <c r="L146" i="5"/>
  <c r="C146" i="6" s="1"/>
  <c r="AC146" i="5"/>
  <c r="I146" i="12"/>
  <c r="C146" s="1"/>
  <c r="AM146" i="5"/>
  <c r="S148"/>
  <c r="F148" i="12" s="1"/>
  <c r="AG148" i="5"/>
  <c r="F147" i="6"/>
  <c r="E147" i="12"/>
  <c r="H147" i="6"/>
  <c r="G147"/>
  <c r="E143"/>
  <c r="D143" i="12"/>
  <c r="AM145" i="5"/>
  <c r="I145" i="12"/>
  <c r="L145" i="5"/>
  <c r="AC145"/>
  <c r="Z145"/>
  <c r="K146" i="12"/>
  <c r="M146" i="6"/>
  <c r="AI146" s="1"/>
  <c r="N146"/>
  <c r="L147" i="12"/>
  <c r="J147"/>
  <c r="K148" i="5"/>
  <c r="N148"/>
  <c r="D148" i="6" s="1"/>
  <c r="E148" i="5"/>
  <c r="F148"/>
  <c r="D148"/>
  <c r="B148" i="12" s="1"/>
  <c r="B148" i="6"/>
  <c r="R148" i="5"/>
  <c r="G148"/>
  <c r="W148"/>
  <c r="H148" i="12" s="1"/>
  <c r="J148" i="5"/>
  <c r="H148"/>
  <c r="A148" i="12"/>
  <c r="B148" i="5"/>
  <c r="C149"/>
  <c r="AD148"/>
  <c r="AE148"/>
  <c r="Y143" i="12"/>
  <c r="A147" i="6"/>
  <c r="W144" i="12"/>
  <c r="T144" s="1"/>
  <c r="AB146" i="5"/>
  <c r="AA146"/>
  <c r="G148" i="12"/>
  <c r="O146" i="5"/>
  <c r="AF149"/>
  <c r="M146" i="12" l="1"/>
  <c r="O146"/>
  <c r="K147"/>
  <c r="AO146"/>
  <c r="AD146" i="6"/>
  <c r="V142" i="12"/>
  <c r="U142"/>
  <c r="T142"/>
  <c r="AG149" i="5"/>
  <c r="S149"/>
  <c r="F149" i="12" s="1"/>
  <c r="X143"/>
  <c r="W143"/>
  <c r="F148" i="6"/>
  <c r="E148" i="12"/>
  <c r="AB145" i="5"/>
  <c r="AA145"/>
  <c r="T147"/>
  <c r="X147" s="1"/>
  <c r="M147" i="6"/>
  <c r="AG147" s="1"/>
  <c r="N147"/>
  <c r="L148" i="12"/>
  <c r="J148"/>
  <c r="O145"/>
  <c r="M145"/>
  <c r="C145"/>
  <c r="AO145"/>
  <c r="BC146" i="6"/>
  <c r="BG146"/>
  <c r="BA146"/>
  <c r="AT146"/>
  <c r="BB146"/>
  <c r="AQ146"/>
  <c r="AN146"/>
  <c r="AG146"/>
  <c r="AF146"/>
  <c r="AC146"/>
  <c r="BF146"/>
  <c r="AP146"/>
  <c r="AU146"/>
  <c r="AX146"/>
  <c r="AS146"/>
  <c r="AK146"/>
  <c r="AE146"/>
  <c r="BE146"/>
  <c r="AZ146"/>
  <c r="BD146"/>
  <c r="AO146"/>
  <c r="AV146"/>
  <c r="AM146"/>
  <c r="AJ146"/>
  <c r="AB146"/>
  <c r="AY146"/>
  <c r="AH146"/>
  <c r="AR146"/>
  <c r="O145" i="5"/>
  <c r="C145" i="6"/>
  <c r="C150" i="5"/>
  <c r="E149"/>
  <c r="AD149"/>
  <c r="J149"/>
  <c r="B149"/>
  <c r="F149"/>
  <c r="W149"/>
  <c r="H149" i="12" s="1"/>
  <c r="K149" i="5"/>
  <c r="B149" i="6"/>
  <c r="G149" i="5"/>
  <c r="AE149"/>
  <c r="N149"/>
  <c r="D149" i="6" s="1"/>
  <c r="A149" i="12"/>
  <c r="H149" i="5"/>
  <c r="D149"/>
  <c r="B149" i="12" s="1"/>
  <c r="R149" i="5"/>
  <c r="G148" i="6"/>
  <c r="H148"/>
  <c r="T148" i="5" s="1"/>
  <c r="X148" s="1"/>
  <c r="AM148" s="1"/>
  <c r="A148" i="6"/>
  <c r="V144" i="12"/>
  <c r="U144"/>
  <c r="G149"/>
  <c r="D146"/>
  <c r="E146" i="6"/>
  <c r="AF150" i="5"/>
  <c r="N146" i="12" l="1"/>
  <c r="Y146"/>
  <c r="W146" s="1"/>
  <c r="Z148" i="5"/>
  <c r="AB148" s="1"/>
  <c r="AC148"/>
  <c r="L148"/>
  <c r="O148" s="1"/>
  <c r="I148" i="12"/>
  <c r="O148" s="1"/>
  <c r="K148"/>
  <c r="S150" i="5"/>
  <c r="F150" i="12" s="1"/>
  <c r="AG150" i="5"/>
  <c r="E149" i="12"/>
  <c r="F149" i="6"/>
  <c r="G149"/>
  <c r="H149"/>
  <c r="L147" i="5"/>
  <c r="I147" i="12"/>
  <c r="AC147" i="5"/>
  <c r="Z147"/>
  <c r="AM147"/>
  <c r="AI147" i="6"/>
  <c r="AC147"/>
  <c r="L149" i="12"/>
  <c r="J149"/>
  <c r="J150" i="5"/>
  <c r="AD150"/>
  <c r="F150"/>
  <c r="R150"/>
  <c r="B150" i="6"/>
  <c r="K150" i="5"/>
  <c r="AE150"/>
  <c r="G150"/>
  <c r="W150"/>
  <c r="H150" i="12" s="1"/>
  <c r="D150" i="5"/>
  <c r="B150" i="12" s="1"/>
  <c r="H150" i="5"/>
  <c r="C151"/>
  <c r="A150" i="12"/>
  <c r="B150" i="5"/>
  <c r="N150"/>
  <c r="D150" i="6" s="1"/>
  <c r="E150" i="5"/>
  <c r="A149" i="6"/>
  <c r="AJ147"/>
  <c r="AD147"/>
  <c r="AB147"/>
  <c r="Y145" i="12"/>
  <c r="AK147" i="6"/>
  <c r="AF147"/>
  <c r="N148"/>
  <c r="M148"/>
  <c r="E145"/>
  <c r="D145" i="12"/>
  <c r="AU147" i="6"/>
  <c r="BA147"/>
  <c r="AX147"/>
  <c r="AY147"/>
  <c r="AP147"/>
  <c r="AQ147"/>
  <c r="AT147"/>
  <c r="AZ147"/>
  <c r="AV147"/>
  <c r="AN147"/>
  <c r="AR147"/>
  <c r="BF147"/>
  <c r="BB147"/>
  <c r="AM147"/>
  <c r="BE147"/>
  <c r="AS147"/>
  <c r="BC147"/>
  <c r="BD147"/>
  <c r="AO147"/>
  <c r="BG147"/>
  <c r="U143" i="12"/>
  <c r="T143"/>
  <c r="V143"/>
  <c r="N145"/>
  <c r="AH147" i="6"/>
  <c r="AE147"/>
  <c r="G150" i="12"/>
  <c r="C148" i="6"/>
  <c r="AF151" i="5"/>
  <c r="M148" i="12" l="1"/>
  <c r="N148" s="1"/>
  <c r="C148"/>
  <c r="AO148"/>
  <c r="X146"/>
  <c r="K149"/>
  <c r="AA148" i="5"/>
  <c r="AG151"/>
  <c r="S151"/>
  <c r="F151" i="12" s="1"/>
  <c r="G150" i="6"/>
  <c r="H150"/>
  <c r="T150" i="5" s="1"/>
  <c r="X150" s="1"/>
  <c r="Z150" s="1"/>
  <c r="AB147"/>
  <c r="AA147"/>
  <c r="T149"/>
  <c r="X149" s="1"/>
  <c r="AD151"/>
  <c r="J151"/>
  <c r="C152"/>
  <c r="H151"/>
  <c r="B151"/>
  <c r="N151"/>
  <c r="D151" i="6" s="1"/>
  <c r="G151" i="5"/>
  <c r="D151"/>
  <c r="B151" i="12" s="1"/>
  <c r="B151" i="6"/>
  <c r="R151" i="5"/>
  <c r="K151"/>
  <c r="E151"/>
  <c r="A151" i="12"/>
  <c r="W151" i="5"/>
  <c r="H151" i="12" s="1"/>
  <c r="AE151" i="5"/>
  <c r="F151"/>
  <c r="F150" i="6"/>
  <c r="E150" i="12"/>
  <c r="O147" i="5"/>
  <c r="C147" i="6"/>
  <c r="AT148"/>
  <c r="AO148"/>
  <c r="AI148"/>
  <c r="BG148"/>
  <c r="AR148"/>
  <c r="AH148"/>
  <c r="AS148"/>
  <c r="AD148"/>
  <c r="BB148"/>
  <c r="BE148"/>
  <c r="AY148"/>
  <c r="BD148"/>
  <c r="AU148"/>
  <c r="BC148"/>
  <c r="AG148"/>
  <c r="AC148"/>
  <c r="AB148"/>
  <c r="AX148"/>
  <c r="AM148"/>
  <c r="BF148"/>
  <c r="AJ148"/>
  <c r="BA148"/>
  <c r="AP148"/>
  <c r="AE148"/>
  <c r="AK148"/>
  <c r="AQ148"/>
  <c r="AV148"/>
  <c r="AN148"/>
  <c r="AF148"/>
  <c r="AZ148"/>
  <c r="W145" i="12"/>
  <c r="X145"/>
  <c r="M149" i="6"/>
  <c r="AJ149" s="1"/>
  <c r="N149"/>
  <c r="L150" i="12"/>
  <c r="J150"/>
  <c r="M147"/>
  <c r="AO147"/>
  <c r="C147"/>
  <c r="O147"/>
  <c r="A150" i="6"/>
  <c r="Y148" i="12"/>
  <c r="W148" s="1"/>
  <c r="V146"/>
  <c r="U146"/>
  <c r="T146"/>
  <c r="D148"/>
  <c r="E148" i="6"/>
  <c r="I150" i="12"/>
  <c r="G151"/>
  <c r="AF152" i="5"/>
  <c r="AC150" l="1"/>
  <c r="Y147" i="12"/>
  <c r="W147" s="1"/>
  <c r="T147" s="1"/>
  <c r="K150"/>
  <c r="L150" i="5"/>
  <c r="O150" s="1"/>
  <c r="AM150"/>
  <c r="S152"/>
  <c r="F152" i="12" s="1"/>
  <c r="AG152" i="5"/>
  <c r="N147" i="12"/>
  <c r="AK149" i="6"/>
  <c r="AG149"/>
  <c r="N150"/>
  <c r="M150"/>
  <c r="AN149"/>
  <c r="BD149"/>
  <c r="AV149"/>
  <c r="BF149"/>
  <c r="AU149"/>
  <c r="AY149"/>
  <c r="AR149"/>
  <c r="BG149"/>
  <c r="AQ149"/>
  <c r="AO149"/>
  <c r="AX149"/>
  <c r="AZ149"/>
  <c r="BC149"/>
  <c r="AP149"/>
  <c r="BA149"/>
  <c r="AM149"/>
  <c r="AT149"/>
  <c r="AS149"/>
  <c r="BB149"/>
  <c r="BE149"/>
  <c r="L151" i="12"/>
  <c r="J151"/>
  <c r="A151" i="6"/>
  <c r="AB149"/>
  <c r="AC149"/>
  <c r="F151"/>
  <c r="E151" i="12"/>
  <c r="G151" i="6"/>
  <c r="H151"/>
  <c r="T151" i="5" s="1"/>
  <c r="X151" s="1"/>
  <c r="I151" i="12" s="1"/>
  <c r="AM149" i="5"/>
  <c r="L149"/>
  <c r="I149" i="12"/>
  <c r="AC149" i="5"/>
  <c r="Z149"/>
  <c r="AF149" i="6"/>
  <c r="AE149"/>
  <c r="T145" i="12"/>
  <c r="U145"/>
  <c r="V145"/>
  <c r="E147" i="6"/>
  <c r="D147" i="12"/>
  <c r="B152" i="6"/>
  <c r="W152" i="5"/>
  <c r="H152" i="12" s="1"/>
  <c r="G152" i="5"/>
  <c r="H152"/>
  <c r="A152" i="12"/>
  <c r="B152" i="5"/>
  <c r="C153"/>
  <c r="AD152"/>
  <c r="J152"/>
  <c r="N152"/>
  <c r="D152" i="6" s="1"/>
  <c r="D152" i="5"/>
  <c r="B152" i="12" s="1"/>
  <c r="AE152" i="5"/>
  <c r="K152"/>
  <c r="R152"/>
  <c r="E152"/>
  <c r="F152"/>
  <c r="AI149" i="6"/>
  <c r="AH149"/>
  <c r="AD149"/>
  <c r="X148" i="12"/>
  <c r="G152"/>
  <c r="AB150" i="5"/>
  <c r="AA150"/>
  <c r="U148" i="12"/>
  <c r="T148"/>
  <c r="V148"/>
  <c r="C150"/>
  <c r="AO150"/>
  <c r="M150"/>
  <c r="O150"/>
  <c r="AF153" i="5"/>
  <c r="C150" i="6" l="1"/>
  <c r="U147" i="12"/>
  <c r="X147"/>
  <c r="V147"/>
  <c r="AM151" i="5"/>
  <c r="L151"/>
  <c r="O151" s="1"/>
  <c r="Z151"/>
  <c r="AC151"/>
  <c r="S153"/>
  <c r="F153" i="12" s="1"/>
  <c r="AG153" i="5"/>
  <c r="J152" i="12"/>
  <c r="L152"/>
  <c r="AB149" i="5"/>
  <c r="AA149"/>
  <c r="A152" i="6"/>
  <c r="F152"/>
  <c r="E152" i="12"/>
  <c r="H152" i="6"/>
  <c r="T152" i="5" s="1"/>
  <c r="X152" s="1"/>
  <c r="AM152" s="1"/>
  <c r="G152" i="6"/>
  <c r="O149" i="5"/>
  <c r="C149" i="6"/>
  <c r="N151"/>
  <c r="M151"/>
  <c r="C154" i="5"/>
  <c r="A153" i="12"/>
  <c r="J153" i="5"/>
  <c r="F153"/>
  <c r="W153"/>
  <c r="H153" i="12" s="1"/>
  <c r="D153" i="5"/>
  <c r="B153" i="12" s="1"/>
  <c r="K153" i="5"/>
  <c r="G153"/>
  <c r="AD153"/>
  <c r="B153"/>
  <c r="H153"/>
  <c r="AE153"/>
  <c r="N153"/>
  <c r="D153" i="6" s="1"/>
  <c r="B153"/>
  <c r="E153" i="5"/>
  <c r="R153"/>
  <c r="AO149" i="12"/>
  <c r="O149"/>
  <c r="C149"/>
  <c r="M149"/>
  <c r="AF150" i="6"/>
  <c r="AD150"/>
  <c r="BF150"/>
  <c r="BE150"/>
  <c r="BB150"/>
  <c r="AT150"/>
  <c r="AP150"/>
  <c r="AR150"/>
  <c r="AN150"/>
  <c r="BA150"/>
  <c r="AE150"/>
  <c r="AV150"/>
  <c r="AB150"/>
  <c r="BD150"/>
  <c r="AH150"/>
  <c r="AU150"/>
  <c r="AS150"/>
  <c r="AG150"/>
  <c r="AQ150"/>
  <c r="AY150"/>
  <c r="AJ150"/>
  <c r="AM150"/>
  <c r="BG150"/>
  <c r="AZ150"/>
  <c r="BC150"/>
  <c r="AI150"/>
  <c r="AO150"/>
  <c r="AK150"/>
  <c r="AC150"/>
  <c r="AX150"/>
  <c r="K151" i="12"/>
  <c r="N150"/>
  <c r="C151"/>
  <c r="O151"/>
  <c r="AO151"/>
  <c r="M151"/>
  <c r="D150"/>
  <c r="E150" i="6"/>
  <c r="C151"/>
  <c r="AA151" i="5"/>
  <c r="AB151"/>
  <c r="Y150" i="12"/>
  <c r="G153"/>
  <c r="AF154" i="5"/>
  <c r="Z152" l="1"/>
  <c r="AA152" s="1"/>
  <c r="AC152"/>
  <c r="I152" i="12"/>
  <c r="AO152" s="1"/>
  <c r="L152" i="5"/>
  <c r="Y149" i="12"/>
  <c r="K152"/>
  <c r="S154" i="5"/>
  <c r="F154" i="12" s="1"/>
  <c r="AG154" i="5"/>
  <c r="L153" i="12"/>
  <c r="J153"/>
  <c r="N149"/>
  <c r="A153" i="6"/>
  <c r="F153"/>
  <c r="E153" i="12"/>
  <c r="BD151" i="6"/>
  <c r="AC151"/>
  <c r="BG151"/>
  <c r="AE151"/>
  <c r="AV151"/>
  <c r="BB151"/>
  <c r="AQ151"/>
  <c r="AF151"/>
  <c r="BA151"/>
  <c r="AG151"/>
  <c r="AD151"/>
  <c r="AZ151"/>
  <c r="AB151"/>
  <c r="BF151"/>
  <c r="AU151"/>
  <c r="AO151"/>
  <c r="AH151"/>
  <c r="AR151"/>
  <c r="AY151"/>
  <c r="AS151"/>
  <c r="BC151"/>
  <c r="AJ151"/>
  <c r="AI151"/>
  <c r="BE151"/>
  <c r="AT151"/>
  <c r="AX151"/>
  <c r="AN151"/>
  <c r="AM151"/>
  <c r="AK151"/>
  <c r="AP151"/>
  <c r="N152"/>
  <c r="M152"/>
  <c r="H153"/>
  <c r="T153" i="5" s="1"/>
  <c r="X153" s="1"/>
  <c r="I153" i="12" s="1"/>
  <c r="G153" i="6"/>
  <c r="A154" i="12"/>
  <c r="B154" i="5"/>
  <c r="AE154"/>
  <c r="R154"/>
  <c r="J154"/>
  <c r="D154"/>
  <c r="B154" i="12" s="1"/>
  <c r="C155" i="5"/>
  <c r="N154"/>
  <c r="D154" i="6" s="1"/>
  <c r="K154" i="5"/>
  <c r="E154"/>
  <c r="W154"/>
  <c r="H154" i="12" s="1"/>
  <c r="G154" i="5"/>
  <c r="B154" i="6"/>
  <c r="F154" i="5"/>
  <c r="AD154"/>
  <c r="H154"/>
  <c r="D149" i="12"/>
  <c r="E149" i="6"/>
  <c r="Y151" i="12"/>
  <c r="X151" s="1"/>
  <c r="N151"/>
  <c r="D151"/>
  <c r="E151" i="6"/>
  <c r="X150" i="12"/>
  <c r="W150"/>
  <c r="AB152" i="5"/>
  <c r="G154" i="12"/>
  <c r="C152" i="6"/>
  <c r="O152" i="5"/>
  <c r="AF155"/>
  <c r="X149" i="12" l="1"/>
  <c r="W149"/>
  <c r="C152"/>
  <c r="M152"/>
  <c r="O152"/>
  <c r="AC153" i="5"/>
  <c r="Z153"/>
  <c r="AA153" s="1"/>
  <c r="AM153"/>
  <c r="L153"/>
  <c r="C153" i="6" s="1"/>
  <c r="A154"/>
  <c r="N154" s="1"/>
  <c r="K153" i="12"/>
  <c r="S155" i="5"/>
  <c r="F155" i="12" s="1"/>
  <c r="AG155" i="5"/>
  <c r="B155"/>
  <c r="R155"/>
  <c r="F155"/>
  <c r="H155"/>
  <c r="B155" i="6"/>
  <c r="W155" i="5"/>
  <c r="H155" i="12" s="1"/>
  <c r="G155" i="5"/>
  <c r="J155"/>
  <c r="A155" i="12"/>
  <c r="K155" i="5"/>
  <c r="AD155"/>
  <c r="D155"/>
  <c r="B155" i="12" s="1"/>
  <c r="AE155" i="5"/>
  <c r="N155"/>
  <c r="D155" i="6" s="1"/>
  <c r="E155" i="5"/>
  <c r="C156"/>
  <c r="G154" i="6"/>
  <c r="H154"/>
  <c r="F154"/>
  <c r="E154" i="12"/>
  <c r="N153" i="6"/>
  <c r="M153"/>
  <c r="J154" i="12"/>
  <c r="L154"/>
  <c r="AU152" i="6"/>
  <c r="AG152"/>
  <c r="AH152"/>
  <c r="AB152"/>
  <c r="AI152"/>
  <c r="BF152"/>
  <c r="BA152"/>
  <c r="AS152"/>
  <c r="AT152"/>
  <c r="BB152"/>
  <c r="AP152"/>
  <c r="AQ152"/>
  <c r="AO152"/>
  <c r="BD152"/>
  <c r="BC152"/>
  <c r="AE152"/>
  <c r="AR152"/>
  <c r="AK152"/>
  <c r="AD152"/>
  <c r="AC152"/>
  <c r="AY152"/>
  <c r="BG152"/>
  <c r="AX152"/>
  <c r="AJ152"/>
  <c r="BE152"/>
  <c r="AV152"/>
  <c r="AZ152"/>
  <c r="AN152"/>
  <c r="AF152"/>
  <c r="AM152"/>
  <c r="W151" i="12"/>
  <c r="V151" s="1"/>
  <c r="Y152"/>
  <c r="X152" s="1"/>
  <c r="C153"/>
  <c r="AO153"/>
  <c r="M153"/>
  <c r="O153"/>
  <c r="D152"/>
  <c r="E152" i="6"/>
  <c r="V150" i="12"/>
  <c r="U150"/>
  <c r="T150"/>
  <c r="G155"/>
  <c r="AF156" i="5"/>
  <c r="AB153" l="1"/>
  <c r="K154" i="12"/>
  <c r="N152"/>
  <c r="T149"/>
  <c r="V149"/>
  <c r="U149"/>
  <c r="O153" i="5"/>
  <c r="D153" i="12" s="1"/>
  <c r="M154" i="6"/>
  <c r="AK154" s="1"/>
  <c r="AG156" i="5"/>
  <c r="S156"/>
  <c r="F156" i="12" s="1"/>
  <c r="AT153" i="6"/>
  <c r="AQ153"/>
  <c r="BG153"/>
  <c r="AI153"/>
  <c r="AR153"/>
  <c r="AX153"/>
  <c r="BD153"/>
  <c r="AP153"/>
  <c r="AZ153"/>
  <c r="AE153"/>
  <c r="AB153"/>
  <c r="AG153"/>
  <c r="AM153"/>
  <c r="AS153"/>
  <c r="AD153"/>
  <c r="BC153"/>
  <c r="AV153"/>
  <c r="AK153"/>
  <c r="BE153"/>
  <c r="AF153"/>
  <c r="AC153"/>
  <c r="AO153"/>
  <c r="AY153"/>
  <c r="BA153"/>
  <c r="BB153"/>
  <c r="AJ153"/>
  <c r="BF153"/>
  <c r="AN153"/>
  <c r="AU153"/>
  <c r="AH153"/>
  <c r="T154" i="5"/>
  <c r="X154" s="1"/>
  <c r="K156"/>
  <c r="R156"/>
  <c r="AE156"/>
  <c r="E156"/>
  <c r="B156" i="6"/>
  <c r="W156" i="5"/>
  <c r="H156" i="12" s="1"/>
  <c r="F156" i="5"/>
  <c r="H156"/>
  <c r="A156" i="12"/>
  <c r="B156" i="5"/>
  <c r="G156"/>
  <c r="N156"/>
  <c r="D156" i="6" s="1"/>
  <c r="J156" i="5"/>
  <c r="C157"/>
  <c r="AD156"/>
  <c r="D156"/>
  <c r="B156" i="12" s="1"/>
  <c r="J155"/>
  <c r="L155"/>
  <c r="A155" i="6"/>
  <c r="G155"/>
  <c r="H155"/>
  <c r="T155" i="5" s="1"/>
  <c r="X155" s="1"/>
  <c r="I155" i="12" s="1"/>
  <c r="F155" i="6"/>
  <c r="E155" i="12"/>
  <c r="U151"/>
  <c r="T151"/>
  <c r="W152"/>
  <c r="V152" s="1"/>
  <c r="N153"/>
  <c r="G156"/>
  <c r="Y153"/>
  <c r="AF157" i="5"/>
  <c r="BA154" i="6" l="1"/>
  <c r="AZ154"/>
  <c r="E153"/>
  <c r="BF154"/>
  <c r="AN154"/>
  <c r="BD154"/>
  <c r="AO154"/>
  <c r="AS154"/>
  <c r="AX154"/>
  <c r="AQ154"/>
  <c r="BE154"/>
  <c r="AY154"/>
  <c r="AV154"/>
  <c r="AP154"/>
  <c r="AR154"/>
  <c r="AT154"/>
  <c r="BG154"/>
  <c r="BB154"/>
  <c r="AC154"/>
  <c r="AG154"/>
  <c r="AU154"/>
  <c r="AM154"/>
  <c r="AF154"/>
  <c r="AI154"/>
  <c r="AE154"/>
  <c r="AH154"/>
  <c r="AJ154"/>
  <c r="AD154"/>
  <c r="BC154"/>
  <c r="AB154"/>
  <c r="K155" i="12"/>
  <c r="AM155" i="5"/>
  <c r="L155"/>
  <c r="O155" s="1"/>
  <c r="Z155"/>
  <c r="AB155" s="1"/>
  <c r="AC155"/>
  <c r="S157"/>
  <c r="F157" i="12" s="1"/>
  <c r="AG157" i="5"/>
  <c r="N157"/>
  <c r="D157" i="6" s="1"/>
  <c r="H157" i="5"/>
  <c r="AD157"/>
  <c r="F157"/>
  <c r="B157"/>
  <c r="C158"/>
  <c r="AE157"/>
  <c r="J157"/>
  <c r="R157"/>
  <c r="W157"/>
  <c r="H157" i="12" s="1"/>
  <c r="D157" i="5"/>
  <c r="B157" i="12" s="1"/>
  <c r="E157" i="5"/>
  <c r="G157"/>
  <c r="B157" i="6"/>
  <c r="A157" i="12"/>
  <c r="K157" i="5"/>
  <c r="F156" i="6"/>
  <c r="E156" i="12"/>
  <c r="Z154" i="5"/>
  <c r="AM154"/>
  <c r="L154"/>
  <c r="AC154"/>
  <c r="I154" i="12"/>
  <c r="N155" i="6"/>
  <c r="M155"/>
  <c r="AJ155" s="1"/>
  <c r="G156"/>
  <c r="H156"/>
  <c r="T156" i="5" s="1"/>
  <c r="X156" s="1"/>
  <c r="L156" s="1"/>
  <c r="L156" i="12"/>
  <c r="J156"/>
  <c r="A156" i="6"/>
  <c r="U152" i="12"/>
  <c r="T152"/>
  <c r="C155"/>
  <c r="M155"/>
  <c r="O155"/>
  <c r="AO155"/>
  <c r="X153"/>
  <c r="W153"/>
  <c r="G157"/>
  <c r="AF158" i="5"/>
  <c r="C155" i="6" l="1"/>
  <c r="AA155" i="5"/>
  <c r="AM156"/>
  <c r="K156" i="12"/>
  <c r="Z156" i="5"/>
  <c r="AB156" s="1"/>
  <c r="AD155" i="6"/>
  <c r="AG158" i="5"/>
  <c r="S158"/>
  <c r="F158" i="12" s="1"/>
  <c r="O154"/>
  <c r="C154"/>
  <c r="M154"/>
  <c r="AO154"/>
  <c r="AA154" i="5"/>
  <c r="AB154"/>
  <c r="L157" i="12"/>
  <c r="J157"/>
  <c r="AC156" i="5"/>
  <c r="I156" i="12"/>
  <c r="O156" s="1"/>
  <c r="AE155" i="6"/>
  <c r="AF155"/>
  <c r="N156"/>
  <c r="M156"/>
  <c r="AJ156" s="1"/>
  <c r="AK155"/>
  <c r="AR155"/>
  <c r="BC155"/>
  <c r="AG155"/>
  <c r="AX155"/>
  <c r="AY155"/>
  <c r="AM155"/>
  <c r="AZ155"/>
  <c r="AI155"/>
  <c r="AT155"/>
  <c r="AP155"/>
  <c r="BG155"/>
  <c r="AV155"/>
  <c r="BF155"/>
  <c r="AH155"/>
  <c r="AU155"/>
  <c r="AS155"/>
  <c r="AN155"/>
  <c r="BE155"/>
  <c r="AQ155"/>
  <c r="AB155"/>
  <c r="BD155"/>
  <c r="BB155"/>
  <c r="AO155"/>
  <c r="BA155"/>
  <c r="C154"/>
  <c r="O154" i="5"/>
  <c r="E157" i="12"/>
  <c r="F157" i="6"/>
  <c r="H157"/>
  <c r="T157" i="5" s="1"/>
  <c r="X157" s="1"/>
  <c r="I157" i="12" s="1"/>
  <c r="G157" i="6"/>
  <c r="K158" i="5"/>
  <c r="G158"/>
  <c r="D158"/>
  <c r="B158" i="12" s="1"/>
  <c r="R158" i="5"/>
  <c r="C159"/>
  <c r="B158" i="6"/>
  <c r="H158" i="5"/>
  <c r="E158"/>
  <c r="W158"/>
  <c r="H158" i="12" s="1"/>
  <c r="A158"/>
  <c r="B158" i="5"/>
  <c r="F158"/>
  <c r="N158"/>
  <c r="D158" i="6" s="1"/>
  <c r="J158" i="5"/>
  <c r="AE158"/>
  <c r="AD158"/>
  <c r="AC155" i="6"/>
  <c r="A157"/>
  <c r="Y155" i="12"/>
  <c r="X155" s="1"/>
  <c r="N155"/>
  <c r="G158"/>
  <c r="V153"/>
  <c r="U153"/>
  <c r="T153"/>
  <c r="C156" i="6"/>
  <c r="O156" i="5"/>
  <c r="D155" i="12"/>
  <c r="E155" i="6"/>
  <c r="AF159" i="5"/>
  <c r="AO156" i="12" l="1"/>
  <c r="Y156" s="1"/>
  <c r="X156" s="1"/>
  <c r="M156"/>
  <c r="N156" s="1"/>
  <c r="C156"/>
  <c r="AH156" i="6"/>
  <c r="AA156" i="5"/>
  <c r="Y154" i="12"/>
  <c r="L157" i="5"/>
  <c r="O157" s="1"/>
  <c r="K157" i="12"/>
  <c r="AI156" i="6"/>
  <c r="AM157" i="5"/>
  <c r="Z157"/>
  <c r="AA157" s="1"/>
  <c r="AC157"/>
  <c r="AB156" i="6"/>
  <c r="AC156"/>
  <c r="AE156"/>
  <c r="AG159" i="5"/>
  <c r="S159"/>
  <c r="F159" i="12" s="1"/>
  <c r="D154"/>
  <c r="E154" i="6"/>
  <c r="E158" i="12"/>
  <c r="F158" i="6"/>
  <c r="G158"/>
  <c r="H158"/>
  <c r="D159" i="5"/>
  <c r="B159" i="12" s="1"/>
  <c r="A159"/>
  <c r="E159" i="5"/>
  <c r="C160"/>
  <c r="K159"/>
  <c r="J159"/>
  <c r="AD159"/>
  <c r="N159"/>
  <c r="D159" i="6" s="1"/>
  <c r="F159" i="5"/>
  <c r="B159"/>
  <c r="AE159"/>
  <c r="R159"/>
  <c r="H159"/>
  <c r="B159" i="6"/>
  <c r="G159" i="5"/>
  <c r="W159"/>
  <c r="H159" i="12" s="1"/>
  <c r="N154"/>
  <c r="N157" i="6"/>
  <c r="M157"/>
  <c r="J158" i="12"/>
  <c r="L158"/>
  <c r="AU156" i="6"/>
  <c r="AN156"/>
  <c r="AQ156"/>
  <c r="BG156"/>
  <c r="AD156"/>
  <c r="AS156"/>
  <c r="BF156"/>
  <c r="AM156"/>
  <c r="BD156"/>
  <c r="AZ156"/>
  <c r="AX156"/>
  <c r="AY156"/>
  <c r="AP156"/>
  <c r="AG156"/>
  <c r="AT156"/>
  <c r="AO156"/>
  <c r="BE156"/>
  <c r="BB156"/>
  <c r="AV156"/>
  <c r="BC156"/>
  <c r="AR156"/>
  <c r="BA156"/>
  <c r="AK156"/>
  <c r="A158"/>
  <c r="N158" s="1"/>
  <c r="AF156"/>
  <c r="W155" i="12"/>
  <c r="U155" s="1"/>
  <c r="G159"/>
  <c r="C157"/>
  <c r="M157"/>
  <c r="O157"/>
  <c r="AO157"/>
  <c r="D156"/>
  <c r="E156" i="6"/>
  <c r="AF160" i="5"/>
  <c r="AB157" l="1"/>
  <c r="C157" i="6"/>
  <c r="X154" i="12"/>
  <c r="W154"/>
  <c r="S160" i="5"/>
  <c r="F160" i="12" s="1"/>
  <c r="AG160" i="5"/>
  <c r="E159" i="12"/>
  <c r="F159" i="6"/>
  <c r="H159"/>
  <c r="G159"/>
  <c r="W160" i="5"/>
  <c r="H160" i="12" s="1"/>
  <c r="A160"/>
  <c r="B160" i="5"/>
  <c r="C161"/>
  <c r="F160"/>
  <c r="J160"/>
  <c r="R160"/>
  <c r="N160"/>
  <c r="D160" i="6" s="1"/>
  <c r="G160" i="5"/>
  <c r="AE160"/>
  <c r="E160"/>
  <c r="K160"/>
  <c r="AD160"/>
  <c r="H160"/>
  <c r="D160"/>
  <c r="B160" i="12" s="1"/>
  <c r="B160" i="6"/>
  <c r="T158" i="5"/>
  <c r="X158" s="1"/>
  <c r="K158" i="12"/>
  <c r="L159"/>
  <c r="J159"/>
  <c r="A159" i="6"/>
  <c r="M158"/>
  <c r="AT157"/>
  <c r="AG157"/>
  <c r="AK157"/>
  <c r="AS157"/>
  <c r="AC157"/>
  <c r="BA157"/>
  <c r="AD157"/>
  <c r="AQ157"/>
  <c r="AX157"/>
  <c r="AB157"/>
  <c r="AI157"/>
  <c r="AN157"/>
  <c r="AY157"/>
  <c r="AF157"/>
  <c r="AR157"/>
  <c r="AU157"/>
  <c r="AZ157"/>
  <c r="AJ157"/>
  <c r="BB157"/>
  <c r="BE157"/>
  <c r="AM157"/>
  <c r="BC157"/>
  <c r="AV157"/>
  <c r="BG157"/>
  <c r="BF157"/>
  <c r="AE157"/>
  <c r="AO157"/>
  <c r="AH157"/>
  <c r="BD157"/>
  <c r="AP157"/>
  <c r="T155" i="12"/>
  <c r="V155"/>
  <c r="W156"/>
  <c r="V156" s="1"/>
  <c r="N157"/>
  <c r="G160"/>
  <c r="D157"/>
  <c r="E157" i="6"/>
  <c r="Y157" i="12"/>
  <c r="AF161" i="5"/>
  <c r="T154" i="12" l="1"/>
  <c r="V154"/>
  <c r="U154"/>
  <c r="K159"/>
  <c r="A160" i="6"/>
  <c r="AG161" i="5"/>
  <c r="S161"/>
  <c r="F161" i="12" s="1"/>
  <c r="AS158" i="6"/>
  <c r="AC158"/>
  <c r="AG158"/>
  <c r="AY158"/>
  <c r="AT158"/>
  <c r="BE158"/>
  <c r="AV158"/>
  <c r="AU158"/>
  <c r="BC158"/>
  <c r="BA158"/>
  <c r="AO158"/>
  <c r="AJ158"/>
  <c r="AE158"/>
  <c r="BB158"/>
  <c r="AR158"/>
  <c r="AH158"/>
  <c r="AP158"/>
  <c r="AI158"/>
  <c r="BG158"/>
  <c r="AZ158"/>
  <c r="AK158"/>
  <c r="AF158"/>
  <c r="AQ158"/>
  <c r="AM158"/>
  <c r="AB158"/>
  <c r="AX158"/>
  <c r="BD158"/>
  <c r="AN158"/>
  <c r="BF158"/>
  <c r="E160" i="12"/>
  <c r="F160" i="6"/>
  <c r="T159" i="5"/>
  <c r="X159" s="1"/>
  <c r="G160" i="6"/>
  <c r="H160"/>
  <c r="K161" i="5"/>
  <c r="G161"/>
  <c r="B161"/>
  <c r="AD161"/>
  <c r="H161"/>
  <c r="D161"/>
  <c r="B161" i="12" s="1"/>
  <c r="W161" i="5"/>
  <c r="H161" i="12" s="1"/>
  <c r="C162" i="5"/>
  <c r="B161" i="6"/>
  <c r="AE161" i="5"/>
  <c r="N161"/>
  <c r="D161" i="6" s="1"/>
  <c r="E161" i="5"/>
  <c r="A161" i="12"/>
  <c r="J161" i="5"/>
  <c r="R161"/>
  <c r="F161"/>
  <c r="Z158"/>
  <c r="L158"/>
  <c r="AM158"/>
  <c r="AC158"/>
  <c r="I158" i="12"/>
  <c r="M159" i="6"/>
  <c r="AH159" s="1"/>
  <c r="N159"/>
  <c r="J160" i="12"/>
  <c r="L160"/>
  <c r="AD158" i="6"/>
  <c r="T156" i="12"/>
  <c r="U156"/>
  <c r="X157"/>
  <c r="W157"/>
  <c r="G161"/>
  <c r="AF162" i="5"/>
  <c r="M160" i="6" l="1"/>
  <c r="AE160" s="1"/>
  <c r="N160"/>
  <c r="S162" i="5"/>
  <c r="F162" i="12" s="1"/>
  <c r="AG162" i="5"/>
  <c r="E161" i="12"/>
  <c r="F161" i="6"/>
  <c r="G161"/>
  <c r="H161"/>
  <c r="T161" i="5" s="1"/>
  <c r="X161" s="1"/>
  <c r="AC161" s="1"/>
  <c r="AE159" i="6"/>
  <c r="AF159"/>
  <c r="A162" i="12"/>
  <c r="G162" i="5"/>
  <c r="W162"/>
  <c r="H162" i="12" s="1"/>
  <c r="F162" i="5"/>
  <c r="K162"/>
  <c r="N162"/>
  <c r="D162" i="6" s="1"/>
  <c r="J162" i="5"/>
  <c r="AD162"/>
  <c r="C163"/>
  <c r="D162"/>
  <c r="B162" i="12" s="1"/>
  <c r="R162" i="5"/>
  <c r="AE162"/>
  <c r="H162"/>
  <c r="B162"/>
  <c r="B162" i="6"/>
  <c r="E162" i="5"/>
  <c r="T160"/>
  <c r="X160" s="1"/>
  <c r="AM159"/>
  <c r="L159"/>
  <c r="AC159"/>
  <c r="I159" i="12"/>
  <c r="Z159" i="5"/>
  <c r="AG159" i="6"/>
  <c r="AD159"/>
  <c r="AO158" i="12"/>
  <c r="C158"/>
  <c r="O158"/>
  <c r="M158"/>
  <c r="AB158" i="5"/>
  <c r="AA158"/>
  <c r="L161" i="12"/>
  <c r="J161"/>
  <c r="K160"/>
  <c r="A161" i="6"/>
  <c r="AJ159"/>
  <c r="AC159"/>
  <c r="AS159"/>
  <c r="AV159"/>
  <c r="BD159"/>
  <c r="AN159"/>
  <c r="AQ159"/>
  <c r="AO159"/>
  <c r="AZ159"/>
  <c r="AU159"/>
  <c r="BC159"/>
  <c r="BG159"/>
  <c r="AM159"/>
  <c r="AR159"/>
  <c r="AX159"/>
  <c r="AT159"/>
  <c r="BE159"/>
  <c r="AY159"/>
  <c r="AP159"/>
  <c r="BA159"/>
  <c r="BF159"/>
  <c r="BB159"/>
  <c r="O158" i="5"/>
  <c r="C158" i="6"/>
  <c r="AI159"/>
  <c r="AB159"/>
  <c r="AK159"/>
  <c r="G162" i="12"/>
  <c r="V157"/>
  <c r="U157"/>
  <c r="T157"/>
  <c r="AF163" i="5"/>
  <c r="I161" i="12" l="1"/>
  <c r="M161" s="1"/>
  <c r="Z161" i="5"/>
  <c r="AB161" s="1"/>
  <c r="L161"/>
  <c r="O161" s="1"/>
  <c r="AM161"/>
  <c r="AJ160" i="6"/>
  <c r="AG160"/>
  <c r="AB160"/>
  <c r="AD160"/>
  <c r="AK160"/>
  <c r="AC160"/>
  <c r="AH160"/>
  <c r="AF160"/>
  <c r="AI160"/>
  <c r="BG160"/>
  <c r="AQ160"/>
  <c r="AR160"/>
  <c r="AZ160"/>
  <c r="BB160"/>
  <c r="AT160"/>
  <c r="AX160"/>
  <c r="AV160"/>
  <c r="BF160"/>
  <c r="AN160"/>
  <c r="BE160"/>
  <c r="AM160"/>
  <c r="AS160"/>
  <c r="AU160"/>
  <c r="BD160"/>
  <c r="AP160"/>
  <c r="BA160"/>
  <c r="AY160"/>
  <c r="BC160"/>
  <c r="AO160"/>
  <c r="AG163" i="5"/>
  <c r="S163"/>
  <c r="F163" i="12" s="1"/>
  <c r="C159" i="6"/>
  <c r="O159" i="5"/>
  <c r="I160" i="12"/>
  <c r="AC160" i="5"/>
  <c r="AM160"/>
  <c r="Z160"/>
  <c r="L160"/>
  <c r="B163"/>
  <c r="AD163"/>
  <c r="N163"/>
  <c r="D163" i="6" s="1"/>
  <c r="D163" i="5"/>
  <c r="B163" i="12" s="1"/>
  <c r="A163"/>
  <c r="J163" i="5"/>
  <c r="H163"/>
  <c r="B163" i="6"/>
  <c r="AE163" i="5"/>
  <c r="R163"/>
  <c r="E163"/>
  <c r="F163"/>
  <c r="K163"/>
  <c r="W163"/>
  <c r="H163" i="12" s="1"/>
  <c r="G163" i="5"/>
  <c r="C164"/>
  <c r="J162" i="12"/>
  <c r="L162"/>
  <c r="K161"/>
  <c r="N158"/>
  <c r="H162" i="6"/>
  <c r="G162"/>
  <c r="E158"/>
  <c r="D158" i="12"/>
  <c r="C159"/>
  <c r="M159"/>
  <c r="AO159"/>
  <c r="O159"/>
  <c r="F162" i="6"/>
  <c r="E162" i="12"/>
  <c r="Y158"/>
  <c r="A162" i="6"/>
  <c r="N161"/>
  <c r="M161"/>
  <c r="AA159" i="5"/>
  <c r="AB159"/>
  <c r="C161" i="6"/>
  <c r="G163" i="12"/>
  <c r="AF164" i="5"/>
  <c r="C161" i="12" l="1"/>
  <c r="AA161" i="5"/>
  <c r="AO161" i="12"/>
  <c r="O161"/>
  <c r="N161" s="1"/>
  <c r="K162"/>
  <c r="AG164" i="5"/>
  <c r="S164"/>
  <c r="F164" i="12" s="1"/>
  <c r="M162" i="6"/>
  <c r="AE162" s="1"/>
  <c r="N162"/>
  <c r="J164" i="5"/>
  <c r="AD164"/>
  <c r="R164"/>
  <c r="D164"/>
  <c r="B164" i="12" s="1"/>
  <c r="B164" i="6"/>
  <c r="K164" i="5"/>
  <c r="AE164"/>
  <c r="C165"/>
  <c r="E164"/>
  <c r="B164"/>
  <c r="F164"/>
  <c r="A164" i="12"/>
  <c r="G164" i="5"/>
  <c r="W164"/>
  <c r="H164" i="12" s="1"/>
  <c r="N164" i="5"/>
  <c r="D164" i="6" s="1"/>
  <c r="H164" i="5"/>
  <c r="O160"/>
  <c r="C160" i="6"/>
  <c r="M160" i="12"/>
  <c r="AO160"/>
  <c r="O160"/>
  <c r="C160"/>
  <c r="N159"/>
  <c r="A163" i="6"/>
  <c r="T162" i="5"/>
  <c r="X162" s="1"/>
  <c r="J163" i="12"/>
  <c r="L163"/>
  <c r="E163"/>
  <c r="F163" i="6"/>
  <c r="AN161"/>
  <c r="AP161"/>
  <c r="AF161"/>
  <c r="AR161"/>
  <c r="BE161"/>
  <c r="AO161"/>
  <c r="AK161"/>
  <c r="BC161"/>
  <c r="AS161"/>
  <c r="AJ161"/>
  <c r="BB161"/>
  <c r="AG161"/>
  <c r="AQ161"/>
  <c r="AU161"/>
  <c r="AI161"/>
  <c r="AV161"/>
  <c r="BA161"/>
  <c r="BF161"/>
  <c r="AY161"/>
  <c r="AB161"/>
  <c r="BG161"/>
  <c r="AH161"/>
  <c r="AT161"/>
  <c r="AC161"/>
  <c r="AM161"/>
  <c r="BD161"/>
  <c r="AX161"/>
  <c r="AZ161"/>
  <c r="AD161"/>
  <c r="AE161"/>
  <c r="X158" i="12"/>
  <c r="W158"/>
  <c r="G163" i="6"/>
  <c r="H163"/>
  <c r="T163" i="5" s="1"/>
  <c r="X163" s="1"/>
  <c r="AM163" s="1"/>
  <c r="AA160"/>
  <c r="AB160"/>
  <c r="E159" i="6"/>
  <c r="D159" i="12"/>
  <c r="Y159"/>
  <c r="G164"/>
  <c r="D161"/>
  <c r="E161" i="6"/>
  <c r="AF165" i="5"/>
  <c r="Y161" i="12" l="1"/>
  <c r="X161" s="1"/>
  <c r="AH162" i="6"/>
  <c r="AG162"/>
  <c r="AD162"/>
  <c r="AI162"/>
  <c r="AC162"/>
  <c r="AF162"/>
  <c r="AB162"/>
  <c r="AK162"/>
  <c r="AJ162"/>
  <c r="K163" i="12"/>
  <c r="Z163" i="5"/>
  <c r="AA163" s="1"/>
  <c r="AC163"/>
  <c r="I163" i="12"/>
  <c r="M163" s="1"/>
  <c r="L163" i="5"/>
  <c r="O163" s="1"/>
  <c r="AG165"/>
  <c r="S165"/>
  <c r="F165" i="12" s="1"/>
  <c r="Z162" i="5"/>
  <c r="I162" i="12"/>
  <c r="AC162" i="5"/>
  <c r="AM162"/>
  <c r="L162"/>
  <c r="E160" i="6"/>
  <c r="D160" i="12"/>
  <c r="N160"/>
  <c r="A164" i="6"/>
  <c r="X159" i="12"/>
  <c r="W159"/>
  <c r="U158"/>
  <c r="T158"/>
  <c r="V158"/>
  <c r="G164" i="6"/>
  <c r="H164"/>
  <c r="E164" i="12"/>
  <c r="F164" i="6"/>
  <c r="AY162"/>
  <c r="BG162"/>
  <c r="AQ162"/>
  <c r="AS162"/>
  <c r="AZ162"/>
  <c r="AP162"/>
  <c r="AX162"/>
  <c r="BC162"/>
  <c r="BB162"/>
  <c r="AR162"/>
  <c r="BF162"/>
  <c r="BE162"/>
  <c r="AN162"/>
  <c r="AV162"/>
  <c r="AT162"/>
  <c r="AM162"/>
  <c r="BD162"/>
  <c r="BA162"/>
  <c r="AU162"/>
  <c r="AO162"/>
  <c r="N163"/>
  <c r="M163"/>
  <c r="AB163" s="1"/>
  <c r="L164" i="12"/>
  <c r="J164"/>
  <c r="A165"/>
  <c r="K165" i="5"/>
  <c r="W165"/>
  <c r="H165" i="12" s="1"/>
  <c r="G165" i="5"/>
  <c r="B165"/>
  <c r="AD165"/>
  <c r="H165"/>
  <c r="D165"/>
  <c r="B165" i="12" s="1"/>
  <c r="AE165" i="5"/>
  <c r="E165"/>
  <c r="C166"/>
  <c r="N165"/>
  <c r="D165" i="6" s="1"/>
  <c r="B165"/>
  <c r="J165" i="5"/>
  <c r="R165"/>
  <c r="F165"/>
  <c r="Y160" i="12"/>
  <c r="G165"/>
  <c r="AF166" i="5"/>
  <c r="W161" i="12" l="1"/>
  <c r="T161" s="1"/>
  <c r="C163"/>
  <c r="C163" i="6"/>
  <c r="AO163" i="12"/>
  <c r="O163"/>
  <c r="N163" s="1"/>
  <c r="AB163" i="5"/>
  <c r="AG163" i="6"/>
  <c r="AE163"/>
  <c r="A165"/>
  <c r="M165" s="1"/>
  <c r="AM165" s="1"/>
  <c r="AG166" i="5"/>
  <c r="S166"/>
  <c r="F166" i="12" s="1"/>
  <c r="G165" i="6"/>
  <c r="H165"/>
  <c r="V159" i="12"/>
  <c r="U159"/>
  <c r="T159"/>
  <c r="J165"/>
  <c r="L165"/>
  <c r="T164" i="5"/>
  <c r="X164" s="1"/>
  <c r="AI163" i="6"/>
  <c r="AX163"/>
  <c r="AH163"/>
  <c r="AO163"/>
  <c r="BA163"/>
  <c r="AR163"/>
  <c r="AM163"/>
  <c r="AJ163"/>
  <c r="AY163"/>
  <c r="BD163"/>
  <c r="BF163"/>
  <c r="AT163"/>
  <c r="AP163"/>
  <c r="BB163"/>
  <c r="AN163"/>
  <c r="AV163"/>
  <c r="AU163"/>
  <c r="AK163"/>
  <c r="AS163"/>
  <c r="AQ163"/>
  <c r="AC163"/>
  <c r="BE163"/>
  <c r="BG163"/>
  <c r="AF163"/>
  <c r="AD163"/>
  <c r="BC163"/>
  <c r="AZ163"/>
  <c r="M164"/>
  <c r="AE164" s="1"/>
  <c r="N164"/>
  <c r="C162"/>
  <c r="O162" i="5"/>
  <c r="AA162"/>
  <c r="AB162"/>
  <c r="X160" i="12"/>
  <c r="W160"/>
  <c r="F165" i="6"/>
  <c r="E165" i="12"/>
  <c r="C167" i="5"/>
  <c r="B166"/>
  <c r="R166"/>
  <c r="E166"/>
  <c r="H166"/>
  <c r="D166"/>
  <c r="B166" i="12" s="1"/>
  <c r="N166" i="5"/>
  <c r="D166" i="6" s="1"/>
  <c r="AE166" i="5"/>
  <c r="G166"/>
  <c r="F166"/>
  <c r="B166" i="6"/>
  <c r="W166" i="5"/>
  <c r="H166" i="12" s="1"/>
  <c r="A166"/>
  <c r="K166" i="5"/>
  <c r="AD166"/>
  <c r="J166"/>
  <c r="O162" i="12"/>
  <c r="M162"/>
  <c r="AO162"/>
  <c r="C162"/>
  <c r="K164"/>
  <c r="D163"/>
  <c r="E163" i="6"/>
  <c r="G166" i="12"/>
  <c r="V161"/>
  <c r="AF167" i="5"/>
  <c r="U161" i="12" l="1"/>
  <c r="Y163"/>
  <c r="W163" s="1"/>
  <c r="BG165" i="6"/>
  <c r="BA165"/>
  <c r="AU165"/>
  <c r="Y162" i="12"/>
  <c r="W162" s="1"/>
  <c r="T162" s="1"/>
  <c r="AY165" i="6"/>
  <c r="BE165"/>
  <c r="BF165"/>
  <c r="AV165"/>
  <c r="BB165"/>
  <c r="AZ165"/>
  <c r="AO165"/>
  <c r="BD165"/>
  <c r="AQ165"/>
  <c r="AX165"/>
  <c r="AS165"/>
  <c r="AP165"/>
  <c r="AT165"/>
  <c r="N162" i="12"/>
  <c r="AR165" i="6"/>
  <c r="N165"/>
  <c r="AN165"/>
  <c r="BC165"/>
  <c r="A166"/>
  <c r="M166" s="1"/>
  <c r="AM166" s="1"/>
  <c r="K165" i="12"/>
  <c r="AG167" i="5"/>
  <c r="S167"/>
  <c r="F167" i="12" s="1"/>
  <c r="AD164" i="6"/>
  <c r="AH164"/>
  <c r="J166" i="12"/>
  <c r="L166"/>
  <c r="C168" i="5"/>
  <c r="AE167"/>
  <c r="K167"/>
  <c r="F167"/>
  <c r="B167" i="6"/>
  <c r="D167" i="5"/>
  <c r="B167" i="12" s="1"/>
  <c r="W167" i="5"/>
  <c r="H167" i="12" s="1"/>
  <c r="G167" i="5"/>
  <c r="R167"/>
  <c r="B167"/>
  <c r="A167" i="12"/>
  <c r="E167" i="5"/>
  <c r="AD167"/>
  <c r="H167"/>
  <c r="N167"/>
  <c r="D167" i="6" s="1"/>
  <c r="J167" i="5"/>
  <c r="I164" i="12"/>
  <c r="AC164" i="5"/>
  <c r="Z164"/>
  <c r="AM164"/>
  <c r="L164"/>
  <c r="X162" i="12"/>
  <c r="AF164" i="6"/>
  <c r="AI164"/>
  <c r="T160" i="12"/>
  <c r="U160"/>
  <c r="V160"/>
  <c r="E162" i="6"/>
  <c r="D162" i="12"/>
  <c r="AK164" i="6"/>
  <c r="AC164"/>
  <c r="H166"/>
  <c r="G166"/>
  <c r="E166" i="12"/>
  <c r="F166" i="6"/>
  <c r="AY164"/>
  <c r="BA164"/>
  <c r="BB164"/>
  <c r="BG164"/>
  <c r="BF164"/>
  <c r="AZ164"/>
  <c r="AP164"/>
  <c r="BC164"/>
  <c r="AV164"/>
  <c r="BD164"/>
  <c r="AO164"/>
  <c r="AM164"/>
  <c r="AN164"/>
  <c r="AR164"/>
  <c r="AU164"/>
  <c r="AT164"/>
  <c r="AX164"/>
  <c r="BE164"/>
  <c r="AQ164"/>
  <c r="AS164"/>
  <c r="T165" i="5"/>
  <c r="X165" s="1"/>
  <c r="AB165" i="6"/>
  <c r="AD165"/>
  <c r="AE165"/>
  <c r="AC165"/>
  <c r="AG165"/>
  <c r="AH165"/>
  <c r="AJ165"/>
  <c r="AF165"/>
  <c r="AK165"/>
  <c r="AI165"/>
  <c r="AB164"/>
  <c r="AJ164"/>
  <c r="AG164"/>
  <c r="G167" i="12"/>
  <c r="AF168" i="5"/>
  <c r="X163" i="12" l="1"/>
  <c r="V162"/>
  <c r="U162"/>
  <c r="AU166" i="6"/>
  <c r="AX166"/>
  <c r="AT166"/>
  <c r="AK166"/>
  <c r="BA166"/>
  <c r="BB166"/>
  <c r="BE166"/>
  <c r="AV166"/>
  <c r="BF166"/>
  <c r="AZ166"/>
  <c r="BD166"/>
  <c r="K166" i="12"/>
  <c r="AN166" i="6"/>
  <c r="AP166"/>
  <c r="AS166"/>
  <c r="BC166"/>
  <c r="BG166"/>
  <c r="AQ166"/>
  <c r="AY166"/>
  <c r="AO166"/>
  <c r="AR166"/>
  <c r="N166"/>
  <c r="AG168" i="5"/>
  <c r="S168"/>
  <c r="F168" i="12" s="1"/>
  <c r="AB164" i="5"/>
  <c r="AA164"/>
  <c r="G167" i="6"/>
  <c r="H167"/>
  <c r="T167" i="5" s="1"/>
  <c r="X167" s="1"/>
  <c r="AM167" s="1"/>
  <c r="J167" i="12"/>
  <c r="L167"/>
  <c r="AD166" i="6"/>
  <c r="AF166"/>
  <c r="I165" i="12"/>
  <c r="AC165" i="5"/>
  <c r="Z165"/>
  <c r="AM165"/>
  <c r="L165"/>
  <c r="T166"/>
  <c r="X166" s="1"/>
  <c r="AC166" i="6"/>
  <c r="AG166"/>
  <c r="AJ166"/>
  <c r="AH166"/>
  <c r="C164"/>
  <c r="O164" i="5"/>
  <c r="C164" i="12"/>
  <c r="AO164"/>
  <c r="O164"/>
  <c r="M164"/>
  <c r="E167"/>
  <c r="F167" i="6"/>
  <c r="H168" i="5"/>
  <c r="D168"/>
  <c r="B168" i="12" s="1"/>
  <c r="B168" i="6"/>
  <c r="R168" i="5"/>
  <c r="AD168"/>
  <c r="F168"/>
  <c r="W168"/>
  <c r="H168" i="12" s="1"/>
  <c r="J168" i="5"/>
  <c r="A168" i="12"/>
  <c r="C169" i="5"/>
  <c r="B168"/>
  <c r="G168"/>
  <c r="K168"/>
  <c r="E168"/>
  <c r="AE168"/>
  <c r="N168"/>
  <c r="D168" i="6" s="1"/>
  <c r="AB166"/>
  <c r="AE166"/>
  <c r="A167"/>
  <c r="AI166"/>
  <c r="G168" i="12"/>
  <c r="V163"/>
  <c r="U163"/>
  <c r="T163"/>
  <c r="AF169" i="5"/>
  <c r="Z167" l="1"/>
  <c r="AA167" s="1"/>
  <c r="AC167"/>
  <c r="I167" i="12"/>
  <c r="C167" s="1"/>
  <c r="L167" i="5"/>
  <c r="C167" i="6" s="1"/>
  <c r="Y164" i="12"/>
  <c r="W164" s="1"/>
  <c r="K167"/>
  <c r="AG169" i="5"/>
  <c r="S169"/>
  <c r="F169" i="12" s="1"/>
  <c r="J168"/>
  <c r="L168"/>
  <c r="AA165" i="5"/>
  <c r="AB165"/>
  <c r="N164" i="12"/>
  <c r="B169" i="6"/>
  <c r="K169" i="5"/>
  <c r="AE169"/>
  <c r="E169"/>
  <c r="A169" i="12"/>
  <c r="N169" i="5"/>
  <c r="D169" i="6" s="1"/>
  <c r="G169" i="5"/>
  <c r="F169"/>
  <c r="H169"/>
  <c r="AD169"/>
  <c r="J169"/>
  <c r="D169"/>
  <c r="B169" i="12" s="1"/>
  <c r="C170" i="5"/>
  <c r="W169"/>
  <c r="H169" i="12" s="1"/>
  <c r="R169" i="5"/>
  <c r="B169"/>
  <c r="E164" i="6"/>
  <c r="D164" i="12"/>
  <c r="N167" i="6"/>
  <c r="M167"/>
  <c r="O165" i="5"/>
  <c r="C165" i="6"/>
  <c r="M165" i="12"/>
  <c r="C165"/>
  <c r="AO165"/>
  <c r="O165"/>
  <c r="A168" i="6"/>
  <c r="G168"/>
  <c r="H168"/>
  <c r="T168" i="5" s="1"/>
  <c r="X168" s="1"/>
  <c r="L168" s="1"/>
  <c r="F168" i="6"/>
  <c r="E168" i="12"/>
  <c r="L166" i="5"/>
  <c r="AC166"/>
  <c r="Z166"/>
  <c r="AM166"/>
  <c r="I166" i="12"/>
  <c r="G169"/>
  <c r="AF170" i="5"/>
  <c r="O167" l="1"/>
  <c r="AO167" i="12"/>
  <c r="O167"/>
  <c r="M167"/>
  <c r="AB167" i="5"/>
  <c r="N165" i="12"/>
  <c r="V164"/>
  <c r="U164"/>
  <c r="T164"/>
  <c r="K168"/>
  <c r="X164"/>
  <c r="Z168" i="5"/>
  <c r="AA168" s="1"/>
  <c r="AC168"/>
  <c r="I168" i="12"/>
  <c r="M168" s="1"/>
  <c r="AM168" i="5"/>
  <c r="S170"/>
  <c r="F170" i="12" s="1"/>
  <c r="AG170" i="5"/>
  <c r="AB166"/>
  <c r="AA166"/>
  <c r="G169" i="6"/>
  <c r="H169"/>
  <c r="T169" i="5" s="1"/>
  <c r="X169" s="1"/>
  <c r="Z169" s="1"/>
  <c r="N168" i="6"/>
  <c r="M168"/>
  <c r="F169"/>
  <c r="E169" i="12"/>
  <c r="M166"/>
  <c r="AO166"/>
  <c r="C166"/>
  <c r="O166"/>
  <c r="O166" i="5"/>
  <c r="C166" i="6"/>
  <c r="BC167"/>
  <c r="AE167"/>
  <c r="AZ167"/>
  <c r="AD167"/>
  <c r="AR167"/>
  <c r="AK167"/>
  <c r="AB167"/>
  <c r="BE167"/>
  <c r="AV167"/>
  <c r="AO167"/>
  <c r="AH167"/>
  <c r="AF167"/>
  <c r="BG167"/>
  <c r="AN167"/>
  <c r="BA167"/>
  <c r="AG167"/>
  <c r="BB167"/>
  <c r="AC167"/>
  <c r="AS167"/>
  <c r="AX167"/>
  <c r="AU167"/>
  <c r="AY167"/>
  <c r="AM167"/>
  <c r="AT167"/>
  <c r="BF167"/>
  <c r="AP167"/>
  <c r="AQ167"/>
  <c r="BD167"/>
  <c r="AJ167"/>
  <c r="AI167"/>
  <c r="E165"/>
  <c r="D165" i="12"/>
  <c r="E170" i="5"/>
  <c r="F170"/>
  <c r="N170"/>
  <c r="D170" i="6" s="1"/>
  <c r="AD170" i="5"/>
  <c r="G170"/>
  <c r="J170"/>
  <c r="B170" i="6"/>
  <c r="H170" i="5"/>
  <c r="W170"/>
  <c r="H170" i="12" s="1"/>
  <c r="C171" i="5"/>
  <c r="AE170"/>
  <c r="R170"/>
  <c r="A170" i="12"/>
  <c r="B170" i="5"/>
  <c r="D170"/>
  <c r="B170" i="12" s="1"/>
  <c r="K170" i="5"/>
  <c r="L169" i="12"/>
  <c r="J169"/>
  <c r="Y165"/>
  <c r="A169" i="6"/>
  <c r="G170" i="12"/>
  <c r="D167"/>
  <c r="E167" i="6"/>
  <c r="C168"/>
  <c r="O168" i="5"/>
  <c r="AF171"/>
  <c r="N167" i="12" l="1"/>
  <c r="AB168" i="5"/>
  <c r="Y167" i="12"/>
  <c r="W167" s="1"/>
  <c r="V167" s="1"/>
  <c r="C168"/>
  <c r="L169" i="5"/>
  <c r="C169" i="6" s="1"/>
  <c r="AM169" i="5"/>
  <c r="AC169"/>
  <c r="I169" i="12"/>
  <c r="AO169" s="1"/>
  <c r="AO168"/>
  <c r="O168"/>
  <c r="Y166"/>
  <c r="K169"/>
  <c r="S171" i="5"/>
  <c r="F171" i="12" s="1"/>
  <c r="AG171" i="5"/>
  <c r="N169" i="6"/>
  <c r="M169"/>
  <c r="E170" i="12"/>
  <c r="F170" i="6"/>
  <c r="BD168"/>
  <c r="AK168"/>
  <c r="BG168"/>
  <c r="AG168"/>
  <c r="AU168"/>
  <c r="AI168"/>
  <c r="AZ168"/>
  <c r="AQ168"/>
  <c r="AM168"/>
  <c r="AR168"/>
  <c r="BB168"/>
  <c r="AC168"/>
  <c r="BF168"/>
  <c r="BA168"/>
  <c r="AT168"/>
  <c r="AS168"/>
  <c r="BE168"/>
  <c r="AV168"/>
  <c r="AF168"/>
  <c r="AN168"/>
  <c r="AE168"/>
  <c r="AX168"/>
  <c r="AD168"/>
  <c r="AJ168"/>
  <c r="AP168"/>
  <c r="AH168"/>
  <c r="AO168"/>
  <c r="BC168"/>
  <c r="AY168"/>
  <c r="L170" i="12"/>
  <c r="J170"/>
  <c r="A171"/>
  <c r="N171" i="5"/>
  <c r="D171" i="6" s="1"/>
  <c r="D171" i="5"/>
  <c r="B171" i="12" s="1"/>
  <c r="F171" i="5"/>
  <c r="C172"/>
  <c r="J171"/>
  <c r="W171"/>
  <c r="H171" i="12" s="1"/>
  <c r="G171" i="5"/>
  <c r="R171"/>
  <c r="K171"/>
  <c r="H171"/>
  <c r="B171"/>
  <c r="B171" i="6"/>
  <c r="AD171" i="5"/>
  <c r="AE171"/>
  <c r="E171"/>
  <c r="N166" i="12"/>
  <c r="AB168" i="6"/>
  <c r="W165" i="12"/>
  <c r="X165"/>
  <c r="G170" i="6"/>
  <c r="H170"/>
  <c r="T170" i="5" s="1"/>
  <c r="X170" s="1"/>
  <c r="I170" i="12" s="1"/>
  <c r="E166" i="6"/>
  <c r="D166" i="12"/>
  <c r="A170" i="6"/>
  <c r="X167" i="12"/>
  <c r="O169" i="5"/>
  <c r="D168" i="12"/>
  <c r="E168" i="6"/>
  <c r="G171" i="12"/>
  <c r="O169"/>
  <c r="AA169" i="5"/>
  <c r="AB169"/>
  <c r="AF172"/>
  <c r="U167" i="12" l="1"/>
  <c r="M169"/>
  <c r="C169"/>
  <c r="Y168"/>
  <c r="W168" s="1"/>
  <c r="K170"/>
  <c r="T167"/>
  <c r="N168"/>
  <c r="L170" i="5"/>
  <c r="O170" s="1"/>
  <c r="AM170"/>
  <c r="W166" i="12"/>
  <c r="X166"/>
  <c r="Z170" i="5"/>
  <c r="AB170" s="1"/>
  <c r="AC170"/>
  <c r="S172"/>
  <c r="F172" i="12" s="1"/>
  <c r="AG172" i="5"/>
  <c r="N170" i="6"/>
  <c r="M170"/>
  <c r="AI170" s="1"/>
  <c r="E171" i="12"/>
  <c r="F171" i="6"/>
  <c r="K172" i="5"/>
  <c r="B172" i="6"/>
  <c r="R172" i="5"/>
  <c r="D172"/>
  <c r="B172" i="12" s="1"/>
  <c r="W172" i="5"/>
  <c r="H172" i="12" s="1"/>
  <c r="A172"/>
  <c r="B172" i="5"/>
  <c r="F172"/>
  <c r="AD172"/>
  <c r="E172"/>
  <c r="G172"/>
  <c r="C173"/>
  <c r="J172"/>
  <c r="AE172"/>
  <c r="N172"/>
  <c r="D172" i="6" s="1"/>
  <c r="H172" i="5"/>
  <c r="L171" i="12"/>
  <c r="J171"/>
  <c r="A171" i="6"/>
  <c r="H171"/>
  <c r="T171" i="5" s="1"/>
  <c r="X171" s="1"/>
  <c r="AM171" s="1"/>
  <c r="G171" i="6"/>
  <c r="T165" i="12"/>
  <c r="V165"/>
  <c r="U165"/>
  <c r="AI169" i="6"/>
  <c r="AB169"/>
  <c r="BE169"/>
  <c r="BD169"/>
  <c r="AX169"/>
  <c r="AV169"/>
  <c r="AM169"/>
  <c r="BG169"/>
  <c r="AK169"/>
  <c r="AH169"/>
  <c r="AC169"/>
  <c r="AF169"/>
  <c r="AN169"/>
  <c r="AY169"/>
  <c r="AR169"/>
  <c r="BA169"/>
  <c r="AD169"/>
  <c r="AQ169"/>
  <c r="AE169"/>
  <c r="BF169"/>
  <c r="AT169"/>
  <c r="AP169"/>
  <c r="AG169"/>
  <c r="AS169"/>
  <c r="AJ169"/>
  <c r="AO169"/>
  <c r="BC169"/>
  <c r="BB169"/>
  <c r="AZ169"/>
  <c r="AU169"/>
  <c r="N169" i="12"/>
  <c r="Y169"/>
  <c r="W169" s="1"/>
  <c r="G172"/>
  <c r="C170"/>
  <c r="AO170"/>
  <c r="O170"/>
  <c r="M170"/>
  <c r="D169"/>
  <c r="E169" i="6"/>
  <c r="AF173" i="5"/>
  <c r="AA170" l="1"/>
  <c r="X168" i="12"/>
  <c r="C170" i="6"/>
  <c r="I171" i="12"/>
  <c r="M171" s="1"/>
  <c r="L171" i="5"/>
  <c r="O171" s="1"/>
  <c r="AC171"/>
  <c r="Z171"/>
  <c r="AA171" s="1"/>
  <c r="T166" i="12"/>
  <c r="U166"/>
  <c r="V166"/>
  <c r="S173" i="5"/>
  <c r="F173" i="12" s="1"/>
  <c r="AG173" i="5"/>
  <c r="N171" i="6"/>
  <c r="M171"/>
  <c r="L172" i="12"/>
  <c r="J172"/>
  <c r="AR170" i="6"/>
  <c r="BE170"/>
  <c r="AD170"/>
  <c r="AB170"/>
  <c r="AS170"/>
  <c r="AE170"/>
  <c r="BF170"/>
  <c r="AV170"/>
  <c r="AJ170"/>
  <c r="BA170"/>
  <c r="AG170"/>
  <c r="AF170"/>
  <c r="AU170"/>
  <c r="AQ170"/>
  <c r="AM170"/>
  <c r="AT170"/>
  <c r="AZ170"/>
  <c r="BD170"/>
  <c r="BC170"/>
  <c r="BB170"/>
  <c r="BG170"/>
  <c r="AP170"/>
  <c r="AO170"/>
  <c r="AX170"/>
  <c r="AY170"/>
  <c r="AN170"/>
  <c r="A172"/>
  <c r="G172"/>
  <c r="H172"/>
  <c r="T172" i="5" s="1"/>
  <c r="X172" s="1"/>
  <c r="I172" i="12" s="1"/>
  <c r="F172" i="6"/>
  <c r="E172" i="12"/>
  <c r="AH170" i="6"/>
  <c r="C174" i="5"/>
  <c r="G173"/>
  <c r="W173"/>
  <c r="H173" i="12" s="1"/>
  <c r="B173" i="5"/>
  <c r="J173"/>
  <c r="E173"/>
  <c r="AE173"/>
  <c r="R173"/>
  <c r="H173"/>
  <c r="AD173"/>
  <c r="D173"/>
  <c r="B173" i="12" s="1"/>
  <c r="B173" i="6"/>
  <c r="A173" i="12"/>
  <c r="N173" i="5"/>
  <c r="D173" i="6" s="1"/>
  <c r="F173" i="5"/>
  <c r="K173"/>
  <c r="AK170" i="6"/>
  <c r="AC170"/>
  <c r="K171" i="12"/>
  <c r="X169"/>
  <c r="U168"/>
  <c r="T168"/>
  <c r="V168"/>
  <c r="V169"/>
  <c r="U169"/>
  <c r="T169"/>
  <c r="AB171" i="5"/>
  <c r="D170" i="12"/>
  <c r="E170" i="6"/>
  <c r="N170" i="12"/>
  <c r="Y170"/>
  <c r="G173"/>
  <c r="AF174" i="5"/>
  <c r="C171" i="12" l="1"/>
  <c r="O171"/>
  <c r="N171" s="1"/>
  <c r="C171" i="6"/>
  <c r="L172" i="5"/>
  <c r="O172" s="1"/>
  <c r="Z172"/>
  <c r="AB172" s="1"/>
  <c r="AM172"/>
  <c r="AC172"/>
  <c r="AO171" i="12"/>
  <c r="K172"/>
  <c r="S174" i="5"/>
  <c r="F174" i="12" s="1"/>
  <c r="AG174" i="5"/>
  <c r="N172" i="6"/>
  <c r="M172"/>
  <c r="F173"/>
  <c r="E173" i="12"/>
  <c r="A173" i="6"/>
  <c r="L173" i="12"/>
  <c r="J173"/>
  <c r="D174" i="5"/>
  <c r="B174" i="12" s="1"/>
  <c r="N174" i="5"/>
  <c r="D174" i="6" s="1"/>
  <c r="AE174" i="5"/>
  <c r="F174"/>
  <c r="W174"/>
  <c r="H174" i="12" s="1"/>
  <c r="H174" i="5"/>
  <c r="B174" i="6"/>
  <c r="B174" i="5"/>
  <c r="C175"/>
  <c r="K174"/>
  <c r="A174" i="12"/>
  <c r="AD174" i="5"/>
  <c r="R174"/>
  <c r="J174"/>
  <c r="E174"/>
  <c r="G174"/>
  <c r="G173" i="6"/>
  <c r="H173"/>
  <c r="T173" i="5" s="1"/>
  <c r="X173" s="1"/>
  <c r="Z173" s="1"/>
  <c r="AE171" i="6"/>
  <c r="AC171"/>
  <c r="AY171"/>
  <c r="AT171"/>
  <c r="AD171"/>
  <c r="AZ171"/>
  <c r="BG171"/>
  <c r="AP171"/>
  <c r="AB171"/>
  <c r="AR171"/>
  <c r="BC171"/>
  <c r="AQ171"/>
  <c r="AK171"/>
  <c r="AN171"/>
  <c r="AX171"/>
  <c r="AM171"/>
  <c r="AI171"/>
  <c r="AH171"/>
  <c r="BA171"/>
  <c r="AU171"/>
  <c r="AV171"/>
  <c r="BB171"/>
  <c r="AO171"/>
  <c r="BE171"/>
  <c r="BD171"/>
  <c r="AF171"/>
  <c r="AS171"/>
  <c r="AG171"/>
  <c r="AJ171"/>
  <c r="BF171"/>
  <c r="D171" i="12"/>
  <c r="E171" i="6"/>
  <c r="C172" i="12"/>
  <c r="AO172"/>
  <c r="O172"/>
  <c r="M172"/>
  <c r="X170"/>
  <c r="W170"/>
  <c r="G174"/>
  <c r="AF175" i="5"/>
  <c r="Y171" i="12" l="1"/>
  <c r="X171" s="1"/>
  <c r="C172" i="6"/>
  <c r="AA172" i="5"/>
  <c r="I173" i="12"/>
  <c r="M173" s="1"/>
  <c r="AM173" i="5"/>
  <c r="AC173"/>
  <c r="L173"/>
  <c r="O173" s="1"/>
  <c r="A174" i="6"/>
  <c r="N174" s="1"/>
  <c r="K173" i="12"/>
  <c r="AG175" i="5"/>
  <c r="S175"/>
  <c r="F175" i="12" s="1"/>
  <c r="F174" i="6"/>
  <c r="E174" i="12"/>
  <c r="B175" i="6"/>
  <c r="AD175" i="5"/>
  <c r="F175"/>
  <c r="AE175"/>
  <c r="J175"/>
  <c r="A175" i="12"/>
  <c r="N175" i="5"/>
  <c r="D175" i="6" s="1"/>
  <c r="G175" i="5"/>
  <c r="B175"/>
  <c r="H175"/>
  <c r="K175"/>
  <c r="C176"/>
  <c r="D175"/>
  <c r="B175" i="12" s="1"/>
  <c r="E175" i="5"/>
  <c r="R175"/>
  <c r="W175"/>
  <c r="H175" i="12" s="1"/>
  <c r="G174" i="6"/>
  <c r="H174"/>
  <c r="T174" i="5" s="1"/>
  <c r="X174" s="1"/>
  <c r="AC174" s="1"/>
  <c r="N173" i="6"/>
  <c r="M173"/>
  <c r="L174" i="12"/>
  <c r="J174"/>
  <c r="AV172" i="6"/>
  <c r="AF172"/>
  <c r="AD172"/>
  <c r="AR172"/>
  <c r="AP172"/>
  <c r="AN172"/>
  <c r="BF172"/>
  <c r="AU172"/>
  <c r="AG172"/>
  <c r="BA172"/>
  <c r="AQ172"/>
  <c r="AS172"/>
  <c r="AC172"/>
  <c r="AH172"/>
  <c r="AX172"/>
  <c r="BE172"/>
  <c r="BB172"/>
  <c r="AM172"/>
  <c r="AO172"/>
  <c r="BG172"/>
  <c r="BC172"/>
  <c r="AI172"/>
  <c r="AT172"/>
  <c r="AY172"/>
  <c r="AE172"/>
  <c r="BD172"/>
  <c r="AJ172"/>
  <c r="AB172"/>
  <c r="AK172"/>
  <c r="AZ172"/>
  <c r="N172" i="12"/>
  <c r="Y172"/>
  <c r="AB173" i="5"/>
  <c r="AA173"/>
  <c r="D172" i="12"/>
  <c r="E172" i="6"/>
  <c r="O173" i="12"/>
  <c r="G175"/>
  <c r="V170"/>
  <c r="U170"/>
  <c r="T170"/>
  <c r="AF176" i="5"/>
  <c r="C173" i="6" l="1"/>
  <c r="C173" i="12"/>
  <c r="Z174" i="5"/>
  <c r="AB174" s="1"/>
  <c r="I174" i="12"/>
  <c r="AO174" s="1"/>
  <c r="AM174" i="5"/>
  <c r="L174"/>
  <c r="C174" i="6" s="1"/>
  <c r="W171" i="12"/>
  <c r="V171" s="1"/>
  <c r="AO173"/>
  <c r="Y173" s="1"/>
  <c r="X173" s="1"/>
  <c r="A175" i="6"/>
  <c r="M174"/>
  <c r="AG176" i="5"/>
  <c r="S176"/>
  <c r="F176" i="12" s="1"/>
  <c r="K174"/>
  <c r="L175"/>
  <c r="J175"/>
  <c r="E175"/>
  <c r="F175" i="6"/>
  <c r="G175"/>
  <c r="H175"/>
  <c r="T175" i="5" s="1"/>
  <c r="X175" s="1"/>
  <c r="I175" i="12" s="1"/>
  <c r="AT173" i="6"/>
  <c r="AB173"/>
  <c r="AI173"/>
  <c r="BC173"/>
  <c r="BD173"/>
  <c r="BA173"/>
  <c r="AH173"/>
  <c r="AP173"/>
  <c r="AG173"/>
  <c r="AJ173"/>
  <c r="AS173"/>
  <c r="AN173"/>
  <c r="AC173"/>
  <c r="AQ173"/>
  <c r="BF173"/>
  <c r="AD173"/>
  <c r="AY173"/>
  <c r="AX173"/>
  <c r="AV173"/>
  <c r="AK173"/>
  <c r="AR173"/>
  <c r="AM173"/>
  <c r="BE173"/>
  <c r="AZ173"/>
  <c r="AF173"/>
  <c r="AE173"/>
  <c r="BG173"/>
  <c r="AO173"/>
  <c r="AU173"/>
  <c r="BB173"/>
  <c r="E176" i="5"/>
  <c r="W176"/>
  <c r="H176" i="12" s="1"/>
  <c r="G176" i="5"/>
  <c r="C177"/>
  <c r="H176"/>
  <c r="AE176"/>
  <c r="B176"/>
  <c r="K176"/>
  <c r="B176" i="6"/>
  <c r="D176" i="5"/>
  <c r="B176" i="12" s="1"/>
  <c r="N176" i="5"/>
  <c r="D176" i="6" s="1"/>
  <c r="J176" i="5"/>
  <c r="A176" i="12"/>
  <c r="AD176" i="5"/>
  <c r="R176"/>
  <c r="F176"/>
  <c r="N173" i="12"/>
  <c r="X172"/>
  <c r="W172"/>
  <c r="G176"/>
  <c r="D173"/>
  <c r="E173" i="6"/>
  <c r="C174" i="12"/>
  <c r="AF177" i="5"/>
  <c r="O174" i="12" l="1"/>
  <c r="Y174" s="1"/>
  <c r="X174" s="1"/>
  <c r="U171"/>
  <c r="O174" i="5"/>
  <c r="E174" i="6" s="1"/>
  <c r="M174" i="12"/>
  <c r="AA174" i="5"/>
  <c r="T171" i="12"/>
  <c r="N175" i="6"/>
  <c r="M175"/>
  <c r="AH175" s="1"/>
  <c r="AP174"/>
  <c r="BD174"/>
  <c r="AG174"/>
  <c r="AF174"/>
  <c r="AN174"/>
  <c r="BC174"/>
  <c r="BE174"/>
  <c r="AV174"/>
  <c r="AE174"/>
  <c r="AT174"/>
  <c r="AM174"/>
  <c r="BF174"/>
  <c r="AU174"/>
  <c r="AS174"/>
  <c r="AX174"/>
  <c r="BB174"/>
  <c r="AY174"/>
  <c r="AJ174"/>
  <c r="AO174"/>
  <c r="AB174"/>
  <c r="AZ174"/>
  <c r="AD174"/>
  <c r="AI174"/>
  <c r="AR174"/>
  <c r="AC174"/>
  <c r="AQ174"/>
  <c r="BA174"/>
  <c r="BG174"/>
  <c r="AK174"/>
  <c r="AH174"/>
  <c r="L175" i="5"/>
  <c r="C175" i="6" s="1"/>
  <c r="A176"/>
  <c r="N176" s="1"/>
  <c r="AG177" i="5"/>
  <c r="S177"/>
  <c r="F177" i="12" s="1"/>
  <c r="F176" i="6"/>
  <c r="E176" i="12"/>
  <c r="G176" i="6"/>
  <c r="H176"/>
  <c r="T176" i="5" s="1"/>
  <c r="X176" s="1"/>
  <c r="L176" s="1"/>
  <c r="A177" i="12"/>
  <c r="N177" i="5"/>
  <c r="D177" i="6" s="1"/>
  <c r="G177" i="5"/>
  <c r="W177"/>
  <c r="H177" i="12" s="1"/>
  <c r="R177" i="5"/>
  <c r="AE177"/>
  <c r="E177"/>
  <c r="K177"/>
  <c r="B177"/>
  <c r="F177"/>
  <c r="C178"/>
  <c r="H177"/>
  <c r="AD177"/>
  <c r="D177"/>
  <c r="B177" i="12" s="1"/>
  <c r="J177" i="5"/>
  <c r="B177" i="6"/>
  <c r="AM175" i="5"/>
  <c r="Z175"/>
  <c r="AB175" s="1"/>
  <c r="J176" i="12"/>
  <c r="L176"/>
  <c r="AC175" i="5"/>
  <c r="K175" i="12"/>
  <c r="W173"/>
  <c r="U173" s="1"/>
  <c r="U172"/>
  <c r="V172"/>
  <c r="T172"/>
  <c r="G177"/>
  <c r="D174"/>
  <c r="C175"/>
  <c r="M175"/>
  <c r="AO175"/>
  <c r="O175"/>
  <c r="AF178" i="5"/>
  <c r="N174" i="12" l="1"/>
  <c r="AG175" i="6"/>
  <c r="AA175" i="5"/>
  <c r="A177" i="6"/>
  <c r="N177" s="1"/>
  <c r="AE175"/>
  <c r="AF175"/>
  <c r="AK175"/>
  <c r="AI175"/>
  <c r="AC175"/>
  <c r="AB175"/>
  <c r="O175" i="5"/>
  <c r="E175" i="6" s="1"/>
  <c r="M176"/>
  <c r="AQ176" s="1"/>
  <c r="AJ175"/>
  <c r="Z176" i="5"/>
  <c r="AB176" s="1"/>
  <c r="AD175" i="6"/>
  <c r="V173" i="12"/>
  <c r="AS175" i="6"/>
  <c r="BA175"/>
  <c r="AO175"/>
  <c r="AP175"/>
  <c r="BE175"/>
  <c r="AZ175"/>
  <c r="BG175"/>
  <c r="AV175"/>
  <c r="AR175"/>
  <c r="AQ175"/>
  <c r="BD175"/>
  <c r="BF175"/>
  <c r="AM175"/>
  <c r="AY175"/>
  <c r="AU175"/>
  <c r="AN175"/>
  <c r="BC175"/>
  <c r="AX175"/>
  <c r="AT175"/>
  <c r="BB175"/>
  <c r="AC176" i="5"/>
  <c r="I176" i="12"/>
  <c r="AO176" s="1"/>
  <c r="AM176" i="5"/>
  <c r="K176" i="12"/>
  <c r="S178" i="5"/>
  <c r="F178" i="12" s="1"/>
  <c r="AG178" i="5"/>
  <c r="A178" i="12"/>
  <c r="AD178" i="5"/>
  <c r="C179"/>
  <c r="W178"/>
  <c r="H178" i="12" s="1"/>
  <c r="E178" i="5"/>
  <c r="J178"/>
  <c r="F178"/>
  <c r="K178"/>
  <c r="AE178"/>
  <c r="B178"/>
  <c r="G178"/>
  <c r="R178"/>
  <c r="B178" i="6"/>
  <c r="D178" i="5"/>
  <c r="B178" i="12" s="1"/>
  <c r="H178" i="5"/>
  <c r="N178"/>
  <c r="D178" i="6" s="1"/>
  <c r="E177" i="12"/>
  <c r="F177" i="6"/>
  <c r="G177"/>
  <c r="H177"/>
  <c r="T177" i="5" s="1"/>
  <c r="X177" s="1"/>
  <c r="L177" s="1"/>
  <c r="J177" i="12"/>
  <c r="L177"/>
  <c r="T173"/>
  <c r="W174"/>
  <c r="V174" s="1"/>
  <c r="N175"/>
  <c r="Y175"/>
  <c r="G178"/>
  <c r="C176" i="6"/>
  <c r="O176" i="5"/>
  <c r="AF179"/>
  <c r="AA176" l="1"/>
  <c r="C176" i="12"/>
  <c r="M176"/>
  <c r="D175"/>
  <c r="AF176" i="6"/>
  <c r="AR176"/>
  <c r="AJ176"/>
  <c r="AZ176"/>
  <c r="AM176"/>
  <c r="BG176"/>
  <c r="O176" i="12"/>
  <c r="N176" s="1"/>
  <c r="AI176" i="6"/>
  <c r="AN176"/>
  <c r="BA176"/>
  <c r="AC176"/>
  <c r="BC176"/>
  <c r="AY176"/>
  <c r="AD176"/>
  <c r="AS176"/>
  <c r="AP176"/>
  <c r="AH176"/>
  <c r="AT176"/>
  <c r="AG176"/>
  <c r="AB176"/>
  <c r="M177"/>
  <c r="AV176"/>
  <c r="AE176"/>
  <c r="AK176"/>
  <c r="AU176"/>
  <c r="BD176"/>
  <c r="BB176"/>
  <c r="AX176"/>
  <c r="BE176"/>
  <c r="AO176"/>
  <c r="BF176"/>
  <c r="K177" i="12"/>
  <c r="AM177" i="5"/>
  <c r="Z177"/>
  <c r="AA177" s="1"/>
  <c r="AC177"/>
  <c r="I177" i="12"/>
  <c r="C177" s="1"/>
  <c r="H178" i="6"/>
  <c r="T178" i="5" s="1"/>
  <c r="X178" s="1"/>
  <c r="L178" s="1"/>
  <c r="G178" i="6"/>
  <c r="A178"/>
  <c r="N178" s="1"/>
  <c r="AG179" i="5"/>
  <c r="S179"/>
  <c r="F179" i="12" s="1"/>
  <c r="E178"/>
  <c r="F178" i="6"/>
  <c r="A179" i="12"/>
  <c r="N179" i="5"/>
  <c r="D179" i="6" s="1"/>
  <c r="AD179" i="5"/>
  <c r="H179"/>
  <c r="C180"/>
  <c r="AE179"/>
  <c r="J179"/>
  <c r="K179"/>
  <c r="R179"/>
  <c r="B179"/>
  <c r="G179"/>
  <c r="E179"/>
  <c r="D179"/>
  <c r="B179" i="12" s="1"/>
  <c r="F179" i="5"/>
  <c r="W179"/>
  <c r="H179" i="12" s="1"/>
  <c r="B179" i="6"/>
  <c r="J178" i="12"/>
  <c r="L178"/>
  <c r="U174"/>
  <c r="T174"/>
  <c r="C177" i="6"/>
  <c r="O177" i="5"/>
  <c r="M177" i="12"/>
  <c r="X175"/>
  <c r="W175"/>
  <c r="D176"/>
  <c r="E176" i="6"/>
  <c r="G179" i="12"/>
  <c r="AF180" i="5"/>
  <c r="AO177" i="12" l="1"/>
  <c r="Y176"/>
  <c r="X176" s="1"/>
  <c r="O177"/>
  <c r="N177" s="1"/>
  <c r="AR177" i="6"/>
  <c r="BB177"/>
  <c r="AS177"/>
  <c r="AU177"/>
  <c r="BA177"/>
  <c r="AN177"/>
  <c r="AP177"/>
  <c r="AI177"/>
  <c r="AG177"/>
  <c r="AM177"/>
  <c r="AQ177"/>
  <c r="AC177"/>
  <c r="BE177"/>
  <c r="BD177"/>
  <c r="AB177"/>
  <c r="AE177"/>
  <c r="AD177"/>
  <c r="AF177"/>
  <c r="AO177"/>
  <c r="AY177"/>
  <c r="AT177"/>
  <c r="AJ177"/>
  <c r="AH177"/>
  <c r="AV177"/>
  <c r="BC177"/>
  <c r="AX177"/>
  <c r="AK177"/>
  <c r="AZ177"/>
  <c r="BF177"/>
  <c r="BG177"/>
  <c r="AB177" i="5"/>
  <c r="Z178"/>
  <c r="AA178" s="1"/>
  <c r="I178" i="12"/>
  <c r="C178" s="1"/>
  <c r="AM178" i="5"/>
  <c r="AC178"/>
  <c r="A179" i="6"/>
  <c r="N179" s="1"/>
  <c r="AG180" i="5"/>
  <c r="S180"/>
  <c r="F180" i="12" s="1"/>
  <c r="E179"/>
  <c r="F179" i="6"/>
  <c r="A180" i="12"/>
  <c r="AD180" i="5"/>
  <c r="K180"/>
  <c r="N180"/>
  <c r="D180" i="6" s="1"/>
  <c r="AE180" i="5"/>
  <c r="C181"/>
  <c r="B180"/>
  <c r="F180"/>
  <c r="B180" i="6"/>
  <c r="D180" i="5"/>
  <c r="B180" i="12" s="1"/>
  <c r="J180" i="5"/>
  <c r="H180"/>
  <c r="E180"/>
  <c r="W180"/>
  <c r="H180" i="12" s="1"/>
  <c r="R180" i="5"/>
  <c r="G180"/>
  <c r="L179" i="12"/>
  <c r="J179"/>
  <c r="G179" i="6"/>
  <c r="H179"/>
  <c r="T179" i="5" s="1"/>
  <c r="X179" s="1"/>
  <c r="I179" i="12" s="1"/>
  <c r="K178"/>
  <c r="M178" i="6"/>
  <c r="G180" i="12"/>
  <c r="U175"/>
  <c r="T175"/>
  <c r="V175"/>
  <c r="D177"/>
  <c r="E177" i="6"/>
  <c r="C178"/>
  <c r="O178" i="5"/>
  <c r="AF181"/>
  <c r="W176" i="12" l="1"/>
  <c r="T176" s="1"/>
  <c r="Y177"/>
  <c r="W177" s="1"/>
  <c r="M178"/>
  <c r="AO178"/>
  <c r="O178"/>
  <c r="L179" i="5"/>
  <c r="O179" s="1"/>
  <c r="AB178"/>
  <c r="Z179"/>
  <c r="AB179" s="1"/>
  <c r="AC179"/>
  <c r="AM179"/>
  <c r="M179" i="6"/>
  <c r="AG179" s="1"/>
  <c r="A180"/>
  <c r="N180" s="1"/>
  <c r="AG181" i="5"/>
  <c r="S181"/>
  <c r="F181" i="12" s="1"/>
  <c r="L180"/>
  <c r="J180"/>
  <c r="K179"/>
  <c r="BD178" i="6"/>
  <c r="BB178"/>
  <c r="BC178"/>
  <c r="AJ178"/>
  <c r="AZ178"/>
  <c r="AR178"/>
  <c r="AE178"/>
  <c r="AX178"/>
  <c r="AS178"/>
  <c r="AD178"/>
  <c r="AT178"/>
  <c r="AH178"/>
  <c r="BE178"/>
  <c r="AV178"/>
  <c r="AO178"/>
  <c r="AY178"/>
  <c r="AB178"/>
  <c r="AN178"/>
  <c r="BF178"/>
  <c r="AM178"/>
  <c r="AC178"/>
  <c r="AI178"/>
  <c r="BA178"/>
  <c r="AQ178"/>
  <c r="AP178"/>
  <c r="AG178"/>
  <c r="AF178"/>
  <c r="BG178"/>
  <c r="AK178"/>
  <c r="AU178"/>
  <c r="B181"/>
  <c r="AD181" i="5"/>
  <c r="E181"/>
  <c r="H181"/>
  <c r="A181" i="12"/>
  <c r="N181" i="5"/>
  <c r="D181" i="6" s="1"/>
  <c r="F181" i="5"/>
  <c r="J181"/>
  <c r="C182"/>
  <c r="K181"/>
  <c r="AE181"/>
  <c r="B181"/>
  <c r="R181"/>
  <c r="W181"/>
  <c r="H181" i="12" s="1"/>
  <c r="D181" i="5"/>
  <c r="B181" i="12" s="1"/>
  <c r="G181" i="5"/>
  <c r="F180" i="6"/>
  <c r="E180" i="12"/>
  <c r="H180" i="6"/>
  <c r="G180"/>
  <c r="M180"/>
  <c r="AA179" i="5"/>
  <c r="C179" i="12"/>
  <c r="M179"/>
  <c r="AO179"/>
  <c r="O179"/>
  <c r="D178"/>
  <c r="E178" i="6"/>
  <c r="G181" i="12"/>
  <c r="AF182" i="5"/>
  <c r="V176" i="12" l="1"/>
  <c r="U176"/>
  <c r="X177"/>
  <c r="N178"/>
  <c r="AE179" i="6"/>
  <c r="Y178" i="12"/>
  <c r="W178" s="1"/>
  <c r="T178" s="1"/>
  <c r="K180"/>
  <c r="AD179" i="6"/>
  <c r="AK179"/>
  <c r="C179"/>
  <c r="AB179"/>
  <c r="AF179"/>
  <c r="AH179"/>
  <c r="AI179"/>
  <c r="BA179"/>
  <c r="AQ179"/>
  <c r="AT179"/>
  <c r="AN179"/>
  <c r="BE179"/>
  <c r="BG179"/>
  <c r="AM179"/>
  <c r="BD179"/>
  <c r="BF179"/>
  <c r="AC179"/>
  <c r="AY179"/>
  <c r="AX179"/>
  <c r="AU179"/>
  <c r="AO179"/>
  <c r="AR179"/>
  <c r="BC179"/>
  <c r="AZ179"/>
  <c r="AJ179"/>
  <c r="BB179"/>
  <c r="AS179"/>
  <c r="AV179"/>
  <c r="AP179"/>
  <c r="AG182" i="5"/>
  <c r="S182"/>
  <c r="F182" i="12" s="1"/>
  <c r="AX180" i="6"/>
  <c r="BG180"/>
  <c r="AY180"/>
  <c r="BA180"/>
  <c r="AO180"/>
  <c r="AR180"/>
  <c r="BD180"/>
  <c r="BF180"/>
  <c r="AS180"/>
  <c r="AV180"/>
  <c r="BE180"/>
  <c r="BB180"/>
  <c r="AN180"/>
  <c r="AQ180"/>
  <c r="AT180"/>
  <c r="AZ180"/>
  <c r="AM180"/>
  <c r="BC180"/>
  <c r="AP180"/>
  <c r="AU180"/>
  <c r="A181"/>
  <c r="M181" s="1"/>
  <c r="G181"/>
  <c r="H181"/>
  <c r="T180" i="5"/>
  <c r="X180" s="1"/>
  <c r="AF180" i="6"/>
  <c r="AK180"/>
  <c r="AG180"/>
  <c r="AH180"/>
  <c r="AD180"/>
  <c r="AE180"/>
  <c r="AB180"/>
  <c r="AI180"/>
  <c r="AC180"/>
  <c r="AJ180"/>
  <c r="E181" i="12"/>
  <c r="F181" i="6"/>
  <c r="AE182" i="5"/>
  <c r="B182"/>
  <c r="J182"/>
  <c r="G182"/>
  <c r="D182"/>
  <c r="B182" i="12" s="1"/>
  <c r="K182" i="5"/>
  <c r="A182" i="12"/>
  <c r="AD182" i="5"/>
  <c r="N182"/>
  <c r="D182" i="6" s="1"/>
  <c r="W182" i="5"/>
  <c r="H182" i="12" s="1"/>
  <c r="H182" i="5"/>
  <c r="E182"/>
  <c r="R182"/>
  <c r="C183"/>
  <c r="F182"/>
  <c r="B182" i="6"/>
  <c r="J181" i="12"/>
  <c r="L181"/>
  <c r="Y179"/>
  <c r="X179" s="1"/>
  <c r="N179"/>
  <c r="G182"/>
  <c r="D179"/>
  <c r="E179" i="6"/>
  <c r="U177" i="12"/>
  <c r="T177"/>
  <c r="V177"/>
  <c r="AF183" i="5"/>
  <c r="U178" i="12" l="1"/>
  <c r="V178"/>
  <c r="X178"/>
  <c r="K181"/>
  <c r="N181" i="6"/>
  <c r="S183" i="5"/>
  <c r="F183" i="12" s="1"/>
  <c r="AG183" i="5"/>
  <c r="BE181" i="6"/>
  <c r="AY181"/>
  <c r="BA181"/>
  <c r="BB181"/>
  <c r="AU181"/>
  <c r="BF181"/>
  <c r="AX181"/>
  <c r="AQ181"/>
  <c r="AP181"/>
  <c r="AT181"/>
  <c r="AZ181"/>
  <c r="AR181"/>
  <c r="AO181"/>
  <c r="BC181"/>
  <c r="AN181"/>
  <c r="AS181"/>
  <c r="AV181"/>
  <c r="AM181"/>
  <c r="BG181"/>
  <c r="BD181"/>
  <c r="F182"/>
  <c r="E182" i="12"/>
  <c r="A182" i="6"/>
  <c r="N182" s="1"/>
  <c r="H182"/>
  <c r="G182"/>
  <c r="C184" i="5"/>
  <c r="K183"/>
  <c r="F183"/>
  <c r="B183"/>
  <c r="R183"/>
  <c r="D183"/>
  <c r="B183" i="12" s="1"/>
  <c r="G183" i="5"/>
  <c r="E183"/>
  <c r="B183" i="6"/>
  <c r="AD183" i="5"/>
  <c r="W183"/>
  <c r="H183" i="12" s="1"/>
  <c r="H183" i="5"/>
  <c r="A183" i="12"/>
  <c r="N183" i="5"/>
  <c r="D183" i="6" s="1"/>
  <c r="J183" i="5"/>
  <c r="AE183"/>
  <c r="L182" i="12"/>
  <c r="J182"/>
  <c r="T181" i="5"/>
  <c r="X181" s="1"/>
  <c r="AH181" i="6"/>
  <c r="AI181"/>
  <c r="AE181"/>
  <c r="AK181"/>
  <c r="AC181"/>
  <c r="AF181"/>
  <c r="AB181"/>
  <c r="AG181"/>
  <c r="AJ181"/>
  <c r="AD181"/>
  <c r="AM180" i="5"/>
  <c r="L180"/>
  <c r="I180" i="12"/>
  <c r="AC180" i="5"/>
  <c r="Z180"/>
  <c r="W179" i="12"/>
  <c r="V179" s="1"/>
  <c r="G183"/>
  <c r="AF184" i="5"/>
  <c r="K182" i="12" l="1"/>
  <c r="M182" i="6"/>
  <c r="BA182" s="1"/>
  <c r="AG184" i="5"/>
  <c r="S184"/>
  <c r="F184" i="12" s="1"/>
  <c r="AO180"/>
  <c r="O180"/>
  <c r="C180"/>
  <c r="M180"/>
  <c r="J183"/>
  <c r="L183"/>
  <c r="F183" i="6"/>
  <c r="E183" i="12"/>
  <c r="A184"/>
  <c r="AD184" i="5"/>
  <c r="C185"/>
  <c r="N184"/>
  <c r="D184" i="6" s="1"/>
  <c r="E184" i="5"/>
  <c r="J184"/>
  <c r="F184"/>
  <c r="R184"/>
  <c r="AE184"/>
  <c r="B184"/>
  <c r="G184"/>
  <c r="W184"/>
  <c r="H184" i="12" s="1"/>
  <c r="B184" i="6"/>
  <c r="D184" i="5"/>
  <c r="B184" i="12" s="1"/>
  <c r="H184" i="5"/>
  <c r="K184"/>
  <c r="T182"/>
  <c r="X182" s="1"/>
  <c r="AB180"/>
  <c r="AA180"/>
  <c r="A183" i="6"/>
  <c r="N183" s="1"/>
  <c r="G183"/>
  <c r="H183"/>
  <c r="O180" i="5"/>
  <c r="C180" i="6"/>
  <c r="AM181" i="5"/>
  <c r="L181"/>
  <c r="I181" i="12"/>
  <c r="AC181" i="5"/>
  <c r="Z181"/>
  <c r="T179" i="12"/>
  <c r="U179"/>
  <c r="G184"/>
  <c r="AF185" i="5"/>
  <c r="AB182" i="6" l="1"/>
  <c r="AJ182"/>
  <c r="AC182"/>
  <c r="AI182"/>
  <c r="AE182"/>
  <c r="AK182"/>
  <c r="AF182"/>
  <c r="AD182"/>
  <c r="AH182"/>
  <c r="AG182"/>
  <c r="AU182"/>
  <c r="K183" i="12"/>
  <c r="AR182" i="6"/>
  <c r="AN182"/>
  <c r="AV182"/>
  <c r="AS182"/>
  <c r="AT182"/>
  <c r="AY182"/>
  <c r="BC182"/>
  <c r="M183"/>
  <c r="AU183" s="1"/>
  <c r="AZ182"/>
  <c r="BB182"/>
  <c r="AP182"/>
  <c r="AM182"/>
  <c r="AQ182"/>
  <c r="BD182"/>
  <c r="AO182"/>
  <c r="BF182"/>
  <c r="AX182"/>
  <c r="BG182"/>
  <c r="BE182"/>
  <c r="Y180" i="12"/>
  <c r="S185" i="5"/>
  <c r="F185" i="12" s="1"/>
  <c r="AG185" i="5"/>
  <c r="AA181"/>
  <c r="AB181"/>
  <c r="AM182"/>
  <c r="L182"/>
  <c r="I182" i="12"/>
  <c r="AC182" i="5"/>
  <c r="Z182"/>
  <c r="J184" i="12"/>
  <c r="L184"/>
  <c r="O181" i="5"/>
  <c r="C181" i="6"/>
  <c r="AO181" i="12"/>
  <c r="C181"/>
  <c r="O181"/>
  <c r="M181"/>
  <c r="E180" i="6"/>
  <c r="D180" i="12"/>
  <c r="A185"/>
  <c r="N185" i="5"/>
  <c r="D185" i="6" s="1"/>
  <c r="E185" i="5"/>
  <c r="K185"/>
  <c r="D185"/>
  <c r="B185" i="12" s="1"/>
  <c r="C186" i="5"/>
  <c r="F185"/>
  <c r="G185"/>
  <c r="AE185"/>
  <c r="B185" i="6"/>
  <c r="AD185" i="5"/>
  <c r="B185"/>
  <c r="J185"/>
  <c r="R185"/>
  <c r="W185"/>
  <c r="H185" i="12" s="1"/>
  <c r="H185" i="5"/>
  <c r="T183"/>
  <c r="X183" s="1"/>
  <c r="E184" i="12"/>
  <c r="F184" i="6"/>
  <c r="A184"/>
  <c r="M184" s="1"/>
  <c r="H184"/>
  <c r="G184"/>
  <c r="N180" i="12"/>
  <c r="G185"/>
  <c r="AF186" i="5"/>
  <c r="AB183" i="6" l="1"/>
  <c r="AH183"/>
  <c r="AI183"/>
  <c r="AD183"/>
  <c r="AF183"/>
  <c r="AJ183"/>
  <c r="AC183"/>
  <c r="AE183"/>
  <c r="AG183"/>
  <c r="BE183"/>
  <c r="AX183"/>
  <c r="BF183"/>
  <c r="BD183"/>
  <c r="AK183"/>
  <c r="AQ183"/>
  <c r="AN183"/>
  <c r="AY183"/>
  <c r="AV183"/>
  <c r="AS183"/>
  <c r="BC183"/>
  <c r="AZ183"/>
  <c r="AO183"/>
  <c r="AR183"/>
  <c r="AT183"/>
  <c r="BB183"/>
  <c r="BG183"/>
  <c r="AP183"/>
  <c r="BA183"/>
  <c r="AM183"/>
  <c r="N184"/>
  <c r="Y181" i="12"/>
  <c r="X180"/>
  <c r="W180"/>
  <c r="AG186" i="5"/>
  <c r="S186"/>
  <c r="F186" i="12" s="1"/>
  <c r="AU184" i="6"/>
  <c r="AV184"/>
  <c r="AR184"/>
  <c r="AS184"/>
  <c r="AX184"/>
  <c r="BA184"/>
  <c r="AN184"/>
  <c r="AQ184"/>
  <c r="AY184"/>
  <c r="BB184"/>
  <c r="BD184"/>
  <c r="AP184"/>
  <c r="AT184"/>
  <c r="AO184"/>
  <c r="BE184"/>
  <c r="AZ184"/>
  <c r="BF184"/>
  <c r="BC184"/>
  <c r="AM184"/>
  <c r="BG184"/>
  <c r="F185"/>
  <c r="E185" i="12"/>
  <c r="E186" i="5"/>
  <c r="R186"/>
  <c r="F186"/>
  <c r="G186"/>
  <c r="D186"/>
  <c r="B186" i="12" s="1"/>
  <c r="J186" i="5"/>
  <c r="AE186"/>
  <c r="B186"/>
  <c r="H186"/>
  <c r="W186"/>
  <c r="H186" i="12" s="1"/>
  <c r="B186" i="6"/>
  <c r="C187" i="5"/>
  <c r="A186" i="12"/>
  <c r="AD186" i="5"/>
  <c r="N186"/>
  <c r="D186" i="6" s="1"/>
  <c r="K186" i="5"/>
  <c r="A185" i="6"/>
  <c r="N185" s="1"/>
  <c r="H185"/>
  <c r="G185"/>
  <c r="AB182" i="5"/>
  <c r="AA182"/>
  <c r="T184"/>
  <c r="X184" s="1"/>
  <c r="AH184" i="6"/>
  <c r="AE184"/>
  <c r="AC184"/>
  <c r="AK184"/>
  <c r="AI184"/>
  <c r="AB184"/>
  <c r="AF184"/>
  <c r="AD184"/>
  <c r="AG184"/>
  <c r="AJ184"/>
  <c r="C182"/>
  <c r="O182" i="5"/>
  <c r="C182" i="12"/>
  <c r="AO182"/>
  <c r="O182"/>
  <c r="M182"/>
  <c r="K184"/>
  <c r="L183" i="5"/>
  <c r="AM183"/>
  <c r="I183" i="12"/>
  <c r="AC183" i="5"/>
  <c r="Z183"/>
  <c r="J185" i="12"/>
  <c r="L185"/>
  <c r="D181"/>
  <c r="E181" i="6"/>
  <c r="N181" i="12"/>
  <c r="G186"/>
  <c r="AF187" i="5"/>
  <c r="Y182" i="12" l="1"/>
  <c r="X182" s="1"/>
  <c r="M185" i="6"/>
  <c r="AU185" s="1"/>
  <c r="N182" i="12"/>
  <c r="X181"/>
  <c r="W181"/>
  <c r="V180"/>
  <c r="U180"/>
  <c r="T180"/>
  <c r="AG187" i="5"/>
  <c r="S187"/>
  <c r="F187" i="12" s="1"/>
  <c r="J186"/>
  <c r="L186"/>
  <c r="AB183" i="5"/>
  <c r="AA183"/>
  <c r="O183"/>
  <c r="C183" i="6"/>
  <c r="T185" i="5"/>
  <c r="X185" s="1"/>
  <c r="E186" i="12"/>
  <c r="F186" i="6"/>
  <c r="A186"/>
  <c r="N186" s="1"/>
  <c r="H186"/>
  <c r="G186"/>
  <c r="O183" i="12"/>
  <c r="AO183"/>
  <c r="C183"/>
  <c r="M183"/>
  <c r="D182"/>
  <c r="E182" i="6"/>
  <c r="AM184" i="5"/>
  <c r="Z184"/>
  <c r="I184" i="12"/>
  <c r="AC184" i="5"/>
  <c r="L184"/>
  <c r="B187" i="6"/>
  <c r="AD187" i="5"/>
  <c r="J187"/>
  <c r="B187"/>
  <c r="A187" i="12"/>
  <c r="N187" i="5"/>
  <c r="D187" i="6" s="1"/>
  <c r="K187" i="5"/>
  <c r="E187"/>
  <c r="C188"/>
  <c r="AE187"/>
  <c r="F187"/>
  <c r="H187"/>
  <c r="R187"/>
  <c r="D187"/>
  <c r="B187" i="12" s="1"/>
  <c r="G187" i="5"/>
  <c r="W187"/>
  <c r="H187" i="12" s="1"/>
  <c r="K185"/>
  <c r="G187"/>
  <c r="AF188" i="5"/>
  <c r="AK185" i="6" l="1"/>
  <c r="W182" i="12"/>
  <c r="V182" s="1"/>
  <c r="AE185" i="6"/>
  <c r="AB185"/>
  <c r="AJ185"/>
  <c r="AG185"/>
  <c r="AF185"/>
  <c r="AS185"/>
  <c r="AV185"/>
  <c r="BA185"/>
  <c r="AM185"/>
  <c r="AR185"/>
  <c r="AY185"/>
  <c r="AP185"/>
  <c r="BB185"/>
  <c r="BF185"/>
  <c r="AC185"/>
  <c r="AD185"/>
  <c r="BC185"/>
  <c r="AQ185"/>
  <c r="AX185"/>
  <c r="BE185"/>
  <c r="AT185"/>
  <c r="BG185"/>
  <c r="AI185"/>
  <c r="AH185"/>
  <c r="BD185"/>
  <c r="AO185"/>
  <c r="AN185"/>
  <c r="AZ185"/>
  <c r="V181" i="12"/>
  <c r="T181"/>
  <c r="U181"/>
  <c r="M186" i="6"/>
  <c r="AY186" s="1"/>
  <c r="N183" i="12"/>
  <c r="AG188" i="5"/>
  <c r="S188"/>
  <c r="F188" i="12" s="1"/>
  <c r="AM185" i="5"/>
  <c r="L185"/>
  <c r="I185" i="12"/>
  <c r="AC185" i="5"/>
  <c r="Z185"/>
  <c r="Y183" i="12"/>
  <c r="O184" i="5"/>
  <c r="C184" i="6"/>
  <c r="F187"/>
  <c r="E187" i="12"/>
  <c r="A188"/>
  <c r="AD188" i="5"/>
  <c r="J188"/>
  <c r="G188"/>
  <c r="H188"/>
  <c r="E188"/>
  <c r="W188"/>
  <c r="H188" i="12" s="1"/>
  <c r="R188" i="5"/>
  <c r="K188"/>
  <c r="B188"/>
  <c r="AE188"/>
  <c r="N188"/>
  <c r="D188" i="6" s="1"/>
  <c r="B188"/>
  <c r="D188" i="5"/>
  <c r="B188" i="12" s="1"/>
  <c r="C189" i="5"/>
  <c r="F188"/>
  <c r="L187" i="12"/>
  <c r="J187"/>
  <c r="AA184" i="5"/>
  <c r="AB184"/>
  <c r="E183" i="6"/>
  <c r="D183" i="12"/>
  <c r="A187" i="6"/>
  <c r="H187"/>
  <c r="T187" i="5" s="1"/>
  <c r="X187" s="1"/>
  <c r="L187" s="1"/>
  <c r="G187" i="6"/>
  <c r="O184" i="12"/>
  <c r="M184"/>
  <c r="AO184"/>
  <c r="C184"/>
  <c r="T186" i="5"/>
  <c r="X186" s="1"/>
  <c r="K186" i="12"/>
  <c r="G188"/>
  <c r="AF189" i="5"/>
  <c r="AK186" i="6" l="1"/>
  <c r="AB186"/>
  <c r="AG186"/>
  <c r="AF186"/>
  <c r="AE186"/>
  <c r="AH186"/>
  <c r="T182" i="12"/>
  <c r="AI186" i="6"/>
  <c r="U182" i="12"/>
  <c r="AJ186" i="6"/>
  <c r="AC186"/>
  <c r="BE186"/>
  <c r="AD186"/>
  <c r="AZ186"/>
  <c r="AN186"/>
  <c r="BB186"/>
  <c r="AR186"/>
  <c r="BC186"/>
  <c r="BD186"/>
  <c r="AX186"/>
  <c r="BF186"/>
  <c r="BA186"/>
  <c r="AP186"/>
  <c r="AU186"/>
  <c r="AV186"/>
  <c r="AQ186"/>
  <c r="AS186"/>
  <c r="AT186"/>
  <c r="BG186"/>
  <c r="AC187" i="5"/>
  <c r="AM187"/>
  <c r="AM186" i="6"/>
  <c r="I187" i="12"/>
  <c r="M187" s="1"/>
  <c r="Z187" i="5"/>
  <c r="AB187" s="1"/>
  <c r="K187" i="12"/>
  <c r="AO186" i="6"/>
  <c r="A188"/>
  <c r="N184" i="12"/>
  <c r="S189" i="5"/>
  <c r="F189" i="12" s="1"/>
  <c r="AG189" i="5"/>
  <c r="J188" i="12"/>
  <c r="L188"/>
  <c r="N187" i="6"/>
  <c r="M187"/>
  <c r="A189" i="12"/>
  <c r="N189" i="5"/>
  <c r="D189" i="6" s="1"/>
  <c r="K189" i="5"/>
  <c r="B189"/>
  <c r="C190"/>
  <c r="W189"/>
  <c r="H189" i="12" s="1"/>
  <c r="G189" i="5"/>
  <c r="H189"/>
  <c r="R189"/>
  <c r="D189"/>
  <c r="B189" i="12" s="1"/>
  <c r="E189" i="5"/>
  <c r="J189"/>
  <c r="B189" i="6"/>
  <c r="AD189" i="5"/>
  <c r="F189"/>
  <c r="AE189"/>
  <c r="AB185"/>
  <c r="AA185"/>
  <c r="D184" i="12"/>
  <c r="E184" i="6"/>
  <c r="C185" i="12"/>
  <c r="M185"/>
  <c r="AO185"/>
  <c r="O185"/>
  <c r="L186" i="5"/>
  <c r="I186" i="12"/>
  <c r="AM186" i="5"/>
  <c r="Z186"/>
  <c r="AC186"/>
  <c r="G188" i="6"/>
  <c r="H188"/>
  <c r="T188" i="5" s="1"/>
  <c r="X188" s="1"/>
  <c r="Z188" s="1"/>
  <c r="E188" i="12"/>
  <c r="F188" i="6"/>
  <c r="W183" i="12"/>
  <c r="X183"/>
  <c r="C185" i="6"/>
  <c r="O185" i="5"/>
  <c r="Y184" i="12"/>
  <c r="C187" i="6"/>
  <c r="O187" i="5"/>
  <c r="G189" i="12"/>
  <c r="AF190" i="5"/>
  <c r="O187" i="12" l="1"/>
  <c r="N187" s="1"/>
  <c r="AA187" i="5"/>
  <c r="AO187" i="12"/>
  <c r="C187"/>
  <c r="AC188" i="5"/>
  <c r="A189" i="6"/>
  <c r="I188" i="12"/>
  <c r="O188" s="1"/>
  <c r="N188" i="6"/>
  <c r="M188"/>
  <c r="AD188" s="1"/>
  <c r="K188" i="12"/>
  <c r="AM188" i="5"/>
  <c r="Y185" i="12"/>
  <c r="W185" s="1"/>
  <c r="V185" s="1"/>
  <c r="S190" i="5"/>
  <c r="F190" i="12" s="1"/>
  <c r="AG190" i="5"/>
  <c r="AB186"/>
  <c r="AA186"/>
  <c r="F189" i="6"/>
  <c r="E189" i="12"/>
  <c r="AE190" i="5"/>
  <c r="B190"/>
  <c r="J190"/>
  <c r="C191"/>
  <c r="A190" i="12"/>
  <c r="AD190" i="5"/>
  <c r="H190"/>
  <c r="B190" i="6"/>
  <c r="D190" i="5"/>
  <c r="B190" i="12" s="1"/>
  <c r="K190" i="5"/>
  <c r="F190"/>
  <c r="E190"/>
  <c r="R190"/>
  <c r="W190"/>
  <c r="H190" i="12" s="1"/>
  <c r="G190" i="5"/>
  <c r="N190"/>
  <c r="D190" i="6" s="1"/>
  <c r="J189" i="12"/>
  <c r="L189"/>
  <c r="L188" i="5"/>
  <c r="O188" s="1"/>
  <c r="N185" i="12"/>
  <c r="X184"/>
  <c r="W184"/>
  <c r="U183"/>
  <c r="T183"/>
  <c r="V183"/>
  <c r="C186"/>
  <c r="AO186"/>
  <c r="M186"/>
  <c r="O186"/>
  <c r="BD187" i="6"/>
  <c r="AI187"/>
  <c r="BB187"/>
  <c r="AG187"/>
  <c r="AV187"/>
  <c r="AH187"/>
  <c r="AJ187"/>
  <c r="BA187"/>
  <c r="AB187"/>
  <c r="AN187"/>
  <c r="AK187"/>
  <c r="AF187"/>
  <c r="AC187"/>
  <c r="BG187"/>
  <c r="AM187"/>
  <c r="AT187"/>
  <c r="AR187"/>
  <c r="BC187"/>
  <c r="BF187"/>
  <c r="AU187"/>
  <c r="AE187"/>
  <c r="BE187"/>
  <c r="AO187"/>
  <c r="AX187"/>
  <c r="AS187"/>
  <c r="AY187"/>
  <c r="AZ187"/>
  <c r="AD187"/>
  <c r="AQ187"/>
  <c r="AP187"/>
  <c r="D185" i="12"/>
  <c r="E185" i="6"/>
  <c r="C186"/>
  <c r="O186" i="5"/>
  <c r="G189" i="6"/>
  <c r="H189"/>
  <c r="T189" i="5" s="1"/>
  <c r="X189" s="1"/>
  <c r="I189" i="12" s="1"/>
  <c r="G190"/>
  <c r="AB188" i="5"/>
  <c r="AA188"/>
  <c r="D187" i="12"/>
  <c r="E187" i="6"/>
  <c r="AF191" i="5"/>
  <c r="M188" i="12" l="1"/>
  <c r="N188" s="1"/>
  <c r="AO188"/>
  <c r="Y188" s="1"/>
  <c r="X188" s="1"/>
  <c r="C188"/>
  <c r="C188" i="6"/>
  <c r="Y187" i="12"/>
  <c r="W187" s="1"/>
  <c r="U187" s="1"/>
  <c r="AE188" i="6"/>
  <c r="AK188"/>
  <c r="U185" i="12"/>
  <c r="T185"/>
  <c r="K189"/>
  <c r="AI188" i="6"/>
  <c r="AG188"/>
  <c r="N186" i="12"/>
  <c r="X185"/>
  <c r="N189" i="6"/>
  <c r="M189"/>
  <c r="AB189" s="1"/>
  <c r="AM189" i="5"/>
  <c r="Y186" i="12"/>
  <c r="L189" i="5"/>
  <c r="C189" i="6" s="1"/>
  <c r="Z189" i="5"/>
  <c r="AA189" s="1"/>
  <c r="BE188" i="6"/>
  <c r="AP188"/>
  <c r="BC188"/>
  <c r="BA188"/>
  <c r="AQ188"/>
  <c r="AJ188"/>
  <c r="AH188"/>
  <c r="BD188"/>
  <c r="BB188"/>
  <c r="AV188"/>
  <c r="AU188"/>
  <c r="AN188"/>
  <c r="AM188"/>
  <c r="BF188"/>
  <c r="AO188"/>
  <c r="AZ188"/>
  <c r="AS188"/>
  <c r="AR188"/>
  <c r="AX188"/>
  <c r="BG188"/>
  <c r="AT188"/>
  <c r="AC188"/>
  <c r="AY188"/>
  <c r="AC189" i="5"/>
  <c r="AF188" i="6"/>
  <c r="AB188"/>
  <c r="S191" i="5"/>
  <c r="F191" i="12" s="1"/>
  <c r="AG191" i="5"/>
  <c r="D186" i="12"/>
  <c r="E186" i="6"/>
  <c r="H190"/>
  <c r="T190" i="5" s="1"/>
  <c r="X190" s="1"/>
  <c r="I190" i="12" s="1"/>
  <c r="G190" i="6"/>
  <c r="C192" i="5"/>
  <c r="K191"/>
  <c r="F191"/>
  <c r="E191"/>
  <c r="AD191"/>
  <c r="H191"/>
  <c r="N191"/>
  <c r="D191" i="6" s="1"/>
  <c r="AE191" i="5"/>
  <c r="R191"/>
  <c r="D191"/>
  <c r="B191" i="12" s="1"/>
  <c r="G191" i="5"/>
  <c r="B191"/>
  <c r="B191" i="6"/>
  <c r="W191" i="5"/>
  <c r="H191" i="12" s="1"/>
  <c r="A191"/>
  <c r="J191" i="5"/>
  <c r="F190" i="6"/>
  <c r="E190" i="12"/>
  <c r="J190"/>
  <c r="L190"/>
  <c r="A190" i="6"/>
  <c r="N190" s="1"/>
  <c r="U184" i="12"/>
  <c r="T184"/>
  <c r="V184"/>
  <c r="X187"/>
  <c r="C189"/>
  <c r="M189"/>
  <c r="AO189"/>
  <c r="O189"/>
  <c r="G191"/>
  <c r="D188"/>
  <c r="E188" i="6"/>
  <c r="AF192" i="5"/>
  <c r="V187" i="12" l="1"/>
  <c r="O189" i="5"/>
  <c r="E189" i="6" s="1"/>
  <c r="AB189" i="5"/>
  <c r="T187" i="12"/>
  <c r="AJ189" i="6"/>
  <c r="AK189"/>
  <c r="AE189"/>
  <c r="AI189"/>
  <c r="AH189"/>
  <c r="AG189"/>
  <c r="AD189"/>
  <c r="L190" i="5"/>
  <c r="O190" s="1"/>
  <c r="M190" i="6"/>
  <c r="AB190" s="1"/>
  <c r="AC189"/>
  <c r="AT189"/>
  <c r="BD189"/>
  <c r="AS189"/>
  <c r="AZ189"/>
  <c r="AN189"/>
  <c r="AR189"/>
  <c r="AX189"/>
  <c r="BB189"/>
  <c r="BF189"/>
  <c r="AP189"/>
  <c r="AY189"/>
  <c r="AV189"/>
  <c r="BE189"/>
  <c r="AU189"/>
  <c r="AO189"/>
  <c r="BA189"/>
  <c r="AQ189"/>
  <c r="BG189"/>
  <c r="BC189"/>
  <c r="AM189"/>
  <c r="AF189"/>
  <c r="W186" i="12"/>
  <c r="X186"/>
  <c r="S192" i="5"/>
  <c r="F192" i="12" s="1"/>
  <c r="AG192" i="5"/>
  <c r="L191" i="12"/>
  <c r="J191"/>
  <c r="AM190" i="5"/>
  <c r="K190" i="12"/>
  <c r="F191" i="6"/>
  <c r="E191" i="12"/>
  <c r="AE192" i="5"/>
  <c r="B192"/>
  <c r="G192"/>
  <c r="W192"/>
  <c r="H192" i="12" s="1"/>
  <c r="B192" i="6"/>
  <c r="D192" i="5"/>
  <c r="B192" i="12" s="1"/>
  <c r="H192" i="5"/>
  <c r="K192"/>
  <c r="A192" i="12"/>
  <c r="AD192" i="5"/>
  <c r="C193"/>
  <c r="N192"/>
  <c r="D192" i="6" s="1"/>
  <c r="E192" i="5"/>
  <c r="J192"/>
  <c r="F192"/>
  <c r="R192"/>
  <c r="Z190"/>
  <c r="AB190" s="1"/>
  <c r="A191" i="6"/>
  <c r="N191" s="1"/>
  <c r="H191"/>
  <c r="T191" i="5" s="1"/>
  <c r="X191" s="1"/>
  <c r="AM191" s="1"/>
  <c r="G191" i="6"/>
  <c r="AC190" i="5"/>
  <c r="W188" i="12"/>
  <c r="V188" s="1"/>
  <c r="N189"/>
  <c r="Y189"/>
  <c r="C190"/>
  <c r="AO190"/>
  <c r="O190"/>
  <c r="M190"/>
  <c r="G192"/>
  <c r="AF193" i="5"/>
  <c r="D189" i="12" l="1"/>
  <c r="C190" i="6"/>
  <c r="BD190"/>
  <c r="AM190"/>
  <c r="AH190"/>
  <c r="AF190"/>
  <c r="AA190" i="5"/>
  <c r="L191"/>
  <c r="O191" s="1"/>
  <c r="I191" i="12"/>
  <c r="AO191" s="1"/>
  <c r="K191"/>
  <c r="AY190" i="6"/>
  <c r="AN190"/>
  <c r="AT190"/>
  <c r="AV190"/>
  <c r="AD190"/>
  <c r="BE190"/>
  <c r="AS190"/>
  <c r="AE190"/>
  <c r="BC190"/>
  <c r="AP190"/>
  <c r="BG190"/>
  <c r="BF190"/>
  <c r="AC190"/>
  <c r="AX190"/>
  <c r="AO190"/>
  <c r="AI190"/>
  <c r="AG190"/>
  <c r="AR190"/>
  <c r="AQ190"/>
  <c r="AU190"/>
  <c r="BA190"/>
  <c r="AK190"/>
  <c r="AZ190"/>
  <c r="BB190"/>
  <c r="AJ190"/>
  <c r="AC191" i="5"/>
  <c r="Z191"/>
  <c r="AB191" s="1"/>
  <c r="T186" i="12"/>
  <c r="V186"/>
  <c r="U186"/>
  <c r="M191" i="6"/>
  <c r="BG191" s="1"/>
  <c r="S193" i="5"/>
  <c r="F193" i="12" s="1"/>
  <c r="AG193" i="5"/>
  <c r="R193"/>
  <c r="D193"/>
  <c r="B193" i="12" s="1"/>
  <c r="W193" i="5"/>
  <c r="H193" i="12" s="1"/>
  <c r="J193" i="5"/>
  <c r="A193" i="12"/>
  <c r="N193" i="5"/>
  <c r="D193" i="6" s="1"/>
  <c r="E193" i="5"/>
  <c r="AE193"/>
  <c r="C194"/>
  <c r="F193"/>
  <c r="G193"/>
  <c r="H193"/>
  <c r="B193" i="6"/>
  <c r="AD193" i="5"/>
  <c r="B193"/>
  <c r="K193"/>
  <c r="E192" i="12"/>
  <c r="F192" i="6"/>
  <c r="G192"/>
  <c r="H192"/>
  <c r="L192" i="12"/>
  <c r="J192"/>
  <c r="A192" i="6"/>
  <c r="T188" i="12"/>
  <c r="U188"/>
  <c r="Y190"/>
  <c r="D190"/>
  <c r="E190" i="6"/>
  <c r="G193" i="12"/>
  <c r="X189"/>
  <c r="W189"/>
  <c r="N190"/>
  <c r="AF194" i="5"/>
  <c r="O191" i="12" l="1"/>
  <c r="Y191" s="1"/>
  <c r="W191" s="1"/>
  <c r="C191"/>
  <c r="C191" i="6"/>
  <c r="M191" i="12"/>
  <c r="AA191" i="5"/>
  <c r="AC191" i="6"/>
  <c r="AM191"/>
  <c r="AO191"/>
  <c r="BC191"/>
  <c r="AI191"/>
  <c r="AK191"/>
  <c r="AH191"/>
  <c r="AB191"/>
  <c r="AJ191"/>
  <c r="AG191"/>
  <c r="AV191"/>
  <c r="BE191"/>
  <c r="K192" i="12"/>
  <c r="BD191" i="6"/>
  <c r="AZ191"/>
  <c r="AF191"/>
  <c r="AR191"/>
  <c r="BB191"/>
  <c r="AS191"/>
  <c r="AD191"/>
  <c r="AX191"/>
  <c r="AP191"/>
  <c r="AN191"/>
  <c r="BA191"/>
  <c r="AQ191"/>
  <c r="AT191"/>
  <c r="BF191"/>
  <c r="AY191"/>
  <c r="AE191"/>
  <c r="AU191"/>
  <c r="S194" i="5"/>
  <c r="F194" i="12" s="1"/>
  <c r="AG194" i="5"/>
  <c r="B194" i="6"/>
  <c r="D194" i="5"/>
  <c r="B194" i="12" s="1"/>
  <c r="C195" i="5"/>
  <c r="K194"/>
  <c r="A194" i="12"/>
  <c r="AD194" i="5"/>
  <c r="N194"/>
  <c r="D194" i="6" s="1"/>
  <c r="W194" i="5"/>
  <c r="H194" i="12" s="1"/>
  <c r="H194" i="5"/>
  <c r="E194"/>
  <c r="R194"/>
  <c r="F194"/>
  <c r="G194"/>
  <c r="AE194"/>
  <c r="B194"/>
  <c r="J194"/>
  <c r="J193" i="12"/>
  <c r="L193"/>
  <c r="E193"/>
  <c r="F193" i="6"/>
  <c r="A193"/>
  <c r="M192"/>
  <c r="AE192" s="1"/>
  <c r="N192"/>
  <c r="T192" i="5"/>
  <c r="X192" s="1"/>
  <c r="H193" i="6"/>
  <c r="T193" i="5" s="1"/>
  <c r="X193" s="1"/>
  <c r="Z193" s="1"/>
  <c r="G193" i="6"/>
  <c r="G194" i="12"/>
  <c r="D191"/>
  <c r="E191" i="6"/>
  <c r="V189" i="12"/>
  <c r="U189"/>
  <c r="T189"/>
  <c r="X190"/>
  <c r="W190"/>
  <c r="AF195" i="5"/>
  <c r="N191" i="12" l="1"/>
  <c r="K193"/>
  <c r="AC193" i="5"/>
  <c r="AF192" i="6"/>
  <c r="AH192"/>
  <c r="AK192"/>
  <c r="I193" i="12"/>
  <c r="M193" s="1"/>
  <c r="AJ192" i="6"/>
  <c r="AI192"/>
  <c r="S195" i="5"/>
  <c r="F195" i="12" s="1"/>
  <c r="AG195" i="5"/>
  <c r="F194" i="6"/>
  <c r="E194" i="12"/>
  <c r="G194" i="6"/>
  <c r="H194"/>
  <c r="T194" i="5" s="1"/>
  <c r="X194" s="1"/>
  <c r="Z194" s="1"/>
  <c r="A195" i="12"/>
  <c r="N195" i="5"/>
  <c r="D195" i="6" s="1"/>
  <c r="K195" i="5"/>
  <c r="F195"/>
  <c r="AE195"/>
  <c r="G195"/>
  <c r="B195" i="6"/>
  <c r="C196" i="5"/>
  <c r="H195"/>
  <c r="J195"/>
  <c r="R195"/>
  <c r="D195"/>
  <c r="B195" i="12" s="1"/>
  <c r="W195" i="5"/>
  <c r="H195" i="12" s="1"/>
  <c r="B195" i="5"/>
  <c r="AD195"/>
  <c r="E195"/>
  <c r="I192" i="12"/>
  <c r="AC192" i="5"/>
  <c r="Z192"/>
  <c r="AM192"/>
  <c r="L192"/>
  <c r="L193"/>
  <c r="C193" i="6" s="1"/>
  <c r="AG192"/>
  <c r="AB192"/>
  <c r="N193"/>
  <c r="M193"/>
  <c r="AH193" s="1"/>
  <c r="J194" i="12"/>
  <c r="L194"/>
  <c r="AM193" i="5"/>
  <c r="AC192" i="6"/>
  <c r="AD192"/>
  <c r="A194"/>
  <c r="BC192"/>
  <c r="BB192"/>
  <c r="AN192"/>
  <c r="AS192"/>
  <c r="BF192"/>
  <c r="AO192"/>
  <c r="AM192"/>
  <c r="BG192"/>
  <c r="AY192"/>
  <c r="AP192"/>
  <c r="AR192"/>
  <c r="BA192"/>
  <c r="AQ192"/>
  <c r="AU192"/>
  <c r="AZ192"/>
  <c r="BD192"/>
  <c r="BE192"/>
  <c r="AT192"/>
  <c r="AX192"/>
  <c r="AV192"/>
  <c r="X191" i="12"/>
  <c r="G195"/>
  <c r="U190"/>
  <c r="T190"/>
  <c r="V190"/>
  <c r="AB193" i="5"/>
  <c r="AA193"/>
  <c r="V191" i="12"/>
  <c r="T191"/>
  <c r="U191"/>
  <c r="AF196" i="5"/>
  <c r="O193" l="1"/>
  <c r="E193" i="6" s="1"/>
  <c r="K194" i="12"/>
  <c r="I194"/>
  <c r="O194" s="1"/>
  <c r="AD193" i="6"/>
  <c r="AF193"/>
  <c r="C193" i="12"/>
  <c r="AC194" i="5"/>
  <c r="AO193" i="12"/>
  <c r="AM194" i="5"/>
  <c r="L194"/>
  <c r="C194" i="6" s="1"/>
  <c r="O193" i="12"/>
  <c r="N193" s="1"/>
  <c r="AI193" i="6"/>
  <c r="AG196" i="5"/>
  <c r="S196"/>
  <c r="F196" i="12" s="1"/>
  <c r="AB192" i="5"/>
  <c r="AA192"/>
  <c r="F195" i="6"/>
  <c r="E195" i="12"/>
  <c r="A195" i="6"/>
  <c r="E196" i="5"/>
  <c r="W196"/>
  <c r="H196" i="12" s="1"/>
  <c r="R196" i="5"/>
  <c r="F196"/>
  <c r="AE196"/>
  <c r="B196"/>
  <c r="H196"/>
  <c r="G196"/>
  <c r="D196"/>
  <c r="B196" i="12" s="1"/>
  <c r="C197" i="5"/>
  <c r="AD196"/>
  <c r="N196"/>
  <c r="D196" i="6" s="1"/>
  <c r="B196"/>
  <c r="K196" i="5"/>
  <c r="A196" i="12"/>
  <c r="J196" i="5"/>
  <c r="O192"/>
  <c r="C192" i="6"/>
  <c r="AO192" i="12"/>
  <c r="C192"/>
  <c r="O192"/>
  <c r="M192"/>
  <c r="J195"/>
  <c r="L195"/>
  <c r="N194" i="6"/>
  <c r="M194"/>
  <c r="AE193"/>
  <c r="AQ193"/>
  <c r="AU193"/>
  <c r="AX193"/>
  <c r="BE193"/>
  <c r="AZ193"/>
  <c r="AK193"/>
  <c r="AJ193"/>
  <c r="BA193"/>
  <c r="BB193"/>
  <c r="AV193"/>
  <c r="AO193"/>
  <c r="AN193"/>
  <c r="BG193"/>
  <c r="AG193"/>
  <c r="AP193"/>
  <c r="AS193"/>
  <c r="AC193"/>
  <c r="AY193"/>
  <c r="AT193"/>
  <c r="BD193"/>
  <c r="BC193"/>
  <c r="BF193"/>
  <c r="AR193"/>
  <c r="AM193"/>
  <c r="AB193"/>
  <c r="G195"/>
  <c r="H195"/>
  <c r="T195" i="5" s="1"/>
  <c r="X195" s="1"/>
  <c r="L195" s="1"/>
  <c r="AB194"/>
  <c r="AA194"/>
  <c r="G196" i="12"/>
  <c r="AF197" i="5"/>
  <c r="D193" i="12" l="1"/>
  <c r="M194"/>
  <c r="C194"/>
  <c r="O194" i="5"/>
  <c r="E194" i="6" s="1"/>
  <c r="AO194" i="12"/>
  <c r="K195"/>
  <c r="Y193"/>
  <c r="AM195" i="5"/>
  <c r="Y192" i="12"/>
  <c r="AG197" i="5"/>
  <c r="S197"/>
  <c r="F197" i="12" s="1"/>
  <c r="AO194" i="6"/>
  <c r="AK194"/>
  <c r="BD194"/>
  <c r="AM194"/>
  <c r="AE194"/>
  <c r="AJ194"/>
  <c r="AU194"/>
  <c r="AY194"/>
  <c r="AS194"/>
  <c r="AQ194"/>
  <c r="AB194"/>
  <c r="AT194"/>
  <c r="AN194"/>
  <c r="AC194"/>
  <c r="AD194"/>
  <c r="AH194"/>
  <c r="BE194"/>
  <c r="AG194"/>
  <c r="AI194"/>
  <c r="BB194"/>
  <c r="BA194"/>
  <c r="AP194"/>
  <c r="AX194"/>
  <c r="AV194"/>
  <c r="AF194"/>
  <c r="BF194"/>
  <c r="AZ194"/>
  <c r="BG194"/>
  <c r="BC194"/>
  <c r="AR194"/>
  <c r="A197" i="12"/>
  <c r="N197" i="5"/>
  <c r="D197" i="6" s="1"/>
  <c r="K197" i="5"/>
  <c r="AE197"/>
  <c r="F197"/>
  <c r="C198"/>
  <c r="W197"/>
  <c r="H197" i="12" s="1"/>
  <c r="J197" i="5"/>
  <c r="G197"/>
  <c r="D197"/>
  <c r="B197" i="12" s="1"/>
  <c r="B197" i="5"/>
  <c r="R197"/>
  <c r="E197"/>
  <c r="AD197"/>
  <c r="H197"/>
  <c r="B197" i="6"/>
  <c r="L196" i="12"/>
  <c r="J196"/>
  <c r="E196"/>
  <c r="F196" i="6"/>
  <c r="Z195" i="5"/>
  <c r="AA195" s="1"/>
  <c r="H196" i="6"/>
  <c r="T196" i="5" s="1"/>
  <c r="X196" s="1"/>
  <c r="L196" s="1"/>
  <c r="G196" i="6"/>
  <c r="N195"/>
  <c r="M195"/>
  <c r="AD195" s="1"/>
  <c r="AC195" i="5"/>
  <c r="I195" i="12"/>
  <c r="M195" s="1"/>
  <c r="E192" i="6"/>
  <c r="D192" i="12"/>
  <c r="N192"/>
  <c r="A196" i="6"/>
  <c r="N194" i="12"/>
  <c r="X193"/>
  <c r="W193"/>
  <c r="Y194"/>
  <c r="G197"/>
  <c r="C195" i="6"/>
  <c r="O195" i="5"/>
  <c r="AF198"/>
  <c r="D194" i="12" l="1"/>
  <c r="C195"/>
  <c r="AB195" i="5"/>
  <c r="O195" i="12"/>
  <c r="N195" s="1"/>
  <c r="AO195"/>
  <c r="AC195" i="6"/>
  <c r="Z196" i="5"/>
  <c r="AB196" s="1"/>
  <c r="AM196"/>
  <c r="AC196"/>
  <c r="X192" i="12"/>
  <c r="W192"/>
  <c r="I196"/>
  <c r="AO196" s="1"/>
  <c r="AG198" i="5"/>
  <c r="S198"/>
  <c r="F198" i="12" s="1"/>
  <c r="AS195" i="6"/>
  <c r="AU195"/>
  <c r="AN195"/>
  <c r="AO195"/>
  <c r="AT195"/>
  <c r="AK195"/>
  <c r="BC195"/>
  <c r="AR195"/>
  <c r="BE195"/>
  <c r="AX195"/>
  <c r="BG195"/>
  <c r="AV195"/>
  <c r="AZ195"/>
  <c r="AP195"/>
  <c r="AJ195"/>
  <c r="AQ195"/>
  <c r="BF195"/>
  <c r="BD195"/>
  <c r="BB195"/>
  <c r="AM195"/>
  <c r="AY195"/>
  <c r="BA195"/>
  <c r="L197" i="12"/>
  <c r="J197"/>
  <c r="AB195" i="6"/>
  <c r="K196" i="12"/>
  <c r="A198"/>
  <c r="AD198" i="5"/>
  <c r="N198"/>
  <c r="D198" i="6" s="1"/>
  <c r="H198" i="5"/>
  <c r="E198"/>
  <c r="R198"/>
  <c r="W198"/>
  <c r="H198" i="12" s="1"/>
  <c r="C199" i="5"/>
  <c r="AE198"/>
  <c r="B198"/>
  <c r="J198"/>
  <c r="F198"/>
  <c r="B198" i="6"/>
  <c r="D198" i="5"/>
  <c r="B198" i="12" s="1"/>
  <c r="K198" i="5"/>
  <c r="G198"/>
  <c r="G197" i="6"/>
  <c r="H197"/>
  <c r="T197" i="5" s="1"/>
  <c r="X197" s="1"/>
  <c r="L197" s="1"/>
  <c r="AI195" i="6"/>
  <c r="N196"/>
  <c r="M196"/>
  <c r="AG196" s="1"/>
  <c r="AG195"/>
  <c r="AE195"/>
  <c r="E197" i="12"/>
  <c r="F197" i="6"/>
  <c r="AH195"/>
  <c r="AF195"/>
  <c r="A197"/>
  <c r="G198" i="12"/>
  <c r="D195"/>
  <c r="E195" i="6"/>
  <c r="X194" i="12"/>
  <c r="W194"/>
  <c r="C196" i="6"/>
  <c r="O196" i="5"/>
  <c r="T193" i="12"/>
  <c r="V193"/>
  <c r="U193"/>
  <c r="AF199" i="5"/>
  <c r="O196" i="12" l="1"/>
  <c r="Y196" s="1"/>
  <c r="AA196" i="5"/>
  <c r="C196" i="12"/>
  <c r="Y195"/>
  <c r="W195" s="1"/>
  <c r="T195" s="1"/>
  <c r="K197"/>
  <c r="M196"/>
  <c r="AM197" i="5"/>
  <c r="Z197"/>
  <c r="AB197" s="1"/>
  <c r="T192" i="12"/>
  <c r="V192"/>
  <c r="U192"/>
  <c r="AC197" i="5"/>
  <c r="I197" i="12"/>
  <c r="O197" s="1"/>
  <c r="AG199" i="5"/>
  <c r="S199"/>
  <c r="F199" i="12" s="1"/>
  <c r="N197" i="6"/>
  <c r="M197"/>
  <c r="BD196"/>
  <c r="AV196"/>
  <c r="BC196"/>
  <c r="AN196"/>
  <c r="AS196"/>
  <c r="AE196"/>
  <c r="AJ196"/>
  <c r="AM196"/>
  <c r="BF196"/>
  <c r="BG196"/>
  <c r="AU196"/>
  <c r="AR196"/>
  <c r="AO196"/>
  <c r="BB196"/>
  <c r="BA196"/>
  <c r="AF196"/>
  <c r="AQ196"/>
  <c r="AK196"/>
  <c r="AY196"/>
  <c r="BE196"/>
  <c r="AT196"/>
  <c r="AP196"/>
  <c r="AZ196"/>
  <c r="AX196"/>
  <c r="AD196"/>
  <c r="J198" i="12"/>
  <c r="L198"/>
  <c r="A198" i="6"/>
  <c r="E198" i="12"/>
  <c r="F198" i="6"/>
  <c r="AH196"/>
  <c r="AC196"/>
  <c r="G198"/>
  <c r="H198"/>
  <c r="T198" i="5" s="1"/>
  <c r="X198" s="1"/>
  <c r="Z198" s="1"/>
  <c r="AI196" i="6"/>
  <c r="R199" i="5"/>
  <c r="D199"/>
  <c r="B199" i="12" s="1"/>
  <c r="G199" i="5"/>
  <c r="E199"/>
  <c r="AD199"/>
  <c r="H199"/>
  <c r="W199"/>
  <c r="H199" i="12" s="1"/>
  <c r="B199" i="6"/>
  <c r="C200" i="5"/>
  <c r="A199" i="12"/>
  <c r="N199" i="5"/>
  <c r="D199" i="6" s="1"/>
  <c r="J199" i="5"/>
  <c r="AE199"/>
  <c r="K199"/>
  <c r="F199"/>
  <c r="B199"/>
  <c r="AB196" i="6"/>
  <c r="AA197" i="5"/>
  <c r="C197" i="6"/>
  <c r="O197" i="5"/>
  <c r="G199" i="12"/>
  <c r="D196"/>
  <c r="E196" i="6"/>
  <c r="AO197" i="12"/>
  <c r="V194"/>
  <c r="U194"/>
  <c r="T194"/>
  <c r="AF200" i="5"/>
  <c r="N196" i="12" l="1"/>
  <c r="C197"/>
  <c r="M197"/>
  <c r="N197" s="1"/>
  <c r="X195"/>
  <c r="V195"/>
  <c r="U195"/>
  <c r="I198"/>
  <c r="O198" s="1"/>
  <c r="L198" i="5"/>
  <c r="O198" s="1"/>
  <c r="AM198"/>
  <c r="AC198"/>
  <c r="S200"/>
  <c r="F200" i="12" s="1"/>
  <c r="AG200" i="5"/>
  <c r="L199" i="12"/>
  <c r="J199"/>
  <c r="G199" i="6"/>
  <c r="H199"/>
  <c r="T199" i="5" s="1"/>
  <c r="X199" s="1"/>
  <c r="Z199" s="1"/>
  <c r="A199" i="6"/>
  <c r="N199" s="1"/>
  <c r="K198" i="12"/>
  <c r="E200" i="5"/>
  <c r="J200"/>
  <c r="F200"/>
  <c r="W200"/>
  <c r="H200" i="12" s="1"/>
  <c r="AE200" i="5"/>
  <c r="B200"/>
  <c r="G200"/>
  <c r="R200"/>
  <c r="B200" i="6"/>
  <c r="D200" i="5"/>
  <c r="B200" i="12" s="1"/>
  <c r="H200" i="5"/>
  <c r="A200" i="12"/>
  <c r="AD200" i="5"/>
  <c r="C201"/>
  <c r="N200"/>
  <c r="D200" i="6" s="1"/>
  <c r="K200" i="5"/>
  <c r="F199" i="6"/>
  <c r="E199" i="12"/>
  <c r="N198" i="6"/>
  <c r="M198"/>
  <c r="AI198" s="1"/>
  <c r="AT197"/>
  <c r="AN197"/>
  <c r="AO197"/>
  <c r="BE197"/>
  <c r="AS197"/>
  <c r="AJ197"/>
  <c r="AG197"/>
  <c r="BG197"/>
  <c r="AI197"/>
  <c r="AZ197"/>
  <c r="AD197"/>
  <c r="AF197"/>
  <c r="BC197"/>
  <c r="AR197"/>
  <c r="AH197"/>
  <c r="AC197"/>
  <c r="BA197"/>
  <c r="AE197"/>
  <c r="AK197"/>
  <c r="AM197"/>
  <c r="AQ197"/>
  <c r="AU197"/>
  <c r="AP197"/>
  <c r="BF197"/>
  <c r="AB197"/>
  <c r="BD197"/>
  <c r="AX197"/>
  <c r="AY197"/>
  <c r="AV197"/>
  <c r="BB197"/>
  <c r="Y197" i="12"/>
  <c r="X197" s="1"/>
  <c r="D197"/>
  <c r="E197" i="6"/>
  <c r="C198"/>
  <c r="X196" i="12"/>
  <c r="W196"/>
  <c r="AB198" i="5"/>
  <c r="AA198"/>
  <c r="G200" i="12"/>
  <c r="AF201" i="5"/>
  <c r="M199" i="6" l="1"/>
  <c r="AS199" s="1"/>
  <c r="C198" i="12"/>
  <c r="I199"/>
  <c r="M199" s="1"/>
  <c r="L199" i="5"/>
  <c r="C199" i="6" s="1"/>
  <c r="AM199" i="5"/>
  <c r="AC199"/>
  <c r="AO198" i="12"/>
  <c r="Y198" s="1"/>
  <c r="W198" s="1"/>
  <c r="M198"/>
  <c r="N198" s="1"/>
  <c r="K199"/>
  <c r="A200" i="6"/>
  <c r="AG201" i="5"/>
  <c r="S201"/>
  <c r="F201" i="12" s="1"/>
  <c r="B201" i="6"/>
  <c r="AD201" i="5"/>
  <c r="B201"/>
  <c r="J201"/>
  <c r="N201"/>
  <c r="D201" i="6" s="1"/>
  <c r="AE201" i="5"/>
  <c r="A201" i="12"/>
  <c r="E201" i="5"/>
  <c r="C202"/>
  <c r="F201"/>
  <c r="G201"/>
  <c r="K201"/>
  <c r="R201"/>
  <c r="D201"/>
  <c r="B201" i="12" s="1"/>
  <c r="W201" i="5"/>
  <c r="H201" i="12" s="1"/>
  <c r="H201" i="5"/>
  <c r="AJ198" i="6"/>
  <c r="AH198"/>
  <c r="H200"/>
  <c r="T200" i="5" s="1"/>
  <c r="X200" s="1"/>
  <c r="AM200" s="1"/>
  <c r="G200" i="6"/>
  <c r="BB198"/>
  <c r="AY198"/>
  <c r="AS198"/>
  <c r="BD198"/>
  <c r="AF198"/>
  <c r="AN198"/>
  <c r="AP198"/>
  <c r="AZ198"/>
  <c r="AG198"/>
  <c r="AO198"/>
  <c r="BG198"/>
  <c r="AC198"/>
  <c r="AE198"/>
  <c r="BA198"/>
  <c r="AT198"/>
  <c r="AM198"/>
  <c r="AR198"/>
  <c r="AD198"/>
  <c r="AK198"/>
  <c r="BE198"/>
  <c r="AU198"/>
  <c r="AQ198"/>
  <c r="AX198"/>
  <c r="BC198"/>
  <c r="BF198"/>
  <c r="AB198"/>
  <c r="AV198"/>
  <c r="L200" i="12"/>
  <c r="J200"/>
  <c r="F200" i="6"/>
  <c r="E200" i="12"/>
  <c r="W197"/>
  <c r="V197" s="1"/>
  <c r="D198"/>
  <c r="E198" i="6"/>
  <c r="AB199" i="5"/>
  <c r="AA199"/>
  <c r="G201" i="12"/>
  <c r="T196"/>
  <c r="V196"/>
  <c r="U196"/>
  <c r="AF202" i="5"/>
  <c r="C199" i="12" l="1"/>
  <c r="AO199"/>
  <c r="AK199" i="6"/>
  <c r="AZ199"/>
  <c r="AH199"/>
  <c r="BG199"/>
  <c r="AE199"/>
  <c r="AJ199"/>
  <c r="AN199"/>
  <c r="AV199"/>
  <c r="AG199"/>
  <c r="BA199"/>
  <c r="AQ199"/>
  <c r="BB199"/>
  <c r="AP199"/>
  <c r="AU199"/>
  <c r="AR199"/>
  <c r="AO199"/>
  <c r="AY199"/>
  <c r="AB199"/>
  <c r="BD199"/>
  <c r="BC199"/>
  <c r="BE199"/>
  <c r="AC199"/>
  <c r="BF199"/>
  <c r="AD199"/>
  <c r="AF199"/>
  <c r="AX199"/>
  <c r="AI199"/>
  <c r="AT199"/>
  <c r="AM199"/>
  <c r="O199" i="12"/>
  <c r="O199" i="5"/>
  <c r="E199" i="6" s="1"/>
  <c r="L200" i="5"/>
  <c r="O200" s="1"/>
  <c r="Z200"/>
  <c r="AA200" s="1"/>
  <c r="AC200"/>
  <c r="I200" i="12"/>
  <c r="C200" s="1"/>
  <c r="N200" i="6"/>
  <c r="M200"/>
  <c r="S202" i="5"/>
  <c r="F202" i="12" s="1"/>
  <c r="AG202" i="5"/>
  <c r="L201" i="12"/>
  <c r="J201"/>
  <c r="K200"/>
  <c r="F201" i="6"/>
  <c r="E201" i="12"/>
  <c r="B202" i="6"/>
  <c r="D202" i="5"/>
  <c r="B202" i="12" s="1"/>
  <c r="C203" i="5"/>
  <c r="W202"/>
  <c r="H202" i="12" s="1"/>
  <c r="E202" i="5"/>
  <c r="R202"/>
  <c r="F202"/>
  <c r="J202"/>
  <c r="A202" i="12"/>
  <c r="AD202" i="5"/>
  <c r="N202"/>
  <c r="D202" i="6" s="1"/>
  <c r="G202" i="5"/>
  <c r="AE202"/>
  <c r="B202"/>
  <c r="H202"/>
  <c r="K202"/>
  <c r="G201" i="6"/>
  <c r="H201"/>
  <c r="A201"/>
  <c r="N201" s="1"/>
  <c r="T197" i="12"/>
  <c r="X198"/>
  <c r="U197"/>
  <c r="V198"/>
  <c r="U198"/>
  <c r="T198"/>
  <c r="G202"/>
  <c r="AF203" i="5"/>
  <c r="Y199" i="12" l="1"/>
  <c r="X199" s="1"/>
  <c r="AB200" i="5"/>
  <c r="N199" i="12"/>
  <c r="O200"/>
  <c r="M200"/>
  <c r="AO200"/>
  <c r="D199"/>
  <c r="C200" i="6"/>
  <c r="K201" i="12"/>
  <c r="AS200" i="6"/>
  <c r="AZ200"/>
  <c r="BA200"/>
  <c r="AM200"/>
  <c r="BG200"/>
  <c r="AN200"/>
  <c r="AF200"/>
  <c r="AI200"/>
  <c r="AQ200"/>
  <c r="AV200"/>
  <c r="AH200"/>
  <c r="AO200"/>
  <c r="BF200"/>
  <c r="AC200"/>
  <c r="AX200"/>
  <c r="AY200"/>
  <c r="AE200"/>
  <c r="AD200"/>
  <c r="AG200"/>
  <c r="AT200"/>
  <c r="AU200"/>
  <c r="BC200"/>
  <c r="BE200"/>
  <c r="AB200"/>
  <c r="AP200"/>
  <c r="AJ200"/>
  <c r="AK200"/>
  <c r="AR200"/>
  <c r="BD200"/>
  <c r="BB200"/>
  <c r="S203" i="5"/>
  <c r="F203" i="12" s="1"/>
  <c r="AG203" i="5"/>
  <c r="T201"/>
  <c r="X201" s="1"/>
  <c r="E202" i="12"/>
  <c r="F202" i="6"/>
  <c r="A202"/>
  <c r="N202" s="1"/>
  <c r="G202"/>
  <c r="H202"/>
  <c r="B203"/>
  <c r="G203" i="5"/>
  <c r="A203" i="12"/>
  <c r="N203" i="5"/>
  <c r="D203" i="6" s="1"/>
  <c r="AE203" i="5"/>
  <c r="H203"/>
  <c r="F203"/>
  <c r="R203"/>
  <c r="D203"/>
  <c r="B203" i="12" s="1"/>
  <c r="W203" i="5"/>
  <c r="H203" i="12" s="1"/>
  <c r="B203" i="5"/>
  <c r="AD203"/>
  <c r="J203"/>
  <c r="E203"/>
  <c r="K203"/>
  <c r="C204"/>
  <c r="M201" i="6"/>
  <c r="J202" i="12"/>
  <c r="L202"/>
  <c r="G203"/>
  <c r="D200"/>
  <c r="E200" i="6"/>
  <c r="AF204" i="5"/>
  <c r="W199" i="12" l="1"/>
  <c r="T199" s="1"/>
  <c r="Y200"/>
  <c r="W200" s="1"/>
  <c r="V200" s="1"/>
  <c r="N200"/>
  <c r="K202"/>
  <c r="M202" i="6"/>
  <c r="AN202" s="1"/>
  <c r="S204" i="5"/>
  <c r="F204" i="12" s="1"/>
  <c r="AG204" i="5"/>
  <c r="BA201" i="6"/>
  <c r="BG201"/>
  <c r="AV201"/>
  <c r="AP201"/>
  <c r="BD201"/>
  <c r="BC201"/>
  <c r="AO201"/>
  <c r="BB201"/>
  <c r="BF201"/>
  <c r="AU201"/>
  <c r="AZ201"/>
  <c r="AX201"/>
  <c r="AS201"/>
  <c r="AR201"/>
  <c r="AN201"/>
  <c r="BE201"/>
  <c r="AQ201"/>
  <c r="AT201"/>
  <c r="AY201"/>
  <c r="AM201"/>
  <c r="AB201"/>
  <c r="AJ201"/>
  <c r="AE201"/>
  <c r="AG201"/>
  <c r="AH201"/>
  <c r="J203" i="12"/>
  <c r="L203"/>
  <c r="T202" i="5"/>
  <c r="X202" s="1"/>
  <c r="L201"/>
  <c r="I201" i="12"/>
  <c r="AC201" i="5"/>
  <c r="Z201"/>
  <c r="AM201"/>
  <c r="AI201" i="6"/>
  <c r="AK201"/>
  <c r="A204" i="12"/>
  <c r="AD204" i="5"/>
  <c r="J204"/>
  <c r="R204"/>
  <c r="E204"/>
  <c r="W204"/>
  <c r="H204" i="12" s="1"/>
  <c r="N204" i="5"/>
  <c r="D204" i="6" s="1"/>
  <c r="F204" i="5"/>
  <c r="AE204"/>
  <c r="B204"/>
  <c r="H204"/>
  <c r="G204"/>
  <c r="D204"/>
  <c r="B204" i="12" s="1"/>
  <c r="K204" i="5"/>
  <c r="B204" i="6"/>
  <c r="C205" i="5"/>
  <c r="F203" i="6"/>
  <c r="E203" i="12"/>
  <c r="A203" i="6"/>
  <c r="N203" s="1"/>
  <c r="G203"/>
  <c r="H203"/>
  <c r="AD201"/>
  <c r="AF201"/>
  <c r="AC201"/>
  <c r="G204" i="12"/>
  <c r="AF205" i="5"/>
  <c r="V199" i="12" l="1"/>
  <c r="U199"/>
  <c r="T200"/>
  <c r="U200"/>
  <c r="X200"/>
  <c r="AV202" i="6"/>
  <c r="AP202"/>
  <c r="BB202"/>
  <c r="BC202"/>
  <c r="AU202"/>
  <c r="BD202"/>
  <c r="AY202"/>
  <c r="AX202"/>
  <c r="BE202"/>
  <c r="BF202"/>
  <c r="AZ202"/>
  <c r="BG202"/>
  <c r="AR202"/>
  <c r="AQ202"/>
  <c r="AO202"/>
  <c r="BA202"/>
  <c r="AM202"/>
  <c r="AT202"/>
  <c r="AS202"/>
  <c r="AJ202"/>
  <c r="AD202"/>
  <c r="AI202"/>
  <c r="AB202"/>
  <c r="AH202"/>
  <c r="AG202"/>
  <c r="AK202"/>
  <c r="AE202"/>
  <c r="AF202"/>
  <c r="AC202"/>
  <c r="K203" i="12"/>
  <c r="S205" i="5"/>
  <c r="F205" i="12" s="1"/>
  <c r="AG205" i="5"/>
  <c r="O201"/>
  <c r="C201" i="6"/>
  <c r="T203" i="5"/>
  <c r="X203" s="1"/>
  <c r="A204" i="6"/>
  <c r="N204" s="1"/>
  <c r="G204"/>
  <c r="H204"/>
  <c r="C201" i="12"/>
  <c r="AO201"/>
  <c r="M201"/>
  <c r="O201"/>
  <c r="AM202" i="5"/>
  <c r="I202" i="12"/>
  <c r="AC202" i="5"/>
  <c r="Z202"/>
  <c r="L202"/>
  <c r="B205" i="6"/>
  <c r="AD205" i="5"/>
  <c r="F205"/>
  <c r="H205"/>
  <c r="J205"/>
  <c r="A205" i="12"/>
  <c r="N205" i="5"/>
  <c r="D205" i="6" s="1"/>
  <c r="K205" i="5"/>
  <c r="C206"/>
  <c r="W205"/>
  <c r="H205" i="12" s="1"/>
  <c r="AE205" i="5"/>
  <c r="B205"/>
  <c r="D205"/>
  <c r="B205" i="12" s="1"/>
  <c r="G205" i="5"/>
  <c r="R205"/>
  <c r="E205"/>
  <c r="F204" i="6"/>
  <c r="E204" i="12"/>
  <c r="M203" i="6"/>
  <c r="AF203" s="1"/>
  <c r="J204" i="12"/>
  <c r="L204"/>
  <c r="AA201" i="5"/>
  <c r="AB201"/>
  <c r="G205" i="12"/>
  <c r="AF206" i="5"/>
  <c r="M204" i="6" l="1"/>
  <c r="AK204" s="1"/>
  <c r="N201" i="12"/>
  <c r="AG206" i="5"/>
  <c r="S206"/>
  <c r="F206" i="12" s="1"/>
  <c r="C202" i="6"/>
  <c r="O202" i="5"/>
  <c r="I203" i="12"/>
  <c r="AC203" i="5"/>
  <c r="Z203"/>
  <c r="AM203"/>
  <c r="L203"/>
  <c r="AJ203" i="6"/>
  <c r="AK203"/>
  <c r="AE206" i="5"/>
  <c r="B206"/>
  <c r="K206"/>
  <c r="H206"/>
  <c r="B206" i="6"/>
  <c r="D206" i="5"/>
  <c r="B206" i="12" s="1"/>
  <c r="N206" i="5"/>
  <c r="D206" i="6" s="1"/>
  <c r="J206" i="5"/>
  <c r="A206" i="12"/>
  <c r="AD206" i="5"/>
  <c r="R206"/>
  <c r="F206"/>
  <c r="E206"/>
  <c r="W206"/>
  <c r="H206" i="12" s="1"/>
  <c r="C207" i="5"/>
  <c r="G206"/>
  <c r="O202" i="12"/>
  <c r="AO202"/>
  <c r="M202"/>
  <c r="C202"/>
  <c r="K204"/>
  <c r="Y201"/>
  <c r="AE203" i="6"/>
  <c r="AI203"/>
  <c r="AC203"/>
  <c r="J205" i="12"/>
  <c r="L205"/>
  <c r="T204" i="5"/>
  <c r="X204" s="1"/>
  <c r="E201" i="6"/>
  <c r="D201" i="12"/>
  <c r="AG203" i="6"/>
  <c r="AD203"/>
  <c r="BC203"/>
  <c r="AY203"/>
  <c r="AO203"/>
  <c r="BA203"/>
  <c r="AQ203"/>
  <c r="AR203"/>
  <c r="AV203"/>
  <c r="BB203"/>
  <c r="BG203"/>
  <c r="AM203"/>
  <c r="AP203"/>
  <c r="BF203"/>
  <c r="AN203"/>
  <c r="AX203"/>
  <c r="AU203"/>
  <c r="AS203"/>
  <c r="AT203"/>
  <c r="AZ203"/>
  <c r="BE203"/>
  <c r="BD203"/>
  <c r="F205"/>
  <c r="E205" i="12"/>
  <c r="A205" i="6"/>
  <c r="N205" s="1"/>
  <c r="G205"/>
  <c r="H205"/>
  <c r="AA202" i="5"/>
  <c r="AB202"/>
  <c r="AB203" i="6"/>
  <c r="AH203"/>
  <c r="G206" i="12"/>
  <c r="AF207" i="5"/>
  <c r="K205" i="12" l="1"/>
  <c r="AQ204" i="6"/>
  <c r="BA204"/>
  <c r="AY204"/>
  <c r="AG204"/>
  <c r="AZ204"/>
  <c r="BG204"/>
  <c r="AN204"/>
  <c r="AP204"/>
  <c r="AV204"/>
  <c r="AS204"/>
  <c r="BE204"/>
  <c r="AR204"/>
  <c r="AU204"/>
  <c r="AE204"/>
  <c r="AT204"/>
  <c r="AO204"/>
  <c r="BC204"/>
  <c r="AM204"/>
  <c r="BF204"/>
  <c r="BB204"/>
  <c r="BD204"/>
  <c r="AX204"/>
  <c r="AB204"/>
  <c r="AJ204"/>
  <c r="AI204"/>
  <c r="AC204"/>
  <c r="AF204"/>
  <c r="AH204"/>
  <c r="AD204"/>
  <c r="M205"/>
  <c r="AS205" s="1"/>
  <c r="Y202" i="12"/>
  <c r="S207" i="5"/>
  <c r="F207" i="12" s="1"/>
  <c r="AG207" i="5"/>
  <c r="W201" i="12"/>
  <c r="X201"/>
  <c r="C203" i="6"/>
  <c r="O203" i="5"/>
  <c r="O203" i="12"/>
  <c r="AO203"/>
  <c r="C203"/>
  <c r="M203"/>
  <c r="C208" i="5"/>
  <c r="AD207"/>
  <c r="B207"/>
  <c r="E207"/>
  <c r="W207"/>
  <c r="H207" i="12" s="1"/>
  <c r="N207" i="5"/>
  <c r="D207" i="6" s="1"/>
  <c r="R207" i="5"/>
  <c r="F207"/>
  <c r="K207"/>
  <c r="G207"/>
  <c r="H207"/>
  <c r="J207"/>
  <c r="AE207"/>
  <c r="B207" i="6"/>
  <c r="A207" i="12"/>
  <c r="D207" i="5"/>
  <c r="B207" i="12" s="1"/>
  <c r="F206" i="6"/>
  <c r="E206" i="12"/>
  <c r="A206" i="6"/>
  <c r="N206" s="1"/>
  <c r="G206"/>
  <c r="H206"/>
  <c r="I204" i="12"/>
  <c r="AC204" i="5"/>
  <c r="Z204"/>
  <c r="L204"/>
  <c r="AM204"/>
  <c r="AA203"/>
  <c r="AB203"/>
  <c r="T205"/>
  <c r="X205" s="1"/>
  <c r="L206" i="12"/>
  <c r="J206"/>
  <c r="E202" i="6"/>
  <c r="D202" i="12"/>
  <c r="N202"/>
  <c r="G207"/>
  <c r="AF208" i="5"/>
  <c r="AI205" i="6" l="1"/>
  <c r="AK205"/>
  <c r="AE205"/>
  <c r="AJ205"/>
  <c r="AC205"/>
  <c r="AH205"/>
  <c r="AF205"/>
  <c r="AD205"/>
  <c r="AG205"/>
  <c r="AB205"/>
  <c r="AP205"/>
  <c r="BG205"/>
  <c r="AN205"/>
  <c r="AV205"/>
  <c r="AY205"/>
  <c r="BA205"/>
  <c r="W202" i="12"/>
  <c r="X202"/>
  <c r="BB205" i="6"/>
  <c r="AT205"/>
  <c r="BD205"/>
  <c r="BC205"/>
  <c r="AQ205"/>
  <c r="AM205"/>
  <c r="BF205"/>
  <c r="AR205"/>
  <c r="BE205"/>
  <c r="AZ205"/>
  <c r="AX205"/>
  <c r="AO205"/>
  <c r="AU205"/>
  <c r="M206"/>
  <c r="AP206" s="1"/>
  <c r="AG208" i="5"/>
  <c r="S208"/>
  <c r="F208" i="12" s="1"/>
  <c r="I205"/>
  <c r="AC205" i="5"/>
  <c r="Z205"/>
  <c r="AM205"/>
  <c r="L205"/>
  <c r="O204"/>
  <c r="C204" i="6"/>
  <c r="J207" i="12"/>
  <c r="L207"/>
  <c r="F207" i="6"/>
  <c r="E207" i="12"/>
  <c r="M204"/>
  <c r="AO204"/>
  <c r="C204"/>
  <c r="O204"/>
  <c r="E203" i="6"/>
  <c r="D203" i="12"/>
  <c r="E208" i="5"/>
  <c r="W208"/>
  <c r="H208" i="12" s="1"/>
  <c r="G208" i="5"/>
  <c r="J208"/>
  <c r="AE208"/>
  <c r="B208"/>
  <c r="H208"/>
  <c r="K208"/>
  <c r="B208" i="6"/>
  <c r="D208" i="5"/>
  <c r="B208" i="12" s="1"/>
  <c r="N208" i="5"/>
  <c r="D208" i="6" s="1"/>
  <c r="C209" i="5"/>
  <c r="A208" i="12"/>
  <c r="AD208" i="5"/>
  <c r="R208"/>
  <c r="F208"/>
  <c r="T201" i="12"/>
  <c r="V201"/>
  <c r="U201"/>
  <c r="N203"/>
  <c r="AB204" i="5"/>
  <c r="AA204"/>
  <c r="T206"/>
  <c r="X206" s="1"/>
  <c r="H207" i="6"/>
  <c r="T207" i="5" s="1"/>
  <c r="X207" s="1"/>
  <c r="I207" i="12" s="1"/>
  <c r="G207" i="6"/>
  <c r="K206" i="12"/>
  <c r="A207" i="6"/>
  <c r="Y203" i="12"/>
  <c r="G208"/>
  <c r="AF209" i="5"/>
  <c r="AD206" i="6" l="1"/>
  <c r="AH206"/>
  <c r="AE206"/>
  <c r="AI206"/>
  <c r="AG206"/>
  <c r="AF206"/>
  <c r="AJ206"/>
  <c r="AB206"/>
  <c r="AC206"/>
  <c r="AK206"/>
  <c r="T202" i="12"/>
  <c r="U202"/>
  <c r="V202"/>
  <c r="BB206" i="6"/>
  <c r="AY206"/>
  <c r="BG206"/>
  <c r="AZ206"/>
  <c r="BF206"/>
  <c r="AT206"/>
  <c r="AR206"/>
  <c r="AN206"/>
  <c r="AQ206"/>
  <c r="AM206"/>
  <c r="BA206"/>
  <c r="BE206"/>
  <c r="AO206"/>
  <c r="AU206"/>
  <c r="AX206"/>
  <c r="L207" i="5"/>
  <c r="C207" i="6" s="1"/>
  <c r="Y204" i="12"/>
  <c r="BC206" i="6"/>
  <c r="AV206"/>
  <c r="AS206"/>
  <c r="BD206"/>
  <c r="S209" i="5"/>
  <c r="F209" i="12" s="1"/>
  <c r="AG209" i="5"/>
  <c r="W203" i="12"/>
  <c r="X203"/>
  <c r="AB205" i="5"/>
  <c r="AA205"/>
  <c r="N204" i="12"/>
  <c r="Z206" i="5"/>
  <c r="AM206"/>
  <c r="L206"/>
  <c r="I206" i="12"/>
  <c r="AC206" i="5"/>
  <c r="F208" i="6"/>
  <c r="E208" i="12"/>
  <c r="G208" i="6"/>
  <c r="H208"/>
  <c r="T208" i="5" s="1"/>
  <c r="X208" s="1"/>
  <c r="L208" s="1"/>
  <c r="AM207"/>
  <c r="R209"/>
  <c r="G209"/>
  <c r="AE209"/>
  <c r="K209"/>
  <c r="W209"/>
  <c r="H209" i="12" s="1"/>
  <c r="B209" i="6"/>
  <c r="H209" i="5"/>
  <c r="D209"/>
  <c r="B209" i="12" s="1"/>
  <c r="AD209" i="5"/>
  <c r="F209"/>
  <c r="B209"/>
  <c r="A209" i="12"/>
  <c r="N209" i="5"/>
  <c r="D209" i="6" s="1"/>
  <c r="E209" i="5"/>
  <c r="C210"/>
  <c r="J209"/>
  <c r="O205"/>
  <c r="C205" i="6"/>
  <c r="AO205" i="12"/>
  <c r="O205"/>
  <c r="C205"/>
  <c r="M205"/>
  <c r="Z207" i="5"/>
  <c r="AA207" s="1"/>
  <c r="K207" i="12"/>
  <c r="N207" i="6"/>
  <c r="M207"/>
  <c r="AC207" s="1"/>
  <c r="L208" i="12"/>
  <c r="J208"/>
  <c r="E204" i="6"/>
  <c r="D204" i="12"/>
  <c r="AC207" i="5"/>
  <c r="A208" i="6"/>
  <c r="C207" i="12"/>
  <c r="M207"/>
  <c r="AO207"/>
  <c r="O207"/>
  <c r="G209"/>
  <c r="AF210" i="5"/>
  <c r="Y205" i="12" l="1"/>
  <c r="W205" s="1"/>
  <c r="T205" s="1"/>
  <c r="O207" i="5"/>
  <c r="D207" i="12" s="1"/>
  <c r="AC208" i="5"/>
  <c r="AM208"/>
  <c r="I208" i="12"/>
  <c r="M208" s="1"/>
  <c r="Z208" i="5"/>
  <c r="AB208" s="1"/>
  <c r="AB207"/>
  <c r="K208" i="12"/>
  <c r="AF207" i="6"/>
  <c r="AG207"/>
  <c r="AJ207"/>
  <c r="X204" i="12"/>
  <c r="W204"/>
  <c r="AG210" i="5"/>
  <c r="S210"/>
  <c r="F210" i="12" s="1"/>
  <c r="A209" i="6"/>
  <c r="N209" s="1"/>
  <c r="AE210" i="5"/>
  <c r="B210"/>
  <c r="J210"/>
  <c r="F210"/>
  <c r="B210" i="6"/>
  <c r="D210" i="5"/>
  <c r="B210" i="12" s="1"/>
  <c r="K210" i="5"/>
  <c r="G210"/>
  <c r="A210" i="12"/>
  <c r="AD210" i="5"/>
  <c r="C211"/>
  <c r="H210"/>
  <c r="E210"/>
  <c r="W210"/>
  <c r="H210" i="12" s="1"/>
  <c r="N210" i="5"/>
  <c r="D210" i="6" s="1"/>
  <c r="R210" i="5"/>
  <c r="C206" i="6"/>
  <c r="O206" i="5"/>
  <c r="M208" i="6"/>
  <c r="N208"/>
  <c r="AD207"/>
  <c r="BE207"/>
  <c r="BA207"/>
  <c r="AS207"/>
  <c r="AY207"/>
  <c r="AP207"/>
  <c r="AK207"/>
  <c r="AH207"/>
  <c r="AN207"/>
  <c r="BF207"/>
  <c r="AT207"/>
  <c r="AO207"/>
  <c r="AX207"/>
  <c r="BG207"/>
  <c r="BC207"/>
  <c r="AQ207"/>
  <c r="BD207"/>
  <c r="BB207"/>
  <c r="AR207"/>
  <c r="AM207"/>
  <c r="AV207"/>
  <c r="AB207"/>
  <c r="AU207"/>
  <c r="AZ207"/>
  <c r="J209" i="12"/>
  <c r="L209"/>
  <c r="C206"/>
  <c r="M206"/>
  <c r="O206"/>
  <c r="AO206"/>
  <c r="U203"/>
  <c r="T203"/>
  <c r="V203"/>
  <c r="AE207" i="6"/>
  <c r="N205" i="12"/>
  <c r="AI207" i="6"/>
  <c r="D205" i="12"/>
  <c r="E205" i="6"/>
  <c r="G209"/>
  <c r="H209"/>
  <c r="T209" i="5" s="1"/>
  <c r="X209" s="1"/>
  <c r="Z209" s="1"/>
  <c r="E209" i="12"/>
  <c r="F209" i="6"/>
  <c r="AB206" i="5"/>
  <c r="AA206"/>
  <c r="N207" i="12"/>
  <c r="E207" i="6"/>
  <c r="Y207" i="12"/>
  <c r="C208" i="6"/>
  <c r="O208" i="5"/>
  <c r="G210" i="12"/>
  <c r="AF211" i="5"/>
  <c r="X205" i="12" l="1"/>
  <c r="V205"/>
  <c r="U205"/>
  <c r="C208"/>
  <c r="O208"/>
  <c r="AO208"/>
  <c r="AA208" i="5"/>
  <c r="I209" i="12"/>
  <c r="AO209" s="1"/>
  <c r="AM209" i="5"/>
  <c r="AC209"/>
  <c r="T204" i="12"/>
  <c r="U204"/>
  <c r="V204"/>
  <c r="L209" i="5"/>
  <c r="C209" i="6" s="1"/>
  <c r="N206" i="12"/>
  <c r="A210" i="6"/>
  <c r="AG211" i="5"/>
  <c r="S211"/>
  <c r="F211" i="12" s="1"/>
  <c r="J210"/>
  <c r="L210"/>
  <c r="E206" i="6"/>
  <c r="D206" i="12"/>
  <c r="Y206"/>
  <c r="K209"/>
  <c r="AK208" i="6"/>
  <c r="AF208"/>
  <c r="AP208"/>
  <c r="AC208"/>
  <c r="AE208"/>
  <c r="BA208"/>
  <c r="AN208"/>
  <c r="BE208"/>
  <c r="AM208"/>
  <c r="BB208"/>
  <c r="BC208"/>
  <c r="AU208"/>
  <c r="AD208"/>
  <c r="AJ208"/>
  <c r="AI208"/>
  <c r="BG208"/>
  <c r="AZ208"/>
  <c r="BF208"/>
  <c r="BD208"/>
  <c r="AS208"/>
  <c r="AG208"/>
  <c r="AB208"/>
  <c r="AQ208"/>
  <c r="AO208"/>
  <c r="AY208"/>
  <c r="AX208"/>
  <c r="AT208"/>
  <c r="AH208"/>
  <c r="AR208"/>
  <c r="AV208"/>
  <c r="G210"/>
  <c r="H210"/>
  <c r="B211"/>
  <c r="H211" i="5"/>
  <c r="D211"/>
  <c r="B211" i="12" s="1"/>
  <c r="B211" i="5"/>
  <c r="A211" i="12"/>
  <c r="N211" i="5"/>
  <c r="D211" i="6" s="1"/>
  <c r="AD211" i="5"/>
  <c r="AE211"/>
  <c r="R211"/>
  <c r="W211"/>
  <c r="H211" i="12" s="1"/>
  <c r="C212" i="5"/>
  <c r="F211"/>
  <c r="E211"/>
  <c r="K211"/>
  <c r="G211"/>
  <c r="J211"/>
  <c r="M209" i="6"/>
  <c r="F210"/>
  <c r="E210" i="12"/>
  <c r="AB209" i="5"/>
  <c r="AA209"/>
  <c r="O209"/>
  <c r="D208" i="12"/>
  <c r="E208" i="6"/>
  <c r="X207" i="12"/>
  <c r="W207"/>
  <c r="G211"/>
  <c r="AF212" i="5"/>
  <c r="Y208" i="12" l="1"/>
  <c r="X208" s="1"/>
  <c r="N208"/>
  <c r="O209"/>
  <c r="Y209" s="1"/>
  <c r="K210"/>
  <c r="C209"/>
  <c r="M209"/>
  <c r="M210" i="6"/>
  <c r="AF210" s="1"/>
  <c r="N210"/>
  <c r="AG212" i="5"/>
  <c r="S212"/>
  <c r="F212" i="12" s="1"/>
  <c r="AU209" i="6"/>
  <c r="AG209"/>
  <c r="BC209"/>
  <c r="BF209"/>
  <c r="AT209"/>
  <c r="AI209"/>
  <c r="AO209"/>
  <c r="AK209"/>
  <c r="AN209"/>
  <c r="AB209"/>
  <c r="AH209"/>
  <c r="BE209"/>
  <c r="BD209"/>
  <c r="BA209"/>
  <c r="AP209"/>
  <c r="BB209"/>
  <c r="AX209"/>
  <c r="AM209"/>
  <c r="BG209"/>
  <c r="AJ209"/>
  <c r="AF209"/>
  <c r="AQ209"/>
  <c r="AY209"/>
  <c r="AS209"/>
  <c r="AE209"/>
  <c r="AZ209"/>
  <c r="AD209"/>
  <c r="AV209"/>
  <c r="AC209"/>
  <c r="AR209"/>
  <c r="F211"/>
  <c r="E211" i="12"/>
  <c r="L211"/>
  <c r="J211"/>
  <c r="A211" i="6"/>
  <c r="H211"/>
  <c r="T211" i="5" s="1"/>
  <c r="X211" s="1"/>
  <c r="L211" s="1"/>
  <c r="G211" i="6"/>
  <c r="W212" i="5"/>
  <c r="H212" i="12" s="1"/>
  <c r="AE212" i="5"/>
  <c r="B212"/>
  <c r="H212"/>
  <c r="R212"/>
  <c r="B212" i="6"/>
  <c r="D212" i="5"/>
  <c r="B212" i="12" s="1"/>
  <c r="N212" i="5"/>
  <c r="D212" i="6" s="1"/>
  <c r="K212" i="5"/>
  <c r="J212"/>
  <c r="A212" i="12"/>
  <c r="AD212" i="5"/>
  <c r="C213"/>
  <c r="F212"/>
  <c r="E212"/>
  <c r="G212"/>
  <c r="W206" i="12"/>
  <c r="X206"/>
  <c r="T210" i="5"/>
  <c r="X210" s="1"/>
  <c r="AC210" i="6"/>
  <c r="G212" i="12"/>
  <c r="D209"/>
  <c r="E209" i="6"/>
  <c r="V207" i="12"/>
  <c r="U207"/>
  <c r="T207"/>
  <c r="AF213" i="5"/>
  <c r="W208" i="12" l="1"/>
  <c r="U208" s="1"/>
  <c r="AH210" i="6"/>
  <c r="AB210"/>
  <c r="AI210"/>
  <c r="AE210"/>
  <c r="AJ210"/>
  <c r="AD210"/>
  <c r="AG210"/>
  <c r="AK210"/>
  <c r="N209" i="12"/>
  <c r="I211"/>
  <c r="AO211" s="1"/>
  <c r="AC211" i="5"/>
  <c r="K211" i="12"/>
  <c r="AM211" i="5"/>
  <c r="Z211"/>
  <c r="BG210" i="6"/>
  <c r="AN210"/>
  <c r="AS210"/>
  <c r="BC210"/>
  <c r="BB210"/>
  <c r="AZ210"/>
  <c r="AM210"/>
  <c r="AR210"/>
  <c r="AT210"/>
  <c r="AQ210"/>
  <c r="BF210"/>
  <c r="AO210"/>
  <c r="AV210"/>
  <c r="AU210"/>
  <c r="BE210"/>
  <c r="BD210"/>
  <c r="AY210"/>
  <c r="AX210"/>
  <c r="AP210"/>
  <c r="BA210"/>
  <c r="S213" i="5"/>
  <c r="F213" i="12" s="1"/>
  <c r="AG213" i="5"/>
  <c r="N211" i="6"/>
  <c r="M211"/>
  <c r="A212"/>
  <c r="L210" i="5"/>
  <c r="Z210"/>
  <c r="AM210"/>
  <c r="I210" i="12"/>
  <c r="AC210" i="5"/>
  <c r="J212" i="12"/>
  <c r="L212"/>
  <c r="H212" i="6"/>
  <c r="G212"/>
  <c r="V206" i="12"/>
  <c r="U206"/>
  <c r="T206"/>
  <c r="A213"/>
  <c r="N213" i="5"/>
  <c r="D213" i="6" s="1"/>
  <c r="AE213" i="5"/>
  <c r="E213"/>
  <c r="R213"/>
  <c r="F213"/>
  <c r="J213"/>
  <c r="W213"/>
  <c r="H213" i="12" s="1"/>
  <c r="K213" i="5"/>
  <c r="AD213"/>
  <c r="G213"/>
  <c r="C214"/>
  <c r="B213" i="6"/>
  <c r="H213" i="5"/>
  <c r="D213"/>
  <c r="B213" i="12" s="1"/>
  <c r="B213" i="5"/>
  <c r="F212" i="6"/>
  <c r="E212" i="12"/>
  <c r="G213"/>
  <c r="C211"/>
  <c r="M211"/>
  <c r="X209"/>
  <c r="W209"/>
  <c r="AB211" i="5"/>
  <c r="AA211"/>
  <c r="C211" i="6"/>
  <c r="O211" i="5"/>
  <c r="AF214"/>
  <c r="T208" i="12" l="1"/>
  <c r="V208"/>
  <c r="K212"/>
  <c r="O211"/>
  <c r="N211" s="1"/>
  <c r="A213" i="6"/>
  <c r="N213" s="1"/>
  <c r="AG214" i="5"/>
  <c r="S214"/>
  <c r="F214" i="12" s="1"/>
  <c r="A214"/>
  <c r="G214" i="5"/>
  <c r="W214"/>
  <c r="H214" i="12" s="1"/>
  <c r="D214" i="5"/>
  <c r="B214" i="12" s="1"/>
  <c r="H214" i="5"/>
  <c r="AD214"/>
  <c r="N214"/>
  <c r="D214" i="6" s="1"/>
  <c r="J214" i="5"/>
  <c r="B214"/>
  <c r="E214"/>
  <c r="R214"/>
  <c r="K214"/>
  <c r="B214" i="6"/>
  <c r="F214" i="5"/>
  <c r="AE214"/>
  <c r="C215"/>
  <c r="T212"/>
  <c r="X212" s="1"/>
  <c r="O210" i="12"/>
  <c r="M210"/>
  <c r="C210"/>
  <c r="AO210"/>
  <c r="M212" i="6"/>
  <c r="AJ212" s="1"/>
  <c r="N212"/>
  <c r="F213"/>
  <c r="E213" i="12"/>
  <c r="J213"/>
  <c r="L213"/>
  <c r="O210" i="5"/>
  <c r="C210" i="6"/>
  <c r="H213"/>
  <c r="T213" i="5" s="1"/>
  <c r="X213" s="1"/>
  <c r="I213" i="12" s="1"/>
  <c r="G213" i="6"/>
  <c r="AB210" i="5"/>
  <c r="AA210"/>
  <c r="AT211" i="6"/>
  <c r="AQ211"/>
  <c r="AR211"/>
  <c r="BF211"/>
  <c r="AC211"/>
  <c r="AJ211"/>
  <c r="AG211"/>
  <c r="AN211"/>
  <c r="BA211"/>
  <c r="AK211"/>
  <c r="AY211"/>
  <c r="AI211"/>
  <c r="BB211"/>
  <c r="AD211"/>
  <c r="BD211"/>
  <c r="AX211"/>
  <c r="AP211"/>
  <c r="AF211"/>
  <c r="BG211"/>
  <c r="BC211"/>
  <c r="AU211"/>
  <c r="AZ211"/>
  <c r="BE211"/>
  <c r="AS211"/>
  <c r="AO211"/>
  <c r="AE211"/>
  <c r="AV211"/>
  <c r="AH211"/>
  <c r="AB211"/>
  <c r="AM211"/>
  <c r="D211" i="12"/>
  <c r="E211" i="6"/>
  <c r="G214" i="12"/>
  <c r="V209"/>
  <c r="U209"/>
  <c r="T209"/>
  <c r="AF215" i="5"/>
  <c r="Y211" i="12" l="1"/>
  <c r="X211" s="1"/>
  <c r="AC213" i="5"/>
  <c r="L213"/>
  <c r="C213" i="6" s="1"/>
  <c r="M213"/>
  <c r="AI213" s="1"/>
  <c r="AM213" i="5"/>
  <c r="Z213"/>
  <c r="AA213" s="1"/>
  <c r="N210" i="12"/>
  <c r="Y210"/>
  <c r="S215" i="5"/>
  <c r="F215" i="12" s="1"/>
  <c r="AG215" i="5"/>
  <c r="F214" i="6"/>
  <c r="E214" i="12"/>
  <c r="H214" i="6"/>
  <c r="G214"/>
  <c r="AB212"/>
  <c r="AC212"/>
  <c r="AR212"/>
  <c r="AT212"/>
  <c r="BC212"/>
  <c r="AN212"/>
  <c r="AY212"/>
  <c r="BD212"/>
  <c r="AZ212"/>
  <c r="AV212"/>
  <c r="AS212"/>
  <c r="AO212"/>
  <c r="BG212"/>
  <c r="BB212"/>
  <c r="AX212"/>
  <c r="AP212"/>
  <c r="BF212"/>
  <c r="AQ212"/>
  <c r="BE212"/>
  <c r="BA212"/>
  <c r="AM212"/>
  <c r="AU212"/>
  <c r="J215" i="5"/>
  <c r="R215"/>
  <c r="H215"/>
  <c r="F215"/>
  <c r="AE215"/>
  <c r="C216"/>
  <c r="A215" i="12"/>
  <c r="D215" i="5"/>
  <c r="B215" i="12" s="1"/>
  <c r="W215" i="5"/>
  <c r="H215" i="12" s="1"/>
  <c r="AD215" i="5"/>
  <c r="N215"/>
  <c r="D215" i="6" s="1"/>
  <c r="B215" i="5"/>
  <c r="E215"/>
  <c r="B215" i="6"/>
  <c r="G215" i="5"/>
  <c r="K215"/>
  <c r="AG212" i="6"/>
  <c r="AE212"/>
  <c r="L212" i="5"/>
  <c r="I212" i="12"/>
  <c r="AC212" i="5"/>
  <c r="Z212"/>
  <c r="AM212"/>
  <c r="J214" i="12"/>
  <c r="L214"/>
  <c r="K213"/>
  <c r="AD212" i="6"/>
  <c r="AH212"/>
  <c r="A214"/>
  <c r="E210"/>
  <c r="D210" i="12"/>
  <c r="AI212" i="6"/>
  <c r="AK212"/>
  <c r="AF212"/>
  <c r="C213" i="12"/>
  <c r="AO213"/>
  <c r="M213"/>
  <c r="O213"/>
  <c r="G215"/>
  <c r="AF216" i="5"/>
  <c r="AB213" l="1"/>
  <c r="W211" i="12"/>
  <c r="T211" s="1"/>
  <c r="AK213" i="6"/>
  <c r="AE213"/>
  <c r="AH213"/>
  <c r="O213" i="5"/>
  <c r="E213" i="6" s="1"/>
  <c r="K214" i="12"/>
  <c r="AJ213" i="6"/>
  <c r="AC213"/>
  <c r="BD213"/>
  <c r="BB213"/>
  <c r="AM213"/>
  <c r="BE213"/>
  <c r="AV213"/>
  <c r="AN213"/>
  <c r="AX213"/>
  <c r="BA213"/>
  <c r="AD213"/>
  <c r="AO213"/>
  <c r="AF213"/>
  <c r="AZ213"/>
  <c r="AB213"/>
  <c r="AS213"/>
  <c r="AP213"/>
  <c r="BC213"/>
  <c r="AQ213"/>
  <c r="AT213"/>
  <c r="AR213"/>
  <c r="AY213"/>
  <c r="AU213"/>
  <c r="BG213"/>
  <c r="BF213"/>
  <c r="AG213"/>
  <c r="W210" i="12"/>
  <c r="X210"/>
  <c r="AG216" i="5"/>
  <c r="S216"/>
  <c r="F216" i="12" s="1"/>
  <c r="T214" i="5"/>
  <c r="X214" s="1"/>
  <c r="M214" i="6"/>
  <c r="AB214" s="1"/>
  <c r="N214"/>
  <c r="AA212" i="5"/>
  <c r="AB212"/>
  <c r="B216" i="6"/>
  <c r="C217" i="5"/>
  <c r="E216"/>
  <c r="G216"/>
  <c r="A216" i="12"/>
  <c r="R216" i="5"/>
  <c r="F216"/>
  <c r="AD216"/>
  <c r="B216"/>
  <c r="J216"/>
  <c r="D216"/>
  <c r="B216" i="12" s="1"/>
  <c r="W216" i="5"/>
  <c r="H216" i="12" s="1"/>
  <c r="H216" i="5"/>
  <c r="AE216"/>
  <c r="N216"/>
  <c r="D216" i="6" s="1"/>
  <c r="K216" i="5"/>
  <c r="F215" i="6"/>
  <c r="E215" i="12"/>
  <c r="A215" i="6"/>
  <c r="O212" i="5"/>
  <c r="C212" i="6"/>
  <c r="H215"/>
  <c r="T215" i="5" s="1"/>
  <c r="X215" s="1"/>
  <c r="I215" i="12" s="1"/>
  <c r="G215" i="6"/>
  <c r="L215" i="12"/>
  <c r="J215"/>
  <c r="O212"/>
  <c r="C212"/>
  <c r="AO212"/>
  <c r="M212"/>
  <c r="N213"/>
  <c r="Y213"/>
  <c r="D213"/>
  <c r="G216"/>
  <c r="AF217" i="5"/>
  <c r="V211" i="12" l="1"/>
  <c r="U211"/>
  <c r="Z215" i="5"/>
  <c r="AA215" s="1"/>
  <c r="AC215"/>
  <c r="L215"/>
  <c r="O215" s="1"/>
  <c r="AM215"/>
  <c r="T210" i="12"/>
  <c r="U210"/>
  <c r="V210"/>
  <c r="A216" i="6"/>
  <c r="AG217" i="5"/>
  <c r="S217"/>
  <c r="F217" i="12" s="1"/>
  <c r="E212" i="6"/>
  <c r="D212" i="12"/>
  <c r="Y212"/>
  <c r="K215"/>
  <c r="AF214" i="6"/>
  <c r="AJ214"/>
  <c r="J216" i="12"/>
  <c r="L216"/>
  <c r="AU214" i="6"/>
  <c r="AQ214"/>
  <c r="BD214"/>
  <c r="AX214"/>
  <c r="AN214"/>
  <c r="AM214"/>
  <c r="AY214"/>
  <c r="BG214"/>
  <c r="AO214"/>
  <c r="AS214"/>
  <c r="AT214"/>
  <c r="BE214"/>
  <c r="BA214"/>
  <c r="BB214"/>
  <c r="BC214"/>
  <c r="AV214"/>
  <c r="BF214"/>
  <c r="AP214"/>
  <c r="AR214"/>
  <c r="AZ214"/>
  <c r="AG214"/>
  <c r="AE214"/>
  <c r="E216" i="12"/>
  <c r="F216" i="6"/>
  <c r="AD217" i="5"/>
  <c r="C218"/>
  <c r="W217"/>
  <c r="H217" i="12" s="1"/>
  <c r="E217" i="5"/>
  <c r="B217" i="6"/>
  <c r="J217" i="5"/>
  <c r="K217"/>
  <c r="AE217"/>
  <c r="F217"/>
  <c r="N217"/>
  <c r="D217" i="6" s="1"/>
  <c r="G217" i="5"/>
  <c r="B217"/>
  <c r="A217" i="12"/>
  <c r="D217" i="5"/>
  <c r="B217" i="12" s="1"/>
  <c r="H217" i="5"/>
  <c r="R217"/>
  <c r="Z214"/>
  <c r="I214" i="12"/>
  <c r="L214" i="5"/>
  <c r="AM214"/>
  <c r="AC214"/>
  <c r="N212" i="12"/>
  <c r="AK214" i="6"/>
  <c r="AH214"/>
  <c r="N215"/>
  <c r="M215"/>
  <c r="AD215" s="1"/>
  <c r="G216"/>
  <c r="H216"/>
  <c r="AI214"/>
  <c r="AD214"/>
  <c r="AC214"/>
  <c r="G217" i="12"/>
  <c r="C215" i="6"/>
  <c r="C215" i="12"/>
  <c r="O215"/>
  <c r="AO215"/>
  <c r="M215"/>
  <c r="X213"/>
  <c r="W213"/>
  <c r="AF218" i="5"/>
  <c r="AB215" l="1"/>
  <c r="K216" i="12"/>
  <c r="AH215" i="6"/>
  <c r="AE215"/>
  <c r="AJ215"/>
  <c r="M216"/>
  <c r="AB216" s="1"/>
  <c r="N216"/>
  <c r="S218" i="5"/>
  <c r="F218" i="12" s="1"/>
  <c r="AG218" i="5"/>
  <c r="O214"/>
  <c r="C214" i="6"/>
  <c r="W212" i="12"/>
  <c r="X212"/>
  <c r="T216" i="5"/>
  <c r="X216" s="1"/>
  <c r="F217" i="6"/>
  <c r="E217" i="12"/>
  <c r="AB214" i="5"/>
  <c r="AA214"/>
  <c r="J217" i="12"/>
  <c r="L217"/>
  <c r="A217" i="6"/>
  <c r="AY215"/>
  <c r="AQ215"/>
  <c r="AN215"/>
  <c r="AP215"/>
  <c r="BB215"/>
  <c r="AV215"/>
  <c r="AI215"/>
  <c r="AS215"/>
  <c r="AZ215"/>
  <c r="AF215"/>
  <c r="AR215"/>
  <c r="BE215"/>
  <c r="AK215"/>
  <c r="BA215"/>
  <c r="AB215"/>
  <c r="BD215"/>
  <c r="AX215"/>
  <c r="AC215"/>
  <c r="BG215"/>
  <c r="AM215"/>
  <c r="AG215"/>
  <c r="AO215"/>
  <c r="AT215"/>
  <c r="AU215"/>
  <c r="BC215"/>
  <c r="BF215"/>
  <c r="M214" i="12"/>
  <c r="AO214"/>
  <c r="O214"/>
  <c r="C214"/>
  <c r="G217" i="6"/>
  <c r="H217"/>
  <c r="B218" i="5"/>
  <c r="W218"/>
  <c r="H218" i="12" s="1"/>
  <c r="AE218" i="5"/>
  <c r="G218"/>
  <c r="N218"/>
  <c r="D218" i="6" s="1"/>
  <c r="F218" i="5"/>
  <c r="R218"/>
  <c r="AD218"/>
  <c r="B218" i="6"/>
  <c r="D218" i="5"/>
  <c r="B218" i="12" s="1"/>
  <c r="C219" i="5"/>
  <c r="H218"/>
  <c r="E218"/>
  <c r="A218" i="12"/>
  <c r="J218" i="5"/>
  <c r="K218"/>
  <c r="Y215" i="12"/>
  <c r="W215" s="1"/>
  <c r="D215"/>
  <c r="E215" i="6"/>
  <c r="T213" i="12"/>
  <c r="V213"/>
  <c r="U213"/>
  <c r="N215"/>
  <c r="G218"/>
  <c r="AF219" i="5"/>
  <c r="AF216" i="6" l="1"/>
  <c r="AH216"/>
  <c r="K217" i="12"/>
  <c r="AC216" i="6"/>
  <c r="BC216"/>
  <c r="AS216"/>
  <c r="AV216"/>
  <c r="BG216"/>
  <c r="AU216"/>
  <c r="AP216"/>
  <c r="AR216"/>
  <c r="AZ216"/>
  <c r="BE216"/>
  <c r="AO216"/>
  <c r="AX216"/>
  <c r="BD216"/>
  <c r="BB216"/>
  <c r="AM216"/>
  <c r="AY216"/>
  <c r="BF216"/>
  <c r="BA216"/>
  <c r="AT216"/>
  <c r="AN216"/>
  <c r="AQ216"/>
  <c r="AK216"/>
  <c r="AD216"/>
  <c r="AI216"/>
  <c r="AE216"/>
  <c r="AJ216"/>
  <c r="AG216"/>
  <c r="S219" i="5"/>
  <c r="F219" i="12" s="1"/>
  <c r="AG219" i="5"/>
  <c r="A218" i="6"/>
  <c r="N218" s="1"/>
  <c r="G218"/>
  <c r="H218"/>
  <c r="V212" i="12"/>
  <c r="T212"/>
  <c r="U212"/>
  <c r="N214"/>
  <c r="J218"/>
  <c r="L218"/>
  <c r="J219" i="5"/>
  <c r="N219"/>
  <c r="D219" i="6" s="1"/>
  <c r="E219" i="5"/>
  <c r="W219"/>
  <c r="H219" i="12" s="1"/>
  <c r="R219" i="5"/>
  <c r="AE219"/>
  <c r="H219"/>
  <c r="B219" i="6"/>
  <c r="G219" i="5"/>
  <c r="A219" i="12"/>
  <c r="D219" i="5"/>
  <c r="B219" i="12" s="1"/>
  <c r="F219" i="5"/>
  <c r="AD219"/>
  <c r="C220"/>
  <c r="B219"/>
  <c r="K219"/>
  <c r="F218" i="6"/>
  <c r="E218" i="12"/>
  <c r="AM216" i="5"/>
  <c r="I216" i="12"/>
  <c r="AC216" i="5"/>
  <c r="Z216"/>
  <c r="L216"/>
  <c r="D214" i="12"/>
  <c r="E214" i="6"/>
  <c r="T217" i="5"/>
  <c r="X217" s="1"/>
  <c r="M217" i="6"/>
  <c r="AF217" s="1"/>
  <c r="N217"/>
  <c r="Y214" i="12"/>
  <c r="X215"/>
  <c r="V215"/>
  <c r="U215"/>
  <c r="T215"/>
  <c r="G219"/>
  <c r="AF220" i="5"/>
  <c r="K218" i="12" l="1"/>
  <c r="M218" i="6"/>
  <c r="BE218" s="1"/>
  <c r="S220" i="5"/>
  <c r="F220" i="12" s="1"/>
  <c r="AG220" i="5"/>
  <c r="AO216" i="12"/>
  <c r="M216"/>
  <c r="O216"/>
  <c r="C216"/>
  <c r="AE217" i="6"/>
  <c r="AK217"/>
  <c r="AQ217"/>
  <c r="AY217"/>
  <c r="BC217"/>
  <c r="BB217"/>
  <c r="BG217"/>
  <c r="AV217"/>
  <c r="BF217"/>
  <c r="BE217"/>
  <c r="AS217"/>
  <c r="AO217"/>
  <c r="AP217"/>
  <c r="AZ217"/>
  <c r="BD217"/>
  <c r="AN217"/>
  <c r="BA217"/>
  <c r="AR217"/>
  <c r="AT217"/>
  <c r="AU217"/>
  <c r="AM217"/>
  <c r="AX217"/>
  <c r="E219" i="12"/>
  <c r="F219" i="6"/>
  <c r="AC217"/>
  <c r="AJ217"/>
  <c r="AM217" i="5"/>
  <c r="L217"/>
  <c r="I217" i="12"/>
  <c r="AC217" i="5"/>
  <c r="Z217"/>
  <c r="AA216"/>
  <c r="AB216"/>
  <c r="R220"/>
  <c r="F220"/>
  <c r="K220"/>
  <c r="E220"/>
  <c r="H220"/>
  <c r="AE220"/>
  <c r="B220"/>
  <c r="G220"/>
  <c r="W220"/>
  <c r="H220" i="12" s="1"/>
  <c r="AD220" i="5"/>
  <c r="C221"/>
  <c r="A220" i="12"/>
  <c r="N220" i="5"/>
  <c r="D220" i="6" s="1"/>
  <c r="D220" i="5"/>
  <c r="B220" i="12" s="1"/>
  <c r="J220" i="5"/>
  <c r="B220" i="6"/>
  <c r="L219" i="12"/>
  <c r="J219"/>
  <c r="A219" i="6"/>
  <c r="N219" s="1"/>
  <c r="H219"/>
  <c r="G219"/>
  <c r="T218" i="5"/>
  <c r="X218" s="1"/>
  <c r="AH217" i="6"/>
  <c r="AB217"/>
  <c r="W214" i="12"/>
  <c r="X214"/>
  <c r="C216" i="6"/>
  <c r="O216" i="5"/>
  <c r="AI217" i="6"/>
  <c r="AG217"/>
  <c r="AD217"/>
  <c r="G220" i="12"/>
  <c r="AF221" i="5"/>
  <c r="M219" i="6" l="1"/>
  <c r="AG219" s="1"/>
  <c r="AM218"/>
  <c r="AC218"/>
  <c r="AF218"/>
  <c r="AD218"/>
  <c r="AG218"/>
  <c r="AK218"/>
  <c r="BD218"/>
  <c r="AH218"/>
  <c r="AJ218"/>
  <c r="AE218"/>
  <c r="AI218"/>
  <c r="AB218"/>
  <c r="AZ218"/>
  <c r="BB218"/>
  <c r="AN218"/>
  <c r="AU218"/>
  <c r="AY218"/>
  <c r="BG218"/>
  <c r="BF218"/>
  <c r="BC218"/>
  <c r="K219" i="12"/>
  <c r="AT218" i="6"/>
  <c r="AX218"/>
  <c r="AR218"/>
  <c r="AQ218"/>
  <c r="AV218"/>
  <c r="BA218"/>
  <c r="AS218"/>
  <c r="AP218"/>
  <c r="AO218"/>
  <c r="N216" i="12"/>
  <c r="AG221" i="5"/>
  <c r="S221"/>
  <c r="F221" i="12" s="1"/>
  <c r="AA217" i="5"/>
  <c r="AB217"/>
  <c r="V214" i="12"/>
  <c r="T214"/>
  <c r="U214"/>
  <c r="J221" i="5"/>
  <c r="C222"/>
  <c r="W221"/>
  <c r="H221" i="12" s="1"/>
  <c r="E221" i="5"/>
  <c r="B221" i="6"/>
  <c r="H221" i="5"/>
  <c r="AE221"/>
  <c r="K221"/>
  <c r="A221" i="12"/>
  <c r="D221" i="5"/>
  <c r="B221" i="12" s="1"/>
  <c r="F221" i="5"/>
  <c r="N221"/>
  <c r="D221" i="6" s="1"/>
  <c r="AD221" i="5"/>
  <c r="G221"/>
  <c r="R221"/>
  <c r="B221"/>
  <c r="O217"/>
  <c r="C217" i="6"/>
  <c r="D216" i="12"/>
  <c r="E216" i="6"/>
  <c r="I218" i="12"/>
  <c r="AC218" i="5"/>
  <c r="Z218"/>
  <c r="L218"/>
  <c r="AM218"/>
  <c r="T219"/>
  <c r="X219" s="1"/>
  <c r="L220" i="12"/>
  <c r="J220"/>
  <c r="AO217"/>
  <c r="O217"/>
  <c r="M217"/>
  <c r="C217"/>
  <c r="A220" i="6"/>
  <c r="Y216" i="12"/>
  <c r="H220" i="6"/>
  <c r="T220" i="5" s="1"/>
  <c r="X220" s="1"/>
  <c r="L220" s="1"/>
  <c r="G220" i="6"/>
  <c r="E220" i="12"/>
  <c r="F220" i="6"/>
  <c r="G221" i="12"/>
  <c r="AF222" i="5"/>
  <c r="AI219" i="6" l="1"/>
  <c r="AK219"/>
  <c r="AP219"/>
  <c r="BA219"/>
  <c r="AU219"/>
  <c r="AR219"/>
  <c r="BF219"/>
  <c r="BE219"/>
  <c r="BD219"/>
  <c r="BC219"/>
  <c r="BG219"/>
  <c r="AM219"/>
  <c r="AO219"/>
  <c r="AZ219"/>
  <c r="AV219"/>
  <c r="BB219"/>
  <c r="AX219"/>
  <c r="AN219"/>
  <c r="AJ219"/>
  <c r="AQ219"/>
  <c r="AY219"/>
  <c r="AS219"/>
  <c r="AD219"/>
  <c r="AF219"/>
  <c r="AB219"/>
  <c r="AH219"/>
  <c r="AC219"/>
  <c r="AE219"/>
  <c r="AT219"/>
  <c r="Y217" i="12"/>
  <c r="AM220" i="5"/>
  <c r="Z220"/>
  <c r="AA220" s="1"/>
  <c r="AC220"/>
  <c r="I220" i="12"/>
  <c r="M220" s="1"/>
  <c r="N217"/>
  <c r="S222" i="5"/>
  <c r="F222" i="12" s="1"/>
  <c r="AG222" i="5"/>
  <c r="Z219"/>
  <c r="AC219"/>
  <c r="AM219"/>
  <c r="L219"/>
  <c r="I219" i="12"/>
  <c r="A222"/>
  <c r="D222" i="5"/>
  <c r="B222" i="12" s="1"/>
  <c r="H222" i="5"/>
  <c r="J222"/>
  <c r="N222"/>
  <c r="D222" i="6" s="1"/>
  <c r="AD222" i="5"/>
  <c r="E222"/>
  <c r="C223"/>
  <c r="B222"/>
  <c r="R222"/>
  <c r="F222"/>
  <c r="K222"/>
  <c r="B222" i="6"/>
  <c r="W222" i="5"/>
  <c r="H222" i="12" s="1"/>
  <c r="G222" i="5"/>
  <c r="AE222"/>
  <c r="N220" i="6"/>
  <c r="M220"/>
  <c r="AB218" i="5"/>
  <c r="AA218"/>
  <c r="F221" i="6"/>
  <c r="E221" i="12"/>
  <c r="W216"/>
  <c r="X216"/>
  <c r="O218" i="5"/>
  <c r="C218" i="6"/>
  <c r="G221"/>
  <c r="H221"/>
  <c r="T221" i="5" s="1"/>
  <c r="X221" s="1"/>
  <c r="L221" s="1"/>
  <c r="C218" i="12"/>
  <c r="AO218"/>
  <c r="M218"/>
  <c r="O218"/>
  <c r="E217" i="6"/>
  <c r="D217" i="12"/>
  <c r="J221"/>
  <c r="L221"/>
  <c r="K220"/>
  <c r="A221" i="6"/>
  <c r="G222" i="12"/>
  <c r="C220" i="6"/>
  <c r="O220" i="5"/>
  <c r="AB220"/>
  <c r="AF223"/>
  <c r="C220" i="12" l="1"/>
  <c r="AO220"/>
  <c r="O220"/>
  <c r="N220" s="1"/>
  <c r="W217"/>
  <c r="X217"/>
  <c r="I221"/>
  <c r="AO221" s="1"/>
  <c r="AC221" i="5"/>
  <c r="AM221"/>
  <c r="Z221"/>
  <c r="AB221" s="1"/>
  <c r="S223"/>
  <c r="F223" i="12" s="1"/>
  <c r="AG223" i="5"/>
  <c r="AH220" i="6"/>
  <c r="AC220"/>
  <c r="BF220"/>
  <c r="AQ220"/>
  <c r="AM220"/>
  <c r="BD220"/>
  <c r="AI220"/>
  <c r="AP220"/>
  <c r="AS220"/>
  <c r="BE220"/>
  <c r="BG220"/>
  <c r="BA220"/>
  <c r="AZ220"/>
  <c r="AR220"/>
  <c r="AG220"/>
  <c r="AX220"/>
  <c r="AB220"/>
  <c r="AN220"/>
  <c r="BC220"/>
  <c r="AK220"/>
  <c r="AJ220"/>
  <c r="AV220"/>
  <c r="AY220"/>
  <c r="AU220"/>
  <c r="AD220"/>
  <c r="AO220"/>
  <c r="BB220"/>
  <c r="AE220"/>
  <c r="AT220"/>
  <c r="F222"/>
  <c r="E222" i="12"/>
  <c r="N221" i="6"/>
  <c r="M221"/>
  <c r="T216" i="12"/>
  <c r="U216"/>
  <c r="V216"/>
  <c r="O219" i="5"/>
  <c r="C219" i="6"/>
  <c r="Y218" i="12"/>
  <c r="K223" i="5"/>
  <c r="F223"/>
  <c r="N223"/>
  <c r="D223" i="6" s="1"/>
  <c r="AE223" i="5"/>
  <c r="G223"/>
  <c r="J223"/>
  <c r="R223"/>
  <c r="C224"/>
  <c r="W223"/>
  <c r="H223" i="12" s="1"/>
  <c r="B223" i="6"/>
  <c r="D223" i="5"/>
  <c r="B223" i="12" s="1"/>
  <c r="H223" i="5"/>
  <c r="B223"/>
  <c r="A223" i="12"/>
  <c r="AD223" i="5"/>
  <c r="E223"/>
  <c r="O219" i="12"/>
  <c r="AO219"/>
  <c r="M219"/>
  <c r="C219"/>
  <c r="AB219" i="5"/>
  <c r="AA219"/>
  <c r="E218" i="6"/>
  <c r="D218" i="12"/>
  <c r="G222" i="6"/>
  <c r="H222"/>
  <c r="L222" i="12"/>
  <c r="J222"/>
  <c r="K221"/>
  <c r="N218"/>
  <c r="AF220" i="6"/>
  <c r="A222"/>
  <c r="D220" i="12"/>
  <c r="E220" i="6"/>
  <c r="C221"/>
  <c r="O221" i="5"/>
  <c r="G223" i="12"/>
  <c r="AF224" i="5"/>
  <c r="C221" i="12" l="1"/>
  <c r="M221"/>
  <c r="Y220"/>
  <c r="X220" s="1"/>
  <c r="AA221" i="5"/>
  <c r="O221" i="12"/>
  <c r="Y221" s="1"/>
  <c r="U217"/>
  <c r="T217"/>
  <c r="V217"/>
  <c r="N219"/>
  <c r="S224" i="5"/>
  <c r="F224" i="12" s="1"/>
  <c r="AG224" i="5"/>
  <c r="M222" i="6"/>
  <c r="AG222" s="1"/>
  <c r="N222"/>
  <c r="B224"/>
  <c r="J224" i="5"/>
  <c r="F224"/>
  <c r="K224"/>
  <c r="A224" i="12"/>
  <c r="R224" i="5"/>
  <c r="G224"/>
  <c r="N224"/>
  <c r="D224" i="6" s="1"/>
  <c r="C225" i="5"/>
  <c r="W224"/>
  <c r="H224" i="12" s="1"/>
  <c r="H224" i="5"/>
  <c r="D224"/>
  <c r="B224" i="12" s="1"/>
  <c r="AD224" i="5"/>
  <c r="B224"/>
  <c r="E224"/>
  <c r="AE224"/>
  <c r="X218" i="12"/>
  <c r="W218"/>
  <c r="T222" i="5"/>
  <c r="X222" s="1"/>
  <c r="L223" i="12"/>
  <c r="J223"/>
  <c r="E219" i="6"/>
  <c r="D219" i="12"/>
  <c r="AJ221" i="6"/>
  <c r="BB221"/>
  <c r="AZ221"/>
  <c r="AM221"/>
  <c r="BE221"/>
  <c r="BF221"/>
  <c r="AG221"/>
  <c r="AI221"/>
  <c r="AR221"/>
  <c r="AX221"/>
  <c r="BC221"/>
  <c r="AE221"/>
  <c r="AN221"/>
  <c r="BG221"/>
  <c r="AB221"/>
  <c r="AV221"/>
  <c r="AH221"/>
  <c r="AK221"/>
  <c r="AS221"/>
  <c r="AO221"/>
  <c r="AQ221"/>
  <c r="AF221"/>
  <c r="AY221"/>
  <c r="AU221"/>
  <c r="BA221"/>
  <c r="AT221"/>
  <c r="BD221"/>
  <c r="AC221"/>
  <c r="AD221"/>
  <c r="AP221"/>
  <c r="Y219" i="12"/>
  <c r="A223" i="6"/>
  <c r="F223"/>
  <c r="E223" i="12"/>
  <c r="G223" i="6"/>
  <c r="H223"/>
  <c r="T223" i="5" s="1"/>
  <c r="X223" s="1"/>
  <c r="Z223" s="1"/>
  <c r="K222" i="12"/>
  <c r="G224"/>
  <c r="D221"/>
  <c r="E221" i="6"/>
  <c r="AF225" i="5"/>
  <c r="W220" i="12" l="1"/>
  <c r="U220" s="1"/>
  <c r="N221"/>
  <c r="AF222" i="6"/>
  <c r="AK222"/>
  <c r="AB222"/>
  <c r="AD222"/>
  <c r="AH222"/>
  <c r="AJ222"/>
  <c r="AE222"/>
  <c r="AC222"/>
  <c r="K223" i="12"/>
  <c r="AI222" i="6"/>
  <c r="AM223" i="5"/>
  <c r="AC223"/>
  <c r="I223" i="12"/>
  <c r="C223" s="1"/>
  <c r="L223" i="5"/>
  <c r="O223" s="1"/>
  <c r="S225"/>
  <c r="F225" i="12" s="1"/>
  <c r="AG225" i="5"/>
  <c r="N223" i="6"/>
  <c r="M223"/>
  <c r="AB223" s="1"/>
  <c r="J225" i="5"/>
  <c r="D225"/>
  <c r="B225" i="12" s="1"/>
  <c r="E225" i="5"/>
  <c r="H225"/>
  <c r="B225" i="6"/>
  <c r="AD225" i="5"/>
  <c r="K225"/>
  <c r="W225"/>
  <c r="H225" i="12" s="1"/>
  <c r="A225"/>
  <c r="AE225" i="5"/>
  <c r="N225"/>
  <c r="D225" i="6" s="1"/>
  <c r="B225" i="5"/>
  <c r="F225"/>
  <c r="R225"/>
  <c r="C226"/>
  <c r="G225"/>
  <c r="L224" i="12"/>
  <c r="J224"/>
  <c r="A224" i="6"/>
  <c r="U218" i="12"/>
  <c r="T218"/>
  <c r="V218"/>
  <c r="E224"/>
  <c r="F224" i="6"/>
  <c r="L222" i="5"/>
  <c r="I222" i="12"/>
  <c r="AC222" i="5"/>
  <c r="Z222"/>
  <c r="AM222"/>
  <c r="BF222" i="6"/>
  <c r="BC222"/>
  <c r="AQ222"/>
  <c r="BE222"/>
  <c r="AO222"/>
  <c r="BG222"/>
  <c r="AR222"/>
  <c r="AN222"/>
  <c r="AX222"/>
  <c r="AP222"/>
  <c r="AS222"/>
  <c r="AU222"/>
  <c r="BB222"/>
  <c r="AM222"/>
  <c r="BD222"/>
  <c r="BA222"/>
  <c r="AY222"/>
  <c r="AV222"/>
  <c r="AT222"/>
  <c r="AZ222"/>
  <c r="W219" i="12"/>
  <c r="X219"/>
  <c r="G224" i="6"/>
  <c r="H224"/>
  <c r="G225" i="12"/>
  <c r="X221"/>
  <c r="W221"/>
  <c r="AB223" i="5"/>
  <c r="AA223"/>
  <c r="AF226"/>
  <c r="AO223" i="12" l="1"/>
  <c r="O223"/>
  <c r="M223"/>
  <c r="C223" i="6"/>
  <c r="T220" i="12"/>
  <c r="V220"/>
  <c r="AF223" i="6"/>
  <c r="AE223"/>
  <c r="AD223"/>
  <c r="AG223"/>
  <c r="AJ223"/>
  <c r="AK223"/>
  <c r="AC223"/>
  <c r="K224" i="12"/>
  <c r="AG226" i="5"/>
  <c r="S226"/>
  <c r="F226" i="12" s="1"/>
  <c r="J225"/>
  <c r="L225"/>
  <c r="A225" i="6"/>
  <c r="T224" i="5"/>
  <c r="X224" s="1"/>
  <c r="AA222"/>
  <c r="AB222"/>
  <c r="F225" i="6"/>
  <c r="E225" i="12"/>
  <c r="V219"/>
  <c r="T219"/>
  <c r="U219"/>
  <c r="O222" i="5"/>
  <c r="C222" i="6"/>
  <c r="M224"/>
  <c r="AG224" s="1"/>
  <c r="N224"/>
  <c r="R226" i="5"/>
  <c r="D226"/>
  <c r="B226" i="12" s="1"/>
  <c r="E226" i="5"/>
  <c r="F226"/>
  <c r="B226"/>
  <c r="G226"/>
  <c r="B226" i="6"/>
  <c r="J226" i="5"/>
  <c r="AD226"/>
  <c r="W226"/>
  <c r="H226" i="12" s="1"/>
  <c r="A226"/>
  <c r="K226" i="5"/>
  <c r="AE226"/>
  <c r="C227"/>
  <c r="H226"/>
  <c r="N226"/>
  <c r="D226" i="6" s="1"/>
  <c r="H225"/>
  <c r="G225"/>
  <c r="C222" i="12"/>
  <c r="M222"/>
  <c r="O222"/>
  <c r="AO222"/>
  <c r="AT223" i="6"/>
  <c r="BA223"/>
  <c r="AZ223"/>
  <c r="AP223"/>
  <c r="AN223"/>
  <c r="AQ223"/>
  <c r="BG223"/>
  <c r="AR223"/>
  <c r="BD223"/>
  <c r="AX223"/>
  <c r="BB223"/>
  <c r="AO223"/>
  <c r="AS223"/>
  <c r="BF223"/>
  <c r="BE223"/>
  <c r="BC223"/>
  <c r="AV223"/>
  <c r="AI223"/>
  <c r="AH223"/>
  <c r="AM223"/>
  <c r="AU223"/>
  <c r="AY223"/>
  <c r="T221" i="12"/>
  <c r="V221"/>
  <c r="U221"/>
  <c r="N223"/>
  <c r="G226"/>
  <c r="D223"/>
  <c r="E223" i="6"/>
  <c r="AF227" i="5"/>
  <c r="Y223" i="12" l="1"/>
  <c r="W223" s="1"/>
  <c r="N222"/>
  <c r="K225"/>
  <c r="Y222"/>
  <c r="A226" i="6"/>
  <c r="S227" i="5"/>
  <c r="F227" i="12" s="1"/>
  <c r="AG227" i="5"/>
  <c r="F227"/>
  <c r="D227"/>
  <c r="B227" i="12" s="1"/>
  <c r="H227" i="5"/>
  <c r="G227"/>
  <c r="K227"/>
  <c r="J227"/>
  <c r="AD227"/>
  <c r="R227"/>
  <c r="B227" i="6"/>
  <c r="E227" i="5"/>
  <c r="N227"/>
  <c r="D227" i="6" s="1"/>
  <c r="W227" i="5"/>
  <c r="H227" i="12" s="1"/>
  <c r="A227"/>
  <c r="AE227" i="5"/>
  <c r="B227"/>
  <c r="C228"/>
  <c r="M225" i="6"/>
  <c r="AJ225" s="1"/>
  <c r="N225"/>
  <c r="AE224"/>
  <c r="L226" i="12"/>
  <c r="J226"/>
  <c r="AP224" i="6"/>
  <c r="AQ224"/>
  <c r="BA224"/>
  <c r="BG224"/>
  <c r="BF224"/>
  <c r="AT224"/>
  <c r="AV224"/>
  <c r="BC224"/>
  <c r="AM224"/>
  <c r="AS224"/>
  <c r="AZ224"/>
  <c r="AU224"/>
  <c r="BB224"/>
  <c r="BE224"/>
  <c r="AX224"/>
  <c r="AY224"/>
  <c r="AR224"/>
  <c r="BD224"/>
  <c r="AN224"/>
  <c r="AO224"/>
  <c r="L224" i="5"/>
  <c r="AM224"/>
  <c r="I224" i="12"/>
  <c r="AC224" i="5"/>
  <c r="Z224"/>
  <c r="AK224" i="6"/>
  <c r="AD224"/>
  <c r="G226"/>
  <c r="H226"/>
  <c r="AB224"/>
  <c r="AH224"/>
  <c r="AI224"/>
  <c r="T225" i="5"/>
  <c r="X225" s="1"/>
  <c r="E226" i="12"/>
  <c r="F226" i="6"/>
  <c r="E222"/>
  <c r="D222" i="12"/>
  <c r="AF224" i="6"/>
  <c r="AJ224"/>
  <c r="AC224"/>
  <c r="G227" i="12"/>
  <c r="AF228" i="5"/>
  <c r="X223" i="12" l="1"/>
  <c r="AH225" i="6"/>
  <c r="AE225"/>
  <c r="AG225"/>
  <c r="AB225"/>
  <c r="AD225"/>
  <c r="AI225"/>
  <c r="AK225"/>
  <c r="AF225"/>
  <c r="AC225"/>
  <c r="K226" i="12"/>
  <c r="W222"/>
  <c r="X222"/>
  <c r="M226" i="6"/>
  <c r="AB226" s="1"/>
  <c r="N226"/>
  <c r="AG228" i="5"/>
  <c r="S228"/>
  <c r="F228" i="12" s="1"/>
  <c r="H227" i="6"/>
  <c r="T227" i="5" s="1"/>
  <c r="X227" s="1"/>
  <c r="AM227" s="1"/>
  <c r="G227" i="6"/>
  <c r="I225" i="12"/>
  <c r="AC225" i="5"/>
  <c r="Z225"/>
  <c r="L225"/>
  <c r="AM225"/>
  <c r="C224" i="12"/>
  <c r="M224"/>
  <c r="AO224"/>
  <c r="O224"/>
  <c r="A228"/>
  <c r="H228" i="5"/>
  <c r="AD228"/>
  <c r="N228"/>
  <c r="D228" i="6" s="1"/>
  <c r="B228" i="5"/>
  <c r="D228"/>
  <c r="B228" i="12" s="1"/>
  <c r="R228" i="5"/>
  <c r="AE228"/>
  <c r="W228"/>
  <c r="H228" i="12" s="1"/>
  <c r="C229" i="5"/>
  <c r="F228"/>
  <c r="E228"/>
  <c r="B228" i="6"/>
  <c r="G228" i="5"/>
  <c r="J228"/>
  <c r="K228"/>
  <c r="E227" i="12"/>
  <c r="F227" i="6"/>
  <c r="BD225"/>
  <c r="BF225"/>
  <c r="BE225"/>
  <c r="AY225"/>
  <c r="AZ225"/>
  <c r="AR225"/>
  <c r="AV225"/>
  <c r="AU225"/>
  <c r="BA225"/>
  <c r="BC225"/>
  <c r="AQ225"/>
  <c r="AM225"/>
  <c r="AN225"/>
  <c r="AP225"/>
  <c r="BG225"/>
  <c r="AT225"/>
  <c r="AS225"/>
  <c r="AX225"/>
  <c r="BB225"/>
  <c r="AO225"/>
  <c r="J227" i="12"/>
  <c r="L227"/>
  <c r="A227" i="6"/>
  <c r="T226" i="5"/>
  <c r="X226" s="1"/>
  <c r="AB224"/>
  <c r="AA224"/>
  <c r="O224"/>
  <c r="C224" i="6"/>
  <c r="T223" i="12"/>
  <c r="V223"/>
  <c r="U223"/>
  <c r="G228"/>
  <c r="AF229" i="5"/>
  <c r="Z227" l="1"/>
  <c r="AA227" s="1"/>
  <c r="L227"/>
  <c r="C227" i="6" s="1"/>
  <c r="AC227" i="5"/>
  <c r="I227" i="12"/>
  <c r="C227" s="1"/>
  <c r="AE226" i="6"/>
  <c r="AJ226"/>
  <c r="AI226"/>
  <c r="AK226"/>
  <c r="AG226"/>
  <c r="AH226"/>
  <c r="AD226"/>
  <c r="AC226"/>
  <c r="AF226"/>
  <c r="K227" i="12"/>
  <c r="U222"/>
  <c r="V222"/>
  <c r="T222"/>
  <c r="BA226" i="6"/>
  <c r="AU226"/>
  <c r="BB226"/>
  <c r="AV226"/>
  <c r="AZ226"/>
  <c r="BF226"/>
  <c r="AX226"/>
  <c r="AS226"/>
  <c r="AM226"/>
  <c r="AO226"/>
  <c r="BG226"/>
  <c r="AR226"/>
  <c r="AP226"/>
  <c r="BD226"/>
  <c r="AT226"/>
  <c r="AY226"/>
  <c r="AQ226"/>
  <c r="BC226"/>
  <c r="BE226"/>
  <c r="AN226"/>
  <c r="AG229" i="5"/>
  <c r="S229"/>
  <c r="F229" i="12" s="1"/>
  <c r="G228" i="6"/>
  <c r="H228"/>
  <c r="T228" i="5" s="1"/>
  <c r="X228" s="1"/>
  <c r="Z228" s="1"/>
  <c r="C225" i="12"/>
  <c r="M225"/>
  <c r="O225"/>
  <c r="AO225"/>
  <c r="N224"/>
  <c r="N227" i="6"/>
  <c r="M227"/>
  <c r="J228" i="12"/>
  <c r="L228"/>
  <c r="A228" i="6"/>
  <c r="AM226" i="5"/>
  <c r="L226"/>
  <c r="I226" i="12"/>
  <c r="Z226" i="5"/>
  <c r="AC226"/>
  <c r="B229" i="6"/>
  <c r="E229" i="5"/>
  <c r="N229"/>
  <c r="D229" i="6" s="1"/>
  <c r="C230" i="5"/>
  <c r="A229" i="12"/>
  <c r="AE229" i="5"/>
  <c r="B229"/>
  <c r="G229"/>
  <c r="H229"/>
  <c r="J229"/>
  <c r="AD229"/>
  <c r="K229"/>
  <c r="W229"/>
  <c r="H229" i="12" s="1"/>
  <c r="F229" i="5"/>
  <c r="D229"/>
  <c r="B229" i="12" s="1"/>
  <c r="R229" i="5"/>
  <c r="AB225"/>
  <c r="AA225"/>
  <c r="E224" i="6"/>
  <c r="D224" i="12"/>
  <c r="E228"/>
  <c r="F228" i="6"/>
  <c r="O225" i="5"/>
  <c r="C225" i="6"/>
  <c r="Y224" i="12"/>
  <c r="G229"/>
  <c r="AF230" i="5"/>
  <c r="O227" l="1"/>
  <c r="E227" i="6" s="1"/>
  <c r="AO227" i="12"/>
  <c r="O227"/>
  <c r="AB227" i="5"/>
  <c r="M227" i="12"/>
  <c r="Y225"/>
  <c r="W225" s="1"/>
  <c r="U225" s="1"/>
  <c r="AM228" i="5"/>
  <c r="AC228"/>
  <c r="I228" i="12"/>
  <c r="C228" s="1"/>
  <c r="L228" i="5"/>
  <c r="C228" i="6" s="1"/>
  <c r="AG230" i="5"/>
  <c r="S230"/>
  <c r="F230" i="12" s="1"/>
  <c r="AO226"/>
  <c r="C226"/>
  <c r="O226"/>
  <c r="M226"/>
  <c r="K228"/>
  <c r="D225"/>
  <c r="E225" i="6"/>
  <c r="H229"/>
  <c r="T229" i="5" s="1"/>
  <c r="X229" s="1"/>
  <c r="I229" i="12" s="1"/>
  <c r="G229" i="6"/>
  <c r="AB226" i="5"/>
  <c r="AA226"/>
  <c r="N228" i="6"/>
  <c r="M228"/>
  <c r="F229"/>
  <c r="E229" i="12"/>
  <c r="B230" i="5"/>
  <c r="G230"/>
  <c r="D230"/>
  <c r="B230" i="12" s="1"/>
  <c r="K230" i="5"/>
  <c r="N230"/>
  <c r="D230" i="6" s="1"/>
  <c r="H230" i="5"/>
  <c r="E230"/>
  <c r="J230"/>
  <c r="R230"/>
  <c r="AE230"/>
  <c r="C231"/>
  <c r="W230"/>
  <c r="H230" i="12" s="1"/>
  <c r="B230" i="6"/>
  <c r="F230" i="5"/>
  <c r="A230" i="12"/>
  <c r="AD230" i="5"/>
  <c r="BA227" i="6"/>
  <c r="AS227"/>
  <c r="AD227"/>
  <c r="AG227"/>
  <c r="AP227"/>
  <c r="AJ227"/>
  <c r="BB227"/>
  <c r="AZ227"/>
  <c r="AE227"/>
  <c r="AV227"/>
  <c r="AO227"/>
  <c r="AH227"/>
  <c r="AT227"/>
  <c r="BF227"/>
  <c r="AC227"/>
  <c r="BG227"/>
  <c r="AB227"/>
  <c r="BE227"/>
  <c r="AM227"/>
  <c r="AN227"/>
  <c r="BD227"/>
  <c r="AR227"/>
  <c r="BC227"/>
  <c r="AK227"/>
  <c r="AQ227"/>
  <c r="AI227"/>
  <c r="AF227"/>
  <c r="AU227"/>
  <c r="AX227"/>
  <c r="AY227"/>
  <c r="N225" i="12"/>
  <c r="X224"/>
  <c r="W224"/>
  <c r="J229"/>
  <c r="L229"/>
  <c r="O226" i="5"/>
  <c r="C226" i="6"/>
  <c r="A229"/>
  <c r="AA228" i="5"/>
  <c r="AB228"/>
  <c r="G230" i="12"/>
  <c r="AF231" i="5"/>
  <c r="D227" i="12" l="1"/>
  <c r="Y227"/>
  <c r="X227" s="1"/>
  <c r="N227"/>
  <c r="AO228"/>
  <c r="M228"/>
  <c r="O228"/>
  <c r="O228" i="5"/>
  <c r="D228" i="12" s="1"/>
  <c r="AM229" i="5"/>
  <c r="L229"/>
  <c r="O229" s="1"/>
  <c r="Z229"/>
  <c r="AA229" s="1"/>
  <c r="V225" i="12"/>
  <c r="X225"/>
  <c r="T225"/>
  <c r="AC229" i="5"/>
  <c r="S231"/>
  <c r="F231" i="12" s="1"/>
  <c r="AG231" i="5"/>
  <c r="E226" i="6"/>
  <c r="D226" i="12"/>
  <c r="N226"/>
  <c r="T224"/>
  <c r="U224"/>
  <c r="V224"/>
  <c r="F230" i="6"/>
  <c r="E230" i="12"/>
  <c r="G230" i="6"/>
  <c r="H230"/>
  <c r="T230" i="5" s="1"/>
  <c r="X230" s="1"/>
  <c r="AM230" s="1"/>
  <c r="A230" i="6"/>
  <c r="N229"/>
  <c r="M229"/>
  <c r="BG228"/>
  <c r="AY228"/>
  <c r="BF228"/>
  <c r="BB228"/>
  <c r="AS228"/>
  <c r="AB228"/>
  <c r="BA228"/>
  <c r="AI228"/>
  <c r="AV228"/>
  <c r="BE228"/>
  <c r="AJ228"/>
  <c r="AG228"/>
  <c r="AK228"/>
  <c r="AE228"/>
  <c r="BD228"/>
  <c r="AO228"/>
  <c r="AZ228"/>
  <c r="AP228"/>
  <c r="AR228"/>
  <c r="AN228"/>
  <c r="AH228"/>
  <c r="AU228"/>
  <c r="AQ228"/>
  <c r="AF228"/>
  <c r="AM228"/>
  <c r="AD228"/>
  <c r="AC228"/>
  <c r="AX228"/>
  <c r="BC228"/>
  <c r="AT228"/>
  <c r="Y226" i="12"/>
  <c r="L230"/>
  <c r="J230"/>
  <c r="J231" i="5"/>
  <c r="AD231"/>
  <c r="K231"/>
  <c r="W231"/>
  <c r="H231" i="12" s="1"/>
  <c r="B231" i="6"/>
  <c r="A231" i="12"/>
  <c r="B231" i="5"/>
  <c r="E231"/>
  <c r="N231"/>
  <c r="D231" i="6" s="1"/>
  <c r="G231" i="5"/>
  <c r="AE231"/>
  <c r="C232"/>
  <c r="F231"/>
  <c r="D231"/>
  <c r="B231" i="12" s="1"/>
  <c r="H231" i="5"/>
  <c r="R231"/>
  <c r="K229" i="12"/>
  <c r="W227"/>
  <c r="G231"/>
  <c r="C229"/>
  <c r="AO229"/>
  <c r="O229"/>
  <c r="M229"/>
  <c r="AF232" i="5"/>
  <c r="C229" i="6" l="1"/>
  <c r="Y228" i="12"/>
  <c r="W228" s="1"/>
  <c r="E228" i="6"/>
  <c r="N228" i="12"/>
  <c r="AB229" i="5"/>
  <c r="I230" i="12"/>
  <c r="O230" s="1"/>
  <c r="Z230" i="5"/>
  <c r="AA230" s="1"/>
  <c r="AC230"/>
  <c r="L230"/>
  <c r="O230" s="1"/>
  <c r="AG232"/>
  <c r="S232"/>
  <c r="F232" i="12" s="1"/>
  <c r="G231" i="6"/>
  <c r="H231"/>
  <c r="T231" i="5" s="1"/>
  <c r="X231" s="1"/>
  <c r="AC231" s="1"/>
  <c r="N230" i="6"/>
  <c r="M230"/>
  <c r="A231"/>
  <c r="J231" i="12"/>
  <c r="L231"/>
  <c r="W226"/>
  <c r="X226"/>
  <c r="AV229" i="6"/>
  <c r="AI229"/>
  <c r="AO229"/>
  <c r="AX229"/>
  <c r="AS229"/>
  <c r="BG229"/>
  <c r="AJ229"/>
  <c r="BB229"/>
  <c r="AR229"/>
  <c r="BF229"/>
  <c r="AH229"/>
  <c r="AU229"/>
  <c r="AG229"/>
  <c r="AY229"/>
  <c r="BD229"/>
  <c r="AD229"/>
  <c r="AE229"/>
  <c r="AF229"/>
  <c r="AC229"/>
  <c r="AQ229"/>
  <c r="AT229"/>
  <c r="BE229"/>
  <c r="AM229"/>
  <c r="AK229"/>
  <c r="AZ229"/>
  <c r="AB229"/>
  <c r="BA229"/>
  <c r="AN229"/>
  <c r="BC229"/>
  <c r="AP229"/>
  <c r="K230" i="12"/>
  <c r="F231" i="6"/>
  <c r="E231" i="12"/>
  <c r="B232" i="5"/>
  <c r="H232"/>
  <c r="F232"/>
  <c r="N232"/>
  <c r="D232" i="6" s="1"/>
  <c r="D232" i="5"/>
  <c r="B232" i="12" s="1"/>
  <c r="B232" i="6"/>
  <c r="J232" i="5"/>
  <c r="G232"/>
  <c r="W232"/>
  <c r="H232" i="12" s="1"/>
  <c r="A232"/>
  <c r="K232" i="5"/>
  <c r="AE232"/>
  <c r="C233"/>
  <c r="R232"/>
  <c r="E232"/>
  <c r="AD232"/>
  <c r="N229" i="12"/>
  <c r="Y229"/>
  <c r="T227"/>
  <c r="V227"/>
  <c r="U227"/>
  <c r="AO230"/>
  <c r="D229"/>
  <c r="E229" i="6"/>
  <c r="G232" i="12"/>
  <c r="AF233" i="5"/>
  <c r="X228" i="12" l="1"/>
  <c r="L231" i="5"/>
  <c r="O231" s="1"/>
  <c r="Z231"/>
  <c r="AB231" s="1"/>
  <c r="I231" i="12"/>
  <c r="O231" s="1"/>
  <c r="AM231" i="5"/>
  <c r="C230" i="12"/>
  <c r="M230"/>
  <c r="N230" s="1"/>
  <c r="K231"/>
  <c r="AB230" i="5"/>
  <c r="C230" i="6"/>
  <c r="A232"/>
  <c r="M232" s="1"/>
  <c r="AO232" s="1"/>
  <c r="AG233" i="5"/>
  <c r="S233"/>
  <c r="F233" i="12" s="1"/>
  <c r="B233" i="6"/>
  <c r="E233" i="5"/>
  <c r="R233"/>
  <c r="H233"/>
  <c r="A233" i="12"/>
  <c r="B233" i="5"/>
  <c r="F233"/>
  <c r="K233"/>
  <c r="D233"/>
  <c r="B233" i="12" s="1"/>
  <c r="W233" i="5"/>
  <c r="H233" i="12" s="1"/>
  <c r="J233" i="5"/>
  <c r="AD233"/>
  <c r="N233"/>
  <c r="D233" i="6" s="1"/>
  <c r="G233" i="5"/>
  <c r="AE233"/>
  <c r="C234"/>
  <c r="F232" i="6"/>
  <c r="E232" i="12"/>
  <c r="J232"/>
  <c r="L232"/>
  <c r="V226"/>
  <c r="T226"/>
  <c r="U226"/>
  <c r="AE230" i="6"/>
  <c r="BE230"/>
  <c r="BA230"/>
  <c r="AC230"/>
  <c r="AK230"/>
  <c r="AZ230"/>
  <c r="AT230"/>
  <c r="AR230"/>
  <c r="AQ230"/>
  <c r="AS230"/>
  <c r="AP230"/>
  <c r="AN230"/>
  <c r="AB230"/>
  <c r="BF230"/>
  <c r="AX230"/>
  <c r="BB230"/>
  <c r="BC230"/>
  <c r="AH230"/>
  <c r="AG230"/>
  <c r="BD230"/>
  <c r="AI230"/>
  <c r="AF230"/>
  <c r="BG230"/>
  <c r="AJ230"/>
  <c r="AV230"/>
  <c r="AU230"/>
  <c r="AO230"/>
  <c r="AM230"/>
  <c r="AD230"/>
  <c r="AY230"/>
  <c r="M231"/>
  <c r="N231"/>
  <c r="G232"/>
  <c r="H232"/>
  <c r="Y230" i="12"/>
  <c r="X230" s="1"/>
  <c r="G233"/>
  <c r="V228"/>
  <c r="U228"/>
  <c r="T228"/>
  <c r="D230"/>
  <c r="E230" i="6"/>
  <c r="X229" i="12"/>
  <c r="W229"/>
  <c r="C231"/>
  <c r="AF234" i="5"/>
  <c r="C231" i="6" l="1"/>
  <c r="AO231" i="12"/>
  <c r="Y231" s="1"/>
  <c r="X231" s="1"/>
  <c r="M231"/>
  <c r="N231" s="1"/>
  <c r="AH232" i="6"/>
  <c r="AY232"/>
  <c r="AA231" i="5"/>
  <c r="BG232" i="6"/>
  <c r="AU232"/>
  <c r="AM232"/>
  <c r="AQ232"/>
  <c r="K232" i="12"/>
  <c r="AN232" i="6"/>
  <c r="BC232"/>
  <c r="BF232"/>
  <c r="AX232"/>
  <c r="BE232"/>
  <c r="BA232"/>
  <c r="AS232"/>
  <c r="BB232"/>
  <c r="AZ232"/>
  <c r="AR232"/>
  <c r="AP232"/>
  <c r="BD232"/>
  <c r="AT232"/>
  <c r="AV232"/>
  <c r="N232"/>
  <c r="AG234" i="5"/>
  <c r="S234"/>
  <c r="F234" i="12" s="1"/>
  <c r="F233" i="6"/>
  <c r="E233" i="12"/>
  <c r="D234" i="5"/>
  <c r="B234" i="12" s="1"/>
  <c r="A234"/>
  <c r="N234" i="5"/>
  <c r="D234" i="6" s="1"/>
  <c r="E234" i="5"/>
  <c r="F234"/>
  <c r="AE234"/>
  <c r="R234"/>
  <c r="C235"/>
  <c r="G234"/>
  <c r="W234"/>
  <c r="H234" i="12" s="1"/>
  <c r="B234" i="5"/>
  <c r="J234"/>
  <c r="H234"/>
  <c r="AD234"/>
  <c r="K234"/>
  <c r="B234" i="6"/>
  <c r="T232" i="5"/>
  <c r="X232" s="1"/>
  <c r="AK232" i="6"/>
  <c r="AC232"/>
  <c r="AB232"/>
  <c r="AE232"/>
  <c r="AI232"/>
  <c r="AF232"/>
  <c r="AD232"/>
  <c r="AJ232"/>
  <c r="AB231"/>
  <c r="AF231"/>
  <c r="AZ231"/>
  <c r="BF231"/>
  <c r="AN231"/>
  <c r="AV231"/>
  <c r="BD231"/>
  <c r="AC231"/>
  <c r="AE231"/>
  <c r="AI231"/>
  <c r="AM231"/>
  <c r="BE231"/>
  <c r="BB231"/>
  <c r="BG231"/>
  <c r="AU231"/>
  <c r="AK231"/>
  <c r="AJ231"/>
  <c r="AG231"/>
  <c r="AY231"/>
  <c r="AO231"/>
  <c r="AS231"/>
  <c r="AP231"/>
  <c r="AD231"/>
  <c r="AX231"/>
  <c r="AQ231"/>
  <c r="AR231"/>
  <c r="BC231"/>
  <c r="BA231"/>
  <c r="AT231"/>
  <c r="AH231"/>
  <c r="G233"/>
  <c r="H233"/>
  <c r="L233" i="12"/>
  <c r="J233"/>
  <c r="AG232" i="6"/>
  <c r="A233"/>
  <c r="W230" i="12"/>
  <c r="T230" s="1"/>
  <c r="D231"/>
  <c r="E231" i="6"/>
  <c r="V229" i="12"/>
  <c r="T229"/>
  <c r="U229"/>
  <c r="G234"/>
  <c r="AF235" i="5"/>
  <c r="V230" i="12" l="1"/>
  <c r="K233"/>
  <c r="U230"/>
  <c r="AG235" i="5"/>
  <c r="S235"/>
  <c r="F235" i="12" s="1"/>
  <c r="M233" i="6"/>
  <c r="AH233" s="1"/>
  <c r="N233"/>
  <c r="T233" i="5"/>
  <c r="X233" s="1"/>
  <c r="Z232"/>
  <c r="L232"/>
  <c r="I232" i="12"/>
  <c r="AC232" i="5"/>
  <c r="AM232"/>
  <c r="L234" i="12"/>
  <c r="J234"/>
  <c r="F234" i="6"/>
  <c r="E234" i="12"/>
  <c r="H234" i="6"/>
  <c r="G234"/>
  <c r="A235" i="12"/>
  <c r="AE235" i="5"/>
  <c r="B235"/>
  <c r="K235"/>
  <c r="F235"/>
  <c r="D235"/>
  <c r="B235" i="12" s="1"/>
  <c r="C236" i="5"/>
  <c r="W235"/>
  <c r="H235" i="12" s="1"/>
  <c r="J235" i="5"/>
  <c r="AD235"/>
  <c r="N235"/>
  <c r="D235" i="6" s="1"/>
  <c r="G235" i="5"/>
  <c r="B235" i="6"/>
  <c r="E235" i="5"/>
  <c r="R235"/>
  <c r="H235"/>
  <c r="A234" i="6"/>
  <c r="W231" i="12"/>
  <c r="U231" s="1"/>
  <c r="G235"/>
  <c r="AF236" i="5"/>
  <c r="AG233" i="6" l="1"/>
  <c r="AF233"/>
  <c r="K234" i="12"/>
  <c r="AD233" i="6"/>
  <c r="AK233"/>
  <c r="S236" i="5"/>
  <c r="F236" i="12" s="1"/>
  <c r="AG236" i="5"/>
  <c r="F235" i="6"/>
  <c r="E235" i="12"/>
  <c r="R236" i="5"/>
  <c r="F236"/>
  <c r="H236"/>
  <c r="AD236"/>
  <c r="B236"/>
  <c r="J236"/>
  <c r="D236"/>
  <c r="B236" i="12" s="1"/>
  <c r="B236" i="6"/>
  <c r="K236" i="5"/>
  <c r="E236"/>
  <c r="W236"/>
  <c r="H236" i="12" s="1"/>
  <c r="AE236" i="5"/>
  <c r="A236" i="12"/>
  <c r="N236" i="5"/>
  <c r="D236" i="6" s="1"/>
  <c r="C237" i="5"/>
  <c r="G236"/>
  <c r="T234"/>
  <c r="X234" s="1"/>
  <c r="O232"/>
  <c r="C232" i="6"/>
  <c r="AM233" i="5"/>
  <c r="L233"/>
  <c r="I233" i="12"/>
  <c r="AC233" i="5"/>
  <c r="Z233"/>
  <c r="AE233" i="6"/>
  <c r="H235"/>
  <c r="T235" i="5" s="1"/>
  <c r="X235" s="1"/>
  <c r="Z235" s="1"/>
  <c r="G235" i="6"/>
  <c r="M232" i="12"/>
  <c r="C232"/>
  <c r="O232"/>
  <c r="AO232"/>
  <c r="AC233" i="6"/>
  <c r="AI233"/>
  <c r="L235" i="12"/>
  <c r="J235"/>
  <c r="BE233" i="6"/>
  <c r="AM233"/>
  <c r="AQ233"/>
  <c r="AO233"/>
  <c r="AT233"/>
  <c r="BC233"/>
  <c r="AY233"/>
  <c r="AX233"/>
  <c r="AP233"/>
  <c r="AS233"/>
  <c r="AN233"/>
  <c r="AR233"/>
  <c r="BF233"/>
  <c r="AZ233"/>
  <c r="BA233"/>
  <c r="BD233"/>
  <c r="BB233"/>
  <c r="BG233"/>
  <c r="AU233"/>
  <c r="AV233"/>
  <c r="A235"/>
  <c r="M235" s="1"/>
  <c r="M234"/>
  <c r="AH234" s="1"/>
  <c r="N234"/>
  <c r="AA232" i="5"/>
  <c r="AB232"/>
  <c r="AB233" i="6"/>
  <c r="AJ233"/>
  <c r="V231" i="12"/>
  <c r="T231"/>
  <c r="G236"/>
  <c r="AF237" i="5"/>
  <c r="AB235" i="6" l="1"/>
  <c r="AC235" i="5"/>
  <c r="I235" i="12"/>
  <c r="AO235" s="1"/>
  <c r="AQ235" i="6"/>
  <c r="L235" i="5"/>
  <c r="O235" s="1"/>
  <c r="AM235"/>
  <c r="AD235" i="6"/>
  <c r="N232" i="12"/>
  <c r="K235"/>
  <c r="AG237" i="5"/>
  <c r="S237"/>
  <c r="F237" i="12" s="1"/>
  <c r="M233"/>
  <c r="C233"/>
  <c r="O233"/>
  <c r="AO233"/>
  <c r="E232" i="6"/>
  <c r="D232" i="12"/>
  <c r="BD235" i="6"/>
  <c r="AP235"/>
  <c r="AY235"/>
  <c r="AU235"/>
  <c r="BE235"/>
  <c r="AX235"/>
  <c r="AK234"/>
  <c r="AF234"/>
  <c r="A236"/>
  <c r="BA235"/>
  <c r="AR235"/>
  <c r="AM234" i="5"/>
  <c r="L234"/>
  <c r="Z234"/>
  <c r="I234" i="12"/>
  <c r="AC234" i="5"/>
  <c r="J236" i="12"/>
  <c r="L236"/>
  <c r="F236" i="6"/>
  <c r="E236" i="12"/>
  <c r="AC235" i="6"/>
  <c r="AS235"/>
  <c r="AN235"/>
  <c r="AO235"/>
  <c r="AC234"/>
  <c r="BC234"/>
  <c r="BB234"/>
  <c r="AM234"/>
  <c r="AQ234"/>
  <c r="AR234"/>
  <c r="AZ234"/>
  <c r="BF234"/>
  <c r="AV234"/>
  <c r="AT234"/>
  <c r="BE234"/>
  <c r="BA234"/>
  <c r="BD234"/>
  <c r="AU234"/>
  <c r="AO234"/>
  <c r="AP234"/>
  <c r="AY234"/>
  <c r="AN234"/>
  <c r="AS234"/>
  <c r="AX234"/>
  <c r="BG234"/>
  <c r="AA233" i="5"/>
  <c r="AB233"/>
  <c r="G236" i="6"/>
  <c r="H236"/>
  <c r="BF235"/>
  <c r="BG235"/>
  <c r="AJ235"/>
  <c r="AI235"/>
  <c r="AE235"/>
  <c r="BB235"/>
  <c r="AG235"/>
  <c r="Y232" i="12"/>
  <c r="N235" i="6"/>
  <c r="AE234"/>
  <c r="AD234"/>
  <c r="AG234"/>
  <c r="AV235"/>
  <c r="C233"/>
  <c r="O233" i="5"/>
  <c r="A237" i="12"/>
  <c r="AE237" i="5"/>
  <c r="B237"/>
  <c r="N237"/>
  <c r="D237" i="6" s="1"/>
  <c r="F237" i="5"/>
  <c r="D237"/>
  <c r="B237" i="12" s="1"/>
  <c r="C238" i="5"/>
  <c r="W237"/>
  <c r="H237" i="12" s="1"/>
  <c r="J237" i="5"/>
  <c r="AD237"/>
  <c r="G237"/>
  <c r="H237"/>
  <c r="B237" i="6"/>
  <c r="E237" i="5"/>
  <c r="R237"/>
  <c r="K237"/>
  <c r="BC235" i="6"/>
  <c r="AH235"/>
  <c r="AZ235"/>
  <c r="AK235"/>
  <c r="AF235"/>
  <c r="AM235"/>
  <c r="AT235"/>
  <c r="AI234"/>
  <c r="AJ234"/>
  <c r="AB234"/>
  <c r="G237" i="12"/>
  <c r="C235" i="6"/>
  <c r="AA235" i="5"/>
  <c r="AB235"/>
  <c r="AF238"/>
  <c r="M235" i="12" l="1"/>
  <c r="C235"/>
  <c r="O235"/>
  <c r="Y235" s="1"/>
  <c r="X235" s="1"/>
  <c r="A237" i="6"/>
  <c r="N237" s="1"/>
  <c r="N233" i="12"/>
  <c r="K236"/>
  <c r="Y233"/>
  <c r="AG238" i="5"/>
  <c r="S238"/>
  <c r="F238" i="12" s="1"/>
  <c r="L237"/>
  <c r="J237"/>
  <c r="W232"/>
  <c r="X232"/>
  <c r="T236" i="5"/>
  <c r="X236" s="1"/>
  <c r="C234" i="6"/>
  <c r="O234" i="5"/>
  <c r="M236" i="6"/>
  <c r="AI236" s="1"/>
  <c r="N236"/>
  <c r="AA234" i="5"/>
  <c r="AB234"/>
  <c r="E237" i="12"/>
  <c r="F237" i="6"/>
  <c r="A238" i="12"/>
  <c r="W238" i="5"/>
  <c r="H238" i="12" s="1"/>
  <c r="F238" i="5"/>
  <c r="J238"/>
  <c r="R238"/>
  <c r="D238"/>
  <c r="B238" i="12" s="1"/>
  <c r="AE238" i="5"/>
  <c r="H238"/>
  <c r="G238"/>
  <c r="B238" i="6"/>
  <c r="N238" i="5"/>
  <c r="D238" i="6" s="1"/>
  <c r="B238" i="5"/>
  <c r="K238"/>
  <c r="E238"/>
  <c r="AD238"/>
  <c r="C239"/>
  <c r="C234" i="12"/>
  <c r="AO234"/>
  <c r="O234"/>
  <c r="M234"/>
  <c r="H237" i="6"/>
  <c r="T237" i="5" s="1"/>
  <c r="X237" s="1"/>
  <c r="Z237" s="1"/>
  <c r="G237" i="6"/>
  <c r="D233" i="12"/>
  <c r="E233" i="6"/>
  <c r="D235" i="12"/>
  <c r="E235" i="6"/>
  <c r="G238" i="12"/>
  <c r="AF239" i="5"/>
  <c r="N235" i="12" l="1"/>
  <c r="M237" i="6"/>
  <c r="AF237" s="1"/>
  <c r="N234" i="12"/>
  <c r="X233"/>
  <c r="W233"/>
  <c r="I237"/>
  <c r="C237" s="1"/>
  <c r="AC237" i="5"/>
  <c r="AM237"/>
  <c r="L237"/>
  <c r="C237" i="6" s="1"/>
  <c r="Y234" i="12"/>
  <c r="A238" i="6"/>
  <c r="K237" i="12"/>
  <c r="AG239" i="5"/>
  <c r="S239"/>
  <c r="F239" i="12" s="1"/>
  <c r="J239" i="5"/>
  <c r="AD239"/>
  <c r="R239"/>
  <c r="N239"/>
  <c r="D239" i="6" s="1"/>
  <c r="A239" i="12"/>
  <c r="G239" i="5"/>
  <c r="B239" i="6"/>
  <c r="E239" i="5"/>
  <c r="W239"/>
  <c r="H239" i="12" s="1"/>
  <c r="C240" i="5"/>
  <c r="B239"/>
  <c r="AE239"/>
  <c r="F239"/>
  <c r="D239"/>
  <c r="B239" i="12" s="1"/>
  <c r="H239" i="5"/>
  <c r="K239"/>
  <c r="T232" i="12"/>
  <c r="U232"/>
  <c r="V232"/>
  <c r="AG236" i="6"/>
  <c r="AB236"/>
  <c r="AH236"/>
  <c r="F238"/>
  <c r="E238" i="12"/>
  <c r="J238"/>
  <c r="L238"/>
  <c r="AF236" i="6"/>
  <c r="AJ236"/>
  <c r="D234" i="12"/>
  <c r="E234" i="6"/>
  <c r="AM236" i="5"/>
  <c r="I236" i="12"/>
  <c r="AC236" i="5"/>
  <c r="Z236"/>
  <c r="L236"/>
  <c r="AC236" i="6"/>
  <c r="G238"/>
  <c r="H238"/>
  <c r="BA236"/>
  <c r="AM236"/>
  <c r="BF236"/>
  <c r="BC236"/>
  <c r="AV236"/>
  <c r="AY236"/>
  <c r="BE236"/>
  <c r="AN236"/>
  <c r="BG236"/>
  <c r="BB236"/>
  <c r="BD236"/>
  <c r="AP236"/>
  <c r="AU236"/>
  <c r="AR236"/>
  <c r="AZ236"/>
  <c r="AQ236"/>
  <c r="AO236"/>
  <c r="AT236"/>
  <c r="AX236"/>
  <c r="AS236"/>
  <c r="AK236"/>
  <c r="AD236"/>
  <c r="AE236"/>
  <c r="W235" i="12"/>
  <c r="T235" s="1"/>
  <c r="G239"/>
  <c r="AA237" i="5"/>
  <c r="AB237"/>
  <c r="AO237" i="12"/>
  <c r="O237"/>
  <c r="AF240" i="5"/>
  <c r="M237" i="12" l="1"/>
  <c r="N237" s="1"/>
  <c r="O237" i="5"/>
  <c r="E237" i="6" s="1"/>
  <c r="AE237"/>
  <c r="BB237"/>
  <c r="AD237"/>
  <c r="AQ237"/>
  <c r="BF237"/>
  <c r="BE237"/>
  <c r="AU237"/>
  <c r="AT237"/>
  <c r="AV237"/>
  <c r="AJ237"/>
  <c r="AI237"/>
  <c r="AR237"/>
  <c r="BG237"/>
  <c r="AH237"/>
  <c r="AX237"/>
  <c r="BD237"/>
  <c r="AB237"/>
  <c r="AG237"/>
  <c r="AS237"/>
  <c r="AC237"/>
  <c r="AN237"/>
  <c r="AP237"/>
  <c r="BA237"/>
  <c r="AO237"/>
  <c r="AM237"/>
  <c r="AZ237"/>
  <c r="AK237"/>
  <c r="BC237"/>
  <c r="AY237"/>
  <c r="T233" i="12"/>
  <c r="U233"/>
  <c r="V233"/>
  <c r="K238"/>
  <c r="M238" i="6"/>
  <c r="AJ238" s="1"/>
  <c r="N238"/>
  <c r="W234" i="12"/>
  <c r="X234"/>
  <c r="S240" i="5"/>
  <c r="F240" i="12" s="1"/>
  <c r="AG240" i="5"/>
  <c r="T238"/>
  <c r="X238" s="1"/>
  <c r="AB236"/>
  <c r="AA236"/>
  <c r="E239" i="12"/>
  <c r="F239" i="6"/>
  <c r="A239"/>
  <c r="O236" i="5"/>
  <c r="C236" i="6"/>
  <c r="H239"/>
  <c r="G239"/>
  <c r="M236" i="12"/>
  <c r="AO236"/>
  <c r="O236"/>
  <c r="C236"/>
  <c r="J239"/>
  <c r="L239"/>
  <c r="B240" i="5"/>
  <c r="AD240"/>
  <c r="F240"/>
  <c r="K240"/>
  <c r="B240" i="6"/>
  <c r="AE240" i="5"/>
  <c r="H240"/>
  <c r="D240"/>
  <c r="B240" i="12" s="1"/>
  <c r="E240" i="5"/>
  <c r="N240"/>
  <c r="D240" i="6" s="1"/>
  <c r="G240" i="5"/>
  <c r="A240" i="12"/>
  <c r="C241" i="5"/>
  <c r="W240"/>
  <c r="H240" i="12" s="1"/>
  <c r="J240" i="5"/>
  <c r="R240"/>
  <c r="U235" i="12"/>
  <c r="V235"/>
  <c r="G240"/>
  <c r="Y237"/>
  <c r="AF241" i="5"/>
  <c r="D237" i="12" l="1"/>
  <c r="N236"/>
  <c r="A240" i="6"/>
  <c r="N240" s="1"/>
  <c r="AH238"/>
  <c r="AI238"/>
  <c r="BE238"/>
  <c r="BF238"/>
  <c r="AQ238"/>
  <c r="AP238"/>
  <c r="BA238"/>
  <c r="AO238"/>
  <c r="AU238"/>
  <c r="AN238"/>
  <c r="AS238"/>
  <c r="AV238"/>
  <c r="AY238"/>
  <c r="BC238"/>
  <c r="AZ238"/>
  <c r="AR238"/>
  <c r="AX238"/>
  <c r="BB238"/>
  <c r="AT238"/>
  <c r="AM238"/>
  <c r="BG238"/>
  <c r="BD238"/>
  <c r="AD238"/>
  <c r="AF238"/>
  <c r="V234" i="12"/>
  <c r="T234"/>
  <c r="U234"/>
  <c r="AE238" i="6"/>
  <c r="AK238"/>
  <c r="K239" i="12"/>
  <c r="AG238" i="6"/>
  <c r="AC238"/>
  <c r="AB238"/>
  <c r="S241" i="5"/>
  <c r="F241" i="12" s="1"/>
  <c r="AG241" i="5"/>
  <c r="T239"/>
  <c r="X239" s="1"/>
  <c r="G240" i="6"/>
  <c r="H240"/>
  <c r="T240" i="5" s="1"/>
  <c r="X240" s="1"/>
  <c r="L240" s="1"/>
  <c r="M239" i="6"/>
  <c r="AB239" s="1"/>
  <c r="N239"/>
  <c r="F241" i="5"/>
  <c r="D241"/>
  <c r="B241" i="12" s="1"/>
  <c r="K241" i="5"/>
  <c r="C242"/>
  <c r="N241"/>
  <c r="D241" i="6" s="1"/>
  <c r="B241"/>
  <c r="E241" i="5"/>
  <c r="R241"/>
  <c r="G241"/>
  <c r="A241" i="12"/>
  <c r="AE241" i="5"/>
  <c r="B241"/>
  <c r="H241"/>
  <c r="J241"/>
  <c r="AD241"/>
  <c r="W241"/>
  <c r="H241" i="12" s="1"/>
  <c r="E236" i="6"/>
  <c r="D236" i="12"/>
  <c r="AM238" i="5"/>
  <c r="L238"/>
  <c r="I238" i="12"/>
  <c r="AC238" i="5"/>
  <c r="Z238"/>
  <c r="F240" i="6"/>
  <c r="E240" i="12"/>
  <c r="J240"/>
  <c r="L240"/>
  <c r="Y236"/>
  <c r="X237"/>
  <c r="W237"/>
  <c r="G241"/>
  <c r="AF242" i="5"/>
  <c r="A241" i="6" l="1"/>
  <c r="N241" s="1"/>
  <c r="AM240" i="5"/>
  <c r="Z240"/>
  <c r="AA240" s="1"/>
  <c r="AC240"/>
  <c r="I240" i="12"/>
  <c r="AO240" s="1"/>
  <c r="M240" i="6"/>
  <c r="AG242" i="5"/>
  <c r="S242"/>
  <c r="F242" i="12" s="1"/>
  <c r="X236"/>
  <c r="W236"/>
  <c r="C238" i="6"/>
  <c r="O238" i="5"/>
  <c r="F241" i="6"/>
  <c r="E241" i="12"/>
  <c r="B242" i="5"/>
  <c r="AE242"/>
  <c r="H242"/>
  <c r="E242"/>
  <c r="B242" i="6"/>
  <c r="N242" i="5"/>
  <c r="D242" i="6" s="1"/>
  <c r="J242" i="5"/>
  <c r="F242"/>
  <c r="A242" i="12"/>
  <c r="C243" i="5"/>
  <c r="K242"/>
  <c r="AD242"/>
  <c r="R242"/>
  <c r="W242"/>
  <c r="H242" i="12" s="1"/>
  <c r="G242" i="5"/>
  <c r="D242"/>
  <c r="B242" i="12" s="1"/>
  <c r="AC239" i="6"/>
  <c r="AD239"/>
  <c r="AJ239"/>
  <c r="AO238" i="12"/>
  <c r="C238"/>
  <c r="M238"/>
  <c r="O238"/>
  <c r="H241" i="6"/>
  <c r="T241" i="5" s="1"/>
  <c r="X241" s="1"/>
  <c r="L241" s="1"/>
  <c r="G241" i="6"/>
  <c r="AF239"/>
  <c r="AE239"/>
  <c r="J241" i="12"/>
  <c r="L241"/>
  <c r="Z239" i="5"/>
  <c r="AM239"/>
  <c r="I239" i="12"/>
  <c r="L239" i="5"/>
  <c r="AC239"/>
  <c r="AH239" i="6"/>
  <c r="AB238" i="5"/>
  <c r="AA238"/>
  <c r="AU239" i="6"/>
  <c r="AX239"/>
  <c r="AS239"/>
  <c r="BA239"/>
  <c r="BB239"/>
  <c r="AT239"/>
  <c r="BF239"/>
  <c r="AN239"/>
  <c r="BG239"/>
  <c r="AR239"/>
  <c r="AZ239"/>
  <c r="BD239"/>
  <c r="AQ239"/>
  <c r="AY239"/>
  <c r="BC239"/>
  <c r="BE239"/>
  <c r="AP239"/>
  <c r="AM239"/>
  <c r="AV239"/>
  <c r="AO239"/>
  <c r="K240" i="12"/>
  <c r="AK239" i="6"/>
  <c r="AG239"/>
  <c r="AI239"/>
  <c r="C240"/>
  <c r="O240" i="5"/>
  <c r="G242" i="12"/>
  <c r="U237"/>
  <c r="T237"/>
  <c r="V237"/>
  <c r="AF243" i="5"/>
  <c r="O240" i="12" l="1"/>
  <c r="Y240" s="1"/>
  <c r="M240"/>
  <c r="C240"/>
  <c r="Z241" i="5"/>
  <c r="AA241" s="1"/>
  <c r="I241" i="12"/>
  <c r="AO241" s="1"/>
  <c r="AM241" i="5"/>
  <c r="AC241"/>
  <c r="AB240"/>
  <c r="M241" i="6"/>
  <c r="AD241" s="1"/>
  <c r="BC240"/>
  <c r="AR240"/>
  <c r="AF240"/>
  <c r="AS240"/>
  <c r="BG240"/>
  <c r="BB240"/>
  <c r="AU240"/>
  <c r="BF240"/>
  <c r="AK240"/>
  <c r="AZ240"/>
  <c r="AV240"/>
  <c r="AO240"/>
  <c r="AB240"/>
  <c r="AI240"/>
  <c r="AN240"/>
  <c r="AT240"/>
  <c r="AP240"/>
  <c r="AJ240"/>
  <c r="BA240"/>
  <c r="AY240"/>
  <c r="AM240"/>
  <c r="BD240"/>
  <c r="AE240"/>
  <c r="AQ240"/>
  <c r="AG240"/>
  <c r="BE240"/>
  <c r="AX240"/>
  <c r="AH240"/>
  <c r="AC240"/>
  <c r="AD240"/>
  <c r="K241" i="12"/>
  <c r="S243" i="5"/>
  <c r="F243" i="12" s="1"/>
  <c r="AG243" i="5"/>
  <c r="O239"/>
  <c r="C239" i="6"/>
  <c r="E242" i="12"/>
  <c r="F242" i="6"/>
  <c r="L242" i="12"/>
  <c r="J242"/>
  <c r="A242" i="6"/>
  <c r="AB239" i="5"/>
  <c r="AA239"/>
  <c r="A243" i="12"/>
  <c r="AE243" i="5"/>
  <c r="B243"/>
  <c r="N243"/>
  <c r="D243" i="6" s="1"/>
  <c r="J243" i="5"/>
  <c r="W243"/>
  <c r="H243" i="12" s="1"/>
  <c r="B243" i="6"/>
  <c r="H243" i="5"/>
  <c r="F243"/>
  <c r="D243"/>
  <c r="B243" i="12" s="1"/>
  <c r="R243" i="5"/>
  <c r="G243"/>
  <c r="AD243"/>
  <c r="K243"/>
  <c r="E243"/>
  <c r="C244"/>
  <c r="H242" i="6"/>
  <c r="T242" i="5" s="1"/>
  <c r="X242" s="1"/>
  <c r="L242" s="1"/>
  <c r="G242" i="6"/>
  <c r="D238" i="12"/>
  <c r="E238" i="6"/>
  <c r="N238" i="12"/>
  <c r="O239"/>
  <c r="C239"/>
  <c r="AO239"/>
  <c r="M239"/>
  <c r="V236"/>
  <c r="T236"/>
  <c r="U236"/>
  <c r="Y238"/>
  <c r="N240"/>
  <c r="C241" i="6"/>
  <c r="O241" i="5"/>
  <c r="AB241"/>
  <c r="G243" i="12"/>
  <c r="D240"/>
  <c r="E240" i="6"/>
  <c r="AF244" i="5"/>
  <c r="K242" i="12" l="1"/>
  <c r="O241"/>
  <c r="Y241" s="1"/>
  <c r="W241" s="1"/>
  <c r="C241"/>
  <c r="M241"/>
  <c r="AB241" i="6"/>
  <c r="BF241"/>
  <c r="AM241"/>
  <c r="AR241"/>
  <c r="AH241"/>
  <c r="AV241"/>
  <c r="BC241"/>
  <c r="AJ241"/>
  <c r="AU241"/>
  <c r="AS241"/>
  <c r="BG241"/>
  <c r="AY241"/>
  <c r="AN241"/>
  <c r="BD241"/>
  <c r="AQ241"/>
  <c r="BB241"/>
  <c r="AK241"/>
  <c r="AX241"/>
  <c r="BA241"/>
  <c r="AT241"/>
  <c r="AO241"/>
  <c r="AZ241"/>
  <c r="AP241"/>
  <c r="BE241"/>
  <c r="AC241"/>
  <c r="AF241"/>
  <c r="AI241"/>
  <c r="AG241"/>
  <c r="AE241"/>
  <c r="AM242" i="5"/>
  <c r="N239" i="12"/>
  <c r="AC242" i="5"/>
  <c r="I242" i="12"/>
  <c r="AO242" s="1"/>
  <c r="Z242" i="5"/>
  <c r="AA242" s="1"/>
  <c r="S244"/>
  <c r="F244" i="12" s="1"/>
  <c r="AG244" i="5"/>
  <c r="N242" i="6"/>
  <c r="M242"/>
  <c r="E243" i="12"/>
  <c r="F243" i="6"/>
  <c r="A243"/>
  <c r="B244" i="5"/>
  <c r="D244"/>
  <c r="B244" i="12" s="1"/>
  <c r="K244" i="5"/>
  <c r="H244"/>
  <c r="A244" i="12"/>
  <c r="C245" i="5"/>
  <c r="AD244"/>
  <c r="E244"/>
  <c r="AE244"/>
  <c r="B244" i="6"/>
  <c r="W244" i="5"/>
  <c r="H244" i="12" s="1"/>
  <c r="R244" i="5"/>
  <c r="F244"/>
  <c r="G244"/>
  <c r="N244"/>
  <c r="D244" i="6" s="1"/>
  <c r="J244" i="5"/>
  <c r="G243" i="6"/>
  <c r="H243"/>
  <c r="T243" i="5" s="1"/>
  <c r="X243" s="1"/>
  <c r="Z243" s="1"/>
  <c r="E239" i="6"/>
  <c r="D239" i="12"/>
  <c r="Y239"/>
  <c r="W238"/>
  <c r="X238"/>
  <c r="J243"/>
  <c r="L243"/>
  <c r="D241"/>
  <c r="E241" i="6"/>
  <c r="G244" i="12"/>
  <c r="X240"/>
  <c r="W240"/>
  <c r="C242" i="6"/>
  <c r="O242" i="5"/>
  <c r="AF245"/>
  <c r="M242" i="12" l="1"/>
  <c r="C242"/>
  <c r="O242"/>
  <c r="Y242" s="1"/>
  <c r="X242" s="1"/>
  <c r="N241"/>
  <c r="AB242" i="5"/>
  <c r="K243" i="12"/>
  <c r="I243"/>
  <c r="M243" s="1"/>
  <c r="L243" i="5"/>
  <c r="O243" s="1"/>
  <c r="AC243"/>
  <c r="AM243"/>
  <c r="S245"/>
  <c r="F245" i="12" s="1"/>
  <c r="AG245" i="5"/>
  <c r="V238" i="12"/>
  <c r="T238"/>
  <c r="U238"/>
  <c r="A245"/>
  <c r="AE245" i="5"/>
  <c r="B245"/>
  <c r="H245"/>
  <c r="F245"/>
  <c r="D245"/>
  <c r="B245" i="12" s="1"/>
  <c r="K245" i="5"/>
  <c r="C246"/>
  <c r="J245"/>
  <c r="AD245"/>
  <c r="W245"/>
  <c r="H245" i="12" s="1"/>
  <c r="N245" i="5"/>
  <c r="D245" i="6" s="1"/>
  <c r="B245"/>
  <c r="E245" i="5"/>
  <c r="G245"/>
  <c r="R245"/>
  <c r="A244" i="6"/>
  <c r="G244"/>
  <c r="H244"/>
  <c r="T244" i="5" s="1"/>
  <c r="X244" s="1"/>
  <c r="L244" s="1"/>
  <c r="F244" i="6"/>
  <c r="E244" i="12"/>
  <c r="N243" i="6"/>
  <c r="M243"/>
  <c r="AC243" s="1"/>
  <c r="W239" i="12"/>
  <c r="X239"/>
  <c r="L244"/>
  <c r="J244"/>
  <c r="AC242" i="6"/>
  <c r="AM242"/>
  <c r="BB242"/>
  <c r="AN242"/>
  <c r="AO242"/>
  <c r="BF242"/>
  <c r="AT242"/>
  <c r="AX242"/>
  <c r="AF242"/>
  <c r="AJ242"/>
  <c r="AK242"/>
  <c r="BE242"/>
  <c r="BG242"/>
  <c r="AY242"/>
  <c r="AB242"/>
  <c r="AD242"/>
  <c r="BC242"/>
  <c r="AH242"/>
  <c r="BD242"/>
  <c r="AS242"/>
  <c r="AQ242"/>
  <c r="AZ242"/>
  <c r="AU242"/>
  <c r="BA242"/>
  <c r="AE242"/>
  <c r="AI242"/>
  <c r="AG242"/>
  <c r="AR242"/>
  <c r="AP242"/>
  <c r="AV242"/>
  <c r="X241" i="12"/>
  <c r="AO243"/>
  <c r="V240"/>
  <c r="U240"/>
  <c r="T240"/>
  <c r="T241"/>
  <c r="V241"/>
  <c r="U241"/>
  <c r="AA243" i="5"/>
  <c r="AB243"/>
  <c r="C243" i="6"/>
  <c r="G245" i="12"/>
  <c r="D242"/>
  <c r="E242" i="6"/>
  <c r="AF246" i="5"/>
  <c r="N242" i="12" l="1"/>
  <c r="O243"/>
  <c r="N243" s="1"/>
  <c r="I244"/>
  <c r="AO244" s="1"/>
  <c r="AC244" i="5"/>
  <c r="C243" i="12"/>
  <c r="AI243" i="6"/>
  <c r="AM244" i="5"/>
  <c r="Z244"/>
  <c r="AB244" s="1"/>
  <c r="K244" i="12"/>
  <c r="AK243" i="6"/>
  <c r="S246" i="5"/>
  <c r="F246" i="12" s="1"/>
  <c r="AG246" i="5"/>
  <c r="F245" i="6"/>
  <c r="E245" i="12"/>
  <c r="A245" i="6"/>
  <c r="N245" s="1"/>
  <c r="G245"/>
  <c r="H245"/>
  <c r="R246" i="5"/>
  <c r="G246"/>
  <c r="AD246"/>
  <c r="D246"/>
  <c r="B246" i="12" s="1"/>
  <c r="B246" i="5"/>
  <c r="H246"/>
  <c r="AE246"/>
  <c r="W246"/>
  <c r="H246" i="12" s="1"/>
  <c r="C247" i="5"/>
  <c r="B246" i="6"/>
  <c r="N246" i="5"/>
  <c r="D246" i="6" s="1"/>
  <c r="E246" i="5"/>
  <c r="J246"/>
  <c r="K246"/>
  <c r="A246" i="12"/>
  <c r="F246" i="5"/>
  <c r="AF243" i="6"/>
  <c r="AB243"/>
  <c r="N244"/>
  <c r="M244"/>
  <c r="J245" i="12"/>
  <c r="L245"/>
  <c r="AG243" i="6"/>
  <c r="V239" i="12"/>
  <c r="U239"/>
  <c r="T239"/>
  <c r="BA243" i="6"/>
  <c r="AM243"/>
  <c r="AN243"/>
  <c r="AZ243"/>
  <c r="BG243"/>
  <c r="AE243"/>
  <c r="BB243"/>
  <c r="AQ243"/>
  <c r="BF243"/>
  <c r="AX243"/>
  <c r="AV243"/>
  <c r="AU243"/>
  <c r="AH243"/>
  <c r="AT243"/>
  <c r="AP243"/>
  <c r="AR243"/>
  <c r="AJ243"/>
  <c r="AY243"/>
  <c r="AO243"/>
  <c r="BC243"/>
  <c r="AS243"/>
  <c r="BE243"/>
  <c r="BD243"/>
  <c r="AD243"/>
  <c r="W242" i="12"/>
  <c r="V242" s="1"/>
  <c r="C244" i="6"/>
  <c r="O244" i="5"/>
  <c r="D243" i="12"/>
  <c r="E243" i="6"/>
  <c r="G246" i="12"/>
  <c r="AF247" i="5"/>
  <c r="C244" i="12" l="1"/>
  <c r="AA244" i="5"/>
  <c r="Y243" i="12"/>
  <c r="X243" s="1"/>
  <c r="M244"/>
  <c r="O244"/>
  <c r="Y244" s="1"/>
  <c r="K245"/>
  <c r="S247" i="5"/>
  <c r="F247" i="12" s="1"/>
  <c r="AG247" i="5"/>
  <c r="AP244" i="6"/>
  <c r="AT244"/>
  <c r="AV244"/>
  <c r="BE244"/>
  <c r="AE244"/>
  <c r="AK244"/>
  <c r="BF244"/>
  <c r="BD244"/>
  <c r="AH244"/>
  <c r="AI244"/>
  <c r="AS244"/>
  <c r="AY244"/>
  <c r="AN244"/>
  <c r="AX244"/>
  <c r="BC244"/>
  <c r="AG244"/>
  <c r="AM244"/>
  <c r="BG244"/>
  <c r="AD244"/>
  <c r="BA244"/>
  <c r="AQ244"/>
  <c r="AU244"/>
  <c r="AZ244"/>
  <c r="AB244"/>
  <c r="AR244"/>
  <c r="AF244"/>
  <c r="BB244"/>
  <c r="AC244"/>
  <c r="AO244"/>
  <c r="AJ244"/>
  <c r="T245" i="5"/>
  <c r="X245" s="1"/>
  <c r="J247"/>
  <c r="AD247"/>
  <c r="N247"/>
  <c r="D247" i="6" s="1"/>
  <c r="G247" i="5"/>
  <c r="K247"/>
  <c r="E247"/>
  <c r="R247"/>
  <c r="H247"/>
  <c r="B247" i="6"/>
  <c r="AE247" i="5"/>
  <c r="B247"/>
  <c r="W247"/>
  <c r="H247" i="12" s="1"/>
  <c r="A247"/>
  <c r="F247" i="5"/>
  <c r="D247"/>
  <c r="B247" i="12" s="1"/>
  <c r="C248" i="5"/>
  <c r="E246" i="12"/>
  <c r="F246" i="6"/>
  <c r="M245"/>
  <c r="AI245" s="1"/>
  <c r="L246" i="12"/>
  <c r="J246"/>
  <c r="A246" i="6"/>
  <c r="N246" s="1"/>
  <c r="G246"/>
  <c r="H246"/>
  <c r="T242" i="12"/>
  <c r="U242"/>
  <c r="W243"/>
  <c r="G247"/>
  <c r="D244"/>
  <c r="E244" i="6"/>
  <c r="AF248" i="5"/>
  <c r="N244" i="12" l="1"/>
  <c r="K246"/>
  <c r="M246" i="6"/>
  <c r="AE246" s="1"/>
  <c r="AG248" i="5"/>
  <c r="S248"/>
  <c r="F248" i="12" s="1"/>
  <c r="T246" i="5"/>
  <c r="X246" s="1"/>
  <c r="AM245"/>
  <c r="I245" i="12"/>
  <c r="L245" i="5"/>
  <c r="AC245"/>
  <c r="Z245"/>
  <c r="AB245" i="6"/>
  <c r="AR245"/>
  <c r="AT245"/>
  <c r="BD245"/>
  <c r="AZ245"/>
  <c r="AO245"/>
  <c r="AM245"/>
  <c r="BC245"/>
  <c r="AP245"/>
  <c r="AV245"/>
  <c r="BG245"/>
  <c r="BF245"/>
  <c r="AY245"/>
  <c r="BA245"/>
  <c r="AU245"/>
  <c r="AX245"/>
  <c r="AS245"/>
  <c r="AN245"/>
  <c r="BE245"/>
  <c r="BB245"/>
  <c r="AQ245"/>
  <c r="F247"/>
  <c r="E247" i="12"/>
  <c r="A247" i="6"/>
  <c r="N247" s="1"/>
  <c r="G247"/>
  <c r="H247"/>
  <c r="AD245"/>
  <c r="AE245"/>
  <c r="AF245"/>
  <c r="B248" i="5"/>
  <c r="W248"/>
  <c r="H248" i="12" s="1"/>
  <c r="E248" i="5"/>
  <c r="H248"/>
  <c r="B248" i="6"/>
  <c r="N248" i="5"/>
  <c r="D248" i="6" s="1"/>
  <c r="F248" i="5"/>
  <c r="AD248"/>
  <c r="A248" i="12"/>
  <c r="C249" i="5"/>
  <c r="G248"/>
  <c r="AE248"/>
  <c r="R248"/>
  <c r="K248"/>
  <c r="D248"/>
  <c r="B248" i="12" s="1"/>
  <c r="J248" i="5"/>
  <c r="AG245" i="6"/>
  <c r="AH245"/>
  <c r="AK245"/>
  <c r="J247" i="12"/>
  <c r="L247"/>
  <c r="AJ245" i="6"/>
  <c r="AC245"/>
  <c r="X244" i="12"/>
  <c r="W244"/>
  <c r="V243"/>
  <c r="U243"/>
  <c r="T243"/>
  <c r="G248"/>
  <c r="AF249" i="5"/>
  <c r="AV246" i="6" l="1"/>
  <c r="BE246"/>
  <c r="AF246"/>
  <c r="BF246"/>
  <c r="AP246"/>
  <c r="AQ246"/>
  <c r="AR246"/>
  <c r="AM246"/>
  <c r="AZ246"/>
  <c r="AY246"/>
  <c r="BB246"/>
  <c r="BD246"/>
  <c r="BG246"/>
  <c r="AT246"/>
  <c r="AD246"/>
  <c r="AI246"/>
  <c r="AX246"/>
  <c r="BA246"/>
  <c r="AU246"/>
  <c r="AN246"/>
  <c r="K247" i="12"/>
  <c r="M247" i="6"/>
  <c r="AC247" s="1"/>
  <c r="AK246"/>
  <c r="AC246"/>
  <c r="AB246"/>
  <c r="AH246"/>
  <c r="AG246"/>
  <c r="AO246"/>
  <c r="BC246"/>
  <c r="AS246"/>
  <c r="AJ246"/>
  <c r="S249" i="5"/>
  <c r="F249" i="12" s="1"/>
  <c r="AG249" i="5"/>
  <c r="T247"/>
  <c r="X247" s="1"/>
  <c r="E248" i="12"/>
  <c r="F248" i="6"/>
  <c r="J248" i="12"/>
  <c r="L248"/>
  <c r="AA245" i="5"/>
  <c r="AB245"/>
  <c r="B249" i="6"/>
  <c r="AE249" i="5"/>
  <c r="B249"/>
  <c r="G249"/>
  <c r="K249"/>
  <c r="E249"/>
  <c r="A249" i="12"/>
  <c r="F249" i="5"/>
  <c r="D249"/>
  <c r="B249" i="12" s="1"/>
  <c r="H249" i="5"/>
  <c r="J249"/>
  <c r="AD249"/>
  <c r="N249"/>
  <c r="D249" i="6" s="1"/>
  <c r="W249" i="5"/>
  <c r="H249" i="12" s="1"/>
  <c r="R249" i="5"/>
  <c r="C250"/>
  <c r="A248" i="6"/>
  <c r="M248" s="1"/>
  <c r="H248"/>
  <c r="G248"/>
  <c r="AO245" i="12"/>
  <c r="C245"/>
  <c r="M245"/>
  <c r="O245"/>
  <c r="Z246" i="5"/>
  <c r="AM246"/>
  <c r="L246"/>
  <c r="I246" i="12"/>
  <c r="AC246" i="5"/>
  <c r="O245"/>
  <c r="C245" i="6"/>
  <c r="V244" i="12"/>
  <c r="U244"/>
  <c r="T244"/>
  <c r="G249"/>
  <c r="AF250" i="5"/>
  <c r="AQ247" i="6" l="1"/>
  <c r="AT247"/>
  <c r="BD247"/>
  <c r="AZ247"/>
  <c r="AS247"/>
  <c r="BB247"/>
  <c r="BF247"/>
  <c r="AO247"/>
  <c r="AK247"/>
  <c r="AY247"/>
  <c r="BG247"/>
  <c r="AB247"/>
  <c r="AF247"/>
  <c r="Y245" i="12"/>
  <c r="X245" s="1"/>
  <c r="K248"/>
  <c r="AE247" i="6"/>
  <c r="AI247"/>
  <c r="BC247"/>
  <c r="AR247"/>
  <c r="AN247"/>
  <c r="BE247"/>
  <c r="AP247"/>
  <c r="AG247"/>
  <c r="AH247"/>
  <c r="BA247"/>
  <c r="AU247"/>
  <c r="AM247"/>
  <c r="AV247"/>
  <c r="AX247"/>
  <c r="AD247"/>
  <c r="AJ247"/>
  <c r="N248"/>
  <c r="AG250" i="5"/>
  <c r="S250"/>
  <c r="F250" i="12" s="1"/>
  <c r="BE248" i="6"/>
  <c r="AR248"/>
  <c r="AS248"/>
  <c r="AZ248"/>
  <c r="AT248"/>
  <c r="AO248"/>
  <c r="AN248"/>
  <c r="BC248"/>
  <c r="AV248"/>
  <c r="AM248"/>
  <c r="AX248"/>
  <c r="AQ248"/>
  <c r="BD248"/>
  <c r="BG248"/>
  <c r="BA248"/>
  <c r="BB248"/>
  <c r="AP248"/>
  <c r="AU248"/>
  <c r="AY248"/>
  <c r="BF248"/>
  <c r="AC248"/>
  <c r="AA246" i="5"/>
  <c r="AB246"/>
  <c r="T248"/>
  <c r="X248" s="1"/>
  <c r="AE248" i="6"/>
  <c r="AG248"/>
  <c r="AJ248"/>
  <c r="AF248"/>
  <c r="AB248"/>
  <c r="AK248"/>
  <c r="AI248"/>
  <c r="AD248"/>
  <c r="AH248"/>
  <c r="D245" i="12"/>
  <c r="E245" i="6"/>
  <c r="F249"/>
  <c r="E249" i="12"/>
  <c r="L249"/>
  <c r="J249"/>
  <c r="O246" i="5"/>
  <c r="C246" i="6"/>
  <c r="B250" i="5"/>
  <c r="W250"/>
  <c r="H250" i="12" s="1"/>
  <c r="G250" i="5"/>
  <c r="AD250"/>
  <c r="B250" i="6"/>
  <c r="AE250" i="5"/>
  <c r="A250" i="12"/>
  <c r="C251" i="5"/>
  <c r="R250"/>
  <c r="D250"/>
  <c r="B250" i="12" s="1"/>
  <c r="N250" i="5"/>
  <c r="D250" i="6" s="1"/>
  <c r="H250" i="5"/>
  <c r="J250"/>
  <c r="E250"/>
  <c r="K250"/>
  <c r="F250"/>
  <c r="I247" i="12"/>
  <c r="AC247" i="5"/>
  <c r="Z247"/>
  <c r="AM247"/>
  <c r="L247"/>
  <c r="AO246" i="12"/>
  <c r="M246"/>
  <c r="O246"/>
  <c r="C246"/>
  <c r="A249" i="6"/>
  <c r="M249" s="1"/>
  <c r="H249"/>
  <c r="G249"/>
  <c r="N245" i="12"/>
  <c r="G250"/>
  <c r="AF251" i="5"/>
  <c r="W245" i="12" l="1"/>
  <c r="T245" s="1"/>
  <c r="Y246"/>
  <c r="S251" i="5"/>
  <c r="F251" i="12" s="1"/>
  <c r="AG251" i="5"/>
  <c r="AO249" i="6"/>
  <c r="BC249"/>
  <c r="AZ249"/>
  <c r="AV249"/>
  <c r="BB249"/>
  <c r="BE249"/>
  <c r="BF249"/>
  <c r="BG249"/>
  <c r="AM249"/>
  <c r="AT249"/>
  <c r="AY249"/>
  <c r="AS249"/>
  <c r="BA249"/>
  <c r="AX249"/>
  <c r="AR249"/>
  <c r="AU249"/>
  <c r="BD249"/>
  <c r="AP249"/>
  <c r="AN249"/>
  <c r="AQ249"/>
  <c r="T249" i="5"/>
  <c r="X249" s="1"/>
  <c r="AG249" i="6"/>
  <c r="AE249"/>
  <c r="AD249"/>
  <c r="AK249"/>
  <c r="AH249"/>
  <c r="AB249"/>
  <c r="AI249"/>
  <c r="AJ249"/>
  <c r="AF249"/>
  <c r="AC249"/>
  <c r="AA247" i="5"/>
  <c r="AB247"/>
  <c r="A250" i="6"/>
  <c r="M250" s="1"/>
  <c r="G250"/>
  <c r="H250"/>
  <c r="J250" i="12"/>
  <c r="L250"/>
  <c r="E246" i="6"/>
  <c r="D246" i="12"/>
  <c r="L248" i="5"/>
  <c r="I248" i="12"/>
  <c r="AC248" i="5"/>
  <c r="Z248"/>
  <c r="AM248"/>
  <c r="B251" i="6"/>
  <c r="AE251" i="5"/>
  <c r="B251"/>
  <c r="N251"/>
  <c r="D251" i="6" s="1"/>
  <c r="F251" i="5"/>
  <c r="AD251"/>
  <c r="A251" i="12"/>
  <c r="D251" i="5"/>
  <c r="B251" i="12" s="1"/>
  <c r="R251" i="5"/>
  <c r="J251"/>
  <c r="W251"/>
  <c r="H251" i="12" s="1"/>
  <c r="G251" i="5"/>
  <c r="K251"/>
  <c r="E251"/>
  <c r="C252"/>
  <c r="H251"/>
  <c r="N249" i="6"/>
  <c r="N246" i="12"/>
  <c r="O247" i="5"/>
  <c r="C247" i="6"/>
  <c r="M247" i="12"/>
  <c r="C247"/>
  <c r="O247"/>
  <c r="AO247"/>
  <c r="E250"/>
  <c r="F250" i="6"/>
  <c r="K249" i="12"/>
  <c r="G251"/>
  <c r="AF252" i="5"/>
  <c r="U245" i="12" l="1"/>
  <c r="V245"/>
  <c r="X246"/>
  <c r="W246"/>
  <c r="N247"/>
  <c r="N250" i="6"/>
  <c r="AJ250"/>
  <c r="BC250"/>
  <c r="BB250"/>
  <c r="AF250"/>
  <c r="AG252" i="5"/>
  <c r="S252"/>
  <c r="F252" i="12" s="1"/>
  <c r="A251" i="6"/>
  <c r="M251" s="1"/>
  <c r="G251"/>
  <c r="H251"/>
  <c r="O248" i="5"/>
  <c r="C248" i="6"/>
  <c r="Y247" i="12"/>
  <c r="E251"/>
  <c r="F251" i="6"/>
  <c r="C248" i="12"/>
  <c r="O248"/>
  <c r="AO248"/>
  <c r="M248"/>
  <c r="K250"/>
  <c r="AR250" i="6"/>
  <c r="AU250"/>
  <c r="AX250"/>
  <c r="AV250"/>
  <c r="BG250"/>
  <c r="AN250"/>
  <c r="AO250"/>
  <c r="AT250"/>
  <c r="BF250"/>
  <c r="AZ250"/>
  <c r="AM250"/>
  <c r="BA250"/>
  <c r="BD250"/>
  <c r="BE250"/>
  <c r="AQ250"/>
  <c r="AP250"/>
  <c r="AS250"/>
  <c r="AY250"/>
  <c r="I249" i="12"/>
  <c r="AC249" i="5"/>
  <c r="L249"/>
  <c r="Z249"/>
  <c r="AM249"/>
  <c r="D247" i="12"/>
  <c r="E247" i="6"/>
  <c r="A252" i="12"/>
  <c r="C253" i="5"/>
  <c r="D252"/>
  <c r="B252" i="12" s="1"/>
  <c r="K252" i="5"/>
  <c r="R252"/>
  <c r="E252"/>
  <c r="W252"/>
  <c r="H252" i="12" s="1"/>
  <c r="G252" i="5"/>
  <c r="N252"/>
  <c r="D252" i="6" s="1"/>
  <c r="AE252" i="5"/>
  <c r="J252"/>
  <c r="B252"/>
  <c r="F252"/>
  <c r="AD252"/>
  <c r="H252"/>
  <c r="B252" i="6"/>
  <c r="J251" i="12"/>
  <c r="L251"/>
  <c r="AA248" i="5"/>
  <c r="AB248"/>
  <c r="T250"/>
  <c r="X250" s="1"/>
  <c r="AB250" i="6"/>
  <c r="AH250"/>
  <c r="AC250"/>
  <c r="AD250"/>
  <c r="AK250"/>
  <c r="AG250"/>
  <c r="AE250"/>
  <c r="AI250"/>
  <c r="G252" i="12"/>
  <c r="AF253" i="5"/>
  <c r="T246" i="12" l="1"/>
  <c r="V246"/>
  <c r="U246"/>
  <c r="N251" i="6"/>
  <c r="N248" i="12"/>
  <c r="AG253" i="5"/>
  <c r="S253"/>
  <c r="F253" i="12" s="1"/>
  <c r="AX251" i="6"/>
  <c r="BB251"/>
  <c r="BD251"/>
  <c r="AT251"/>
  <c r="AV251"/>
  <c r="BA251"/>
  <c r="BC251"/>
  <c r="AS251"/>
  <c r="AU251"/>
  <c r="AP251"/>
  <c r="AZ251"/>
  <c r="AQ251"/>
  <c r="AM251"/>
  <c r="AO251"/>
  <c r="BF251"/>
  <c r="AY251"/>
  <c r="BE251"/>
  <c r="BG251"/>
  <c r="AN251"/>
  <c r="AR251"/>
  <c r="O249" i="5"/>
  <c r="C249" i="6"/>
  <c r="X247" i="12"/>
  <c r="W247"/>
  <c r="T251" i="5"/>
  <c r="X251" s="1"/>
  <c r="AE251" i="6"/>
  <c r="AG251"/>
  <c r="AC251"/>
  <c r="AD251"/>
  <c r="AB251"/>
  <c r="AI251"/>
  <c r="AF251"/>
  <c r="AH251"/>
  <c r="AJ251"/>
  <c r="AK251"/>
  <c r="L250" i="5"/>
  <c r="I250" i="12"/>
  <c r="AC250" i="5"/>
  <c r="Z250"/>
  <c r="AM250"/>
  <c r="A252" i="6"/>
  <c r="M252" s="1"/>
  <c r="G252"/>
  <c r="H252"/>
  <c r="E252" i="12"/>
  <c r="F252" i="6"/>
  <c r="J252" i="12"/>
  <c r="L252"/>
  <c r="AA249" i="5"/>
  <c r="AB249"/>
  <c r="Y248" i="12"/>
  <c r="A253"/>
  <c r="F253" i="5"/>
  <c r="D253"/>
  <c r="B253" i="12" s="1"/>
  <c r="G253" i="5"/>
  <c r="E253"/>
  <c r="B253" i="6"/>
  <c r="J253" i="5"/>
  <c r="AD253"/>
  <c r="H253"/>
  <c r="R253"/>
  <c r="N253"/>
  <c r="D253" i="6" s="1"/>
  <c r="AE253" i="5"/>
  <c r="B253"/>
  <c r="K253"/>
  <c r="W253"/>
  <c r="H253" i="12" s="1"/>
  <c r="C254" i="5"/>
  <c r="O249" i="12"/>
  <c r="M249"/>
  <c r="AO249"/>
  <c r="C249"/>
  <c r="E248" i="6"/>
  <c r="D248" i="12"/>
  <c r="K251"/>
  <c r="G253"/>
  <c r="AF254" i="5"/>
  <c r="Y249" i="12" l="1"/>
  <c r="X249" s="1"/>
  <c r="N252" i="6"/>
  <c r="N249" i="12"/>
  <c r="S254" i="5"/>
  <c r="F254" i="12" s="1"/>
  <c r="AG254" i="5"/>
  <c r="A253" i="6"/>
  <c r="M253" s="1"/>
  <c r="G253"/>
  <c r="H253"/>
  <c r="T252" i="5"/>
  <c r="X252" s="1"/>
  <c r="AH252" i="6"/>
  <c r="AJ252"/>
  <c r="AD252"/>
  <c r="AF252"/>
  <c r="AI252"/>
  <c r="AK252"/>
  <c r="AB252"/>
  <c r="AC252"/>
  <c r="AE252"/>
  <c r="AG252"/>
  <c r="AB250" i="5"/>
  <c r="AA250"/>
  <c r="A254" i="12"/>
  <c r="C255" i="5"/>
  <c r="E254"/>
  <c r="W254"/>
  <c r="H254" i="12" s="1"/>
  <c r="R254" i="5"/>
  <c r="J254"/>
  <c r="AD254"/>
  <c r="F254"/>
  <c r="B254"/>
  <c r="K254"/>
  <c r="AE254"/>
  <c r="G254"/>
  <c r="B254" i="6"/>
  <c r="N254" i="5"/>
  <c r="D254" i="6" s="1"/>
  <c r="D254" i="5"/>
  <c r="B254" i="12" s="1"/>
  <c r="H254" i="5"/>
  <c r="X248" i="12"/>
  <c r="W248"/>
  <c r="BA252" i="6"/>
  <c r="AT252"/>
  <c r="AV252"/>
  <c r="AP252"/>
  <c r="AN252"/>
  <c r="BF252"/>
  <c r="AR252"/>
  <c r="BC252"/>
  <c r="AO252"/>
  <c r="BD252"/>
  <c r="BE252"/>
  <c r="AS252"/>
  <c r="AX252"/>
  <c r="AY252"/>
  <c r="AZ252"/>
  <c r="AU252"/>
  <c r="AM252"/>
  <c r="BB252"/>
  <c r="BG252"/>
  <c r="AQ252"/>
  <c r="O250" i="5"/>
  <c r="C250" i="6"/>
  <c r="T247" i="12"/>
  <c r="V247"/>
  <c r="U247"/>
  <c r="J253"/>
  <c r="L253"/>
  <c r="O250"/>
  <c r="AO250"/>
  <c r="C250"/>
  <c r="M250"/>
  <c r="Z251" i="5"/>
  <c r="AM251"/>
  <c r="L251"/>
  <c r="AC251"/>
  <c r="I251" i="12"/>
  <c r="E249" i="6"/>
  <c r="D249" i="12"/>
  <c r="K252"/>
  <c r="F253" i="6"/>
  <c r="E253" i="12"/>
  <c r="G254"/>
  <c r="AF255" i="5"/>
  <c r="W249" i="12" l="1"/>
  <c r="N253" i="6"/>
  <c r="K253" i="12"/>
  <c r="BD253" i="6"/>
  <c r="AM253"/>
  <c r="BG253"/>
  <c r="AQ253"/>
  <c r="AJ253"/>
  <c r="S255" i="5"/>
  <c r="F255" i="12" s="1"/>
  <c r="AG255" i="5"/>
  <c r="F254" i="6"/>
  <c r="E254" i="12"/>
  <c r="L254"/>
  <c r="J254"/>
  <c r="T253" i="5"/>
  <c r="X253" s="1"/>
  <c r="AE253" i="6"/>
  <c r="AI253"/>
  <c r="AD253"/>
  <c r="AG253"/>
  <c r="AH253"/>
  <c r="AC253"/>
  <c r="AK253"/>
  <c r="AB253"/>
  <c r="AF253"/>
  <c r="O251" i="12"/>
  <c r="M251"/>
  <c r="C251"/>
  <c r="AO251"/>
  <c r="AA251" i="5"/>
  <c r="AB251"/>
  <c r="V248" i="12"/>
  <c r="T248"/>
  <c r="U248"/>
  <c r="A254" i="6"/>
  <c r="N254" s="1"/>
  <c r="H254"/>
  <c r="G254"/>
  <c r="K255" i="5"/>
  <c r="E255"/>
  <c r="W255"/>
  <c r="H255" i="12" s="1"/>
  <c r="R255" i="5"/>
  <c r="AD255"/>
  <c r="B255" i="6"/>
  <c r="AE255" i="5"/>
  <c r="B255"/>
  <c r="G255"/>
  <c r="C256"/>
  <c r="A255" i="12"/>
  <c r="F255" i="5"/>
  <c r="D255"/>
  <c r="B255" i="12" s="1"/>
  <c r="H255" i="5"/>
  <c r="J255"/>
  <c r="N255"/>
  <c r="D255" i="6" s="1"/>
  <c r="BA253"/>
  <c r="BB253"/>
  <c r="AR253"/>
  <c r="AT253"/>
  <c r="AN253"/>
  <c r="AY253"/>
  <c r="BF253"/>
  <c r="AU253"/>
  <c r="BE253"/>
  <c r="AZ253"/>
  <c r="AV253"/>
  <c r="AS253"/>
  <c r="AO253"/>
  <c r="AP253"/>
  <c r="BC253"/>
  <c r="AX253"/>
  <c r="N250" i="12"/>
  <c r="E250" i="6"/>
  <c r="D250" i="12"/>
  <c r="Y250"/>
  <c r="O251" i="5"/>
  <c r="C251" i="6"/>
  <c r="I252" i="12"/>
  <c r="AC252" i="5"/>
  <c r="AM252"/>
  <c r="Z252"/>
  <c r="L252"/>
  <c r="G255" i="12"/>
  <c r="AF256" i="5"/>
  <c r="K254" i="12" l="1"/>
  <c r="V249"/>
  <c r="T249"/>
  <c r="U249"/>
  <c r="N251"/>
  <c r="M254" i="6"/>
  <c r="BE254" s="1"/>
  <c r="AG256" i="5"/>
  <c r="S256"/>
  <c r="F256" i="12" s="1"/>
  <c r="O252" i="5"/>
  <c r="C252" i="6"/>
  <c r="AO252" i="12"/>
  <c r="C252"/>
  <c r="M252"/>
  <c r="O252"/>
  <c r="L255"/>
  <c r="J255"/>
  <c r="X250"/>
  <c r="W250"/>
  <c r="A255" i="6"/>
  <c r="N255" s="1"/>
  <c r="G255"/>
  <c r="H255"/>
  <c r="E255" i="12"/>
  <c r="F255" i="6"/>
  <c r="E251"/>
  <c r="D251" i="12"/>
  <c r="T254" i="5"/>
  <c r="X254" s="1"/>
  <c r="Z253"/>
  <c r="AM253"/>
  <c r="L253"/>
  <c r="I253" i="12"/>
  <c r="AC253" i="5"/>
  <c r="AB252"/>
  <c r="AA252"/>
  <c r="B256"/>
  <c r="N256"/>
  <c r="D256" i="6" s="1"/>
  <c r="G256" i="5"/>
  <c r="AD256"/>
  <c r="C257"/>
  <c r="D256"/>
  <c r="B256" i="12" s="1"/>
  <c r="A256"/>
  <c r="J256" i="5"/>
  <c r="B256" i="6"/>
  <c r="H256" i="5"/>
  <c r="E256"/>
  <c r="R256"/>
  <c r="W256"/>
  <c r="H256" i="12" s="1"/>
  <c r="K256" i="5"/>
  <c r="F256"/>
  <c r="AE256"/>
  <c r="Y251" i="12"/>
  <c r="G256"/>
  <c r="AF257" i="5"/>
  <c r="AJ254" i="6" l="1"/>
  <c r="AD254"/>
  <c r="AI254"/>
  <c r="AE254"/>
  <c r="AH254"/>
  <c r="AF254"/>
  <c r="AK254"/>
  <c r="AB254"/>
  <c r="AG254"/>
  <c r="AO254"/>
  <c r="BA254"/>
  <c r="K255" i="12"/>
  <c r="AC254" i="6"/>
  <c r="AQ254"/>
  <c r="AX254"/>
  <c r="AS254"/>
  <c r="BF254"/>
  <c r="BG254"/>
  <c r="BD254"/>
  <c r="AP254"/>
  <c r="AM254"/>
  <c r="AN254"/>
  <c r="AT254"/>
  <c r="BB254"/>
  <c r="AV254"/>
  <c r="BC254"/>
  <c r="M255"/>
  <c r="AS255" s="1"/>
  <c r="Y252" i="12"/>
  <c r="AU254" i="6"/>
  <c r="AR254"/>
  <c r="AZ254"/>
  <c r="AY254"/>
  <c r="AG257" i="5"/>
  <c r="S257"/>
  <c r="F257" i="12" s="1"/>
  <c r="A256" i="6"/>
  <c r="N256" s="1"/>
  <c r="G256"/>
  <c r="H256"/>
  <c r="AB253" i="5"/>
  <c r="AA253"/>
  <c r="L256" i="12"/>
  <c r="J256"/>
  <c r="Z254" i="5"/>
  <c r="AM254"/>
  <c r="L254"/>
  <c r="I254" i="12"/>
  <c r="AC254" i="5"/>
  <c r="F256" i="6"/>
  <c r="E256" i="12"/>
  <c r="C253" i="6"/>
  <c r="O253" i="5"/>
  <c r="E252" i="6"/>
  <c r="D252" i="12"/>
  <c r="X251"/>
  <c r="W251"/>
  <c r="J257" i="5"/>
  <c r="E257"/>
  <c r="W257"/>
  <c r="H257" i="12" s="1"/>
  <c r="G257" i="5"/>
  <c r="C258"/>
  <c r="K257"/>
  <c r="AE257"/>
  <c r="B257"/>
  <c r="N257"/>
  <c r="D257" i="6" s="1"/>
  <c r="F257" i="5"/>
  <c r="R257"/>
  <c r="H257"/>
  <c r="B257" i="6"/>
  <c r="D257" i="5"/>
  <c r="B257" i="12" s="1"/>
  <c r="A257"/>
  <c r="AD257" i="5"/>
  <c r="M253" i="12"/>
  <c r="O253"/>
  <c r="AO253"/>
  <c r="C253"/>
  <c r="T255" i="5"/>
  <c r="X255" s="1"/>
  <c r="U250" i="12"/>
  <c r="V250"/>
  <c r="T250"/>
  <c r="N252"/>
  <c r="G257"/>
  <c r="AF258" i="5"/>
  <c r="A257" i="6" l="1"/>
  <c r="M257" s="1"/>
  <c r="AS257" s="1"/>
  <c r="AH255"/>
  <c r="AB255"/>
  <c r="AJ255"/>
  <c r="AK255"/>
  <c r="AD255"/>
  <c r="AE255"/>
  <c r="AG255"/>
  <c r="AC255"/>
  <c r="AI255"/>
  <c r="AF255"/>
  <c r="AT255"/>
  <c r="AU255"/>
  <c r="AY255"/>
  <c r="BE255"/>
  <c r="AO255"/>
  <c r="AQ255"/>
  <c r="AX255"/>
  <c r="BC255"/>
  <c r="AM255"/>
  <c r="AP255"/>
  <c r="BA255"/>
  <c r="AZ255"/>
  <c r="BG255"/>
  <c r="AN255"/>
  <c r="BD255"/>
  <c r="Y253" i="12"/>
  <c r="BB255" i="6"/>
  <c r="AV255"/>
  <c r="AR255"/>
  <c r="BF255"/>
  <c r="M256"/>
  <c r="AH256" s="1"/>
  <c r="W252" i="12"/>
  <c r="X252"/>
  <c r="AG258" i="5"/>
  <c r="S258"/>
  <c r="F258" i="12" s="1"/>
  <c r="AM255" i="5"/>
  <c r="L255"/>
  <c r="I255" i="12"/>
  <c r="AC255" i="5"/>
  <c r="Z255"/>
  <c r="G257" i="6"/>
  <c r="H257"/>
  <c r="A258" i="12"/>
  <c r="R258" i="5"/>
  <c r="H258"/>
  <c r="D258"/>
  <c r="B258" i="12" s="1"/>
  <c r="W258" i="5"/>
  <c r="H258" i="12" s="1"/>
  <c r="K258" i="5"/>
  <c r="E258"/>
  <c r="B258" i="6"/>
  <c r="J258" i="5"/>
  <c r="C259"/>
  <c r="B258"/>
  <c r="N258"/>
  <c r="D258" i="6" s="1"/>
  <c r="F258" i="5"/>
  <c r="AD258"/>
  <c r="AE258"/>
  <c r="G258"/>
  <c r="E253" i="6"/>
  <c r="D253" i="12"/>
  <c r="T256" i="5"/>
  <c r="X256" s="1"/>
  <c r="O254"/>
  <c r="C254" i="6"/>
  <c r="N253" i="12"/>
  <c r="K256"/>
  <c r="L257"/>
  <c r="J257"/>
  <c r="E257"/>
  <c r="F257" i="6"/>
  <c r="C254" i="12"/>
  <c r="O254"/>
  <c r="M254"/>
  <c r="AO254"/>
  <c r="V251"/>
  <c r="T251"/>
  <c r="U251"/>
  <c r="AB254" i="5"/>
  <c r="AA254"/>
  <c r="G258" i="12"/>
  <c r="AF259" i="5"/>
  <c r="BB257" i="6" l="1"/>
  <c r="AV257"/>
  <c r="AM257"/>
  <c r="AZ256"/>
  <c r="AF256"/>
  <c r="AX256"/>
  <c r="BD256"/>
  <c r="AS256"/>
  <c r="AN257"/>
  <c r="AR257"/>
  <c r="BA257"/>
  <c r="BE257"/>
  <c r="BD257"/>
  <c r="BG257"/>
  <c r="N257"/>
  <c r="AP257"/>
  <c r="AX257"/>
  <c r="BC257"/>
  <c r="AQ257"/>
  <c r="AO257"/>
  <c r="AZ257"/>
  <c r="AT257"/>
  <c r="BF257"/>
  <c r="AY257"/>
  <c r="AU257"/>
  <c r="X253" i="12"/>
  <c r="W253"/>
  <c r="BC256" i="6"/>
  <c r="AO256"/>
  <c r="AR256"/>
  <c r="AP256"/>
  <c r="BB256"/>
  <c r="AQ256"/>
  <c r="AI256"/>
  <c r="AK256"/>
  <c r="AE256"/>
  <c r="BA256"/>
  <c r="AB256"/>
  <c r="AV256"/>
  <c r="BF256"/>
  <c r="AG256"/>
  <c r="BG256"/>
  <c r="AM256"/>
  <c r="AC256"/>
  <c r="AN256"/>
  <c r="AD256"/>
  <c r="BE256"/>
  <c r="AT256"/>
  <c r="AY256"/>
  <c r="AJ256"/>
  <c r="AU256"/>
  <c r="Y254" i="12"/>
  <c r="K257"/>
  <c r="U252"/>
  <c r="V252"/>
  <c r="T252"/>
  <c r="S259" i="5"/>
  <c r="F259" i="12" s="1"/>
  <c r="AG259" i="5"/>
  <c r="H258" i="6"/>
  <c r="T258" i="5" s="1"/>
  <c r="X258" s="1"/>
  <c r="L258" s="1"/>
  <c r="G258" i="6"/>
  <c r="T257" i="5"/>
  <c r="X257" s="1"/>
  <c r="AK257" i="6"/>
  <c r="AF257"/>
  <c r="AC257"/>
  <c r="AB257"/>
  <c r="AI257"/>
  <c r="AH257"/>
  <c r="AG257"/>
  <c r="AJ257"/>
  <c r="AD257"/>
  <c r="AE257"/>
  <c r="O255" i="12"/>
  <c r="C255"/>
  <c r="AO255"/>
  <c r="M255"/>
  <c r="A258" i="6"/>
  <c r="J258" i="12"/>
  <c r="L258"/>
  <c r="E254" i="6"/>
  <c r="D254" i="12"/>
  <c r="K259" i="5"/>
  <c r="AE259"/>
  <c r="B259"/>
  <c r="C260"/>
  <c r="J259"/>
  <c r="R259"/>
  <c r="B259" i="6"/>
  <c r="F259" i="5"/>
  <c r="D259"/>
  <c r="B259" i="12" s="1"/>
  <c r="G259" i="5"/>
  <c r="A259" i="12"/>
  <c r="H259" i="5"/>
  <c r="AD259"/>
  <c r="N259"/>
  <c r="D259" i="6" s="1"/>
  <c r="W259" i="5"/>
  <c r="H259" i="12" s="1"/>
  <c r="E259" i="5"/>
  <c r="F258" i="6"/>
  <c r="E258" i="12"/>
  <c r="AB255" i="5"/>
  <c r="AA255"/>
  <c r="AM256"/>
  <c r="L256"/>
  <c r="Z256"/>
  <c r="I256" i="12"/>
  <c r="AC256" i="5"/>
  <c r="O255"/>
  <c r="C255" i="6"/>
  <c r="N254" i="12"/>
  <c r="G259"/>
  <c r="AF260" i="5"/>
  <c r="Y255" i="12" l="1"/>
  <c r="X255" s="1"/>
  <c r="I258"/>
  <c r="M258" s="1"/>
  <c r="AC258" i="5"/>
  <c r="AM258"/>
  <c r="Z258"/>
  <c r="AA258" s="1"/>
  <c r="T253" i="12"/>
  <c r="U253"/>
  <c r="V253"/>
  <c r="W254"/>
  <c r="X254"/>
  <c r="S260" i="5"/>
  <c r="F260" i="12" s="1"/>
  <c r="AG260" i="5"/>
  <c r="Z257"/>
  <c r="AM257"/>
  <c r="L257"/>
  <c r="I257" i="12"/>
  <c r="AC257" i="5"/>
  <c r="E255" i="6"/>
  <c r="D255" i="12"/>
  <c r="O256" i="5"/>
  <c r="C256" i="6"/>
  <c r="G259"/>
  <c r="H259"/>
  <c r="T259" i="5" s="1"/>
  <c r="X259" s="1"/>
  <c r="AM259" s="1"/>
  <c r="F259" i="6"/>
  <c r="E259" i="12"/>
  <c r="K258"/>
  <c r="AB256" i="5"/>
  <c r="AA256"/>
  <c r="L259" i="12"/>
  <c r="J259"/>
  <c r="A259" i="6"/>
  <c r="AO256" i="12"/>
  <c r="C256"/>
  <c r="M256"/>
  <c r="O256"/>
  <c r="A260"/>
  <c r="R260" i="5"/>
  <c r="AD260"/>
  <c r="AE260"/>
  <c r="W260"/>
  <c r="H260" i="12" s="1"/>
  <c r="K260" i="5"/>
  <c r="D260"/>
  <c r="B260" i="12" s="1"/>
  <c r="C261" i="5"/>
  <c r="G260"/>
  <c r="J260"/>
  <c r="B260"/>
  <c r="N260"/>
  <c r="D260" i="6" s="1"/>
  <c r="H260" i="5"/>
  <c r="E260"/>
  <c r="B260" i="6"/>
  <c r="F260" i="5"/>
  <c r="N258" i="6"/>
  <c r="M258"/>
  <c r="N255" i="12"/>
  <c r="C258" i="6"/>
  <c r="O258" i="5"/>
  <c r="G260" i="12"/>
  <c r="AF261" i="5"/>
  <c r="AB258" l="1"/>
  <c r="W255" i="12"/>
  <c r="U255" s="1"/>
  <c r="C258"/>
  <c r="AO258"/>
  <c r="O258"/>
  <c r="N258" s="1"/>
  <c r="K259"/>
  <c r="N256"/>
  <c r="I259"/>
  <c r="AO259" s="1"/>
  <c r="L259" i="5"/>
  <c r="O259" s="1"/>
  <c r="AC259"/>
  <c r="V254" i="12"/>
  <c r="T254"/>
  <c r="U254"/>
  <c r="Z259" i="5"/>
  <c r="AA259" s="1"/>
  <c r="S261"/>
  <c r="F261" i="12" s="1"/>
  <c r="AG261" i="5"/>
  <c r="G260" i="6"/>
  <c r="H260"/>
  <c r="T260" i="5" s="1"/>
  <c r="X260" s="1"/>
  <c r="AM260" s="1"/>
  <c r="B261" i="6"/>
  <c r="F261" i="5"/>
  <c r="D261"/>
  <c r="B261" i="12" s="1"/>
  <c r="G261" i="5"/>
  <c r="E261"/>
  <c r="R261"/>
  <c r="A261" i="12"/>
  <c r="H261" i="5"/>
  <c r="AD261"/>
  <c r="W261"/>
  <c r="H261" i="12" s="1"/>
  <c r="C262" i="5"/>
  <c r="J261"/>
  <c r="K261"/>
  <c r="AE261"/>
  <c r="B261"/>
  <c r="N261"/>
  <c r="D261" i="6" s="1"/>
  <c r="N259"/>
  <c r="M259"/>
  <c r="O257" i="5"/>
  <c r="C257" i="6"/>
  <c r="L260" i="12"/>
  <c r="J260"/>
  <c r="E256" i="6"/>
  <c r="D256" i="12"/>
  <c r="O257"/>
  <c r="AO257"/>
  <c r="C257"/>
  <c r="M257"/>
  <c r="Y256"/>
  <c r="AY258" i="6"/>
  <c r="BB258"/>
  <c r="AG258"/>
  <c r="AX258"/>
  <c r="AI258"/>
  <c r="AU258"/>
  <c r="AR258"/>
  <c r="BC258"/>
  <c r="AT258"/>
  <c r="BG258"/>
  <c r="BD258"/>
  <c r="BE258"/>
  <c r="AP258"/>
  <c r="AC258"/>
  <c r="AB258"/>
  <c r="AQ258"/>
  <c r="AK258"/>
  <c r="AF258"/>
  <c r="AJ258"/>
  <c r="AS258"/>
  <c r="AV258"/>
  <c r="BF258"/>
  <c r="AE258"/>
  <c r="AH258"/>
  <c r="AO258"/>
  <c r="BA258"/>
  <c r="AD258"/>
  <c r="AM258"/>
  <c r="AZ258"/>
  <c r="AN258"/>
  <c r="F260"/>
  <c r="E260" i="12"/>
  <c r="AA257" i="5"/>
  <c r="AB257"/>
  <c r="A260" i="6"/>
  <c r="N260" s="1"/>
  <c r="K23" i="5"/>
  <c r="K28"/>
  <c r="K19"/>
  <c r="AB259"/>
  <c r="K17"/>
  <c r="D258" i="12"/>
  <c r="E258" i="6"/>
  <c r="M259" i="12"/>
  <c r="G261"/>
  <c r="AF262" i="5"/>
  <c r="T255" i="12" l="1"/>
  <c r="C259"/>
  <c r="O259"/>
  <c r="N259" s="1"/>
  <c r="V255"/>
  <c r="Y258"/>
  <c r="W258" s="1"/>
  <c r="C259" i="6"/>
  <c r="I260" i="12"/>
  <c r="AO260" s="1"/>
  <c r="L260" i="5"/>
  <c r="C260" i="6" s="1"/>
  <c r="Z260" i="5"/>
  <c r="AA260" s="1"/>
  <c r="AC260"/>
  <c r="Y257" i="12"/>
  <c r="N257"/>
  <c r="AG262" i="5"/>
  <c r="S262"/>
  <c r="F262" i="12" s="1"/>
  <c r="M260" i="6"/>
  <c r="K260" i="12"/>
  <c r="A261" i="6"/>
  <c r="W256" i="12"/>
  <c r="X256"/>
  <c r="AN259" i="6"/>
  <c r="BB259"/>
  <c r="BD259"/>
  <c r="BE259"/>
  <c r="AZ259"/>
  <c r="AX259"/>
  <c r="AJ259"/>
  <c r="AF259"/>
  <c r="AV259"/>
  <c r="AK259"/>
  <c r="BG259"/>
  <c r="AT259"/>
  <c r="AU259"/>
  <c r="AQ259"/>
  <c r="BF259"/>
  <c r="AS259"/>
  <c r="AD259"/>
  <c r="AI259"/>
  <c r="BA259"/>
  <c r="AO259"/>
  <c r="AB259"/>
  <c r="AH259"/>
  <c r="AM259"/>
  <c r="AP259"/>
  <c r="AY259"/>
  <c r="BC259"/>
  <c r="AE259"/>
  <c r="AR259"/>
  <c r="AC259"/>
  <c r="AG259"/>
  <c r="E261" i="12"/>
  <c r="F261" i="6"/>
  <c r="E257"/>
  <c r="D257" i="12"/>
  <c r="B262" i="5"/>
  <c r="N262"/>
  <c r="D262" i="6" s="1"/>
  <c r="D262" i="5"/>
  <c r="B262" i="12" s="1"/>
  <c r="G262" i="5"/>
  <c r="H262"/>
  <c r="B262" i="6"/>
  <c r="C263" i="5"/>
  <c r="A5" s="1"/>
  <c r="F262"/>
  <c r="A262" i="12"/>
  <c r="R262" i="5"/>
  <c r="J262"/>
  <c r="E262"/>
  <c r="W262"/>
  <c r="H262" i="12" s="1"/>
  <c r="K262" i="5"/>
  <c r="AE262"/>
  <c r="AD262"/>
  <c r="J261" i="12"/>
  <c r="L261"/>
  <c r="G261" i="6"/>
  <c r="H261"/>
  <c r="Y259" i="12"/>
  <c r="X259" s="1"/>
  <c r="D259"/>
  <c r="E259" i="6"/>
  <c r="C260" i="12"/>
  <c r="G262"/>
  <c r="AF263" i="5"/>
  <c r="AB260" l="1"/>
  <c r="O260"/>
  <c r="X258" i="12"/>
  <c r="M260"/>
  <c r="O260"/>
  <c r="Y260" s="1"/>
  <c r="X260" s="1"/>
  <c r="A262" i="6"/>
  <c r="M262" s="1"/>
  <c r="AN262" s="1"/>
  <c r="W257" i="12"/>
  <c r="X257"/>
  <c r="S263" i="5"/>
  <c r="F263" i="12" s="1"/>
  <c r="AG263" i="5"/>
  <c r="K263"/>
  <c r="AE263"/>
  <c r="B263"/>
  <c r="W263"/>
  <c r="H263" i="12" s="1"/>
  <c r="B263" i="6"/>
  <c r="F263" i="5"/>
  <c r="J23" s="1"/>
  <c r="D23" s="1"/>
  <c r="D263"/>
  <c r="B263" i="12" s="1"/>
  <c r="G263" i="5"/>
  <c r="A263" i="12"/>
  <c r="H263" i="5"/>
  <c r="AD263"/>
  <c r="N263"/>
  <c r="D263" i="6" s="1"/>
  <c r="R263" i="5"/>
  <c r="J263"/>
  <c r="E263"/>
  <c r="A17" i="13" s="1"/>
  <c r="B17" s="1"/>
  <c r="AG17" s="1"/>
  <c r="M261" i="6"/>
  <c r="AC261" s="1"/>
  <c r="N261"/>
  <c r="K261" i="12"/>
  <c r="E23" i="8"/>
  <c r="J28" i="5"/>
  <c r="D28" s="1"/>
  <c r="B28" i="12" s="1"/>
  <c r="U256"/>
  <c r="V256"/>
  <c r="T256"/>
  <c r="T261" i="5"/>
  <c r="X261" s="1"/>
  <c r="J262" i="12"/>
  <c r="L262"/>
  <c r="AN260" i="6"/>
  <c r="AP260"/>
  <c r="AB260"/>
  <c r="AT260"/>
  <c r="AS260"/>
  <c r="BC260"/>
  <c r="AY260"/>
  <c r="AX260"/>
  <c r="AD260"/>
  <c r="AM260"/>
  <c r="AR260"/>
  <c r="AK260"/>
  <c r="AO260"/>
  <c r="AJ260"/>
  <c r="AQ260"/>
  <c r="AZ260"/>
  <c r="AG260"/>
  <c r="AV260"/>
  <c r="AU260"/>
  <c r="BG260"/>
  <c r="AE260"/>
  <c r="BD260"/>
  <c r="AH260"/>
  <c r="AI260"/>
  <c r="AC260"/>
  <c r="AF260"/>
  <c r="BF260"/>
  <c r="BB260"/>
  <c r="BA260"/>
  <c r="BE260"/>
  <c r="F262"/>
  <c r="E262" i="12"/>
  <c r="H262" i="6"/>
  <c r="G262"/>
  <c r="W259" i="12"/>
  <c r="T259" s="1"/>
  <c r="G263"/>
  <c r="D260"/>
  <c r="E260" i="6"/>
  <c r="V258" i="12"/>
  <c r="U258"/>
  <c r="T258"/>
  <c r="AE261" i="6" l="1"/>
  <c r="AF261"/>
  <c r="B16" i="11"/>
  <c r="C16" i="13" s="1"/>
  <c r="A23"/>
  <c r="B23" s="1"/>
  <c r="AE23" s="1"/>
  <c r="A16"/>
  <c r="B22" i="11"/>
  <c r="B19"/>
  <c r="B18"/>
  <c r="B21"/>
  <c r="O21" s="1"/>
  <c r="AD261" i="6"/>
  <c r="AI261"/>
  <c r="AB261"/>
  <c r="AH261"/>
  <c r="AK261"/>
  <c r="AJ261"/>
  <c r="A18" i="13"/>
  <c r="B18" s="1"/>
  <c r="AE18" s="1"/>
  <c r="B23" i="11"/>
  <c r="AA23" s="1"/>
  <c r="B20"/>
  <c r="G20" s="1"/>
  <c r="F20" i="13" s="1"/>
  <c r="A19"/>
  <c r="AG261" i="6"/>
  <c r="B17" i="11"/>
  <c r="G17" s="1"/>
  <c r="F17" i="13" s="1"/>
  <c r="B12" i="11"/>
  <c r="A12" i="13"/>
  <c r="B12" s="1"/>
  <c r="AD12" s="1"/>
  <c r="A15"/>
  <c r="J16" i="5"/>
  <c r="A22" i="13"/>
  <c r="B22" s="1"/>
  <c r="AF22" s="1"/>
  <c r="A20"/>
  <c r="B20" s="1"/>
  <c r="AD20" s="1"/>
  <c r="A21"/>
  <c r="B21" s="1"/>
  <c r="AD21" s="1"/>
  <c r="K16" i="5"/>
  <c r="B15" i="11"/>
  <c r="G15" s="1"/>
  <c r="F15" i="13" s="1"/>
  <c r="E17" i="8"/>
  <c r="E18" s="1"/>
  <c r="I17" s="1"/>
  <c r="E29"/>
  <c r="E30" s="1"/>
  <c r="AF20" i="13"/>
  <c r="AC17"/>
  <c r="AD23"/>
  <c r="N260" i="12"/>
  <c r="E26" i="8"/>
  <c r="E1"/>
  <c r="E2" s="1"/>
  <c r="O1" s="1"/>
  <c r="E14"/>
  <c r="E15" s="1"/>
  <c r="L14" s="1"/>
  <c r="E20"/>
  <c r="E21" s="1"/>
  <c r="I20" s="1"/>
  <c r="AF23" i="13"/>
  <c r="AG23"/>
  <c r="AH23"/>
  <c r="AD17"/>
  <c r="AO262" i="6"/>
  <c r="AX262"/>
  <c r="AM262"/>
  <c r="AY262"/>
  <c r="N262"/>
  <c r="AQ262"/>
  <c r="BF262"/>
  <c r="AZ262"/>
  <c r="AP262"/>
  <c r="BB262"/>
  <c r="AR262"/>
  <c r="AU262"/>
  <c r="BA262"/>
  <c r="BE262"/>
  <c r="BG262"/>
  <c r="BC262"/>
  <c r="AV262"/>
  <c r="AT262"/>
  <c r="BD262"/>
  <c r="AS262"/>
  <c r="K262" i="12"/>
  <c r="AE17" i="13"/>
  <c r="K30" i="5"/>
  <c r="J30"/>
  <c r="AF17" i="13"/>
  <c r="AH20"/>
  <c r="J17" i="5"/>
  <c r="D17" s="1"/>
  <c r="B17" i="12" s="1"/>
  <c r="J19" i="5"/>
  <c r="D19" s="1"/>
  <c r="B19" i="12" s="1"/>
  <c r="AC20" i="13"/>
  <c r="AE20"/>
  <c r="AH17"/>
  <c r="U257" i="12"/>
  <c r="V257"/>
  <c r="T257"/>
  <c r="AA19" i="11"/>
  <c r="G19"/>
  <c r="F19" i="13" s="1"/>
  <c r="AB19" i="11"/>
  <c r="N19" s="1"/>
  <c r="K19"/>
  <c r="J19" i="13" s="1"/>
  <c r="O19" i="11"/>
  <c r="C19" i="13"/>
  <c r="K21" i="11"/>
  <c r="J21" i="13" s="1"/>
  <c r="K18" i="11"/>
  <c r="J18" i="13" s="1"/>
  <c r="AB18" i="11"/>
  <c r="N18" s="1"/>
  <c r="G18"/>
  <c r="F18" i="13" s="1"/>
  <c r="O18" i="11"/>
  <c r="C18" i="13"/>
  <c r="AA18" i="11"/>
  <c r="Z261" i="5"/>
  <c r="AM261"/>
  <c r="L261"/>
  <c r="I261" i="12"/>
  <c r="AC261" i="5"/>
  <c r="C12" i="13"/>
  <c r="O12" i="11"/>
  <c r="AA12"/>
  <c r="K12"/>
  <c r="J12" i="13" s="1"/>
  <c r="G12" i="11"/>
  <c r="F12" i="13" s="1"/>
  <c r="AB12" i="11"/>
  <c r="N12" s="1"/>
  <c r="O16"/>
  <c r="AA16"/>
  <c r="AB16"/>
  <c r="N16" s="1"/>
  <c r="BF261" i="6"/>
  <c r="BG261"/>
  <c r="AQ261"/>
  <c r="AO261"/>
  <c r="AV261"/>
  <c r="AR261"/>
  <c r="BB261"/>
  <c r="BC261"/>
  <c r="AY261"/>
  <c r="BE261"/>
  <c r="BA261"/>
  <c r="AZ261"/>
  <c r="AN261"/>
  <c r="AU261"/>
  <c r="AT261"/>
  <c r="AM261"/>
  <c r="AP261"/>
  <c r="BD261"/>
  <c r="AS261"/>
  <c r="AX261"/>
  <c r="H263"/>
  <c r="T263" i="5" s="1"/>
  <c r="X263" s="1"/>
  <c r="AM263" s="1"/>
  <c r="G263" i="6"/>
  <c r="T262" i="5"/>
  <c r="X262" s="1"/>
  <c r="AC262" i="6"/>
  <c r="AH262"/>
  <c r="AB262"/>
  <c r="AE262"/>
  <c r="AI262"/>
  <c r="AG262"/>
  <c r="AJ262"/>
  <c r="AK262"/>
  <c r="AF262"/>
  <c r="AD262"/>
  <c r="B23" i="12"/>
  <c r="AB17" i="11"/>
  <c r="N17" s="1"/>
  <c r="C17" i="13"/>
  <c r="G22" i="11"/>
  <c r="F22" i="13" s="1"/>
  <c r="AA22" i="11"/>
  <c r="K22"/>
  <c r="J22" i="13" s="1"/>
  <c r="AB22" i="11"/>
  <c r="N22" s="1"/>
  <c r="O22"/>
  <c r="C22" i="13"/>
  <c r="AA15" i="11"/>
  <c r="E263" i="12"/>
  <c r="F263" i="6"/>
  <c r="J263" i="12"/>
  <c r="L263"/>
  <c r="A263" i="6"/>
  <c r="U259" i="12"/>
  <c r="V259"/>
  <c r="W260"/>
  <c r="T260" s="1"/>
  <c r="O17" i="11" l="1"/>
  <c r="K17"/>
  <c r="J17" i="13" s="1"/>
  <c r="AA17" i="11"/>
  <c r="G16"/>
  <c r="F16" i="13" s="1"/>
  <c r="AB21" i="11"/>
  <c r="N21" s="1"/>
  <c r="AB23"/>
  <c r="N23" s="1"/>
  <c r="AH18" i="13"/>
  <c r="AG18"/>
  <c r="G21" i="11"/>
  <c r="F21" i="13" s="1"/>
  <c r="K16" i="11"/>
  <c r="J16" i="13" s="1"/>
  <c r="C21"/>
  <c r="C23"/>
  <c r="AC23"/>
  <c r="AA21" i="11"/>
  <c r="R21" i="13" s="1"/>
  <c r="AF18"/>
  <c r="K23" i="11"/>
  <c r="J23" i="13" s="1"/>
  <c r="O23" i="11"/>
  <c r="G23"/>
  <c r="F23" i="13" s="1"/>
  <c r="AD18"/>
  <c r="AC18"/>
  <c r="D16" i="5"/>
  <c r="B16" i="13"/>
  <c r="AE16" s="1"/>
  <c r="AA20" i="11"/>
  <c r="K20"/>
  <c r="J20" i="13" s="1"/>
  <c r="AB20" i="11"/>
  <c r="N20" s="1"/>
  <c r="C20" i="13"/>
  <c r="O20" i="11"/>
  <c r="AC21" i="13"/>
  <c r="AG21"/>
  <c r="D30" i="5"/>
  <c r="B30" i="12" s="1"/>
  <c r="AH12" i="13"/>
  <c r="AC12"/>
  <c r="AF12"/>
  <c r="AG12"/>
  <c r="AE12"/>
  <c r="B19"/>
  <c r="AG19" s="1"/>
  <c r="B15"/>
  <c r="AF15" s="1"/>
  <c r="C15"/>
  <c r="K15" s="1"/>
  <c r="AH22"/>
  <c r="K15" i="11"/>
  <c r="J15" i="13" s="1"/>
  <c r="AB15" i="11"/>
  <c r="N15" s="1"/>
  <c r="AE22" i="13"/>
  <c r="AC22"/>
  <c r="O15" i="11"/>
  <c r="W15" s="1"/>
  <c r="AE21" i="13"/>
  <c r="AD22"/>
  <c r="AH21"/>
  <c r="AG22"/>
  <c r="AG20"/>
  <c r="AF21"/>
  <c r="L17" i="8"/>
  <c r="R19" s="1"/>
  <c r="I29"/>
  <c r="L29"/>
  <c r="P29" s="1"/>
  <c r="R1"/>
  <c r="F2" s="1"/>
  <c r="M1"/>
  <c r="N1"/>
  <c r="H1"/>
  <c r="P1"/>
  <c r="I1"/>
  <c r="L1"/>
  <c r="R3" s="1"/>
  <c r="I263" i="12"/>
  <c r="AO263" s="1"/>
  <c r="L263" i="5"/>
  <c r="O263" s="1"/>
  <c r="Z263"/>
  <c r="AA263" s="1"/>
  <c r="AC263"/>
  <c r="L20" i="8"/>
  <c r="P20" s="1"/>
  <c r="I14"/>
  <c r="K263" i="12"/>
  <c r="C22" i="11"/>
  <c r="L22" i="13"/>
  <c r="D22" s="1"/>
  <c r="Z22" i="11"/>
  <c r="W22"/>
  <c r="W17"/>
  <c r="Z17"/>
  <c r="L17" i="13"/>
  <c r="D17" s="1"/>
  <c r="C17" i="11"/>
  <c r="O14" i="8"/>
  <c r="R16"/>
  <c r="P14"/>
  <c r="N14"/>
  <c r="Z16" i="11"/>
  <c r="C16"/>
  <c r="L16" i="13"/>
  <c r="D16" s="1"/>
  <c r="W16" i="11"/>
  <c r="AB261" i="5"/>
  <c r="AA261"/>
  <c r="T21" i="13"/>
  <c r="O21"/>
  <c r="K21"/>
  <c r="M21"/>
  <c r="Z19" i="11"/>
  <c r="C19"/>
  <c r="L19" i="13"/>
  <c r="D19" s="1"/>
  <c r="W19" i="11"/>
  <c r="T20" i="13"/>
  <c r="O20"/>
  <c r="K20"/>
  <c r="M20"/>
  <c r="U22"/>
  <c r="K22"/>
  <c r="T22"/>
  <c r="M22"/>
  <c r="O22"/>
  <c r="R22"/>
  <c r="S22"/>
  <c r="M12"/>
  <c r="T12"/>
  <c r="U12"/>
  <c r="O12"/>
  <c r="S12"/>
  <c r="K12"/>
  <c r="R12"/>
  <c r="L18"/>
  <c r="D18" s="1"/>
  <c r="W18" i="11"/>
  <c r="Z18"/>
  <c r="C18"/>
  <c r="L21" i="13"/>
  <c r="D21" s="1"/>
  <c r="C21" i="11"/>
  <c r="W21"/>
  <c r="C23"/>
  <c r="W23"/>
  <c r="L23" i="13"/>
  <c r="D23" s="1"/>
  <c r="Z23" i="11"/>
  <c r="S19" i="13"/>
  <c r="M19"/>
  <c r="T19"/>
  <c r="O19"/>
  <c r="U19"/>
  <c r="R19"/>
  <c r="K19"/>
  <c r="N263" i="6"/>
  <c r="M263"/>
  <c r="C12" i="11"/>
  <c r="Z12"/>
  <c r="W12"/>
  <c r="L12" i="13"/>
  <c r="O261" i="5"/>
  <c r="C261" i="6"/>
  <c r="S18" i="13"/>
  <c r="M18"/>
  <c r="O18"/>
  <c r="T18"/>
  <c r="U18"/>
  <c r="R18"/>
  <c r="K18"/>
  <c r="B14"/>
  <c r="U17"/>
  <c r="O17"/>
  <c r="M17"/>
  <c r="S17"/>
  <c r="R17"/>
  <c r="K17"/>
  <c r="T17"/>
  <c r="AC262" i="5"/>
  <c r="L262"/>
  <c r="I262" i="12"/>
  <c r="Z262" i="5"/>
  <c r="AM262"/>
  <c r="K16" i="13"/>
  <c r="M16"/>
  <c r="U16"/>
  <c r="R16"/>
  <c r="T16"/>
  <c r="O16"/>
  <c r="S16"/>
  <c r="O261" i="12"/>
  <c r="AO261"/>
  <c r="C261"/>
  <c r="M261"/>
  <c r="U260"/>
  <c r="V260"/>
  <c r="E24" i="8"/>
  <c r="S23" i="13" l="1"/>
  <c r="D15" i="5"/>
  <c r="M23" i="13"/>
  <c r="R23"/>
  <c r="Z21" i="11"/>
  <c r="C15"/>
  <c r="T23" i="13"/>
  <c r="U21"/>
  <c r="B16" i="12"/>
  <c r="O23" i="13"/>
  <c r="U23"/>
  <c r="K23"/>
  <c r="S21"/>
  <c r="Z20" i="11"/>
  <c r="R20" i="13"/>
  <c r="AH16"/>
  <c r="AG16"/>
  <c r="L20"/>
  <c r="D20" s="1"/>
  <c r="U20"/>
  <c r="AD16"/>
  <c r="AC16"/>
  <c r="W20" i="11"/>
  <c r="S20" i="13"/>
  <c r="C20" i="11"/>
  <c r="AF16" i="13"/>
  <c r="M15"/>
  <c r="AG15"/>
  <c r="P17" i="8"/>
  <c r="Z15" i="11"/>
  <c r="AD15" i="13"/>
  <c r="L15"/>
  <c r="D15" s="1"/>
  <c r="AH15"/>
  <c r="AE15"/>
  <c r="AC15"/>
  <c r="AC19"/>
  <c r="AD19"/>
  <c r="AE19"/>
  <c r="AF19"/>
  <c r="AH19"/>
  <c r="T15"/>
  <c r="R15"/>
  <c r="AB263" i="5"/>
  <c r="O15" i="13"/>
  <c r="N15" s="1"/>
  <c r="U15"/>
  <c r="S15"/>
  <c r="Q1" i="8"/>
  <c r="AE3" s="1"/>
  <c r="O17"/>
  <c r="M263" i="12"/>
  <c r="C20" i="10"/>
  <c r="A20" i="9"/>
  <c r="C20"/>
  <c r="A20" i="10"/>
  <c r="R31" i="8"/>
  <c r="M29"/>
  <c r="N29"/>
  <c r="O29"/>
  <c r="F1"/>
  <c r="G2"/>
  <c r="G1"/>
  <c r="I2" s="1"/>
  <c r="C263" i="6"/>
  <c r="C263" i="12"/>
  <c r="O263"/>
  <c r="Y263" s="1"/>
  <c r="O20" i="8"/>
  <c r="R22"/>
  <c r="Y261" i="12"/>
  <c r="AA262" i="5"/>
  <c r="AB262"/>
  <c r="D12" i="13"/>
  <c r="V12"/>
  <c r="N20"/>
  <c r="P20"/>
  <c r="P18"/>
  <c r="N18"/>
  <c r="E261" i="6"/>
  <c r="D261" i="12"/>
  <c r="N19" i="13"/>
  <c r="P19"/>
  <c r="N261" i="12"/>
  <c r="O262" i="5"/>
  <c r="C262" i="6"/>
  <c r="AZ263"/>
  <c r="C16" i="9"/>
  <c r="BG263" i="6"/>
  <c r="C18" i="9"/>
  <c r="AB263" i="6"/>
  <c r="AF263"/>
  <c r="AF15" s="1"/>
  <c r="U15" s="1"/>
  <c r="AS263"/>
  <c r="AI263"/>
  <c r="AI15" s="1"/>
  <c r="X15" s="1"/>
  <c r="AY263"/>
  <c r="M12"/>
  <c r="AU263"/>
  <c r="AX263"/>
  <c r="A19" i="10"/>
  <c r="A17" i="9"/>
  <c r="BE263" i="6"/>
  <c r="A19" i="9"/>
  <c r="C17" i="10"/>
  <c r="AJ263" i="6"/>
  <c r="AJ15" s="1"/>
  <c r="Y15" s="1"/>
  <c r="C18" i="10"/>
  <c r="BA263" i="6"/>
  <c r="AH263"/>
  <c r="AH15" s="1"/>
  <c r="W15" s="1"/>
  <c r="AD263"/>
  <c r="AN263"/>
  <c r="AQ263"/>
  <c r="AC263"/>
  <c r="C17" i="9"/>
  <c r="BB263" i="6"/>
  <c r="C1" i="9"/>
  <c r="C19" i="10"/>
  <c r="A1" i="9"/>
  <c r="A16"/>
  <c r="AR263" i="6"/>
  <c r="BF263"/>
  <c r="BC263"/>
  <c r="AO263"/>
  <c r="AK263"/>
  <c r="AK15" s="1"/>
  <c r="Z15" s="1"/>
  <c r="AT263"/>
  <c r="C16" i="10"/>
  <c r="A16"/>
  <c r="A18"/>
  <c r="A1"/>
  <c r="C1"/>
  <c r="A17"/>
  <c r="AV263" i="6"/>
  <c r="AP263"/>
  <c r="BD263"/>
  <c r="AE263"/>
  <c r="AM263"/>
  <c r="AG263"/>
  <c r="AG15" s="1"/>
  <c r="V15" s="1"/>
  <c r="A18" i="9"/>
  <c r="C19"/>
  <c r="N12" i="13"/>
  <c r="P12"/>
  <c r="P23"/>
  <c r="P16"/>
  <c r="N16"/>
  <c r="C262" i="12"/>
  <c r="AO262"/>
  <c r="M262"/>
  <c r="O262"/>
  <c r="P17" i="13"/>
  <c r="N17"/>
  <c r="N22"/>
  <c r="P22"/>
  <c r="P21"/>
  <c r="N21"/>
  <c r="I23" i="8"/>
  <c r="L23"/>
  <c r="D263" i="12"/>
  <c r="E263" i="6"/>
  <c r="N23" i="13" l="1"/>
  <c r="P15"/>
  <c r="N263" i="12"/>
  <c r="AE1" i="8"/>
  <c r="U3"/>
  <c r="AA3"/>
  <c r="Q29"/>
  <c r="Y1"/>
  <c r="AD1"/>
  <c r="Z1"/>
  <c r="AA1"/>
  <c r="AD3"/>
  <c r="V1"/>
  <c r="B1"/>
  <c r="W1"/>
  <c r="X1"/>
  <c r="U1"/>
  <c r="Z3"/>
  <c r="X3"/>
  <c r="V3"/>
  <c r="C1"/>
  <c r="AB1"/>
  <c r="AB3"/>
  <c r="AC1"/>
  <c r="T3"/>
  <c r="E3"/>
  <c r="T1"/>
  <c r="W3"/>
  <c r="AC3"/>
  <c r="D1"/>
  <c r="Y3"/>
  <c r="D3"/>
  <c r="Y262" i="12"/>
  <c r="X262" s="1"/>
  <c r="W261"/>
  <c r="X261"/>
  <c r="N262"/>
  <c r="D262"/>
  <c r="E262" i="6"/>
  <c r="P23" i="8"/>
  <c r="O23"/>
  <c r="R25"/>
  <c r="E27"/>
  <c r="X263" i="12"/>
  <c r="W263"/>
  <c r="Y31" i="8" l="1"/>
  <c r="AD31"/>
  <c r="E31"/>
  <c r="V31" s="1"/>
  <c r="AA31"/>
  <c r="X31"/>
  <c r="AE31"/>
  <c r="W262" i="12"/>
  <c r="U261"/>
  <c r="V261"/>
  <c r="T261"/>
  <c r="L26" i="8"/>
  <c r="I26"/>
  <c r="V263" i="12"/>
  <c r="U263"/>
  <c r="T263"/>
  <c r="AB31" i="8" l="1"/>
  <c r="Z31"/>
  <c r="W31"/>
  <c r="AC31"/>
  <c r="U262" i="12"/>
  <c r="V262"/>
  <c r="T262"/>
  <c r="P26" i="8"/>
  <c r="R28"/>
  <c r="O26"/>
  <c r="M20" l="1"/>
  <c r="M17"/>
  <c r="M14"/>
  <c r="Q14" s="1"/>
  <c r="M26"/>
  <c r="M23"/>
  <c r="B14" l="1"/>
  <c r="E16"/>
  <c r="C14"/>
  <c r="N26" l="1"/>
  <c r="Q26" s="1"/>
  <c r="N20"/>
  <c r="Q20" s="1"/>
  <c r="N23"/>
  <c r="Q23" s="1"/>
  <c r="N17"/>
  <c r="Q17" s="1"/>
  <c r="E28" l="1"/>
  <c r="AA28" s="1"/>
  <c r="E25"/>
  <c r="W25" s="1"/>
  <c r="E22"/>
  <c r="X22" s="1"/>
  <c r="E19"/>
  <c r="AD19" s="1"/>
  <c r="AC28" l="1"/>
  <c r="AD28"/>
  <c r="W28"/>
  <c r="X28"/>
  <c r="Y28"/>
  <c r="AE28"/>
  <c r="V28"/>
  <c r="Z28"/>
  <c r="AB28"/>
  <c r="AA22"/>
  <c r="AD22"/>
  <c r="AE22"/>
  <c r="V22"/>
  <c r="AC22"/>
  <c r="W22"/>
  <c r="Y22"/>
  <c r="AB22"/>
  <c r="Z22"/>
  <c r="Z25"/>
  <c r="AB25"/>
  <c r="AE25"/>
  <c r="Y25"/>
  <c r="AA25"/>
  <c r="AC25"/>
  <c r="AD25"/>
  <c r="X25"/>
  <c r="V25"/>
  <c r="AB19"/>
  <c r="X19"/>
  <c r="AE19"/>
  <c r="U19"/>
  <c r="W19"/>
  <c r="V19"/>
  <c r="Y19"/>
  <c r="Z19"/>
  <c r="AA19"/>
  <c r="AC19"/>
  <c r="F34" i="12" l="1"/>
  <c r="F14"/>
  <c r="F45"/>
  <c r="F46"/>
  <c r="F39"/>
  <c r="F38"/>
  <c r="F18"/>
  <c r="F31"/>
  <c r="F44"/>
  <c r="F30"/>
  <c r="F43"/>
  <c r="F17"/>
  <c r="F16"/>
  <c r="F41"/>
  <c r="F48"/>
  <c r="F37"/>
  <c r="F36"/>
  <c r="F42"/>
  <c r="F55"/>
  <c r="F20"/>
  <c r="F50"/>
  <c r="F21"/>
  <c r="F49"/>
  <c r="F52"/>
  <c r="F19"/>
  <c r="F51"/>
  <c r="F33"/>
  <c r="F32"/>
  <c r="F47"/>
  <c r="F35"/>
  <c r="F28"/>
  <c r="F22"/>
  <c r="F40"/>
  <c r="F57"/>
  <c r="F56"/>
  <c r="F29"/>
  <c r="F54"/>
  <c r="F53"/>
  <c r="H18" l="1"/>
  <c r="H31"/>
  <c r="H21"/>
  <c r="H29"/>
  <c r="H32"/>
  <c r="H22" l="1"/>
  <c r="H20"/>
  <c r="AF57" i="5"/>
  <c r="AG57" l="1"/>
  <c r="R57"/>
  <c r="S57"/>
  <c r="G57" i="6" s="1"/>
  <c r="F57" l="1"/>
  <c r="AC57" i="5"/>
  <c r="E57" i="12"/>
  <c r="AH14" i="13" l="1"/>
  <c r="O14" s="1"/>
  <c r="AE14"/>
  <c r="M14" s="1"/>
  <c r="M28" s="1"/>
  <c r="N14" l="1"/>
  <c r="O28"/>
  <c r="F33" i="14" l="1"/>
  <c r="AD6" i="13"/>
  <c r="AE6" s="1"/>
  <c r="N28"/>
  <c r="E33" i="14" l="1"/>
  <c r="AF47" i="5"/>
  <c r="AF49"/>
  <c r="AF41"/>
  <c r="AF39"/>
  <c r="AF29"/>
  <c r="AF14"/>
  <c r="AF16"/>
  <c r="AF23"/>
  <c r="AF34"/>
  <c r="AF50"/>
  <c r="AF48"/>
  <c r="AF51"/>
  <c r="AF44"/>
  <c r="AF26"/>
  <c r="AF54"/>
  <c r="AF56"/>
  <c r="AF40"/>
  <c r="AF24"/>
  <c r="AF35"/>
  <c r="AF17"/>
  <c r="AF53"/>
  <c r="AF42"/>
  <c r="AF52"/>
  <c r="AF36"/>
  <c r="AF43"/>
  <c r="AF21"/>
  <c r="AF20"/>
  <c r="AF27"/>
  <c r="AF45"/>
  <c r="AF30"/>
  <c r="AF18"/>
  <c r="AF37"/>
  <c r="AF19"/>
  <c r="AF25"/>
  <c r="AF31"/>
  <c r="AF55"/>
  <c r="AF28"/>
  <c r="AF38"/>
  <c r="AF46"/>
  <c r="AF33"/>
  <c r="AF32"/>
  <c r="AF22"/>
  <c r="S46" l="1"/>
  <c r="G46" i="6" s="1"/>
  <c r="AG46" i="5"/>
  <c r="R46"/>
  <c r="S38"/>
  <c r="G38" i="6" s="1"/>
  <c r="R38" i="5"/>
  <c r="AG38"/>
  <c r="R52"/>
  <c r="S52"/>
  <c r="G52" i="6" s="1"/>
  <c r="AG52" i="5"/>
  <c r="R43"/>
  <c r="S43"/>
  <c r="G43" i="6" s="1"/>
  <c r="AG43" i="5"/>
  <c r="R50"/>
  <c r="S50"/>
  <c r="G50" i="6" s="1"/>
  <c r="AG50" i="5"/>
  <c r="AG45"/>
  <c r="R45"/>
  <c r="S45"/>
  <c r="G45" i="6" s="1"/>
  <c r="AG19" i="5"/>
  <c r="S41"/>
  <c r="G41" i="6" s="1"/>
  <c r="R41" i="5"/>
  <c r="AG41"/>
  <c r="AG28"/>
  <c r="S51"/>
  <c r="G51" i="6" s="1"/>
  <c r="R51" i="5"/>
  <c r="AG51"/>
  <c r="AG35"/>
  <c r="S35"/>
  <c r="G35" i="6" s="1"/>
  <c r="R35" i="5"/>
  <c r="S49"/>
  <c r="G49" i="6" s="1"/>
  <c r="AG49" i="5"/>
  <c r="R49"/>
  <c r="S53"/>
  <c r="G53" i="6" s="1"/>
  <c r="R53" i="5"/>
  <c r="AG53"/>
  <c r="AG32"/>
  <c r="G32" i="6"/>
  <c r="R47" i="5"/>
  <c r="AG47"/>
  <c r="S47"/>
  <c r="G47" i="6" s="1"/>
  <c r="AG44" i="5"/>
  <c r="R44"/>
  <c r="S44"/>
  <c r="G44" i="6" s="1"/>
  <c r="AG56" i="5"/>
  <c r="S56"/>
  <c r="G56" i="6" s="1"/>
  <c r="R56" i="5"/>
  <c r="AG30"/>
  <c r="S14"/>
  <c r="G14" i="6" s="1"/>
  <c r="AG14" i="5"/>
  <c r="R14"/>
  <c r="R39"/>
  <c r="AG39"/>
  <c r="S39"/>
  <c r="G39" i="6" s="1"/>
  <c r="AG48" i="5"/>
  <c r="R48"/>
  <c r="S48"/>
  <c r="G48" i="6" s="1"/>
  <c r="S36" i="5"/>
  <c r="G36" i="6" s="1"/>
  <c r="AG36" i="5"/>
  <c r="R36"/>
  <c r="S54"/>
  <c r="G54" i="6" s="1"/>
  <c r="AG54" i="5"/>
  <c r="R54"/>
  <c r="AG16"/>
  <c r="R33"/>
  <c r="AG33"/>
  <c r="S33"/>
  <c r="G33" i="6" s="1"/>
  <c r="AG17" i="5"/>
  <c r="S34"/>
  <c r="G34" i="6" s="1"/>
  <c r="AG34" i="5"/>
  <c r="R34"/>
  <c r="R55"/>
  <c r="AG55"/>
  <c r="S55"/>
  <c r="G55" i="6" s="1"/>
  <c r="R42" i="5"/>
  <c r="AG42"/>
  <c r="S42"/>
  <c r="G42" i="6" s="1"/>
  <c r="AG40" i="5"/>
  <c r="S40"/>
  <c r="G40" i="6" s="1"/>
  <c r="R40" i="5"/>
  <c r="AG23"/>
  <c r="R37"/>
  <c r="AG37"/>
  <c r="S37"/>
  <c r="G37" i="6" s="1"/>
  <c r="AG25" i="5"/>
  <c r="AG22"/>
  <c r="AG31"/>
  <c r="AG29"/>
  <c r="AG18"/>
  <c r="AG20"/>
  <c r="AG27"/>
  <c r="AG26"/>
  <c r="AG24"/>
  <c r="AG21"/>
  <c r="W18" l="1"/>
  <c r="X18" s="1"/>
  <c r="G21" i="6"/>
  <c r="AN22" i="5"/>
  <c r="W24"/>
  <c r="X24" s="1"/>
  <c r="W31"/>
  <c r="X31" s="1"/>
  <c r="G27" i="6"/>
  <c r="G25"/>
  <c r="W26" i="5"/>
  <c r="X26" s="1"/>
  <c r="G20" i="6"/>
  <c r="G31"/>
  <c r="G18"/>
  <c r="W29" i="5"/>
  <c r="X29" s="1"/>
  <c r="G24" i="6"/>
  <c r="G26"/>
  <c r="AN27" i="5"/>
  <c r="W21"/>
  <c r="X21" s="1"/>
  <c r="AN25"/>
  <c r="G22" i="6"/>
  <c r="G29"/>
  <c r="W20" i="5"/>
  <c r="X20" s="1"/>
  <c r="AC40"/>
  <c r="F40" i="6"/>
  <c r="E40" i="12"/>
  <c r="F48" i="6"/>
  <c r="AC48" i="5"/>
  <c r="E48" i="12"/>
  <c r="E25"/>
  <c r="F25" i="6"/>
  <c r="E42" i="12"/>
  <c r="AC42" i="5"/>
  <c r="F42" i="6"/>
  <c r="F34"/>
  <c r="AC34" i="5"/>
  <c r="E34" i="12"/>
  <c r="AC39" i="5"/>
  <c r="F39" i="6"/>
  <c r="E39" i="12"/>
  <c r="W32" i="5"/>
  <c r="X32" s="1"/>
  <c r="AN32"/>
  <c r="F49" i="6"/>
  <c r="AC49" i="5"/>
  <c r="E49" i="12"/>
  <c r="E41"/>
  <c r="F41" i="6"/>
  <c r="AC41" i="5"/>
  <c r="AN24"/>
  <c r="AC45"/>
  <c r="F45" i="6"/>
  <c r="E45" i="12"/>
  <c r="AC50" i="5"/>
  <c r="F50" i="6"/>
  <c r="E50" i="12"/>
  <c r="F20" i="6"/>
  <c r="E20" i="12"/>
  <c r="AN31" i="5"/>
  <c r="E38" i="12"/>
  <c r="F38" i="6"/>
  <c r="AC38" i="5"/>
  <c r="E21" i="12"/>
  <c r="F21" i="6"/>
  <c r="F36"/>
  <c r="E36" i="12"/>
  <c r="AC36" i="5"/>
  <c r="F37" i="6"/>
  <c r="AC37" i="5"/>
  <c r="E37" i="12"/>
  <c r="AC55" i="5"/>
  <c r="F55" i="6"/>
  <c r="E55" i="12"/>
  <c r="AC33" i="5"/>
  <c r="F33" i="6"/>
  <c r="E33" i="12"/>
  <c r="E22"/>
  <c r="F22" i="6"/>
  <c r="E29" i="12"/>
  <c r="F29" i="6"/>
  <c r="AC35" i="5"/>
  <c r="E35" i="12"/>
  <c r="F35" i="6"/>
  <c r="AC51" i="5"/>
  <c r="F51" i="6"/>
  <c r="E51" i="12"/>
  <c r="AC52" i="5"/>
  <c r="F52" i="6"/>
  <c r="E52" i="12"/>
  <c r="AC54" i="5"/>
  <c r="F54" i="6"/>
  <c r="E54" i="12"/>
  <c r="E56"/>
  <c r="F56" i="6"/>
  <c r="AC56" i="5"/>
  <c r="E32" i="12"/>
  <c r="F32" i="6"/>
  <c r="E53" i="12"/>
  <c r="F53" i="6"/>
  <c r="AC53" i="5"/>
  <c r="E43" i="12"/>
  <c r="F43" i="6"/>
  <c r="AC43" i="5"/>
  <c r="E31" i="12"/>
  <c r="F31" i="6"/>
  <c r="E46" i="12"/>
  <c r="F46" i="6"/>
  <c r="AC46" i="5"/>
  <c r="F18" i="6"/>
  <c r="E18" i="12"/>
  <c r="AC14" i="5"/>
  <c r="F14" i="6"/>
  <c r="E14" i="12"/>
  <c r="E44"/>
  <c r="AC44" i="5"/>
  <c r="F44" i="6"/>
  <c r="AC47" i="5"/>
  <c r="F47" i="6"/>
  <c r="E47" i="12"/>
  <c r="E24"/>
  <c r="F24" i="6"/>
  <c r="E26" i="12"/>
  <c r="F26" i="6"/>
  <c r="AN20" i="5"/>
  <c r="E27" i="12"/>
  <c r="F27" i="6"/>
  <c r="AN18" i="5" l="1"/>
  <c r="AC18" s="1"/>
  <c r="AC24"/>
  <c r="AN29"/>
  <c r="W27"/>
  <c r="X27" s="1"/>
  <c r="AC27" s="1"/>
  <c r="AN26"/>
  <c r="AC26" s="1"/>
  <c r="AN21"/>
  <c r="AC31"/>
  <c r="W22"/>
  <c r="X22" s="1"/>
  <c r="AC22" s="1"/>
  <c r="W25"/>
  <c r="X25" s="1"/>
  <c r="AC25" s="1"/>
  <c r="AC32"/>
  <c r="AC20"/>
  <c r="AB29" i="6"/>
  <c r="AD29"/>
  <c r="AC29"/>
  <c r="X28" i="5"/>
  <c r="Z29"/>
  <c r="L29"/>
  <c r="I29"/>
  <c r="I29" i="12"/>
  <c r="AE29" i="6"/>
  <c r="AM29" i="5"/>
  <c r="AD31" i="6"/>
  <c r="AB31"/>
  <c r="AC31"/>
  <c r="I31" i="5"/>
  <c r="I32" s="1"/>
  <c r="I33" s="1"/>
  <c r="I34" s="1"/>
  <c r="I35" s="1"/>
  <c r="I36" s="1"/>
  <c r="I37" s="1"/>
  <c r="I38" s="1"/>
  <c r="I39" s="1"/>
  <c r="I40" s="1"/>
  <c r="I41" s="1"/>
  <c r="I42" s="1"/>
  <c r="I43" s="1"/>
  <c r="I44" s="1"/>
  <c r="I45" s="1"/>
  <c r="I46" s="1"/>
  <c r="I47" s="1"/>
  <c r="I48" s="1"/>
  <c r="I49" s="1"/>
  <c r="I50" s="1"/>
  <c r="I51" s="1"/>
  <c r="I52" s="1"/>
  <c r="I53" s="1"/>
  <c r="I54" s="1"/>
  <c r="I55" s="1"/>
  <c r="I56" s="1"/>
  <c r="I57" s="1"/>
  <c r="I58" s="1"/>
  <c r="I59" s="1"/>
  <c r="I60" s="1"/>
  <c r="I61" s="1"/>
  <c r="I62" s="1"/>
  <c r="I63" s="1"/>
  <c r="I64" s="1"/>
  <c r="I65" s="1"/>
  <c r="I66" s="1"/>
  <c r="I67" s="1"/>
  <c r="I68" s="1"/>
  <c r="I69" s="1"/>
  <c r="I70" s="1"/>
  <c r="I71" s="1"/>
  <c r="I72" s="1"/>
  <c r="I73" s="1"/>
  <c r="I74" s="1"/>
  <c r="I75" s="1"/>
  <c r="I76" s="1"/>
  <c r="I77" s="1"/>
  <c r="I78" s="1"/>
  <c r="I79" s="1"/>
  <c r="I80" s="1"/>
  <c r="I81" s="1"/>
  <c r="I82" s="1"/>
  <c r="I83" s="1"/>
  <c r="I84" s="1"/>
  <c r="I85" s="1"/>
  <c r="I86" s="1"/>
  <c r="I87" s="1"/>
  <c r="I88" s="1"/>
  <c r="I89" s="1"/>
  <c r="I90" s="1"/>
  <c r="I91" s="1"/>
  <c r="I92" s="1"/>
  <c r="I93" s="1"/>
  <c r="I94" s="1"/>
  <c r="I95" s="1"/>
  <c r="I96" s="1"/>
  <c r="I97" s="1"/>
  <c r="I98" s="1"/>
  <c r="I99" s="1"/>
  <c r="I100" s="1"/>
  <c r="I101" s="1"/>
  <c r="I102" s="1"/>
  <c r="I103" s="1"/>
  <c r="I104" s="1"/>
  <c r="I105" s="1"/>
  <c r="I106" s="1"/>
  <c r="I107" s="1"/>
  <c r="I108" s="1"/>
  <c r="I109" s="1"/>
  <c r="I110" s="1"/>
  <c r="I111" s="1"/>
  <c r="I112" s="1"/>
  <c r="I113" s="1"/>
  <c r="I114" s="1"/>
  <c r="I115" s="1"/>
  <c r="I116" s="1"/>
  <c r="I117" s="1"/>
  <c r="I118" s="1"/>
  <c r="I119" s="1"/>
  <c r="I120" s="1"/>
  <c r="I121" s="1"/>
  <c r="I122" s="1"/>
  <c r="I123" s="1"/>
  <c r="I124" s="1"/>
  <c r="I125" s="1"/>
  <c r="I126" s="1"/>
  <c r="I127" s="1"/>
  <c r="I128" s="1"/>
  <c r="I129" s="1"/>
  <c r="I130" s="1"/>
  <c r="I131" s="1"/>
  <c r="I132" s="1"/>
  <c r="I133" s="1"/>
  <c r="I134" s="1"/>
  <c r="I135" s="1"/>
  <c r="I136" s="1"/>
  <c r="I137" s="1"/>
  <c r="I138" s="1"/>
  <c r="I139" s="1"/>
  <c r="I140" s="1"/>
  <c r="I141" s="1"/>
  <c r="I142" s="1"/>
  <c r="I143" s="1"/>
  <c r="I144" s="1"/>
  <c r="I145" s="1"/>
  <c r="I146" s="1"/>
  <c r="I147" s="1"/>
  <c r="I148" s="1"/>
  <c r="I149" s="1"/>
  <c r="I150" s="1"/>
  <c r="I151" s="1"/>
  <c r="I152" s="1"/>
  <c r="I153" s="1"/>
  <c r="I154" s="1"/>
  <c r="I155" s="1"/>
  <c r="I156" s="1"/>
  <c r="I157" s="1"/>
  <c r="I158" s="1"/>
  <c r="I159" s="1"/>
  <c r="I160" s="1"/>
  <c r="I161" s="1"/>
  <c r="I162" s="1"/>
  <c r="I163" s="1"/>
  <c r="I164" s="1"/>
  <c r="I165" s="1"/>
  <c r="I166" s="1"/>
  <c r="I167" s="1"/>
  <c r="I168" s="1"/>
  <c r="I169" s="1"/>
  <c r="I170" s="1"/>
  <c r="I171" s="1"/>
  <c r="I172" s="1"/>
  <c r="I173" s="1"/>
  <c r="I174" s="1"/>
  <c r="I175" s="1"/>
  <c r="I176" s="1"/>
  <c r="I177" s="1"/>
  <c r="I178" s="1"/>
  <c r="I179" s="1"/>
  <c r="I180" s="1"/>
  <c r="I181" s="1"/>
  <c r="I182" s="1"/>
  <c r="I183" s="1"/>
  <c r="I184" s="1"/>
  <c r="I185" s="1"/>
  <c r="I186" s="1"/>
  <c r="I187" s="1"/>
  <c r="I188" s="1"/>
  <c r="I189" s="1"/>
  <c r="I190" s="1"/>
  <c r="I191" s="1"/>
  <c r="I192" s="1"/>
  <c r="I193" s="1"/>
  <c r="I194" s="1"/>
  <c r="I195" s="1"/>
  <c r="I196" s="1"/>
  <c r="I197" s="1"/>
  <c r="I198" s="1"/>
  <c r="I199" s="1"/>
  <c r="I200" s="1"/>
  <c r="I201" s="1"/>
  <c r="I202" s="1"/>
  <c r="I203" s="1"/>
  <c r="I204" s="1"/>
  <c r="I205" s="1"/>
  <c r="I206" s="1"/>
  <c r="I207" s="1"/>
  <c r="I208" s="1"/>
  <c r="I209" s="1"/>
  <c r="I210" s="1"/>
  <c r="I211" s="1"/>
  <c r="I212" s="1"/>
  <c r="I213" s="1"/>
  <c r="I214" s="1"/>
  <c r="I215" s="1"/>
  <c r="I216" s="1"/>
  <c r="I217" s="1"/>
  <c r="I218" s="1"/>
  <c r="I219" s="1"/>
  <c r="I220" s="1"/>
  <c r="I221" s="1"/>
  <c r="I222" s="1"/>
  <c r="I223" s="1"/>
  <c r="I224" s="1"/>
  <c r="I225" s="1"/>
  <c r="I226" s="1"/>
  <c r="I227" s="1"/>
  <c r="I228" s="1"/>
  <c r="I229" s="1"/>
  <c r="I230" s="1"/>
  <c r="I231" s="1"/>
  <c r="I232" s="1"/>
  <c r="I233" s="1"/>
  <c r="I234" s="1"/>
  <c r="I235" s="1"/>
  <c r="I236" s="1"/>
  <c r="I237" s="1"/>
  <c r="I238" s="1"/>
  <c r="I239" s="1"/>
  <c r="I240" s="1"/>
  <c r="I241" s="1"/>
  <c r="I242" s="1"/>
  <c r="I243" s="1"/>
  <c r="I244" s="1"/>
  <c r="I245" s="1"/>
  <c r="I246" s="1"/>
  <c r="I247" s="1"/>
  <c r="I248" s="1"/>
  <c r="I249" s="1"/>
  <c r="I250" s="1"/>
  <c r="I251" s="1"/>
  <c r="I252" s="1"/>
  <c r="I253" s="1"/>
  <c r="I254" s="1"/>
  <c r="I255" s="1"/>
  <c r="I256" s="1"/>
  <c r="I257" s="1"/>
  <c r="I258" s="1"/>
  <c r="I259" s="1"/>
  <c r="I260" s="1"/>
  <c r="I261" s="1"/>
  <c r="I262" s="1"/>
  <c r="I263" s="1"/>
  <c r="I31" i="12"/>
  <c r="AE31" i="6"/>
  <c r="L31" i="5"/>
  <c r="X30"/>
  <c r="Z31"/>
  <c r="AM31"/>
  <c r="I32" i="12"/>
  <c r="AE32" i="6"/>
  <c r="AB32"/>
  <c r="AD32"/>
  <c r="Z32" i="5"/>
  <c r="AM32"/>
  <c r="L32"/>
  <c r="AC32" i="6"/>
  <c r="AM21" i="5"/>
  <c r="AD21" i="6"/>
  <c r="AB21"/>
  <c r="Z21" i="5"/>
  <c r="AC21" i="6"/>
  <c r="I21" i="12"/>
  <c r="L21" i="5"/>
  <c r="AE21" i="6"/>
  <c r="AE24"/>
  <c r="L24" i="5"/>
  <c r="Z24"/>
  <c r="I24" i="12"/>
  <c r="AM24" i="5"/>
  <c r="AD24" i="6"/>
  <c r="AB24"/>
  <c r="AC24"/>
  <c r="AD18"/>
  <c r="L18" i="5"/>
  <c r="X17"/>
  <c r="I18" i="12"/>
  <c r="AB18" i="6"/>
  <c r="I18" i="5"/>
  <c r="Z18"/>
  <c r="AM18"/>
  <c r="AC18" i="6"/>
  <c r="AE18"/>
  <c r="Z27" i="5"/>
  <c r="AD27" i="6"/>
  <c r="AC27"/>
  <c r="I27" i="12"/>
  <c r="L27" i="5"/>
  <c r="AB27" i="6"/>
  <c r="AM27" i="5"/>
  <c r="AE27" i="6"/>
  <c r="Z20" i="5"/>
  <c r="AE20" i="6"/>
  <c r="AD20"/>
  <c r="L20" i="5"/>
  <c r="AB20" i="6"/>
  <c r="AM20" i="5"/>
  <c r="I20" i="12"/>
  <c r="AC20" i="6"/>
  <c r="I20" i="5"/>
  <c r="I21" s="1"/>
  <c r="AE26" i="6"/>
  <c r="I26" i="12"/>
  <c r="AM26" i="5"/>
  <c r="Z26"/>
  <c r="L26"/>
  <c r="AB26" i="6"/>
  <c r="AC26"/>
  <c r="AD26"/>
  <c r="Z22" i="5"/>
  <c r="AB22" i="6"/>
  <c r="AM22" i="5"/>
  <c r="I22" i="12"/>
  <c r="AC29" i="5"/>
  <c r="AC21"/>
  <c r="X23" l="1"/>
  <c r="L23" s="1"/>
  <c r="AB25" i="6"/>
  <c r="Z25" i="5"/>
  <c r="AB25" s="1"/>
  <c r="AM25"/>
  <c r="X15"/>
  <c r="K29" i="10" s="1"/>
  <c r="AC25" i="6"/>
  <c r="L22" i="5"/>
  <c r="AE22" i="6"/>
  <c r="X16" i="5"/>
  <c r="L16" s="1"/>
  <c r="AC22" i="6"/>
  <c r="AC15" s="1"/>
  <c r="R15" s="1"/>
  <c r="AD22"/>
  <c r="U22" i="8" s="1"/>
  <c r="I22" i="5"/>
  <c r="I23" s="1"/>
  <c r="I24" s="1"/>
  <c r="I25" s="1"/>
  <c r="I26" s="1"/>
  <c r="I27" s="1"/>
  <c r="X19"/>
  <c r="AC19" s="1"/>
  <c r="L25"/>
  <c r="C25" i="6" s="1"/>
  <c r="AE25"/>
  <c r="AE15" s="1"/>
  <c r="T15" s="1"/>
  <c r="I25" i="12"/>
  <c r="AD25" i="6"/>
  <c r="AB20" i="5"/>
  <c r="C27" i="6"/>
  <c r="O27" i="5"/>
  <c r="AB27"/>
  <c r="C22" i="6"/>
  <c r="M26" i="12"/>
  <c r="AO26"/>
  <c r="O26"/>
  <c r="C26"/>
  <c r="C20"/>
  <c r="M20"/>
  <c r="AO20"/>
  <c r="O20"/>
  <c r="O20" i="5"/>
  <c r="C20" i="6"/>
  <c r="O27" i="12"/>
  <c r="AO27"/>
  <c r="C27"/>
  <c r="M27"/>
  <c r="AB18" i="5"/>
  <c r="T25" i="8"/>
  <c r="D25"/>
  <c r="M24" i="12"/>
  <c r="O24"/>
  <c r="AO24"/>
  <c r="C24"/>
  <c r="AB32" i="5"/>
  <c r="M32" i="12"/>
  <c r="C32"/>
  <c r="AO32"/>
  <c r="O32"/>
  <c r="O31" i="5"/>
  <c r="C31" i="6"/>
  <c r="T31" i="8"/>
  <c r="D31"/>
  <c r="AB29" i="5"/>
  <c r="AB28" s="1"/>
  <c r="U28" i="8"/>
  <c r="C29" i="6"/>
  <c r="O29" i="5"/>
  <c r="Y29" i="10"/>
  <c r="U29"/>
  <c r="S29"/>
  <c r="Z15" i="5"/>
  <c r="Q29" i="10"/>
  <c r="AA29"/>
  <c r="O29"/>
  <c r="I29"/>
  <c r="M29"/>
  <c r="W29"/>
  <c r="C18" i="12"/>
  <c r="AO18"/>
  <c r="M18"/>
  <c r="O18"/>
  <c r="Z30" i="5"/>
  <c r="I30" i="12"/>
  <c r="R29" i="8"/>
  <c r="L30" i="5"/>
  <c r="AM30"/>
  <c r="AC30"/>
  <c r="AB26"/>
  <c r="D19" i="8"/>
  <c r="AB15" i="6"/>
  <c r="Q15" s="1"/>
  <c r="T19" i="8"/>
  <c r="C18" i="6"/>
  <c r="O18" i="5"/>
  <c r="C24" i="6"/>
  <c r="O24" i="5"/>
  <c r="O21"/>
  <c r="C21" i="6"/>
  <c r="C25" i="12"/>
  <c r="M25"/>
  <c r="O25"/>
  <c r="AO25"/>
  <c r="O32" i="5"/>
  <c r="C32" i="6"/>
  <c r="AB31" i="5"/>
  <c r="M31" i="12"/>
  <c r="C31"/>
  <c r="AO31"/>
  <c r="O31"/>
  <c r="D28" i="8"/>
  <c r="T28"/>
  <c r="O22" i="12"/>
  <c r="AO22"/>
  <c r="M22"/>
  <c r="C22"/>
  <c r="D22" i="8"/>
  <c r="AC23" i="5"/>
  <c r="C21" i="12"/>
  <c r="AO21"/>
  <c r="O21"/>
  <c r="M21"/>
  <c r="O25" i="5"/>
  <c r="AB22"/>
  <c r="O26"/>
  <c r="C26" i="6"/>
  <c r="L17" i="5"/>
  <c r="AM17"/>
  <c r="R17" i="8"/>
  <c r="Z17" i="5"/>
  <c r="I17" i="12"/>
  <c r="AC17" i="5"/>
  <c r="AB24"/>
  <c r="AB21"/>
  <c r="O29" i="12"/>
  <c r="C29"/>
  <c r="M29"/>
  <c r="M28" s="1"/>
  <c r="AO29"/>
  <c r="L28" i="5"/>
  <c r="Z28"/>
  <c r="R26" i="8"/>
  <c r="AM28" i="5"/>
  <c r="I28" i="12"/>
  <c r="AC28" i="5"/>
  <c r="U31" i="8"/>
  <c r="U29" s="1"/>
  <c r="I19" i="12" l="1"/>
  <c r="C19" s="1"/>
  <c r="O22" i="5"/>
  <c r="M30" i="12"/>
  <c r="T22" i="8"/>
  <c r="AM23" i="5"/>
  <c r="R23" i="8"/>
  <c r="I23" i="12"/>
  <c r="J23" s="1"/>
  <c r="Z23" i="5"/>
  <c r="AB30"/>
  <c r="C29" i="8" s="1"/>
  <c r="Z16" i="5"/>
  <c r="Z19"/>
  <c r="R20" i="8"/>
  <c r="D20" s="1"/>
  <c r="AM19" i="5"/>
  <c r="L19"/>
  <c r="O19" s="1"/>
  <c r="I16" i="12"/>
  <c r="R14" i="8"/>
  <c r="AM15" i="5"/>
  <c r="AC16"/>
  <c r="O14" i="11"/>
  <c r="O24" s="1"/>
  <c r="AE29" i="10"/>
  <c r="AE28" s="1"/>
  <c r="AM16" i="5"/>
  <c r="AC29" i="10"/>
  <c r="AC27" s="1"/>
  <c r="AC26" s="1"/>
  <c r="U25" i="8"/>
  <c r="AD15" i="6"/>
  <c r="S15" s="1"/>
  <c r="Y21" i="12"/>
  <c r="X21" s="1"/>
  <c r="N32"/>
  <c r="N25"/>
  <c r="N21"/>
  <c r="AB23" i="5"/>
  <c r="C23" i="8" s="1"/>
  <c r="N22" i="12"/>
  <c r="Y27"/>
  <c r="X27" s="1"/>
  <c r="Y22"/>
  <c r="W22" s="1"/>
  <c r="Y25"/>
  <c r="X25" s="1"/>
  <c r="Y26"/>
  <c r="X26" s="1"/>
  <c r="K28" i="10"/>
  <c r="K27"/>
  <c r="K26" s="1"/>
  <c r="C16" i="6"/>
  <c r="O16" i="5"/>
  <c r="D20" i="12"/>
  <c r="E20" i="6"/>
  <c r="D29" i="8"/>
  <c r="D23"/>
  <c r="AB19" i="5"/>
  <c r="O30" i="12"/>
  <c r="N30" s="1"/>
  <c r="N31"/>
  <c r="E18" i="6"/>
  <c r="D18" i="12"/>
  <c r="V29" i="8"/>
  <c r="AA29"/>
  <c r="Z29"/>
  <c r="AB29"/>
  <c r="Y29"/>
  <c r="AC29"/>
  <c r="G30"/>
  <c r="AD29"/>
  <c r="G29"/>
  <c r="I30" s="1"/>
  <c r="AE29"/>
  <c r="F30"/>
  <c r="F29"/>
  <c r="W29"/>
  <c r="X29"/>
  <c r="M17" i="12"/>
  <c r="M16"/>
  <c r="X26" i="8"/>
  <c r="AA26"/>
  <c r="AE26"/>
  <c r="F26"/>
  <c r="C26"/>
  <c r="G27"/>
  <c r="G26"/>
  <c r="I27" s="1"/>
  <c r="W26"/>
  <c r="F27"/>
  <c r="Y26"/>
  <c r="AB26"/>
  <c r="AC26"/>
  <c r="Z26"/>
  <c r="AD26"/>
  <c r="V26"/>
  <c r="J17" i="12"/>
  <c r="C17"/>
  <c r="C17" i="6"/>
  <c r="O17" i="5"/>
  <c r="C23" i="6"/>
  <c r="O23" i="5"/>
  <c r="C23" i="12"/>
  <c r="W28" i="10"/>
  <c r="W27"/>
  <c r="W26" s="1"/>
  <c r="AA28"/>
  <c r="AA27"/>
  <c r="AA26" s="1"/>
  <c r="Q28"/>
  <c r="Q27"/>
  <c r="Q26" s="1"/>
  <c r="Y27"/>
  <c r="Y26" s="1"/>
  <c r="Y28"/>
  <c r="D31" i="12"/>
  <c r="E31" i="6"/>
  <c r="G15" i="8"/>
  <c r="Q33"/>
  <c r="H33" s="1"/>
  <c r="F14"/>
  <c r="G14"/>
  <c r="I15" s="1"/>
  <c r="F15"/>
  <c r="C16" i="12"/>
  <c r="J16"/>
  <c r="D17" i="8"/>
  <c r="D26"/>
  <c r="U26"/>
  <c r="M23" i="12"/>
  <c r="M19"/>
  <c r="M27" i="10"/>
  <c r="M26" s="1"/>
  <c r="M28"/>
  <c r="D32" i="12"/>
  <c r="E32" i="6"/>
  <c r="J19" i="12"/>
  <c r="C30" i="6"/>
  <c r="O30" i="5"/>
  <c r="N18" i="12"/>
  <c r="O17"/>
  <c r="O16"/>
  <c r="AO28"/>
  <c r="Y29"/>
  <c r="E24" i="6"/>
  <c r="D24" i="12"/>
  <c r="AA20" i="8"/>
  <c r="AD20"/>
  <c r="O28" i="10"/>
  <c r="O27"/>
  <c r="O26" s="1"/>
  <c r="U28"/>
  <c r="U27"/>
  <c r="U26" s="1"/>
  <c r="N24" i="12"/>
  <c r="O23"/>
  <c r="L23" s="1"/>
  <c r="AB15" i="5"/>
  <c r="AB16"/>
  <c r="AB17"/>
  <c r="C17" i="8" s="1"/>
  <c r="AO19" i="12"/>
  <c r="Y20"/>
  <c r="E22" i="6"/>
  <c r="D22" i="12"/>
  <c r="T26" i="8"/>
  <c r="T17"/>
  <c r="AC11" i="5"/>
  <c r="N27" i="12"/>
  <c r="N26"/>
  <c r="C28"/>
  <c r="J28"/>
  <c r="O28" i="5"/>
  <c r="C28" i="6"/>
  <c r="N29" i="12"/>
  <c r="O28"/>
  <c r="N28" s="1"/>
  <c r="Z17" i="8"/>
  <c r="AA17"/>
  <c r="Z16"/>
  <c r="Z14" s="1"/>
  <c r="X17"/>
  <c r="AB17"/>
  <c r="F17"/>
  <c r="U17"/>
  <c r="W17"/>
  <c r="AE17"/>
  <c r="AD17"/>
  <c r="G17"/>
  <c r="I18" s="1"/>
  <c r="Y17"/>
  <c r="AC17"/>
  <c r="G18"/>
  <c r="V17"/>
  <c r="F18"/>
  <c r="D26" i="12"/>
  <c r="E26" i="6"/>
  <c r="E25"/>
  <c r="D25" i="12"/>
  <c r="G24" i="8"/>
  <c r="AC23"/>
  <c r="AA23"/>
  <c r="AE23"/>
  <c r="G23"/>
  <c r="I24" s="1"/>
  <c r="F24"/>
  <c r="Y31" i="12"/>
  <c r="AO30"/>
  <c r="D21"/>
  <c r="E21" i="6"/>
  <c r="C19"/>
  <c r="J30" i="12"/>
  <c r="C30"/>
  <c r="Y18"/>
  <c r="AO17"/>
  <c r="AO16"/>
  <c r="I28" i="10"/>
  <c r="AE9" s="1"/>
  <c r="I27"/>
  <c r="I26" s="1"/>
  <c r="Y9" s="1"/>
  <c r="S28"/>
  <c r="S27"/>
  <c r="S26" s="1"/>
  <c r="D29" i="12"/>
  <c r="E29" i="6"/>
  <c r="Y24" i="12"/>
  <c r="AO23"/>
  <c r="O19"/>
  <c r="N20"/>
  <c r="E27" i="6"/>
  <c r="D27" i="12"/>
  <c r="T29" i="8"/>
  <c r="Y32" i="12"/>
  <c r="T23" i="8"/>
  <c r="T20" l="1"/>
  <c r="U23"/>
  <c r="W14" i="11"/>
  <c r="L14" i="13"/>
  <c r="Y17" i="12"/>
  <c r="X17" s="1"/>
  <c r="AB16" i="8"/>
  <c r="AB14" s="1"/>
  <c r="V23"/>
  <c r="AB23"/>
  <c r="AD16"/>
  <c r="AD14" s="1"/>
  <c r="Z20"/>
  <c r="U20"/>
  <c r="W23"/>
  <c r="AD23"/>
  <c r="T16"/>
  <c r="T42" s="1"/>
  <c r="T37" s="1"/>
  <c r="T33" s="1"/>
  <c r="D16"/>
  <c r="D42" s="1"/>
  <c r="D38" s="1"/>
  <c r="AA16"/>
  <c r="AA14" s="1"/>
  <c r="G21"/>
  <c r="G20"/>
  <c r="I21" s="1"/>
  <c r="AC16"/>
  <c r="AC14" s="1"/>
  <c r="U16"/>
  <c r="U14" s="1"/>
  <c r="X16"/>
  <c r="X14" s="1"/>
  <c r="V20"/>
  <c r="AB20"/>
  <c r="W16"/>
  <c r="W14" s="1"/>
  <c r="AC20"/>
  <c r="C20"/>
  <c r="Y20"/>
  <c r="AE20"/>
  <c r="X23"/>
  <c r="Z23"/>
  <c r="V16"/>
  <c r="V14" s="1"/>
  <c r="W20"/>
  <c r="F21"/>
  <c r="F23"/>
  <c r="Y23"/>
  <c r="AE16"/>
  <c r="AE14" s="1"/>
  <c r="Y16"/>
  <c r="Y14" s="1"/>
  <c r="F20"/>
  <c r="X20"/>
  <c r="X22" i="12"/>
  <c r="Y23"/>
  <c r="W23" s="1"/>
  <c r="W21"/>
  <c r="V21" s="1"/>
  <c r="C14" i="11"/>
  <c r="N19" i="12"/>
  <c r="AC28" i="10"/>
  <c r="L30" i="12"/>
  <c r="K30" s="1"/>
  <c r="AE27" i="10"/>
  <c r="AE26" s="1"/>
  <c r="Y30" i="12"/>
  <c r="W25"/>
  <c r="T25" s="1"/>
  <c r="N16"/>
  <c r="L28"/>
  <c r="K28" s="1"/>
  <c r="L19"/>
  <c r="K19" s="1"/>
  <c r="L16"/>
  <c r="K16" s="1"/>
  <c r="W26"/>
  <c r="V26" s="1"/>
  <c r="Y16"/>
  <c r="X16" s="1"/>
  <c r="K23"/>
  <c r="W27"/>
  <c r="U27" s="1"/>
  <c r="W18"/>
  <c r="X18"/>
  <c r="W32"/>
  <c r="X32"/>
  <c r="X24"/>
  <c r="W24"/>
  <c r="W17"/>
  <c r="H26" i="8"/>
  <c r="D28" i="12"/>
  <c r="E28" i="6"/>
  <c r="AB14" i="11"/>
  <c r="AG14" i="13"/>
  <c r="U14" s="1"/>
  <c r="AD4" s="1"/>
  <c r="AD14"/>
  <c r="S14" s="1"/>
  <c r="M27" s="1"/>
  <c r="D30" i="12"/>
  <c r="H29" i="8"/>
  <c r="E30" i="6"/>
  <c r="H23" i="8"/>
  <c r="E23" i="6"/>
  <c r="D23" i="12"/>
  <c r="T22"/>
  <c r="V22"/>
  <c r="U22"/>
  <c r="P14" i="13"/>
  <c r="L28"/>
  <c r="D14"/>
  <c r="V14"/>
  <c r="Y28" i="12"/>
  <c r="X30"/>
  <c r="W30"/>
  <c r="X29"/>
  <c r="W29"/>
  <c r="T21"/>
  <c r="U21"/>
  <c r="O25" i="11"/>
  <c r="AA7"/>
  <c r="H14" i="8"/>
  <c r="E16" i="6"/>
  <c r="D16" i="12"/>
  <c r="W31"/>
  <c r="X31"/>
  <c r="L17"/>
  <c r="K17" s="1"/>
  <c r="N17"/>
  <c r="E17" i="6"/>
  <c r="D17" i="12"/>
  <c r="H17" i="8"/>
  <c r="Y19" i="12"/>
  <c r="N23"/>
  <c r="D19"/>
  <c r="E19" i="6"/>
  <c r="H20" i="8"/>
  <c r="W20" i="12"/>
  <c r="X20"/>
  <c r="U25" l="1"/>
  <c r="V25"/>
  <c r="W16"/>
  <c r="V16" s="1"/>
  <c r="X23"/>
  <c r="T27"/>
  <c r="U42" i="8"/>
  <c r="U37" s="1"/>
  <c r="U33" s="1"/>
  <c r="V27" i="12"/>
  <c r="T41" i="8" a="1"/>
  <c r="T41" s="1"/>
  <c r="T36" s="1"/>
  <c r="T14"/>
  <c r="D41" a="1"/>
  <c r="D41" s="1"/>
  <c r="D36" s="1"/>
  <c r="D14"/>
  <c r="D37"/>
  <c r="D33" s="1"/>
  <c r="T38"/>
  <c r="T26" i="12"/>
  <c r="U26"/>
  <c r="AE4" i="13"/>
  <c r="T24" i="12"/>
  <c r="U24"/>
  <c r="V24"/>
  <c r="W28"/>
  <c r="X28"/>
  <c r="U29"/>
  <c r="V29"/>
  <c r="T29"/>
  <c r="E34" i="14"/>
  <c r="N24" i="13"/>
  <c r="M24"/>
  <c r="L24"/>
  <c r="O24"/>
  <c r="D33" i="14"/>
  <c r="P24" i="13"/>
  <c r="F34" i="14" s="1"/>
  <c r="O29" i="13"/>
  <c r="T32" i="12"/>
  <c r="V32"/>
  <c r="U32"/>
  <c r="T20"/>
  <c r="V20"/>
  <c r="U20"/>
  <c r="W19"/>
  <c r="X19"/>
  <c r="AB24" i="11"/>
  <c r="AB7" s="1"/>
  <c r="Z3" s="1"/>
  <c r="AA3" s="1"/>
  <c r="AA32" i="5" s="1"/>
  <c r="N14" i="11"/>
  <c r="N24" s="1"/>
  <c r="V17" i="12"/>
  <c r="U17"/>
  <c r="T17"/>
  <c r="T31"/>
  <c r="U31"/>
  <c r="V31"/>
  <c r="T23"/>
  <c r="U23"/>
  <c r="V23"/>
  <c r="T30"/>
  <c r="V30"/>
  <c r="U30"/>
  <c r="V15" i="13"/>
  <c r="V16" s="1"/>
  <c r="V17" s="1"/>
  <c r="V18" s="1"/>
  <c r="V19" s="1"/>
  <c r="V20" s="1"/>
  <c r="V21" s="1"/>
  <c r="V22" s="1"/>
  <c r="V23" s="1"/>
  <c r="I27" i="14" s="1"/>
  <c r="J27" s="1"/>
  <c r="K27" s="1"/>
  <c r="L27" s="1"/>
  <c r="V18" i="12"/>
  <c r="U18"/>
  <c r="T18"/>
  <c r="T16" l="1"/>
  <c r="U16"/>
  <c r="U41" i="8" a="1"/>
  <c r="U41" s="1"/>
  <c r="U36" s="1"/>
  <c r="U38"/>
  <c r="V42"/>
  <c r="AA25" i="5"/>
  <c r="AA29"/>
  <c r="AA28" s="1"/>
  <c r="B26" i="8" s="1"/>
  <c r="AA22" i="5"/>
  <c r="AA21"/>
  <c r="AA26"/>
  <c r="AA20"/>
  <c r="AA27"/>
  <c r="AA31"/>
  <c r="AA30" s="1"/>
  <c r="B29" i="8" s="1"/>
  <c r="AA24" i="5"/>
  <c r="AA18"/>
  <c r="O27" i="13"/>
  <c r="I39" i="14"/>
  <c r="J39" s="1"/>
  <c r="K39" s="1"/>
  <c r="L39" s="1"/>
  <c r="I22"/>
  <c r="J22" s="1"/>
  <c r="K22" s="1"/>
  <c r="L22" s="1"/>
  <c r="I38"/>
  <c r="J38" s="1"/>
  <c r="K38" s="1"/>
  <c r="L38" s="1"/>
  <c r="I28"/>
  <c r="J28" s="1"/>
  <c r="K28" s="1"/>
  <c r="L28" s="1"/>
  <c r="I36"/>
  <c r="J36" s="1"/>
  <c r="K36" s="1"/>
  <c r="L36" s="1"/>
  <c r="I42"/>
  <c r="J42" s="1"/>
  <c r="K42" s="1"/>
  <c r="L42" s="1"/>
  <c r="I8"/>
  <c r="J8" s="1"/>
  <c r="K8" s="1"/>
  <c r="L8" s="1"/>
  <c r="I7"/>
  <c r="J7" s="1"/>
  <c r="K7" s="1"/>
  <c r="L7" s="1"/>
  <c r="T19" i="12"/>
  <c r="U19"/>
  <c r="V19"/>
  <c r="I29" i="14"/>
  <c r="J29" s="1"/>
  <c r="K29" s="1"/>
  <c r="L29" s="1"/>
  <c r="I41"/>
  <c r="J41" s="1"/>
  <c r="K41" s="1"/>
  <c r="L41" s="1"/>
  <c r="I18"/>
  <c r="J18" s="1"/>
  <c r="K18" s="1"/>
  <c r="L18" s="1"/>
  <c r="I37"/>
  <c r="J37" s="1"/>
  <c r="K37" s="1"/>
  <c r="L37" s="1"/>
  <c r="I10"/>
  <c r="J10" s="1"/>
  <c r="K10" s="1"/>
  <c r="L10" s="1"/>
  <c r="I46"/>
  <c r="J46" s="1"/>
  <c r="K46" s="1"/>
  <c r="L46" s="1"/>
  <c r="I14"/>
  <c r="J14" s="1"/>
  <c r="K14" s="1"/>
  <c r="L14" s="1"/>
  <c r="I13"/>
  <c r="J13" s="1"/>
  <c r="K13" s="1"/>
  <c r="L13" s="1"/>
  <c r="I33"/>
  <c r="J33" s="1"/>
  <c r="K33" s="1"/>
  <c r="L33" s="1"/>
  <c r="I15"/>
  <c r="J15" s="1"/>
  <c r="K15" s="1"/>
  <c r="L15" s="1"/>
  <c r="I32"/>
  <c r="J32" s="1"/>
  <c r="K32" s="1"/>
  <c r="L32" s="1"/>
  <c r="I26"/>
  <c r="J26" s="1"/>
  <c r="K26" s="1"/>
  <c r="L26" s="1"/>
  <c r="I35"/>
  <c r="J35" s="1"/>
  <c r="K35" s="1"/>
  <c r="L35" s="1"/>
  <c r="I21"/>
  <c r="J21" s="1"/>
  <c r="K21" s="1"/>
  <c r="L21" s="1"/>
  <c r="I25"/>
  <c r="J25" s="1"/>
  <c r="K25" s="1"/>
  <c r="L25" s="1"/>
  <c r="I40"/>
  <c r="J40" s="1"/>
  <c r="K40" s="1"/>
  <c r="L40" s="1"/>
  <c r="I6"/>
  <c r="J6" s="1"/>
  <c r="K6" s="1"/>
  <c r="L6" s="1"/>
  <c r="I11"/>
  <c r="J11" s="1"/>
  <c r="K11" s="1"/>
  <c r="L11" s="1"/>
  <c r="I31"/>
  <c r="J31" s="1"/>
  <c r="K31" s="1"/>
  <c r="L31" s="1"/>
  <c r="I24"/>
  <c r="J24" s="1"/>
  <c r="K24" s="1"/>
  <c r="L24" s="1"/>
  <c r="I16"/>
  <c r="J16" s="1"/>
  <c r="K16" s="1"/>
  <c r="L16" s="1"/>
  <c r="I30"/>
  <c r="J30" s="1"/>
  <c r="K30" s="1"/>
  <c r="L30" s="1"/>
  <c r="V38" i="8"/>
  <c r="W42"/>
  <c r="V37"/>
  <c r="V33" s="1"/>
  <c r="AD15" i="11"/>
  <c r="AD22"/>
  <c r="AD19"/>
  <c r="AD14"/>
  <c r="AD12"/>
  <c r="AD21"/>
  <c r="AD20"/>
  <c r="AD23"/>
  <c r="AD18"/>
  <c r="AD17"/>
  <c r="AD16"/>
  <c r="N25"/>
  <c r="L27" i="13"/>
  <c r="U28" i="12"/>
  <c r="T28"/>
  <c r="V28"/>
  <c r="I44" i="14"/>
  <c r="J44" s="1"/>
  <c r="K44" s="1"/>
  <c r="L44" s="1"/>
  <c r="I45"/>
  <c r="J45" s="1"/>
  <c r="K45" s="1"/>
  <c r="L45" s="1"/>
  <c r="I19"/>
  <c r="J19" s="1"/>
  <c r="K19" s="1"/>
  <c r="L19" s="1"/>
  <c r="I20"/>
  <c r="J20" s="1"/>
  <c r="K20" s="1"/>
  <c r="L20" s="1"/>
  <c r="I23"/>
  <c r="J23" s="1"/>
  <c r="K23" s="1"/>
  <c r="L23" s="1"/>
  <c r="I17"/>
  <c r="J17" s="1"/>
  <c r="K17" s="1"/>
  <c r="L17" s="1"/>
  <c r="I34"/>
  <c r="J34" s="1"/>
  <c r="K34" s="1"/>
  <c r="L34" s="1"/>
  <c r="I9"/>
  <c r="J9" s="1"/>
  <c r="K9" s="1"/>
  <c r="L9" s="1"/>
  <c r="I12"/>
  <c r="J12" s="1"/>
  <c r="K12" s="1"/>
  <c r="L12" s="1"/>
  <c r="I43"/>
  <c r="J43" s="1"/>
  <c r="K43" s="1"/>
  <c r="L43" s="1"/>
  <c r="V41" i="8" l="1" a="1"/>
  <c r="V41" s="1"/>
  <c r="V36" s="1"/>
  <c r="AA19" i="5"/>
  <c r="B20" i="8" s="1"/>
  <c r="AA23" i="5"/>
  <c r="B23" i="8" s="1"/>
  <c r="AA15" i="5"/>
  <c r="AA16"/>
  <c r="AA17"/>
  <c r="B17" i="8" s="1"/>
  <c r="AE15" i="11"/>
  <c r="M15" s="1"/>
  <c r="L15" s="1"/>
  <c r="AE19"/>
  <c r="M19" s="1"/>
  <c r="L19" s="1"/>
  <c r="AE18"/>
  <c r="M18" s="1"/>
  <c r="L18" s="1"/>
  <c r="W38" i="8"/>
  <c r="X42"/>
  <c r="W37"/>
  <c r="W33" s="1"/>
  <c r="W41" s="1" a="1"/>
  <c r="W41" s="1"/>
  <c r="W36" s="1"/>
  <c r="F32" i="14"/>
  <c r="N27" i="13"/>
  <c r="AE12" i="11"/>
  <c r="M12" s="1"/>
  <c r="L12" s="1"/>
  <c r="AD27" i="13"/>
  <c r="AC27"/>
  <c r="D32" i="14"/>
  <c r="AE17" i="11"/>
  <c r="M17" s="1"/>
  <c r="L17" s="1"/>
  <c r="AE22"/>
  <c r="M22" s="1"/>
  <c r="L22" s="1"/>
  <c r="AE23"/>
  <c r="M23" s="1"/>
  <c r="L23" s="1"/>
  <c r="AE16"/>
  <c r="M16" s="1"/>
  <c r="L16" s="1"/>
  <c r="AE20"/>
  <c r="M20" s="1"/>
  <c r="L20" s="1"/>
  <c r="AE21"/>
  <c r="M21" s="1"/>
  <c r="L21" s="1"/>
  <c r="AF14" i="13" l="1"/>
  <c r="T14" s="1"/>
  <c r="AD3" s="1"/>
  <c r="AD2" s="1"/>
  <c r="AA14" i="11"/>
  <c r="AC14" i="13"/>
  <c r="R14" s="1"/>
  <c r="M26" s="1"/>
  <c r="M25" s="1"/>
  <c r="T40" i="8" a="1"/>
  <c r="T40" s="1"/>
  <c r="D40" a="1"/>
  <c r="D40" s="1"/>
  <c r="E32" i="14"/>
  <c r="X38" i="8"/>
  <c r="Y42"/>
  <c r="X37"/>
  <c r="X33" s="1"/>
  <c r="X41" s="1" a="1"/>
  <c r="X41" s="1"/>
  <c r="X36" s="1"/>
  <c r="D35" l="1"/>
  <c r="D39"/>
  <c r="D34" s="1"/>
  <c r="Z14" i="11"/>
  <c r="Z24" s="1"/>
  <c r="AE14" s="1"/>
  <c r="M14" s="1"/>
  <c r="AA24"/>
  <c r="U40" i="8" a="1"/>
  <c r="U40" s="1"/>
  <c r="T39"/>
  <c r="T34" s="1"/>
  <c r="T35"/>
  <c r="AE3" i="13"/>
  <c r="AE2" s="1"/>
  <c r="Y37" i="8"/>
  <c r="Y33" s="1"/>
  <c r="Y41" s="1" a="1"/>
  <c r="Y41" s="1"/>
  <c r="Y36" s="1"/>
  <c r="Y38"/>
  <c r="Z42"/>
  <c r="O26" i="13" l="1"/>
  <c r="O25" s="1"/>
  <c r="U35" i="8"/>
  <c r="U39"/>
  <c r="U34" s="1"/>
  <c r="V40" a="1"/>
  <c r="V40" s="1"/>
  <c r="M24" i="11"/>
  <c r="L14"/>
  <c r="L24" s="1"/>
  <c r="AA42" i="8"/>
  <c r="Z37"/>
  <c r="Z33" s="1"/>
  <c r="Z41" s="1" a="1"/>
  <c r="Z41" s="1"/>
  <c r="Z36" s="1"/>
  <c r="Z38"/>
  <c r="F31" i="14" l="1"/>
  <c r="N26" i="13"/>
  <c r="E31" i="14" s="1"/>
  <c r="L25" i="13"/>
  <c r="D30" i="14" s="1"/>
  <c r="L10" i="11"/>
  <c r="M10" i="13" s="1"/>
  <c r="L25" i="11"/>
  <c r="W40" i="8" a="1"/>
  <c r="W40" s="1"/>
  <c r="V39"/>
  <c r="V34" s="1"/>
  <c r="V35"/>
  <c r="M25" i="11"/>
  <c r="L26" i="13"/>
  <c r="M10" i="11"/>
  <c r="N10" i="13" s="1"/>
  <c r="AA37" i="8"/>
  <c r="AA33" s="1"/>
  <c r="AA41" s="1" a="1"/>
  <c r="AA41" s="1"/>
  <c r="AA36" s="1"/>
  <c r="AB42"/>
  <c r="AA38"/>
  <c r="N25" i="13"/>
  <c r="E30" i="14" s="1"/>
  <c r="F30"/>
  <c r="G9" i="11" l="1"/>
  <c r="D31" i="14"/>
  <c r="AD26" i="13"/>
  <c r="AC26"/>
  <c r="W35" i="8"/>
  <c r="X40" a="1"/>
  <c r="X40" s="1"/>
  <c r="W39"/>
  <c r="W34" s="1"/>
  <c r="AB38"/>
  <c r="AB37"/>
  <c r="AB33" s="1"/>
  <c r="AB41" s="1" a="1"/>
  <c r="AB41" s="1"/>
  <c r="AB36" s="1"/>
  <c r="AC42"/>
  <c r="Y40" l="1" a="1"/>
  <c r="Y40" s="1"/>
  <c r="X39"/>
  <c r="X34" s="1"/>
  <c r="X35"/>
  <c r="AC37"/>
  <c r="AC33" s="1"/>
  <c r="AC41" s="1" a="1"/>
  <c r="AC41" s="1"/>
  <c r="AC36" s="1"/>
  <c r="AD42"/>
  <c r="AC38"/>
  <c r="J10" i="13" s="1"/>
  <c r="G10" s="1"/>
  <c r="Y35" i="8" l="1"/>
  <c r="Y39"/>
  <c r="Y34" s="1"/>
  <c r="Z40" a="1"/>
  <c r="Z40" s="1"/>
  <c r="AD37"/>
  <c r="AD33" s="1"/>
  <c r="AD41" s="1" a="1"/>
  <c r="AD41" s="1"/>
  <c r="AD36" s="1"/>
  <c r="AD38"/>
  <c r="AE42"/>
  <c r="Z35" l="1"/>
  <c r="AA40" a="1"/>
  <c r="AA40" s="1"/>
  <c r="Z39"/>
  <c r="Z34" s="1"/>
  <c r="J10"/>
  <c r="AF42"/>
  <c r="AE38"/>
  <c r="AE37"/>
  <c r="AE33" s="1"/>
  <c r="AE41" s="1" a="1"/>
  <c r="AE41" s="1"/>
  <c r="AE36" s="1"/>
  <c r="B9" i="9"/>
  <c r="AA35" i="8" l="1"/>
  <c r="AA39"/>
  <c r="AA34" s="1"/>
  <c r="AB40" a="1"/>
  <c r="AB40" s="1"/>
  <c r="AB35" l="1"/>
  <c r="AB39"/>
  <c r="AB34" s="1"/>
  <c r="AC40" a="1"/>
  <c r="AC40" s="1"/>
  <c r="AC39" l="1"/>
  <c r="AC34" s="1"/>
  <c r="AC35"/>
  <c r="AD40" a="1"/>
  <c r="AD40" s="1"/>
  <c r="AD35" l="1"/>
  <c r="AD39"/>
  <c r="AD34" s="1"/>
  <c r="AE40" a="1"/>
  <c r="AE40" s="1"/>
  <c r="AE35" l="1"/>
  <c r="AE39"/>
  <c r="AF40"/>
  <c r="AE34" l="1"/>
  <c r="AF39"/>
  <c r="AF41" s="1"/>
</calcChain>
</file>

<file path=xl/comments1.xml><?xml version="1.0" encoding="utf-8"?>
<comments xmlns="http://schemas.openxmlformats.org/spreadsheetml/2006/main">
  <authors>
    <author/>
  </authors>
  <commentList>
    <comment ref="F41" author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25" author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<sst xmlns="http://schemas.openxmlformats.org/spreadsheetml/2006/main" count="2339" uniqueCount="504">
  <si>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</si>
  <si>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</si>
  <si>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</si>
  <si>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</si>
  <si>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</si>
  <si>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</si>
  <si>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</si>
  <si>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</si>
  <si>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</si>
  <si>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</si>
  <si>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</si>
  <si>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</si>
  <si>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</si>
  <si>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</si>
  <si>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</si>
  <si>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</si>
  <si>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</si>
  <si>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</si>
  <si>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</si>
  <si>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</si>
  <si>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</si>
  <si>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</si>
  <si>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</si>
  <si>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</si>
  <si>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</si>
  <si>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</si>
  <si>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</si>
  <si>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</si>
  <si>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</si>
  <si>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</si>
  <si>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</si>
  <si>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</si>
  <si>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</si>
  <si>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</si>
  <si>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</si>
  <si>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</si>
  <si>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</si>
  <si>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</si>
  <si>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</si>
  <si>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</si>
  <si>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</si>
  <si>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</si>
  <si>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</si>
  <si>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</si>
  <si>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</si>
  <si>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</si>
  <si>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</si>
  <si>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</si>
  <si>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</si>
  <si>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</si>
  <si>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</si>
  <si>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</si>
  <si>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</si>
  <si>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</si>
  <si>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</si>
  <si>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</si>
  <si>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</si>
  <si>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</si>
  <si>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</si>
  <si>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</si>
  <si>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</si>
  <si>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</si>
  <si>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</si>
  <si>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</si>
  <si>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</si>
  <si>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</si>
  <si>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</si>
  <si>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</si>
  <si>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</si>
  <si>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</si>
  <si>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</si>
  <si>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</si>
  <si>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</si>
  <si>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</si>
  <si>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</si>
  <si>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</si>
  <si>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</si>
  <si>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</si>
  <si>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</si>
  <si>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</si>
  <si>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</si>
  <si>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</si>
  <si>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</si>
  <si>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</si>
  <si>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</si>
  <si>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</si>
  <si>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</si>
  <si>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</si>
  <si>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</si>
  <si>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</si>
  <si>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</si>
  <si>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</si>
  <si>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</si>
  <si>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</si>
  <si>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</si>
  <si>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</si>
  <si>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</si>
  <si>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</si>
  <si>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</si>
  <si>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</si>
  <si>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</si>
  <si>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</si>
  <si>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</si>
  <si>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</si>
  <si>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</si>
  <si>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</si>
  <si>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</si>
  <si>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</si>
  <si>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</si>
  <si>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</si>
  <si>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</si>
  <si>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</si>
  <si>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</si>
  <si>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</si>
  <si>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</si>
  <si>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</si>
  <si>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</si>
  <si>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</si>
  <si>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</si>
  <si>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</si>
  <si>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</si>
  <si>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</si>
  <si>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</si>
  <si>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</si>
  <si>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</si>
  <si>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</si>
  <si>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</si>
  <si>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</si>
  <si>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</si>
  <si>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</si>
  <si>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</si>
  <si>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</si>
  <si>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</si>
  <si>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</si>
  <si>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</si>
  <si>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</si>
  <si>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</si>
  <si>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</si>
  <si>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</si>
  <si>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</si>
  <si>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</si>
  <si>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</si>
  <si>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</si>
  <si>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</si>
  <si>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</si>
  <si>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</si>
  <si>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</si>
  <si>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</si>
  <si>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</si>
  <si>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</si>
  <si>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</si>
  <si>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</si>
  <si>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</si>
  <si>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</si>
  <si>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</si>
  <si>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</si>
  <si>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</si>
  <si>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</si>
  <si>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</si>
  <si>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</si>
  <si>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</si>
  <si>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</si>
  <si>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</si>
  <si>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</si>
  <si>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</si>
  <si>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</si>
  <si>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</si>
  <si>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</si>
  <si>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</si>
  <si>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</si>
  <si>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</si>
  <si>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</si>
  <si>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</si>
  <si>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</si>
  <si>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</si>
  <si>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</si>
  <si>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</si>
  <si>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</si>
  <si>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</si>
  <si>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</si>
  <si>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</si>
  <si>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</si>
  <si>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</si>
  <si>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</si>
  <si>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</si>
  <si>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</si>
  <si>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</si>
  <si>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</si>
  <si>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</si>
  <si>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</si>
  <si>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</si>
  <si>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</si>
  <si>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</si>
  <si>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</si>
  <si>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</si>
  <si>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</si>
  <si>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</si>
  <si>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</si>
  <si>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</si>
  <si>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</si>
  <si>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</si>
  <si>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</si>
  <si>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</si>
  <si>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</si>
  <si>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</si>
  <si>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</si>
  <si>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</si>
  <si>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</si>
  <si>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</si>
  <si>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</si>
  <si>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</si>
  <si>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</si>
  <si>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</si>
  <si>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</si>
  <si>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</si>
  <si>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</si>
  <si>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</si>
  <si>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</si>
  <si>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</si>
  <si>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</si>
  <si>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</si>
  <si>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</si>
  <si>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</si>
  <si>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</si>
  <si>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</si>
  <si>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</si>
  <si>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</si>
  <si>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</si>
  <si>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</si>
  <si>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</si>
  <si>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</si>
  <si>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</si>
  <si>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</si>
  <si>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</si>
  <si>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</si>
  <si>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</si>
  <si>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</si>
  <si>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</si>
  <si>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</si>
  <si>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</si>
  <si>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</si>
  <si>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</si>
  <si>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</si>
  <si>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</si>
  <si>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</si>
  <si>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</si>
  <si>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</si>
  <si>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</si>
  <si>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</si>
  <si>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</si>
  <si>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</si>
  <si>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</si>
  <si>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</si>
  <si>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</si>
  <si>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</si>
  <si>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</si>
  <si>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</si>
  <si>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</si>
  <si>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</si>
  <si>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</si>
  <si>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</si>
  <si>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</si>
  <si>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</si>
  <si>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</si>
  <si>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</si>
  <si>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</si>
  <si>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</si>
  <si>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</si>
  <si>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</si>
  <si>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</si>
  <si>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</si>
  <si>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</si>
  <si>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</si>
  <si>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</si>
  <si>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</si>
  <si>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</si>
  <si>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</si>
  <si>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</si>
  <si>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</si>
  <si>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</si>
  <si>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</si>
  <si>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</si>
  <si>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</si>
  <si>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</si>
  <si>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</si>
  <si>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</si>
  <si>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</si>
  <si>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</si>
  <si>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</si>
  <si>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</si>
  <si>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</si>
  <si>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</si>
  <si>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</si>
  <si>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</si>
  <si>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</si>
  <si>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</si>
  <si>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</si>
  <si>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</si>
  <si>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</si>
  <si>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</si>
  <si>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</si>
  <si>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</si>
  <si>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</si>
  <si>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</si>
  <si>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</si>
  <si>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</si>
  <si>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</si>
  <si>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</si>
  <si>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</si>
  <si>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</si>
  <si>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</si>
  <si>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</si>
  <si>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</si>
  <si>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</si>
  <si>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</si>
  <si>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</si>
  <si>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</si>
  <si>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</si>
  <si>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</si>
  <si>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</si>
  <si>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</si>
  <si>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</si>
  <si>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</si>
  <si>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</si>
  <si>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</si>
  <si>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</si>
  <si>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</si>
  <si>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</si>
  <si>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</si>
  <si>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</si>
  <si>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</si>
  <si>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</si>
  <si>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</si>
  <si>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</si>
  <si>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</si>
  <si>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</si>
  <si>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</si>
  <si>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</si>
  <si>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</si>
  <si>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</si>
  <si>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</si>
  <si>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</si>
  <si>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</si>
  <si>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</si>
  <si>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</si>
  <si>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</si>
  <si>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</si>
  <si>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</si>
  <si>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</si>
  <si>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</si>
  <si>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</si>
  <si>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</si>
  <si>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</si>
  <si>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</si>
  <si>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</si>
  <si>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</si>
  <si>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</si>
  <si>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</si>
  <si>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</si>
  <si>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</si>
  <si>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</si>
  <si>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</si>
  <si>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</si>
  <si>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</si>
  <si>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</si>
  <si>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</si>
  <si>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</si>
  <si>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</si>
  <si>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</si>
  <si>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</si>
  <si>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</si>
  <si>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</si>
  <si>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</si>
  <si>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</si>
  <si>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</si>
  <si>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</si>
  <si>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</si>
  <si>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</si>
  <si>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</si>
  <si>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</si>
  <si>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</si>
  <si>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</si>
  <si>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</si>
  <si>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</si>
  <si>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</si>
  <si>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</si>
  <si>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</si>
  <si>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</si>
  <si>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</si>
  <si>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</si>
  <si>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</si>
  <si>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</si>
  <si>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</si>
  <si>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</si>
  <si>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</si>
  <si>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</si>
  <si>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</si>
  <si>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</si>
  <si>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</si>
  <si>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</si>
  <si>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</si>
  <si>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</si>
  <si>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</si>
  <si>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</si>
  <si>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</si>
  <si>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</si>
  <si>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</si>
  <si>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</si>
  <si>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Automática, conforme os agrupadores Nível 2 do Orçamento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</si>
  <si>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</si>
  <si>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</si>
  <si>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</si>
  <si>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</si>
  <si>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</si>
  <si>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</si>
  <si>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</si>
  <si>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</si>
  <si>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</si>
  <si>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</si>
  <si>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</si>
  <si>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</si>
  <si>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</si>
  <si>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</si>
  <si>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</si>
  <si>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</si>
  <si>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</si>
  <si>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</si>
  <si>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</si>
  <si>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</si>
  <si>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</si>
  <si>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</si>
  <si>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</si>
  <si>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</si>
  <si>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</si>
  <si>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</si>
  <si>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</si>
  <si>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</si>
  <si>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</si>
  <si>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v3.0.6</t>
  </si>
  <si>
    <t>Arredondamento das frentes:</t>
  </si>
  <si>
    <t>Tradicional</t>
  </si>
  <si>
    <t>V3.0.6</t>
  </si>
  <si>
    <t>Nº do TransfereGOV (000000):</t>
  </si>
  <si>
    <t>Nº TransfereGOV</t>
  </si>
  <si>
    <t>Adicionado modo de arredondamento para compatibilidade com o TransfereGOV, altera na aba DADOS</t>
  </si>
  <si>
    <t>A planilha passará a ser disponibilizada com o formato .xlsm. Deve ser usado arquivo referência 1.9 ou superior, também no formato .xlsm</t>
  </si>
  <si>
    <t>Nº TRANSFEREGOV</t>
  </si>
  <si>
    <t>Nº TGOV</t>
  </si>
  <si>
    <t>PREFEITURA MUNICIPAL DE PONTAL</t>
  </si>
  <si>
    <t>PONTAL - SP</t>
  </si>
  <si>
    <t>JOSÉ CARLOS NEVES SILVA</t>
  </si>
  <si>
    <t>PREFEITO</t>
  </si>
  <si>
    <t>RECAPEAMENTO ASFALTICO EM DIVERSAS RUAS</t>
  </si>
  <si>
    <t>SERVIÇOS PRELIMINARES</t>
  </si>
  <si>
    <t>RECAPEAMENTO ASFÁLTICO</t>
  </si>
  <si>
    <t>SINALIZAÇÃO VIÁRIA</t>
  </si>
  <si>
    <t>CDHU</t>
  </si>
  <si>
    <t>54.01.410</t>
  </si>
  <si>
    <t>102509</t>
  </si>
  <si>
    <t>SETOR 1</t>
  </si>
  <si>
    <t>SETOR 2</t>
  </si>
  <si>
    <t>SETOR 3</t>
  </si>
  <si>
    <t>54.03.230</t>
  </si>
  <si>
    <t>103689</t>
  </si>
  <si>
    <t>DRENAGEM</t>
  </si>
  <si>
    <t>94293</t>
  </si>
  <si>
    <t>Em Análise</t>
  </si>
  <si>
    <t>RECAPE FEDERAL</t>
  </si>
  <si>
    <t>ÉDIO QUARANTA JÚNIOR</t>
  </si>
  <si>
    <t>ENGENHEIRO CIVIL</t>
  </si>
  <si>
    <t>0600870441</t>
  </si>
  <si>
    <t>OGU</t>
  </si>
  <si>
    <t>EMPREITADA POR PREÇO GLOBAL</t>
  </si>
  <si>
    <t>953208-2023</t>
  </si>
  <si>
    <t>95995</t>
  </si>
  <si>
    <t>PLACA 4 X 2</t>
  </si>
  <si>
    <t>SIURB_INFRA</t>
  </si>
  <si>
    <t>6021000</t>
  </si>
  <si>
    <t>SETOR 4</t>
  </si>
  <si>
    <t>NÃO DESONERADO</t>
  </si>
  <si>
    <t>94991</t>
  </si>
  <si>
    <t>96622</t>
  </si>
  <si>
    <t>54.01.010</t>
  </si>
  <si>
    <t>CALÇADAS</t>
  </si>
  <si>
    <t>105004</t>
  </si>
  <si>
    <t>CADA RAMPA 2,88M²</t>
  </si>
  <si>
    <t>CÉSAR AUGUSTO SABINO</t>
  </si>
  <si>
    <t>5070797486</t>
  </si>
  <si>
    <t>LEVANTAMENTO OU REBAIXAMENTO DE TAMPÃO DE POÇO DE VISITA</t>
  </si>
  <si>
    <t>UN</t>
  </si>
  <si>
    <t>SINAPI 01-2025 / CDHU 196 (11-2024) / SIURB 07-2024. LEVANTAMENTO FORNECIDO.</t>
  </si>
  <si>
    <t>FORNECIMENTO E INSTALAÇÃO DE PLACA DE OBRA COM CHAPA GALVANIZADA E ESTRUTURA DE MADEIRA. AF_03/2022_PS</t>
  </si>
  <si>
    <t>Varrição de pavimento para recapeamento</t>
  </si>
  <si>
    <t>Imprimação betuminosa ligante</t>
  </si>
  <si>
    <t>EXECUÇÃO DE PAVIMENTO COM APLICAÇÃO DE CONCRETO ASFÁLTICO, CAMADA DE ROLAMENTO - EXCLUSIVE CARGA E TRANSPORTE. AF_11/2019</t>
  </si>
  <si>
    <t>Regularização e compactação mecanizada de superfície, sem controle do proctor normal</t>
  </si>
  <si>
    <t>LASTRO COM MATERIAL GRANULAR, APLICADO EM PISOS OU LAJES SOBRE SOLO, ESPESSURA DE *5 CM*. AF_01/2024</t>
  </si>
  <si>
    <t>EXECUÇÃO DE PASSEIO (CALÇADA) OU PISO DE CONCRETO COM CONCRETO MOLDADO IN LOCO, USINADO C20, ACABAMENTO CONVENCIONAL, NÃO ARMADO. AF_08/2022</t>
  </si>
  <si>
    <t>RAMPA DE ACESSIBILIDADE EM CONCRETO MOLDADO IN LOCO, EM CALÇADA NOVA COM LARGURA MENOR À 3,00 M, FCK 25MPA, COM PISO PODOTÁTIL. AF_03/2024</t>
  </si>
  <si>
    <t>PINTURA DE FAIXA DE PEDESTRE OU ZEBRADA TINTA RETRORREFLETIVA A BASE DE RESINA ACRÍLICA COM MICROESFERAS DE VIDRO, E = 30 CM, APLICAÇÃO MANUAL. AF_05/2021</t>
  </si>
  <si>
    <t>EXECUÇÃO DE SARJETÃO DE CONCRETO USINADO, MOLDADA  IN LOCO  EM TRECHO RETO, 100 CM BASE X 20 CM ALTURA. AF_01/2024</t>
  </si>
  <si>
    <t>M2</t>
  </si>
  <si>
    <t>M3</t>
  </si>
  <si>
    <t>M</t>
  </si>
</sst>
</file>

<file path=xl/styles.xml><?xml version="1.0" encoding="utf-8"?>
<styleSheet xmlns="http://schemas.openxmlformats.org/spreadsheetml/2006/main">
  <numFmts count="24">
    <numFmt numFmtId="43" formatCode="_-* #,##0.00_-;\-* #,##0.00_-;_-* &quot;-&quot;??_-;_-@_-"/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841">
    <xf numFmtId="0" fontId="0" fillId="0" borderId="0" xfId="0"/>
    <xf numFmtId="0" fontId="0" fillId="0" borderId="10" xfId="0" applyFill="1" applyBorder="1"/>
    <xf numFmtId="0" fontId="0" fillId="0" borderId="11" xfId="0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vertical="center"/>
    </xf>
    <xf numFmtId="0" fontId="0" fillId="0" borderId="12" xfId="0" applyFill="1" applyBorder="1"/>
    <xf numFmtId="0" fontId="0" fillId="6" borderId="0" xfId="0" applyFont="1" applyFill="1" applyBorder="1"/>
    <xf numFmtId="0" fontId="0" fillId="16" borderId="0" xfId="0" applyFont="1" applyFill="1" applyBorder="1" applyAlignment="1" applyProtection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 applyProtection="1">
      <alignment horizontal="left"/>
    </xf>
    <xf numFmtId="0" fontId="24" fillId="0" borderId="14" xfId="0" applyFont="1" applyBorder="1" applyAlignment="1" applyProtection="1">
      <alignment horizontal="center"/>
    </xf>
    <xf numFmtId="0" fontId="0" fillId="0" borderId="0" xfId="0" applyFont="1" applyAlignment="1" applyProtection="1">
      <alignment horizontal="left"/>
    </xf>
    <xf numFmtId="0" fontId="0" fillId="0" borderId="0" xfId="0" applyFont="1" applyProtection="1"/>
    <xf numFmtId="0" fontId="0" fillId="0" borderId="0" xfId="0" applyFont="1" applyFill="1" applyAlignment="1" applyProtection="1">
      <alignment horizontal="center"/>
    </xf>
    <xf numFmtId="0" fontId="0" fillId="0" borderId="0" xfId="0" applyFont="1" applyFill="1" applyAlignment="1" applyProtection="1">
      <alignment horizontal="left"/>
    </xf>
    <xf numFmtId="0" fontId="0" fillId="0" borderId="0" xfId="0" applyFont="1" applyFill="1" applyProtection="1"/>
    <xf numFmtId="0" fontId="0" fillId="0" borderId="0" xfId="0" applyFont="1" applyAlignment="1" applyProtection="1">
      <alignment horizontal="center"/>
    </xf>
    <xf numFmtId="0" fontId="0" fillId="0" borderId="15" xfId="0" applyFont="1" applyBorder="1" applyAlignment="1">
      <alignment vertical="center"/>
    </xf>
    <xf numFmtId="0" fontId="0" fillId="16" borderId="16" xfId="0" applyFont="1" applyFill="1" applyBorder="1" applyAlignment="1" applyProtection="1">
      <alignment vertical="center"/>
      <protection locked="0"/>
    </xf>
    <xf numFmtId="0" fontId="0" fillId="0" borderId="17" xfId="0" applyFont="1" applyBorder="1" applyAlignment="1">
      <alignment vertical="center"/>
    </xf>
    <xf numFmtId="49" fontId="0" fillId="6" borderId="18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>
      <alignment vertical="center"/>
    </xf>
    <xf numFmtId="49" fontId="0" fillId="6" borderId="20" xfId="0" applyNumberFormat="1" applyFon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Font="1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Fill="1" applyBorder="1" applyAlignment="1" applyProtection="1">
      <alignment horizontal="left" vertical="center"/>
    </xf>
    <xf numFmtId="0" fontId="0" fillId="0" borderId="23" xfId="0" applyFont="1" applyBorder="1" applyAlignment="1">
      <alignment vertical="center"/>
    </xf>
    <xf numFmtId="49" fontId="0" fillId="6" borderId="25" xfId="0" applyNumberFormat="1" applyFont="1" applyFill="1" applyBorder="1" applyAlignment="1" applyProtection="1">
      <alignment vertical="center" wrapText="1"/>
      <protection locked="0"/>
    </xf>
    <xf numFmtId="0" fontId="0" fillId="0" borderId="19" xfId="0" applyFont="1" applyFill="1" applyBorder="1" applyAlignment="1">
      <alignment vertical="center"/>
    </xf>
    <xf numFmtId="0" fontId="0" fillId="16" borderId="25" xfId="0" applyFont="1" applyFill="1" applyBorder="1" applyAlignment="1" applyProtection="1">
      <alignment vertical="center"/>
      <protection locked="0"/>
    </xf>
    <xf numFmtId="0" fontId="0" fillId="0" borderId="26" xfId="0" applyFont="1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0" fontId="0" fillId="0" borderId="17" xfId="0" applyFont="1" applyFill="1" applyBorder="1" applyAlignment="1">
      <alignment vertical="center"/>
    </xf>
    <xf numFmtId="0" fontId="0" fillId="0" borderId="26" xfId="0" applyFont="1" applyFill="1" applyBorder="1" applyAlignment="1">
      <alignment vertical="center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28" xfId="0" applyNumberFormat="1" applyFont="1" applyFill="1" applyBorder="1" applyAlignment="1" applyProtection="1">
      <alignment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0" fillId="0" borderId="12" xfId="0" applyBorder="1"/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12" fillId="0" borderId="0" xfId="0" applyFont="1" applyBorder="1" applyAlignment="1">
      <alignment horizontal="left" indent="1"/>
    </xf>
    <xf numFmtId="0" fontId="12" fillId="0" borderId="0" xfId="0" applyFont="1" applyBorder="1" applyAlignment="1">
      <alignment horizontal="left" vertical="top" indent="1"/>
    </xf>
    <xf numFmtId="0" fontId="0" fillId="0" borderId="0" xfId="0" applyBorder="1" applyAlignment="1">
      <alignment vertical="center"/>
    </xf>
    <xf numFmtId="0" fontId="0" fillId="0" borderId="0" xfId="33" applyFont="1" applyProtection="1"/>
    <xf numFmtId="0" fontId="24" fillId="0" borderId="0" xfId="33" applyFont="1" applyAlignment="1" applyProtection="1">
      <alignment horizontal="center"/>
    </xf>
    <xf numFmtId="0" fontId="23" fillId="0" borderId="0" xfId="33" applyFont="1" applyAlignment="1" applyProtection="1">
      <alignment horizontal="center"/>
    </xf>
    <xf numFmtId="0" fontId="0" fillId="0" borderId="31" xfId="0" applyFont="1" applyBorder="1" applyAlignment="1" applyProtection="1">
      <alignment horizontal="center"/>
    </xf>
    <xf numFmtId="0" fontId="24" fillId="0" borderId="32" xfId="33" applyFont="1" applyBorder="1" applyAlignment="1" applyProtection="1">
      <alignment horizontal="center"/>
    </xf>
    <xf numFmtId="10" fontId="29" fillId="0" borderId="32" xfId="33" applyNumberFormat="1" applyFont="1" applyFill="1" applyBorder="1" applyAlignment="1" applyProtection="1">
      <alignment horizontal="center"/>
    </xf>
    <xf numFmtId="0" fontId="24" fillId="0" borderId="31" xfId="35" applyFont="1" applyBorder="1" applyAlignment="1" applyProtection="1">
      <alignment horizontal="left" vertical="top"/>
    </xf>
    <xf numFmtId="0" fontId="0" fillId="0" borderId="14" xfId="33" applyFont="1" applyFill="1" applyBorder="1" applyAlignment="1" applyProtection="1">
      <alignment horizontal="left" vertical="top" wrapText="1"/>
    </xf>
    <xf numFmtId="0" fontId="24" fillId="0" borderId="0" xfId="33" applyFont="1" applyProtection="1"/>
    <xf numFmtId="0" fontId="24" fillId="0" borderId="32" xfId="33" applyFont="1" applyFill="1" applyBorder="1" applyAlignment="1" applyProtection="1">
      <alignment horizontal="center" vertical="center" wrapText="1"/>
    </xf>
    <xf numFmtId="0" fontId="8" fillId="0" borderId="0" xfId="33" applyFont="1" applyFill="1" applyBorder="1" applyAlignment="1" applyProtection="1">
      <alignment horizontal="left"/>
    </xf>
    <xf numFmtId="0" fontId="30" fillId="0" borderId="32" xfId="33" applyFont="1" applyBorder="1" applyAlignment="1" applyProtection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Fill="1" applyBorder="1" applyAlignment="1" applyProtection="1">
      <alignment horizontal="center" vertical="center"/>
    </xf>
    <xf numFmtId="10" fontId="30" fillId="0" borderId="32" xfId="33" applyNumberFormat="1" applyFont="1" applyFill="1" applyBorder="1" applyAlignment="1" applyProtection="1">
      <alignment horizontal="center" vertical="center" wrapText="1"/>
    </xf>
    <xf numFmtId="0" fontId="30" fillId="0" borderId="32" xfId="33" applyFont="1" applyFill="1" applyBorder="1" applyAlignment="1" applyProtection="1">
      <alignment horizontal="center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10" fontId="17" fillId="8" borderId="32" xfId="33" applyNumberFormat="1" applyFont="1" applyFill="1" applyBorder="1" applyAlignment="1" applyProtection="1">
      <alignment horizontal="center" vertical="center"/>
    </xf>
    <xf numFmtId="0" fontId="31" fillId="0" borderId="0" xfId="33" applyFont="1" applyBorder="1" applyAlignment="1" applyProtection="1">
      <alignment horizontal="right" vertical="center"/>
    </xf>
    <xf numFmtId="0" fontId="0" fillId="0" borderId="0" xfId="33" applyFont="1" applyBorder="1" applyAlignment="1" applyProtection="1">
      <alignment horizontal="center" vertical="top"/>
    </xf>
    <xf numFmtId="0" fontId="33" fillId="0" borderId="0" xfId="0" applyFont="1" applyBorder="1" applyAlignment="1" applyProtection="1">
      <alignment horizontal="right" vertical="center"/>
    </xf>
    <xf numFmtId="0" fontId="33" fillId="0" borderId="0" xfId="0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center" vertical="top"/>
    </xf>
    <xf numFmtId="0" fontId="35" fillId="0" borderId="0" xfId="33" applyFont="1" applyBorder="1" applyAlignment="1" applyProtection="1">
      <alignment horizontal="center" vertical="top"/>
    </xf>
    <xf numFmtId="169" fontId="0" fillId="0" borderId="0" xfId="33" applyNumberFormat="1" applyFont="1" applyAlignment="1" applyProtection="1"/>
    <xf numFmtId="0" fontId="24" fillId="0" borderId="10" xfId="33" applyFont="1" applyBorder="1" applyAlignment="1" applyProtection="1">
      <alignment horizontal="left"/>
    </xf>
    <xf numFmtId="0" fontId="0" fillId="0" borderId="10" xfId="33" applyFont="1" applyBorder="1" applyProtection="1"/>
    <xf numFmtId="0" fontId="30" fillId="0" borderId="0" xfId="33" applyFont="1" applyBorder="1" applyProtection="1"/>
    <xf numFmtId="0" fontId="0" fillId="0" borderId="0" xfId="33" applyFont="1" applyBorder="1" applyProtection="1"/>
    <xf numFmtId="0" fontId="24" fillId="0" borderId="0" xfId="35" applyFont="1" applyBorder="1" applyAlignment="1" applyProtection="1">
      <alignment horizontal="left" vertical="top"/>
    </xf>
    <xf numFmtId="0" fontId="0" fillId="0" borderId="0" xfId="33" applyNumberFormat="1" applyFont="1" applyFill="1" applyBorder="1" applyAlignment="1" applyProtection="1">
      <alignment vertical="top"/>
    </xf>
    <xf numFmtId="167" fontId="0" fillId="0" borderId="0" xfId="33" applyNumberFormat="1" applyFont="1" applyFill="1" applyBorder="1" applyAlignment="1" applyProtection="1"/>
    <xf numFmtId="0" fontId="30" fillId="0" borderId="0" xfId="33" applyFont="1" applyProtection="1"/>
    <xf numFmtId="167" fontId="0" fillId="0" borderId="0" xfId="33" applyNumberFormat="1" applyFont="1" applyFill="1" applyBorder="1" applyAlignment="1" applyProtection="1">
      <alignment vertical="top"/>
    </xf>
    <xf numFmtId="0" fontId="0" fillId="0" borderId="0" xfId="0" applyFont="1" applyFill="1"/>
    <xf numFmtId="0" fontId="0" fillId="0" borderId="0" xfId="0" applyBorder="1"/>
    <xf numFmtId="0" fontId="36" fillId="0" borderId="0" xfId="0" applyFont="1" applyFill="1" applyAlignment="1">
      <alignment vertical="center"/>
    </xf>
    <xf numFmtId="0" fontId="23" fillId="0" borderId="0" xfId="0" applyFont="1" applyAlignment="1">
      <alignment horizontal="left" vertical="center"/>
    </xf>
    <xf numFmtId="0" fontId="0" fillId="0" borderId="0" xfId="0" applyFont="1" applyBorder="1" applyAlignment="1" applyProtection="1">
      <alignment horizontal="center"/>
    </xf>
    <xf numFmtId="0" fontId="0" fillId="0" borderId="0" xfId="0" applyFont="1"/>
    <xf numFmtId="0" fontId="0" fillId="0" borderId="0" xfId="0" applyFont="1" applyBorder="1"/>
    <xf numFmtId="0" fontId="37" fillId="0" borderId="0" xfId="0" applyFont="1" applyAlignment="1">
      <alignment horizontal="left" vertical="center"/>
    </xf>
    <xf numFmtId="0" fontId="24" fillId="0" borderId="0" xfId="0" applyFont="1" applyBorder="1" applyAlignment="1" applyProtection="1">
      <alignment horizontal="center"/>
    </xf>
    <xf numFmtId="0" fontId="38" fillId="0" borderId="0" xfId="0" applyFont="1"/>
    <xf numFmtId="0" fontId="0" fillId="0" borderId="0" xfId="0" applyFont="1" applyAlignment="1">
      <alignment wrapText="1"/>
    </xf>
    <xf numFmtId="10" fontId="0" fillId="0" borderId="0" xfId="0" applyNumberFormat="1" applyFont="1"/>
    <xf numFmtId="0" fontId="24" fillId="0" borderId="31" xfId="35" applyFont="1" applyBorder="1" applyAlignment="1" applyProtection="1">
      <alignment vertical="top"/>
    </xf>
    <xf numFmtId="0" fontId="0" fillId="0" borderId="32" xfId="0" applyFont="1" applyBorder="1"/>
    <xf numFmtId="0" fontId="0" fillId="0" borderId="32" xfId="0" applyFont="1" applyBorder="1" applyProtection="1">
      <protection locked="0"/>
    </xf>
    <xf numFmtId="0" fontId="0" fillId="0" borderId="0" xfId="0" applyFont="1" applyAlignment="1">
      <alignment horizontal="center"/>
    </xf>
    <xf numFmtId="10" fontId="0" fillId="0" borderId="0" xfId="0" applyNumberFormat="1" applyBorder="1"/>
    <xf numFmtId="10" fontId="0" fillId="0" borderId="0" xfId="0" applyNumberFormat="1"/>
    <xf numFmtId="0" fontId="0" fillId="0" borderId="14" xfId="33" applyFont="1" applyFill="1" applyBorder="1" applyAlignment="1" applyProtection="1">
      <alignment vertical="top" wrapText="1"/>
    </xf>
    <xf numFmtId="0" fontId="0" fillId="0" borderId="29" xfId="33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horizontal="left" vertical="top" wrapText="1"/>
    </xf>
    <xf numFmtId="0" fontId="0" fillId="0" borderId="32" xfId="0" applyNumberFormat="1" applyFont="1" applyBorder="1" applyProtection="1">
      <protection locked="0"/>
    </xf>
    <xf numFmtId="0" fontId="0" fillId="0" borderId="10" xfId="33" applyFont="1" applyFill="1" applyBorder="1" applyAlignment="1" applyProtection="1">
      <alignment horizontal="left" vertical="top" wrapText="1"/>
    </xf>
    <xf numFmtId="0" fontId="0" fillId="0" borderId="10" xfId="33" applyFont="1" applyFill="1" applyBorder="1" applyAlignment="1" applyProtection="1">
      <alignment vertical="top" wrapText="1"/>
    </xf>
    <xf numFmtId="0" fontId="22" fillId="0" borderId="0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24" fillId="0" borderId="0" xfId="35" applyFont="1" applyBorder="1" applyAlignment="1" applyProtection="1">
      <alignment horizontal="center" vertical="top"/>
    </xf>
    <xf numFmtId="0" fontId="24" fillId="0" borderId="31" xfId="35" applyFont="1" applyBorder="1" applyAlignment="1" applyProtection="1">
      <alignment horizontal="center" vertical="top"/>
    </xf>
    <xf numFmtId="0" fontId="0" fillId="0" borderId="0" xfId="0" applyFont="1" applyFill="1" applyAlignment="1" applyProtection="1"/>
    <xf numFmtId="170" fontId="0" fillId="0" borderId="14" xfId="33" applyNumberFormat="1" applyFont="1" applyFill="1" applyBorder="1" applyAlignment="1" applyProtection="1">
      <alignment vertical="top" shrinkToFit="1"/>
    </xf>
    <xf numFmtId="0" fontId="0" fillId="0" borderId="30" xfId="33" applyFont="1" applyFill="1" applyBorder="1" applyAlignment="1" applyProtection="1">
      <alignment horizontal="center" vertical="top" wrapText="1"/>
    </xf>
    <xf numFmtId="0" fontId="0" fillId="0" borderId="14" xfId="33" applyFont="1" applyFill="1" applyBorder="1" applyAlignment="1" applyProtection="1">
      <alignment horizontal="center" vertical="top" wrapText="1"/>
    </xf>
    <xf numFmtId="10" fontId="0" fillId="0" borderId="0" xfId="0" applyNumberFormat="1" applyFont="1" applyAlignment="1" applyProtection="1">
      <alignment vertical="center" wrapText="1"/>
    </xf>
    <xf numFmtId="0" fontId="42" fillId="0" borderId="34" xfId="0" applyFont="1" applyBorder="1" applyAlignment="1" applyProtection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45" fillId="0" borderId="32" xfId="0" applyFont="1" applyBorder="1" applyAlignment="1" applyProtection="1">
      <alignment horizontal="center" vertical="center" wrapText="1"/>
    </xf>
    <xf numFmtId="0" fontId="24" fillId="0" borderId="32" xfId="0" applyFont="1" applyBorder="1" applyAlignment="1" applyProtection="1">
      <alignment horizontal="center" vertical="center"/>
    </xf>
    <xf numFmtId="0" fontId="24" fillId="0" borderId="35" xfId="0" applyFont="1" applyFill="1" applyBorder="1" applyAlignment="1" applyProtection="1">
      <alignment horizontal="center" vertical="center" wrapText="1"/>
    </xf>
    <xf numFmtId="0" fontId="24" fillId="0" borderId="36" xfId="0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horizontal="center" vertical="center" wrapText="1"/>
    </xf>
    <xf numFmtId="0" fontId="24" fillId="0" borderId="37" xfId="0" applyFont="1" applyBorder="1" applyAlignment="1" applyProtection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0" applyNumberFormat="1" applyFont="1" applyFill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>
      <alignment vertical="center" wrapText="1" shrinkToFit="1"/>
    </xf>
    <xf numFmtId="49" fontId="0" fillId="16" borderId="40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40" xfId="0" applyNumberFormat="1" applyFont="1" applyFill="1" applyBorder="1" applyAlignment="1" applyProtection="1">
      <alignment horizontal="left" vertical="center" wrapText="1"/>
      <protection locked="0"/>
    </xf>
    <xf numFmtId="0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171" fontId="0" fillId="0" borderId="40" xfId="48" applyNumberFormat="1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NumberFormat="1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Font="1" applyBorder="1"/>
    <xf numFmtId="0" fontId="0" fillId="0" borderId="44" xfId="0" applyFont="1" applyBorder="1"/>
    <xf numFmtId="0" fontId="22" fillId="0" borderId="0" xfId="0" applyFont="1" applyFill="1"/>
    <xf numFmtId="0" fontId="0" fillId="0" borderId="0" xfId="0" applyFont="1" applyAlignment="1">
      <alignment horizontal="left"/>
    </xf>
    <xf numFmtId="0" fontId="24" fillId="17" borderId="32" xfId="0" applyNumberFormat="1" applyFont="1" applyFill="1" applyBorder="1" applyAlignment="1" applyProtection="1">
      <alignment horizontal="center" vertical="center"/>
    </xf>
    <xf numFmtId="49" fontId="24" fillId="17" borderId="45" xfId="0" applyNumberFormat="1" applyFont="1" applyFill="1" applyBorder="1" applyAlignment="1" applyProtection="1">
      <alignment horizontal="center" vertical="center"/>
    </xf>
    <xf numFmtId="171" fontId="24" fillId="17" borderId="45" xfId="48" applyNumberFormat="1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NumberFormat="1" applyFont="1" applyFill="1" applyBorder="1" applyAlignment="1" applyProtection="1">
      <alignment horizontal="center" vertical="center" shrinkToFit="1"/>
    </xf>
    <xf numFmtId="171" fontId="21" fillId="17" borderId="46" xfId="48" applyNumberFormat="1" applyFont="1" applyFill="1" applyBorder="1" applyAlignment="1" applyProtection="1">
      <alignment horizontal="center" vertical="center" shrinkToFit="1"/>
    </xf>
    <xf numFmtId="0" fontId="22" fillId="0" borderId="0" xfId="0" applyFont="1"/>
    <xf numFmtId="0" fontId="0" fillId="4" borderId="13" xfId="0" applyFont="1" applyFill="1" applyBorder="1"/>
    <xf numFmtId="0" fontId="0" fillId="4" borderId="46" xfId="0" applyFont="1" applyFill="1" applyBorder="1"/>
    <xf numFmtId="0" fontId="30" fillId="0" borderId="0" xfId="0" applyFont="1"/>
    <xf numFmtId="0" fontId="30" fillId="0" borderId="33" xfId="0" applyFont="1" applyBorder="1" applyAlignment="1" applyProtection="1">
      <alignment horizontal="left" vertical="center"/>
    </xf>
    <xf numFmtId="0" fontId="0" fillId="0" borderId="12" xfId="0" applyFont="1" applyBorder="1"/>
    <xf numFmtId="0" fontId="30" fillId="0" borderId="0" xfId="0" applyFont="1" applyFill="1" applyBorder="1" applyAlignment="1" applyProtection="1">
      <alignment horizontal="left" wrapText="1"/>
      <protection locked="0"/>
    </xf>
    <xf numFmtId="0" fontId="17" fillId="0" borderId="0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17" fillId="0" borderId="30" xfId="33" applyFont="1" applyBorder="1" applyAlignment="1" applyProtection="1">
      <alignment vertical="center"/>
    </xf>
    <xf numFmtId="0" fontId="0" fillId="0" borderId="0" xfId="0" applyFill="1"/>
    <xf numFmtId="0" fontId="24" fillId="0" borderId="10" xfId="0" applyFont="1" applyBorder="1"/>
    <xf numFmtId="0" fontId="0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 applyProtection="1">
      <alignment vertical="top"/>
    </xf>
    <xf numFmtId="0" fontId="24" fillId="0" borderId="0" xfId="35" applyFont="1" applyBorder="1" applyAlignment="1" applyProtection="1">
      <alignment vertical="top"/>
    </xf>
    <xf numFmtId="0" fontId="24" fillId="0" borderId="12" xfId="35" applyFont="1" applyBorder="1" applyAlignment="1" applyProtection="1">
      <alignment vertical="top"/>
    </xf>
    <xf numFmtId="0" fontId="0" fillId="0" borderId="47" xfId="33" applyNumberFormat="1" applyFont="1" applyFill="1" applyBorder="1" applyAlignment="1" applyProtection="1">
      <alignment vertical="top"/>
    </xf>
    <xf numFmtId="0" fontId="0" fillId="0" borderId="30" xfId="33" applyFont="1" applyFill="1" applyBorder="1" applyAlignment="1" applyProtection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6" borderId="49" xfId="0" applyFill="1" applyBorder="1" applyAlignment="1" applyProtection="1">
      <alignment horizontal="center" textRotation="90" wrapText="1"/>
      <protection locked="0"/>
    </xf>
    <xf numFmtId="0" fontId="0" fillId="0" borderId="37" xfId="0" applyFill="1" applyBorder="1" applyAlignment="1" applyProtection="1">
      <alignment horizontal="center" textRotation="90" wrapText="1"/>
    </xf>
    <xf numFmtId="0" fontId="0" fillId="0" borderId="48" xfId="0" applyFill="1" applyBorder="1" applyAlignment="1" applyProtection="1">
      <alignment horizontal="center" textRotation="90" wrapText="1"/>
    </xf>
    <xf numFmtId="0" fontId="0" fillId="0" borderId="49" xfId="0" applyFill="1" applyBorder="1" applyAlignment="1" applyProtection="1">
      <alignment horizontal="center" textRotation="90" wrapText="1"/>
    </xf>
    <xf numFmtId="0" fontId="24" fillId="0" borderId="0" xfId="0" applyFont="1" applyAlignment="1">
      <alignment horizontal="center"/>
    </xf>
    <xf numFmtId="0" fontId="24" fillId="0" borderId="50" xfId="0" applyFont="1" applyBorder="1" applyAlignment="1" applyProtection="1">
      <alignment horizontal="center" vertical="center" wrapText="1"/>
    </xf>
    <xf numFmtId="0" fontId="24" fillId="0" borderId="51" xfId="0" applyFont="1" applyBorder="1" applyAlignment="1" applyProtection="1">
      <alignment horizontal="center" vertical="center" wrapText="1"/>
    </xf>
    <xf numFmtId="0" fontId="24" fillId="0" borderId="52" xfId="0" applyFont="1" applyBorder="1" applyAlignment="1" applyProtection="1">
      <alignment horizontal="center" vertical="center" wrapText="1"/>
    </xf>
    <xf numFmtId="0" fontId="24" fillId="0" borderId="48" xfId="0" applyFont="1" applyBorder="1" applyAlignment="1" applyProtection="1">
      <alignment horizontal="center" vertical="center" wrapText="1"/>
    </xf>
    <xf numFmtId="0" fontId="24" fillId="0" borderId="49" xfId="0" applyFont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 applyProtection="1">
      <alignment vertical="center" wrapText="1" shrinkToFit="1"/>
    </xf>
    <xf numFmtId="0" fontId="0" fillId="0" borderId="40" xfId="0" applyNumberFormat="1" applyFont="1" applyFill="1" applyBorder="1" applyAlignment="1" applyProtection="1">
      <alignment horizontal="left" vertical="center" wrapText="1"/>
    </xf>
    <xf numFmtId="0" fontId="0" fillId="0" borderId="40" xfId="0" applyNumberFormat="1" applyFont="1" applyFill="1" applyBorder="1" applyAlignment="1" applyProtection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NumberFormat="1" applyFont="1" applyFill="1" applyBorder="1" applyAlignment="1" applyProtection="1">
      <alignment horizontal="left" vertical="center"/>
    </xf>
    <xf numFmtId="0" fontId="24" fillId="14" borderId="32" xfId="0" applyNumberFormat="1" applyFont="1" applyFill="1" applyBorder="1" applyAlignment="1" applyProtection="1">
      <alignment horizontal="center" vertical="center"/>
    </xf>
    <xf numFmtId="0" fontId="24" fillId="17" borderId="32" xfId="0" applyNumberFormat="1" applyFont="1" applyFill="1" applyBorder="1" applyAlignment="1" applyProtection="1">
      <alignment horizontal="right" vertical="center"/>
    </xf>
    <xf numFmtId="4" fontId="24" fillId="17" borderId="55" xfId="0" applyNumberFormat="1" applyFont="1" applyFill="1" applyBorder="1" applyAlignment="1" applyProtection="1">
      <alignment horizontal="right" vertical="center" shrinkToFit="1"/>
    </xf>
    <xf numFmtId="4" fontId="24" fillId="17" borderId="56" xfId="0" applyNumberFormat="1" applyFont="1" applyFill="1" applyBorder="1" applyAlignment="1" applyProtection="1">
      <alignment horizontal="right" vertical="center" shrinkToFit="1"/>
    </xf>
    <xf numFmtId="4" fontId="24" fillId="17" borderId="57" xfId="0" applyNumberFormat="1" applyFont="1" applyFill="1" applyBorder="1" applyAlignment="1" applyProtection="1">
      <alignment horizontal="right" vertical="center" shrinkToFit="1"/>
    </xf>
    <xf numFmtId="4" fontId="24" fillId="17" borderId="37" xfId="0" applyNumberFormat="1" applyFont="1" applyFill="1" applyBorder="1" applyAlignment="1" applyProtection="1">
      <alignment horizontal="right" vertical="center" shrinkToFit="1"/>
    </xf>
    <xf numFmtId="0" fontId="24" fillId="17" borderId="37" xfId="0" applyNumberFormat="1" applyFont="1" applyFill="1" applyBorder="1" applyAlignment="1" applyProtection="1">
      <alignment horizontal="right" vertical="center" shrinkToFit="1"/>
    </xf>
    <xf numFmtId="0" fontId="0" fillId="18" borderId="13" xfId="0" applyFill="1" applyBorder="1"/>
    <xf numFmtId="0" fontId="0" fillId="4" borderId="45" xfId="0" applyFont="1" applyFill="1" applyBorder="1"/>
    <xf numFmtId="167" fontId="0" fillId="0" borderId="30" xfId="0" applyNumberFormat="1" applyFont="1" applyBorder="1" applyAlignment="1" applyProtection="1"/>
    <xf numFmtId="0" fontId="0" fillId="0" borderId="30" xfId="0" applyBorder="1"/>
    <xf numFmtId="0" fontId="0" fillId="0" borderId="0" xfId="33" applyFont="1" applyBorder="1" applyAlignment="1" applyProtection="1">
      <alignment vertical="center"/>
    </xf>
    <xf numFmtId="0" fontId="12" fillId="0" borderId="32" xfId="0" applyFont="1" applyBorder="1" applyProtection="1"/>
    <xf numFmtId="0" fontId="12" fillId="0" borderId="32" xfId="0" applyFont="1" applyBorder="1" applyAlignment="1" applyProtection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 applyAlignment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46" fillId="0" borderId="0" xfId="34" applyFont="1" applyBorder="1"/>
    <xf numFmtId="0" fontId="46" fillId="0" borderId="0" xfId="34" applyFont="1" applyBorder="1" applyAlignment="1">
      <alignment horizontal="center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 applyAlignment="1"/>
    <xf numFmtId="0" fontId="46" fillId="0" borderId="14" xfId="34" applyNumberFormat="1" applyFont="1" applyBorder="1" applyAlignment="1">
      <alignment horizontal="center"/>
    </xf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 applyAlignment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Fill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Fill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0" fillId="0" borderId="30" xfId="0" applyFont="1" applyBorder="1"/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24" fillId="0" borderId="0" xfId="0" applyFont="1" applyBorder="1"/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Font="1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 applyAlignment="1"/>
    <xf numFmtId="0" fontId="24" fillId="8" borderId="77" xfId="0" applyFont="1" applyFill="1" applyBorder="1" applyAlignment="1"/>
    <xf numFmtId="0" fontId="24" fillId="8" borderId="78" xfId="0" applyFont="1" applyFill="1" applyBorder="1" applyAlignment="1"/>
    <xf numFmtId="0" fontId="0" fillId="18" borderId="40" xfId="0" applyFill="1" applyBorder="1" applyAlignment="1">
      <alignment horizontal="center"/>
    </xf>
    <xf numFmtId="0" fontId="0" fillId="18" borderId="40" xfId="0" applyFont="1" applyFill="1" applyBorder="1"/>
    <xf numFmtId="0" fontId="0" fillId="8" borderId="79" xfId="0" applyFill="1" applyBorder="1"/>
    <xf numFmtId="0" fontId="0" fillId="8" borderId="80" xfId="0" applyFont="1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 applyAlignment="1"/>
    <xf numFmtId="0" fontId="0" fillId="4" borderId="13" xfId="0" applyFill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Alignment="1">
      <alignment horizontal="left"/>
    </xf>
    <xf numFmtId="0" fontId="23" fillId="0" borderId="0" xfId="0" applyFont="1" applyAlignment="1">
      <alignment horizontal="left" vertical="center" indent="2"/>
    </xf>
    <xf numFmtId="0" fontId="0" fillId="0" borderId="32" xfId="0" applyFont="1" applyFill="1" applyBorder="1" applyAlignment="1" applyProtection="1"/>
    <xf numFmtId="10" fontId="0" fillId="0" borderId="32" xfId="0" applyNumberFormat="1" applyFont="1" applyBorder="1" applyAlignment="1" applyProtection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4" fontId="0" fillId="0" borderId="0" xfId="31" applyNumberFormat="1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4" fillId="0" borderId="34" xfId="0" applyFont="1" applyBorder="1" applyAlignment="1" applyProtection="1">
      <alignment horizontal="center" vertical="center" wrapText="1"/>
    </xf>
    <xf numFmtId="0" fontId="24" fillId="0" borderId="11" xfId="0" applyFont="1" applyBorder="1" applyAlignment="1" applyProtection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0" borderId="32" xfId="0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Font="1" applyFill="1" applyAlignment="1">
      <alignment horizontal="center" vertical="top"/>
    </xf>
    <xf numFmtId="0" fontId="0" fillId="0" borderId="82" xfId="0" applyFont="1" applyBorder="1"/>
    <xf numFmtId="0" fontId="0" fillId="0" borderId="11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Fill="1" applyBorder="1" applyAlignment="1" applyProtection="1">
      <alignment vertical="top" wrapText="1"/>
    </xf>
    <xf numFmtId="182" fontId="0" fillId="0" borderId="29" xfId="33" applyNumberFormat="1" applyFont="1" applyFill="1" applyBorder="1" applyAlignment="1" applyProtection="1">
      <alignment horizontal="left" vertical="top" wrapText="1"/>
    </xf>
    <xf numFmtId="0" fontId="0" fillId="0" borderId="34" xfId="0" applyFont="1" applyBorder="1"/>
    <xf numFmtId="0" fontId="0" fillId="0" borderId="31" xfId="0" applyBorder="1"/>
    <xf numFmtId="49" fontId="0" fillId="0" borderId="14" xfId="33" applyNumberFormat="1" applyFont="1" applyFill="1" applyBorder="1" applyAlignment="1" applyProtection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 wrapText="1"/>
    </xf>
    <xf numFmtId="183" fontId="24" fillId="8" borderId="34" xfId="0" applyNumberFormat="1" applyFont="1" applyFill="1" applyBorder="1" applyAlignment="1" applyProtection="1">
      <alignment horizontal="center" vertical="center" wrapText="1"/>
    </xf>
    <xf numFmtId="171" fontId="0" fillId="0" borderId="38" xfId="48" applyNumberFormat="1" applyFont="1" applyFill="1" applyBorder="1" applyAlignment="1" applyProtection="1">
      <alignment vertical="center" shrinkToFit="1"/>
    </xf>
    <xf numFmtId="171" fontId="0" fillId="0" borderId="69" xfId="48" applyNumberFormat="1" applyFont="1" applyFill="1" applyBorder="1" applyAlignment="1" applyProtection="1">
      <alignment vertical="center" shrinkToFit="1"/>
    </xf>
    <xf numFmtId="171" fontId="0" fillId="0" borderId="39" xfId="48" applyNumberFormat="1" applyFont="1" applyFill="1" applyBorder="1" applyAlignment="1" applyProtection="1">
      <alignment horizontal="center" vertical="center" shrinkToFit="1"/>
    </xf>
    <xf numFmtId="171" fontId="0" fillId="0" borderId="40" xfId="48" applyNumberFormat="1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171" fontId="24" fillId="17" borderId="14" xfId="48" applyNumberFormat="1" applyFont="1" applyFill="1" applyBorder="1" applyAlignment="1" applyProtection="1">
      <alignment horizontal="center" vertical="center"/>
    </xf>
    <xf numFmtId="171" fontId="24" fillId="17" borderId="14" xfId="48" applyNumberFormat="1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Font="1" applyFill="1" applyBorder="1" applyAlignment="1" applyProtection="1">
      <alignment horizontal="center" wrapText="1"/>
    </xf>
    <xf numFmtId="0" fontId="0" fillId="0" borderId="46" xfId="0" applyFont="1" applyFill="1" applyBorder="1" applyAlignment="1" applyProtection="1">
      <alignment horizontal="center" wrapText="1"/>
    </xf>
    <xf numFmtId="0" fontId="24" fillId="0" borderId="32" xfId="0" applyFont="1" applyFill="1" applyBorder="1" applyAlignment="1" applyProtection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0" fillId="0" borderId="0" xfId="0" applyBorder="1" applyAlignment="1"/>
    <xf numFmtId="0" fontId="24" fillId="0" borderId="12" xfId="35" applyFont="1" applyBorder="1" applyAlignment="1" applyProtection="1"/>
    <xf numFmtId="0" fontId="0" fillId="0" borderId="29" xfId="0" applyBorder="1" applyAlignment="1">
      <alignment shrinkToFit="1"/>
    </xf>
    <xf numFmtId="0" fontId="0" fillId="0" borderId="31" xfId="33" applyFont="1" applyFill="1" applyBorder="1" applyAlignment="1" applyProtection="1">
      <alignment vertical="top" wrapText="1"/>
    </xf>
    <xf numFmtId="4" fontId="0" fillId="0" borderId="14" xfId="33" applyNumberFormat="1" applyFont="1" applyFill="1" applyBorder="1" applyAlignment="1" applyProtection="1">
      <alignment horizontal="left" vertical="top" wrapText="1"/>
    </xf>
    <xf numFmtId="4" fontId="0" fillId="0" borderId="47" xfId="33" applyNumberFormat="1" applyFont="1" applyFill="1" applyBorder="1" applyAlignment="1" applyProtection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Border="1" applyAlignment="1" applyProtection="1">
      <alignment horizontal="center" vertical="center" wrapText="1"/>
    </xf>
    <xf numFmtId="170" fontId="24" fillId="0" borderId="47" xfId="0" applyNumberFormat="1" applyFont="1" applyBorder="1" applyAlignment="1" applyProtection="1">
      <alignment horizontal="center"/>
    </xf>
    <xf numFmtId="10" fontId="24" fillId="0" borderId="29" xfId="0" applyNumberFormat="1" applyFont="1" applyFill="1" applyBorder="1" applyAlignment="1" applyProtection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Font="1" applyBorder="1" applyAlignment="1" applyProtection="1">
      <alignment wrapText="1"/>
    </xf>
    <xf numFmtId="0" fontId="24" fillId="0" borderId="32" xfId="0" applyFont="1" applyBorder="1" applyAlignment="1">
      <alignment horizontal="center" vertical="center"/>
    </xf>
    <xf numFmtId="179" fontId="24" fillId="0" borderId="39" xfId="0" applyNumberFormat="1" applyFont="1" applyBorder="1" applyAlignment="1" applyProtection="1">
      <alignment horizontal="center" vertical="center"/>
    </xf>
    <xf numFmtId="0" fontId="0" fillId="0" borderId="40" xfId="0" applyBorder="1" applyAlignment="1" applyProtection="1">
      <alignment horizontal="left" vertical="top"/>
    </xf>
    <xf numFmtId="49" fontId="0" fillId="0" borderId="40" xfId="0" applyNumberFormat="1" applyFill="1" applyBorder="1" applyAlignment="1" applyProtection="1">
      <alignment horizontal="center" vertical="center" wrapText="1"/>
    </xf>
    <xf numFmtId="0" fontId="0" fillId="0" borderId="40" xfId="0" applyFill="1" applyBorder="1" applyAlignment="1" applyProtection="1">
      <alignment horizontal="center"/>
    </xf>
    <xf numFmtId="0" fontId="0" fillId="0" borderId="40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79" xfId="0" applyBorder="1" applyAlignment="1" applyProtection="1">
      <alignment horizontal="center" vertical="center"/>
    </xf>
    <xf numFmtId="178" fontId="0" fillId="0" borderId="42" xfId="0" applyNumberFormat="1" applyBorder="1" applyAlignment="1" applyProtection="1">
      <alignment horizontal="center" vertical="center"/>
    </xf>
    <xf numFmtId="178" fontId="0" fillId="0" borderId="0" xfId="0" applyNumberFormat="1" applyFont="1" applyBorder="1" applyAlignment="1" applyProtection="1">
      <alignment horizontal="center" vertical="center"/>
    </xf>
    <xf numFmtId="178" fontId="0" fillId="0" borderId="38" xfId="0" applyNumberFormat="1" applyBorder="1" applyAlignment="1" applyProtection="1">
      <alignment horizontal="center" vertical="center"/>
    </xf>
    <xf numFmtId="178" fontId="0" fillId="0" borderId="79" xfId="0" applyNumberFormat="1" applyBorder="1" applyAlignment="1" applyProtection="1">
      <alignment horizontal="center" vertical="center"/>
    </xf>
    <xf numFmtId="178" fontId="0" fillId="0" borderId="69" xfId="0" applyNumberFormat="1" applyBorder="1" applyAlignment="1" applyProtection="1">
      <alignment horizontal="center" vertical="center"/>
    </xf>
    <xf numFmtId="10" fontId="0" fillId="0" borderId="69" xfId="0" applyNumberFormat="1" applyBorder="1" applyAlignment="1" applyProtection="1">
      <alignment horizontal="center" vertical="center"/>
    </xf>
    <xf numFmtId="0" fontId="0" fillId="0" borderId="33" xfId="0" applyFont="1" applyBorder="1" applyAlignment="1" applyProtection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82" xfId="0" applyFill="1" applyBorder="1" applyAlignment="1"/>
    <xf numFmtId="0" fontId="0" fillId="18" borderId="10" xfId="0" applyFill="1" applyBorder="1" applyAlignment="1"/>
    <xf numFmtId="0" fontId="0" fillId="18" borderId="11" xfId="0" applyFill="1" applyBorder="1" applyAlignment="1"/>
    <xf numFmtId="178" fontId="0" fillId="0" borderId="42" xfId="0" applyNumberFormat="1" applyFont="1" applyFill="1" applyBorder="1" applyAlignment="1">
      <alignment horizontal="center" vertical="center"/>
    </xf>
    <xf numFmtId="178" fontId="0" fillId="0" borderId="38" xfId="0" applyNumberFormat="1" applyFont="1" applyFill="1" applyBorder="1" applyAlignment="1">
      <alignment horizontal="center" vertical="center"/>
    </xf>
    <xf numFmtId="178" fontId="0" fillId="0" borderId="79" xfId="0" applyNumberFormat="1" applyFont="1" applyFill="1" applyBorder="1" applyAlignment="1">
      <alignment horizontal="center" vertical="center"/>
    </xf>
    <xf numFmtId="178" fontId="0" fillId="0" borderId="69" xfId="0" applyNumberFormat="1" applyFont="1" applyFill="1" applyBorder="1" applyAlignment="1">
      <alignment horizontal="center" vertical="center"/>
    </xf>
    <xf numFmtId="0" fontId="0" fillId="18" borderId="33" xfId="0" applyFill="1" applyBorder="1" applyAlignment="1"/>
    <xf numFmtId="0" fontId="0" fillId="18" borderId="0" xfId="0" applyFont="1" applyFill="1" applyBorder="1" applyAlignment="1">
      <alignment horizontal="center"/>
    </xf>
    <xf numFmtId="0" fontId="0" fillId="18" borderId="12" xfId="0" applyFont="1" applyFill="1" applyBorder="1" applyAlignment="1">
      <alignment horizontal="center"/>
    </xf>
    <xf numFmtId="0" fontId="21" fillId="0" borderId="0" xfId="0" applyFont="1"/>
    <xf numFmtId="178" fontId="0" fillId="8" borderId="42" xfId="0" applyNumberFormat="1" applyFont="1" applyFill="1" applyBorder="1" applyAlignment="1">
      <alignment horizontal="center" vertical="center"/>
    </xf>
    <xf numFmtId="178" fontId="0" fillId="8" borderId="38" xfId="0" applyNumberFormat="1" applyFont="1" applyFill="1" applyBorder="1" applyAlignment="1">
      <alignment horizontal="center" vertical="center"/>
    </xf>
    <xf numFmtId="178" fontId="0" fillId="8" borderId="79" xfId="0" applyNumberFormat="1" applyFont="1" applyFill="1" applyBorder="1" applyAlignment="1">
      <alignment horizontal="center" vertical="center"/>
    </xf>
    <xf numFmtId="178" fontId="0" fillId="8" borderId="69" xfId="0" applyNumberFormat="1" applyFont="1" applyFill="1" applyBorder="1" applyAlignment="1">
      <alignment horizontal="center" vertical="center"/>
    </xf>
    <xf numFmtId="0" fontId="0" fillId="18" borderId="84" xfId="0" applyFont="1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Font="1" applyFill="1" applyBorder="1" applyAlignment="1">
      <alignment horizontal="center" vertical="center"/>
    </xf>
    <xf numFmtId="178" fontId="0" fillId="0" borderId="59" xfId="0" applyNumberFormat="1" applyFont="1" applyFill="1" applyBorder="1" applyAlignment="1">
      <alignment horizontal="center" vertical="center"/>
    </xf>
    <xf numFmtId="178" fontId="0" fillId="0" borderId="60" xfId="0" applyNumberFormat="1" applyFont="1" applyFill="1" applyBorder="1" applyAlignment="1">
      <alignment horizontal="center" vertical="center"/>
    </xf>
    <xf numFmtId="178" fontId="0" fillId="0" borderId="61" xfId="0" applyNumberFormat="1" applyFont="1" applyFill="1" applyBorder="1" applyAlignment="1">
      <alignment horizontal="center" vertical="center"/>
    </xf>
    <xf numFmtId="0" fontId="0" fillId="18" borderId="87" xfId="0" applyFont="1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0" fontId="0" fillId="18" borderId="47" xfId="0" applyFill="1" applyBorder="1" applyAlignment="1"/>
    <xf numFmtId="0" fontId="0" fillId="18" borderId="30" xfId="0" applyFill="1" applyBorder="1" applyAlignment="1"/>
    <xf numFmtId="0" fontId="0" fillId="18" borderId="29" xfId="0" applyFill="1" applyBorder="1" applyAlignment="1"/>
    <xf numFmtId="178" fontId="0" fillId="0" borderId="0" xfId="0" applyNumberFormat="1"/>
    <xf numFmtId="0" fontId="17" fillId="0" borderId="0" xfId="33" applyFont="1" applyBorder="1" applyAlignment="1" applyProtection="1">
      <alignment vertical="center"/>
    </xf>
    <xf numFmtId="0" fontId="0" fillId="0" borderId="0" xfId="33" applyFont="1" applyBorder="1" applyAlignment="1" applyProtection="1">
      <alignment horizontal="left" vertical="center"/>
    </xf>
    <xf numFmtId="0" fontId="0" fillId="0" borderId="0" xfId="33" applyFont="1"/>
    <xf numFmtId="0" fontId="0" fillId="0" borderId="0" xfId="33" applyFont="1" applyFill="1" applyBorder="1" applyAlignment="1" applyProtection="1"/>
    <xf numFmtId="0" fontId="0" fillId="0" borderId="10" xfId="0" applyFont="1" applyBorder="1" applyAlignment="1" applyProtection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Fill="1" applyBorder="1" applyAlignment="1" applyProtection="1">
      <alignment horizontal="left"/>
    </xf>
    <xf numFmtId="0" fontId="0" fillId="0" borderId="0" xfId="33" applyFont="1" applyAlignment="1" applyProtection="1"/>
    <xf numFmtId="171" fontId="56" fillId="0" borderId="0" xfId="48" applyFill="1" applyBorder="1" applyAlignment="1" applyProtection="1"/>
    <xf numFmtId="0" fontId="0" fillId="0" borderId="0" xfId="33" applyFont="1" applyFill="1" applyBorder="1" applyAlignment="1" applyProtection="1">
      <alignment horizontal="left"/>
    </xf>
    <xf numFmtId="0" fontId="0" fillId="6" borderId="0" xfId="33" applyFont="1" applyFill="1" applyBorder="1" applyAlignment="1" applyProtection="1">
      <alignment vertical="top"/>
      <protection locked="0"/>
    </xf>
    <xf numFmtId="0" fontId="24" fillId="0" borderId="0" xfId="33" applyFont="1" applyFill="1" applyBorder="1" applyAlignment="1" applyProtection="1">
      <alignment vertical="top"/>
    </xf>
    <xf numFmtId="0" fontId="0" fillId="0" borderId="0" xfId="33" applyFont="1" applyFill="1" applyBorder="1" applyAlignment="1" applyProtection="1">
      <alignment horizontal="left"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vertical="top" wrapText="1"/>
      <protection locked="0"/>
    </xf>
    <xf numFmtId="0" fontId="0" fillId="0" borderId="30" xfId="33" applyFont="1" applyBorder="1" applyAlignment="1" applyProtection="1"/>
    <xf numFmtId="0" fontId="0" fillId="0" borderId="0" xfId="33" applyFont="1" applyBorder="1" applyAlignment="1" applyProtection="1"/>
    <xf numFmtId="0" fontId="59" fillId="0" borderId="0" xfId="0" applyFont="1" applyAlignment="1">
      <alignment horizontal="center"/>
    </xf>
    <xf numFmtId="0" fontId="0" fillId="0" borderId="0" xfId="0" applyFill="1" applyBorder="1"/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0" fillId="20" borderId="0" xfId="0" applyFill="1" applyBorder="1"/>
    <xf numFmtId="0" fontId="0" fillId="20" borderId="0" xfId="0" applyFill="1" applyBorder="1" applyAlignment="1">
      <alignment horizontal="center" vertical="center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Fill="1" applyBorder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ont="1" applyFill="1" applyBorder="1"/>
    <xf numFmtId="0" fontId="0" fillId="3" borderId="0" xfId="0" applyFont="1" applyFill="1" applyBorder="1" applyAlignment="1" applyProtection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Border="1" applyAlignment="1">
      <alignment vertical="center"/>
    </xf>
    <xf numFmtId="0" fontId="0" fillId="0" borderId="93" xfId="0" applyBorder="1"/>
    <xf numFmtId="0" fontId="0" fillId="0" borderId="93" xfId="0" applyFont="1" applyFill="1" applyBorder="1" applyAlignment="1">
      <alignment vertical="center"/>
    </xf>
    <xf numFmtId="0" fontId="0" fillId="0" borderId="93" xfId="0" applyFont="1" applyFill="1" applyBorder="1"/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Font="1" applyFill="1" applyBorder="1"/>
    <xf numFmtId="0" fontId="47" fillId="0" borderId="0" xfId="0" applyFont="1" applyFill="1" applyAlignment="1">
      <alignment horizontal="center"/>
    </xf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ont="1" applyFill="1" applyBorder="1"/>
    <xf numFmtId="0" fontId="0" fillId="26" borderId="46" xfId="0" applyFont="1" applyFill="1" applyBorder="1"/>
    <xf numFmtId="0" fontId="0" fillId="26" borderId="32" xfId="0" applyFont="1" applyFill="1" applyBorder="1" applyProtection="1"/>
    <xf numFmtId="0" fontId="0" fillId="26" borderId="13" xfId="0" applyFont="1" applyFill="1" applyBorder="1"/>
    <xf numFmtId="0" fontId="0" fillId="26" borderId="32" xfId="0" applyFont="1" applyFill="1" applyBorder="1" applyAlignment="1">
      <alignment horizontal="left"/>
    </xf>
    <xf numFmtId="0" fontId="0" fillId="26" borderId="32" xfId="0" applyFont="1" applyFill="1" applyBorder="1" applyAlignment="1" applyProtection="1">
      <alignment horizontal="center"/>
    </xf>
    <xf numFmtId="0" fontId="24" fillId="6" borderId="14" xfId="0" applyNumberFormat="1" applyFont="1" applyFill="1" applyBorder="1" applyAlignment="1" applyProtection="1">
      <alignment horizontal="center" vertical="center" wrapText="1"/>
      <protection locked="0"/>
    </xf>
    <xf numFmtId="0" fontId="24" fillId="6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ont="1" applyFill="1" applyBorder="1"/>
    <xf numFmtId="0" fontId="0" fillId="27" borderId="46" xfId="0" applyFont="1" applyFill="1" applyBorder="1" applyProtection="1"/>
    <xf numFmtId="0" fontId="0" fillId="27" borderId="45" xfId="0" applyFont="1" applyFill="1" applyBorder="1"/>
    <xf numFmtId="0" fontId="0" fillId="27" borderId="46" xfId="0" applyFont="1" applyFill="1" applyBorder="1"/>
    <xf numFmtId="0" fontId="0" fillId="28" borderId="32" xfId="0" applyFont="1" applyFill="1" applyBorder="1"/>
    <xf numFmtId="171" fontId="21" fillId="17" borderId="32" xfId="48" applyNumberFormat="1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 applyProtection="1">
      <alignment horizontal="center" vertical="center" wrapText="1"/>
    </xf>
    <xf numFmtId="171" fontId="0" fillId="0" borderId="39" xfId="48" applyNumberFormat="1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45" xfId="0" applyFill="1" applyBorder="1"/>
    <xf numFmtId="0" fontId="0" fillId="26" borderId="46" xfId="0" applyFill="1" applyBorder="1"/>
    <xf numFmtId="0" fontId="0" fillId="26" borderId="37" xfId="0" applyFont="1" applyFill="1" applyBorder="1"/>
    <xf numFmtId="0" fontId="0" fillId="26" borderId="48" xfId="0" applyFont="1" applyFill="1" applyBorder="1"/>
    <xf numFmtId="0" fontId="0" fillId="26" borderId="49" xfId="0" applyFont="1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1" fontId="0" fillId="6" borderId="0" xfId="0" applyNumberFormat="1" applyFill="1" applyBorder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NumberFormat="1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NumberFormat="1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>
      <alignment horizontal="left" wrapText="1"/>
    </xf>
    <xf numFmtId="0" fontId="0" fillId="0" borderId="0" xfId="0" applyProtection="1"/>
    <xf numFmtId="4" fontId="0" fillId="6" borderId="53" xfId="0" applyNumberFormat="1" applyFill="1" applyBorder="1" applyAlignment="1" applyProtection="1">
      <protection locked="0"/>
    </xf>
    <xf numFmtId="4" fontId="0" fillId="6" borderId="68" xfId="0" applyNumberFormat="1" applyFill="1" applyBorder="1" applyAlignment="1" applyProtection="1">
      <protection locked="0"/>
    </xf>
    <xf numFmtId="4" fontId="0" fillId="6" borderId="74" xfId="0" applyNumberFormat="1" applyFill="1" applyBorder="1" applyAlignment="1" applyProtection="1">
      <protection locked="0"/>
    </xf>
    <xf numFmtId="4" fontId="0" fillId="6" borderId="75" xfId="0" applyNumberFormat="1" applyFill="1" applyBorder="1" applyAlignment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 applyAlignment="1"/>
    <xf numFmtId="0" fontId="0" fillId="0" borderId="93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 applyProtection="1">
      <alignment horizontal="center" vertical="center"/>
    </xf>
    <xf numFmtId="171" fontId="24" fillId="17" borderId="30" xfId="48" applyNumberFormat="1" applyFont="1" applyFill="1" applyBorder="1" applyAlignment="1" applyProtection="1">
      <alignment horizontal="center" vertical="center"/>
    </xf>
    <xf numFmtId="171" fontId="24" fillId="17" borderId="29" xfId="48" applyNumberFormat="1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Font="1" applyBorder="1" applyAlignment="1" applyProtection="1">
      <alignment horizontal="left"/>
    </xf>
    <xf numFmtId="0" fontId="17" fillId="0" borderId="95" xfId="33" applyFont="1" applyBorder="1" applyAlignment="1" applyProtection="1">
      <alignment vertical="center"/>
    </xf>
    <xf numFmtId="0" fontId="0" fillId="0" borderId="95" xfId="0" applyBorder="1" applyAlignment="1">
      <alignment horizontal="center"/>
    </xf>
    <xf numFmtId="0" fontId="24" fillId="0" borderId="0" xfId="33" applyNumberFormat="1" applyFont="1" applyFill="1" applyBorder="1" applyAlignment="1" applyProtection="1">
      <alignment vertical="top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left" vertical="center" wrapText="1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on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 applyProtection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NumberFormat="1" applyFont="1" applyFill="1" applyBorder="1" applyAlignment="1" applyProtection="1">
      <alignment vertical="center" shrinkToFit="1"/>
    </xf>
    <xf numFmtId="171" fontId="24" fillId="17" borderId="71" xfId="48" applyNumberFormat="1" applyFont="1" applyFill="1" applyBorder="1" applyAlignment="1" applyProtection="1">
      <alignment horizontal="center" vertical="center" shrinkToFit="1"/>
    </xf>
    <xf numFmtId="171" fontId="24" fillId="17" borderId="75" xfId="48" applyNumberFormat="1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16" borderId="41" xfId="0" applyFill="1" applyBorder="1" applyAlignment="1" applyProtection="1">
      <alignment shrinkToFit="1"/>
      <protection locked="0"/>
    </xf>
    <xf numFmtId="0" fontId="0" fillId="0" borderId="109" xfId="0" applyFont="1" applyFill="1" applyBorder="1" applyAlignment="1">
      <alignment vertical="center"/>
    </xf>
    <xf numFmtId="0" fontId="0" fillId="16" borderId="110" xfId="0" applyFont="1" applyFill="1" applyBorder="1" applyAlignment="1" applyProtection="1">
      <alignment vertical="center"/>
      <protection locked="0"/>
    </xf>
    <xf numFmtId="43" fontId="0" fillId="0" borderId="0" xfId="0" applyNumberFormat="1"/>
    <xf numFmtId="0" fontId="0" fillId="0" borderId="0" xfId="0" applyFont="1"/>
    <xf numFmtId="49" fontId="0" fillId="6" borderId="18" xfId="0" applyNumberFormat="1" applyFill="1" applyBorder="1" applyAlignment="1" applyProtection="1">
      <alignment vertical="center"/>
      <protection locked="0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0" fontId="0" fillId="6" borderId="18" xfId="0" applyFill="1" applyBorder="1" applyAlignment="1" applyProtection="1">
      <alignment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49" fontId="0" fillId="6" borderId="20" xfId="0" applyNumberFormat="1" applyFill="1" applyBorder="1" applyAlignment="1" applyProtection="1">
      <alignment vertical="center"/>
      <protection locked="0"/>
    </xf>
    <xf numFmtId="0" fontId="0" fillId="0" borderId="0" xfId="0" applyFont="1"/>
    <xf numFmtId="0" fontId="0" fillId="0" borderId="40" xfId="0" applyBorder="1" applyAlignment="1">
      <alignment horizontal="left"/>
    </xf>
    <xf numFmtId="0" fontId="18" fillId="0" borderId="32" xfId="0" applyFont="1" applyFill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11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12" fillId="0" borderId="111" xfId="0" applyFont="1" applyFill="1" applyBorder="1" applyAlignment="1">
      <alignment horizontal="center" vertical="center"/>
    </xf>
    <xf numFmtId="0" fontId="0" fillId="0" borderId="14" xfId="33" applyFont="1" applyFill="1" applyBorder="1" applyAlignment="1" applyProtection="1">
      <alignment horizontal="left" vertical="top" wrapText="1"/>
    </xf>
    <xf numFmtId="0" fontId="0" fillId="0" borderId="31" xfId="0" applyFont="1" applyBorder="1" applyAlignment="1" applyProtection="1">
      <alignment horizontal="center"/>
    </xf>
    <xf numFmtId="0" fontId="24" fillId="0" borderId="14" xfId="0" applyFont="1" applyBorder="1" applyAlignment="1" applyProtection="1">
      <alignment horizontal="center"/>
    </xf>
    <xf numFmtId="0" fontId="24" fillId="0" borderId="31" xfId="35" applyFont="1" applyBorder="1" applyAlignment="1" applyProtection="1">
      <alignment horizontal="left" vertical="top"/>
    </xf>
    <xf numFmtId="0" fontId="8" fillId="0" borderId="32" xfId="33" applyFont="1" applyFill="1" applyBorder="1" applyAlignment="1" applyProtection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Fill="1" applyBorder="1" applyAlignment="1" applyProtection="1">
      <alignment horizontal="left" wrapText="1"/>
    </xf>
    <xf numFmtId="0" fontId="24" fillId="0" borderId="32" xfId="33" applyFont="1" applyFill="1" applyBorder="1" applyAlignment="1" applyProtection="1">
      <alignment horizontal="center" vertical="center"/>
    </xf>
    <xf numFmtId="164" fontId="8" fillId="16" borderId="14" xfId="32" applyFont="1" applyFill="1" applyBorder="1" applyAlignment="1" applyProtection="1">
      <alignment horizontal="left"/>
      <protection locked="0"/>
    </xf>
    <xf numFmtId="4" fontId="17" fillId="0" borderId="32" xfId="33" applyNumberFormat="1" applyFont="1" applyFill="1" applyBorder="1" applyAlignment="1" applyProtection="1">
      <alignment horizontal="center" vertical="center" wrapText="1"/>
    </xf>
    <xf numFmtId="0" fontId="17" fillId="0" borderId="32" xfId="33" applyFont="1" applyBorder="1" applyAlignment="1" applyProtection="1">
      <alignment horizontal="center" vertical="center"/>
    </xf>
    <xf numFmtId="0" fontId="23" fillId="0" borderId="32" xfId="33" applyFont="1" applyBorder="1" applyAlignment="1" applyProtection="1">
      <alignment horizontal="center"/>
    </xf>
    <xf numFmtId="0" fontId="0" fillId="0" borderId="32" xfId="33" applyFont="1" applyBorder="1" applyAlignment="1" applyProtection="1">
      <alignment horizontal="center" vertical="center" wrapText="1"/>
    </xf>
    <xf numFmtId="4" fontId="17" fillId="0" borderId="32" xfId="33" applyNumberFormat="1" applyFont="1" applyFill="1" applyBorder="1" applyAlignment="1" applyProtection="1">
      <alignment horizontal="center" vertical="center"/>
    </xf>
    <xf numFmtId="0" fontId="33" fillId="0" borderId="0" xfId="0" applyFont="1" applyBorder="1" applyAlignment="1" applyProtection="1">
      <alignment horizontal="center" vertical="top"/>
    </xf>
    <xf numFmtId="0" fontId="8" fillId="0" borderId="32" xfId="33" applyFont="1" applyBorder="1" applyAlignment="1" applyProtection="1">
      <alignment horizontal="left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0" fontId="32" fillId="0" borderId="0" xfId="33" applyFont="1" applyBorder="1" applyAlignment="1" applyProtection="1">
      <alignment horizontal="left" vertical="center" indent="1"/>
    </xf>
    <xf numFmtId="0" fontId="0" fillId="0" borderId="0" xfId="33" applyFont="1" applyBorder="1" applyAlignment="1" applyProtection="1">
      <alignment horizontal="center" vertical="center"/>
    </xf>
    <xf numFmtId="0" fontId="33" fillId="0" borderId="0" xfId="0" applyFont="1" applyBorder="1" applyAlignment="1" applyProtection="1">
      <alignment horizontal="right" vertical="center"/>
    </xf>
    <xf numFmtId="0" fontId="0" fillId="0" borderId="10" xfId="33" applyFont="1" applyBorder="1" applyAlignment="1" applyProtection="1">
      <alignment horizontal="left" vertical="center"/>
    </xf>
    <xf numFmtId="167" fontId="0" fillId="0" borderId="30" xfId="33" applyNumberFormat="1" applyFont="1" applyFill="1" applyBorder="1" applyAlignment="1" applyProtection="1">
      <alignment horizontal="left"/>
    </xf>
    <xf numFmtId="186" fontId="0" fillId="0" borderId="30" xfId="33" applyNumberFormat="1" applyFont="1" applyFill="1" applyBorder="1" applyAlignment="1" applyProtection="1">
      <alignment horizontal="left"/>
    </xf>
    <xf numFmtId="0" fontId="24" fillId="0" borderId="0" xfId="33" applyFont="1" applyBorder="1" applyAlignment="1" applyProtection="1">
      <alignment horizontal="left" vertical="center"/>
    </xf>
    <xf numFmtId="0" fontId="17" fillId="0" borderId="0" xfId="33" applyFont="1" applyBorder="1" applyAlignment="1" applyProtection="1">
      <alignment horizontal="left" vertical="center"/>
    </xf>
    <xf numFmtId="0" fontId="34" fillId="0" borderId="0" xfId="0" applyFont="1" applyBorder="1" applyAlignment="1" applyProtection="1">
      <alignment horizontal="center"/>
    </xf>
    <xf numFmtId="0" fontId="33" fillId="0" borderId="0" xfId="0" applyFont="1" applyBorder="1" applyAlignment="1" applyProtection="1">
      <alignment horizontal="left" vertical="center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0" fontId="39" fillId="0" borderId="0" xfId="0" applyFont="1" applyBorder="1" applyAlignment="1">
      <alignment horizontal="center" textRotation="90"/>
    </xf>
    <xf numFmtId="186" fontId="0" fillId="0" borderId="0" xfId="0" applyNumberFormat="1" applyFont="1" applyBorder="1" applyAlignment="1" applyProtection="1">
      <alignment horizontal="left"/>
    </xf>
    <xf numFmtId="0" fontId="24" fillId="17" borderId="13" xfId="0" applyNumberFormat="1" applyFont="1" applyFill="1" applyBorder="1" applyAlignment="1" applyProtection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0" fillId="0" borderId="32" xfId="0" applyFont="1" applyFill="1" applyBorder="1" applyAlignment="1" applyProtection="1">
      <alignment horizontal="left" wrapText="1"/>
    </xf>
    <xf numFmtId="0" fontId="0" fillId="14" borderId="0" xfId="0" applyFont="1" applyFill="1" applyBorder="1" applyAlignment="1">
      <alignment horizontal="left"/>
    </xf>
    <xf numFmtId="0" fontId="0" fillId="0" borderId="47" xfId="33" applyFont="1" applyFill="1" applyBorder="1" applyAlignment="1" applyProtection="1">
      <alignment horizontal="left" vertical="top" wrapText="1"/>
    </xf>
    <xf numFmtId="0" fontId="0" fillId="0" borderId="32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62" fillId="0" borderId="0" xfId="0" applyFont="1" applyBorder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Border="1" applyAlignment="1">
      <alignment horizontal="center" textRotation="90" wrapText="1"/>
    </xf>
    <xf numFmtId="0" fontId="23" fillId="0" borderId="0" xfId="0" applyFont="1" applyBorder="1" applyAlignment="1">
      <alignment horizontal="left" vertical="center" indent="10"/>
    </xf>
    <xf numFmtId="0" fontId="37" fillId="0" borderId="0" xfId="0" applyFont="1" applyBorder="1" applyAlignment="1">
      <alignment horizontal="left" vertical="center" indent="10"/>
    </xf>
    <xf numFmtId="0" fontId="24" fillId="17" borderId="32" xfId="0" applyNumberFormat="1" applyFont="1" applyFill="1" applyBorder="1" applyAlignment="1" applyProtection="1">
      <alignment horizontal="left" vertical="center" wrapText="1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11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>
      <alignment horizontal="left" vertical="top" wrapText="1"/>
    </xf>
    <xf numFmtId="0" fontId="12" fillId="0" borderId="32" xfId="0" applyFont="1" applyBorder="1" applyProtection="1"/>
    <xf numFmtId="0" fontId="46" fillId="18" borderId="32" xfId="0" applyFont="1" applyFill="1" applyBorder="1" applyAlignment="1" applyProtection="1">
      <alignment horizontal="left" vertical="center"/>
    </xf>
    <xf numFmtId="0" fontId="46" fillId="0" borderId="14" xfId="34" applyFont="1" applyBorder="1" applyAlignment="1">
      <alignment horizontal="left"/>
    </xf>
    <xf numFmtId="0" fontId="46" fillId="0" borderId="0" xfId="34" applyFont="1" applyBorder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186" fontId="0" fillId="0" borderId="30" xfId="0" applyNumberFormat="1" applyFont="1" applyBorder="1" applyAlignment="1" applyProtection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wrapText="1"/>
    </xf>
    <xf numFmtId="10" fontId="23" fillId="0" borderId="14" xfId="37" applyNumberFormat="1" applyFont="1" applyFill="1" applyBorder="1" applyAlignment="1" applyProtection="1">
      <alignment horizontal="center"/>
    </xf>
    <xf numFmtId="0" fontId="60" fillId="0" borderId="112" xfId="0" applyFont="1" applyBorder="1" applyAlignment="1">
      <alignment horizontal="center" vertical="top" wrapText="1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0" fillId="0" borderId="40" xfId="0" applyBorder="1" applyAlignment="1">
      <alignment horizontal="left"/>
    </xf>
    <xf numFmtId="0" fontId="49" fillId="0" borderId="31" xfId="34" applyFont="1" applyBorder="1" applyAlignment="1">
      <alignment horizontal="center"/>
    </xf>
    <xf numFmtId="0" fontId="46" fillId="0" borderId="14" xfId="34" applyNumberFormat="1" applyFont="1" applyBorder="1" applyAlignment="1">
      <alignment horizontal="center"/>
    </xf>
    <xf numFmtId="0" fontId="24" fillId="8" borderId="32" xfId="0" applyFont="1" applyFill="1" applyBorder="1" applyAlignment="1">
      <alignment horizontal="center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0" fillId="18" borderId="40" xfId="0" applyFont="1" applyFill="1" applyBorder="1"/>
    <xf numFmtId="10" fontId="56" fillId="0" borderId="10" xfId="37" applyNumberFormat="1" applyFill="1" applyBorder="1" applyAlignment="1" applyProtection="1">
      <alignment horizontal="center"/>
    </xf>
    <xf numFmtId="10" fontId="56" fillId="0" borderId="34" xfId="37" applyNumberFormat="1" applyFill="1" applyBorder="1" applyAlignment="1" applyProtection="1">
      <alignment horizontal="center"/>
    </xf>
    <xf numFmtId="176" fontId="24" fillId="8" borderId="32" xfId="0" applyNumberFormat="1" applyFont="1" applyFill="1" applyBorder="1" applyAlignment="1">
      <alignment horizontal="center" shrinkToFit="1"/>
    </xf>
    <xf numFmtId="14" fontId="0" fillId="6" borderId="49" xfId="0" applyNumberFormat="1" applyFill="1" applyBorder="1" applyAlignment="1" applyProtection="1">
      <alignment horizontal="center"/>
      <protection locked="0"/>
    </xf>
    <xf numFmtId="177" fontId="56" fillId="0" borderId="14" xfId="48" applyNumberFormat="1" applyFill="1" applyBorder="1" applyAlignment="1" applyProtection="1">
      <alignment horizontal="center" shrinkToFit="1"/>
    </xf>
    <xf numFmtId="10" fontId="56" fillId="0" borderId="31" xfId="37" applyNumberFormat="1" applyFill="1" applyBorder="1" applyAlignment="1" applyProtection="1">
      <alignment horizontal="center"/>
    </xf>
    <xf numFmtId="0" fontId="24" fillId="0" borderId="32" xfId="0" applyFont="1" applyBorder="1" applyAlignment="1">
      <alignment horizontal="right" vertical="center"/>
    </xf>
    <xf numFmtId="10" fontId="56" fillId="0" borderId="0" xfId="37" applyNumberFormat="1" applyFill="1" applyBorder="1" applyAlignment="1" applyProtection="1">
      <alignment horizontal="center"/>
    </xf>
    <xf numFmtId="177" fontId="56" fillId="0" borderId="30" xfId="48" applyNumberFormat="1" applyFill="1" applyBorder="1" applyAlignment="1" applyProtection="1">
      <alignment horizontal="center" shrinkToFit="1"/>
    </xf>
    <xf numFmtId="177" fontId="56" fillId="0" borderId="47" xfId="48" applyNumberFormat="1" applyFill="1" applyBorder="1" applyAlignment="1" applyProtection="1">
      <alignment horizontal="center" shrinkToFit="1"/>
    </xf>
    <xf numFmtId="10" fontId="56" fillId="0" borderId="33" xfId="37" applyNumberFormat="1" applyFill="1" applyBorder="1" applyAlignment="1" applyProtection="1">
      <alignment horizontal="center"/>
    </xf>
    <xf numFmtId="10" fontId="56" fillId="0" borderId="82" xfId="37" applyNumberFormat="1" applyFill="1" applyBorder="1" applyAlignment="1" applyProtection="1">
      <alignment horizontal="center"/>
    </xf>
    <xf numFmtId="14" fontId="0" fillId="6" borderId="37" xfId="0" applyNumberFormat="1" applyFill="1" applyBorder="1" applyAlignment="1" applyProtection="1">
      <alignment horizontal="center"/>
      <protection locked="0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 applyProtection="1">
      <alignment horizontal="center"/>
    </xf>
    <xf numFmtId="49" fontId="0" fillId="0" borderId="47" xfId="0" applyNumberFormat="1" applyBorder="1" applyAlignment="1">
      <alignment horizontal="left"/>
    </xf>
    <xf numFmtId="0" fontId="0" fillId="0" borderId="0" xfId="0" applyFont="1" applyBorder="1" applyAlignment="1" applyProtection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center" wrapText="1"/>
    </xf>
    <xf numFmtId="0" fontId="0" fillId="0" borderId="14" xfId="0" applyNumberFormat="1" applyBorder="1" applyAlignment="1">
      <alignment horizontal="center"/>
    </xf>
    <xf numFmtId="0" fontId="31" fillId="0" borderId="0" xfId="0" applyFont="1" applyBorder="1" applyAlignment="1">
      <alignment horizontal="right" vertical="center" wrapText="1"/>
    </xf>
    <xf numFmtId="165" fontId="23" fillId="0" borderId="0" xfId="0" applyNumberFormat="1" applyFont="1" applyBorder="1" applyAlignment="1">
      <alignment horizontal="right" vertical="top"/>
    </xf>
    <xf numFmtId="0" fontId="24" fillId="8" borderId="32" xfId="0" applyFont="1" applyFill="1" applyBorder="1" applyAlignment="1" applyProtection="1">
      <alignment horizontal="center"/>
    </xf>
    <xf numFmtId="0" fontId="24" fillId="0" borderId="14" xfId="0" applyFont="1" applyBorder="1" applyAlignment="1">
      <alignment horizontal="center"/>
    </xf>
    <xf numFmtId="0" fontId="24" fillId="0" borderId="14" xfId="0" applyFont="1" applyFill="1" applyBorder="1" applyAlignment="1">
      <alignment horizontal="center"/>
    </xf>
    <xf numFmtId="0" fontId="23" fillId="6" borderId="33" xfId="0" applyFont="1" applyFill="1" applyBorder="1" applyAlignment="1">
      <alignment horizontal="left"/>
    </xf>
    <xf numFmtId="0" fontId="0" fillId="0" borderId="0" xfId="0" applyFont="1" applyFill="1" applyBorder="1" applyAlignment="1" applyProtection="1">
      <alignment horizontal="left" wrapText="1"/>
    </xf>
    <xf numFmtId="171" fontId="24" fillId="8" borderId="14" xfId="48" applyNumberFormat="1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 applyProtection="1">
      <alignment horizontal="left" vertical="center"/>
    </xf>
    <xf numFmtId="0" fontId="0" fillId="0" borderId="31" xfId="0" applyFont="1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NumberFormat="1" applyFont="1" applyFill="1" applyBorder="1" applyAlignment="1" applyProtection="1">
      <alignment horizontal="left" vertical="center" wrapText="1"/>
    </xf>
    <xf numFmtId="0" fontId="0" fillId="6" borderId="0" xfId="33" applyNumberFormat="1" applyFont="1" applyFill="1" applyBorder="1" applyAlignment="1" applyProtection="1">
      <alignment horizontal="left" vertical="top"/>
      <protection locked="0"/>
    </xf>
    <xf numFmtId="0" fontId="0" fillId="0" borderId="0" xfId="0" applyFont="1" applyBorder="1" applyAlignment="1">
      <alignment horizontal="left"/>
    </xf>
    <xf numFmtId="0" fontId="17" fillId="0" borderId="30" xfId="33" applyFont="1" applyBorder="1" applyAlignment="1" applyProtection="1">
      <alignment horizontal="center" vertical="center"/>
    </xf>
    <xf numFmtId="4" fontId="24" fillId="0" borderId="31" xfId="0" applyNumberFormat="1" applyFont="1" applyBorder="1" applyAlignment="1">
      <alignment horizontal="left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 applyProtection="1">
      <alignment horizontal="center"/>
    </xf>
    <xf numFmtId="0" fontId="53" fillId="0" borderId="32" xfId="0" applyFont="1" applyBorder="1" applyAlignment="1" applyProtection="1">
      <alignment horizontal="center" vertical="center" wrapText="1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0" fontId="0" fillId="0" borderId="87" xfId="0" applyFont="1" applyFill="1" applyBorder="1" applyAlignment="1">
      <alignment horizontal="center" vertical="center"/>
    </xf>
    <xf numFmtId="0" fontId="0" fillId="0" borderId="73" xfId="0" applyFont="1" applyFill="1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3" xfId="35" applyFont="1" applyBorder="1" applyAlignment="1" applyProtection="1">
      <alignment horizontal="center"/>
    </xf>
    <xf numFmtId="0" fontId="24" fillId="0" borderId="0" xfId="35" applyFont="1" applyBorder="1" applyAlignment="1" applyProtection="1">
      <alignment horizontal="center"/>
    </xf>
    <xf numFmtId="0" fontId="24" fillId="0" borderId="12" xfId="35" applyFont="1" applyBorder="1" applyAlignment="1" applyProtection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Border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/>
    </xf>
    <xf numFmtId="0" fontId="0" fillId="8" borderId="84" xfId="0" applyFont="1" applyFill="1" applyBorder="1" applyAlignment="1">
      <alignment horizontal="center" vertical="center"/>
    </xf>
    <xf numFmtId="0" fontId="0" fillId="8" borderId="67" xfId="0" applyFont="1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69" xfId="0" applyFont="1" applyFill="1" applyBorder="1" applyAlignment="1">
      <alignment horizontal="center" vertical="center"/>
    </xf>
    <xf numFmtId="0" fontId="0" fillId="8" borderId="42" xfId="0" applyFont="1" applyFill="1" applyBorder="1" applyAlignment="1">
      <alignment horizontal="center" vertical="center"/>
    </xf>
    <xf numFmtId="0" fontId="0" fillId="8" borderId="69" xfId="0" applyFont="1" applyFill="1" applyBorder="1" applyAlignment="1">
      <alignment horizontal="center" vertical="center"/>
    </xf>
    <xf numFmtId="0" fontId="24" fillId="8" borderId="113" xfId="0" applyFont="1" applyFill="1" applyBorder="1" applyAlignment="1">
      <alignment horizontal="center" vertical="center" wrapText="1"/>
    </xf>
    <xf numFmtId="0" fontId="24" fillId="8" borderId="114" xfId="0" applyFont="1" applyFill="1" applyBorder="1" applyAlignment="1">
      <alignment horizontal="center" vertical="center" wrapText="1"/>
    </xf>
    <xf numFmtId="49" fontId="0" fillId="6" borderId="0" xfId="33" applyNumberFormat="1" applyFont="1" applyFill="1" applyBorder="1" applyAlignment="1" applyProtection="1">
      <alignment horizontal="left"/>
      <protection locked="0"/>
    </xf>
    <xf numFmtId="168" fontId="0" fillId="0" borderId="0" xfId="33" applyNumberFormat="1" applyFont="1" applyFill="1" applyBorder="1" applyAlignment="1" applyProtection="1">
      <alignment horizontal="right"/>
    </xf>
    <xf numFmtId="0" fontId="0" fillId="0" borderId="0" xfId="33" applyFont="1" applyFill="1" applyBorder="1" applyAlignment="1" applyProtection="1">
      <alignment horizontal="left"/>
    </xf>
    <xf numFmtId="0" fontId="0" fillId="0" borderId="0" xfId="33" applyFont="1" applyBorder="1" applyAlignment="1" applyProtection="1">
      <alignment horizontal="center"/>
    </xf>
    <xf numFmtId="171" fontId="24" fillId="8" borderId="115" xfId="48" applyFont="1" applyFill="1" applyBorder="1" applyAlignment="1" applyProtection="1">
      <alignment horizontal="center" vertical="center"/>
    </xf>
    <xf numFmtId="171" fontId="24" fillId="8" borderId="116" xfId="48" applyFont="1" applyFill="1" applyBorder="1" applyAlignment="1" applyProtection="1">
      <alignment horizontal="center" vertical="center"/>
    </xf>
    <xf numFmtId="0" fontId="24" fillId="8" borderId="117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  <xf numFmtId="0" fontId="0" fillId="0" borderId="0" xfId="33" applyFont="1" applyBorder="1" applyAlignment="1" applyProtection="1">
      <alignment horizontal="left" vertical="top" wrapText="1"/>
    </xf>
    <xf numFmtId="0" fontId="0" fillId="0" borderId="53" xfId="33" applyFont="1" applyBorder="1" applyAlignment="1" applyProtection="1">
      <alignment horizontal="center"/>
    </xf>
    <xf numFmtId="0" fontId="0" fillId="0" borderId="0" xfId="33" applyFont="1" applyFill="1" applyBorder="1" applyAlignment="1" applyProtection="1">
      <alignment horizontal="left" wrapText="1"/>
    </xf>
    <xf numFmtId="0" fontId="0" fillId="0" borderId="0" xfId="33" applyNumberFormat="1" applyFont="1" applyFill="1" applyBorder="1" applyAlignment="1" applyProtection="1">
      <alignment vertical="center"/>
    </xf>
    <xf numFmtId="0" fontId="0" fillId="6" borderId="0" xfId="33" applyFont="1" applyFill="1" applyBorder="1" applyAlignment="1" applyProtection="1">
      <alignment horizontal="left" vertical="top"/>
      <protection locked="0"/>
    </xf>
    <xf numFmtId="0" fontId="0" fillId="0" borderId="0" xfId="33" applyFont="1" applyFill="1" applyBorder="1" applyAlignment="1" applyProtection="1">
      <alignment horizontal="left" vertical="top" wrapText="1" shrinkToFit="1"/>
    </xf>
    <xf numFmtId="0" fontId="0" fillId="0" borderId="0" xfId="33" applyNumberFormat="1" applyFont="1" applyFill="1" applyBorder="1" applyAlignment="1" applyProtection="1">
      <alignment horizontal="left" vertical="top" wrapText="1"/>
    </xf>
    <xf numFmtId="0" fontId="0" fillId="0" borderId="54" xfId="33" applyFont="1" applyFill="1" applyBorder="1" applyAlignment="1" applyProtection="1">
      <alignment horizontal="center" vertical="center" wrapText="1"/>
    </xf>
    <xf numFmtId="0" fontId="0" fillId="0" borderId="68" xfId="33" applyFont="1" applyBorder="1" applyAlignment="1" applyProtection="1">
      <alignment horizontal="center" vertical="center" wrapText="1"/>
    </xf>
    <xf numFmtId="0" fontId="0" fillId="0" borderId="39" xfId="33" applyFont="1" applyBorder="1" applyAlignment="1" applyProtection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Font="1"/>
    <xf numFmtId="0" fontId="0" fillId="0" borderId="74" xfId="33" applyFont="1" applyBorder="1" applyAlignment="1" applyProtection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horizontal="left" vertical="top" wrapText="1"/>
      <protection locked="0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y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Separador de milhares" xfId="48" builtinId="3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 2" xfId="49"/>
  </cellStyles>
  <dxfs count="833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border>
        <top style="thin">
          <color indexed="64"/>
        </top>
      </border>
    </dxf>
    <dxf>
      <border>
        <left style="thin">
          <color indexed="8"/>
        </left>
        <right style="thin">
          <color indexed="8"/>
        </right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2087880</xdr:colOff>
      <xdr:row>2</xdr:row>
      <xdr:rowOff>259080</xdr:rowOff>
    </xdr:to>
    <xdr:pic>
      <xdr:nvPicPr>
        <xdr:cNvPr id="20321" name="Imagem 23">
          <a:extLst>
            <a:ext uri="{FF2B5EF4-FFF2-40B4-BE49-F238E27FC236}">
              <a16:creationId xmlns:a16="http://schemas.microsoft.com/office/drawing/2014/main" xmlns="" id="{00000000-0008-0000-0000-0000614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98120" y="190500"/>
          <a:ext cx="2476500" cy="5410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9</xdr:col>
      <xdr:colOff>9526</xdr:colOff>
      <xdr:row>6</xdr:row>
      <xdr:rowOff>160019</xdr:rowOff>
    </xdr:from>
    <xdr:to>
      <xdr:col>9</xdr:col>
      <xdr:colOff>1144906</xdr:colOff>
      <xdr:row>9</xdr:row>
      <xdr:rowOff>38099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160020</xdr:rowOff>
    </xdr:from>
    <xdr:to>
      <xdr:col>9</xdr:col>
      <xdr:colOff>1144905</xdr:colOff>
      <xdr:row>17</xdr:row>
      <xdr:rowOff>38100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1135380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137160</xdr:colOff>
      <xdr:row>3</xdr:row>
      <xdr:rowOff>182880</xdr:rowOff>
    </xdr:to>
    <xdr:pic>
      <xdr:nvPicPr>
        <xdr:cNvPr id="11144" name="Picture 2">
          <a:extLst>
            <a:ext uri="{FF2B5EF4-FFF2-40B4-BE49-F238E27FC236}">
              <a16:creationId xmlns:a16="http://schemas.microsoft.com/office/drawing/2014/main" xmlns="" id="{00000000-0008-0000-0900-0000882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185928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28575</xdr:colOff>
      <xdr:row>9</xdr:row>
      <xdr:rowOff>109185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1</xdr:col>
      <xdr:colOff>0</xdr:colOff>
      <xdr:row>10</xdr:row>
      <xdr:rowOff>0</xdr:rowOff>
    </xdr:from>
    <xdr:to>
      <xdr:col>2</xdr:col>
      <xdr:colOff>31751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31751</xdr:colOff>
      <xdr:row>10</xdr:row>
      <xdr:rowOff>670136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23044" name="Picture 2">
          <a:extLst>
            <a:ext uri="{FF2B5EF4-FFF2-40B4-BE49-F238E27FC236}">
              <a16:creationId xmlns:a16="http://schemas.microsoft.com/office/drawing/2014/main" xmlns="" id="{00000000-0008-0000-0A00-000004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59080" y="0"/>
          <a:ext cx="184404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xmlns="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9525</xdr:rowOff>
    </xdr:from>
    <xdr:to>
      <xdr:col>4</xdr:col>
      <xdr:colOff>198145</xdr:colOff>
      <xdr:row>10</xdr:row>
      <xdr:rowOff>1059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369570</xdr:colOff>
      <xdr:row>8</xdr:row>
      <xdr:rowOff>11430</xdr:rowOff>
    </xdr:from>
    <xdr:to>
      <xdr:col>5</xdr:col>
      <xdr:colOff>558186</xdr:colOff>
      <xdr:row>10</xdr:row>
      <xdr:rowOff>9710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xmlns="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691515</xdr:colOff>
      <xdr:row>8</xdr:row>
      <xdr:rowOff>9525</xdr:rowOff>
    </xdr:from>
    <xdr:to>
      <xdr:col>6</xdr:col>
      <xdr:colOff>198119</xdr:colOff>
      <xdr:row>10</xdr:row>
      <xdr:rowOff>1059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xmlns="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766657</xdr:colOff>
      <xdr:row>8</xdr:row>
      <xdr:rowOff>10583</xdr:rowOff>
    </xdr:from>
    <xdr:to>
      <xdr:col>9</xdr:col>
      <xdr:colOff>463768</xdr:colOff>
      <xdr:row>10</xdr:row>
      <xdr:rowOff>4233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1276350</xdr:colOff>
      <xdr:row>8</xdr:row>
      <xdr:rowOff>57150</xdr:rowOff>
    </xdr:from>
    <xdr:to>
      <xdr:col>12</xdr:col>
      <xdr:colOff>445815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xmlns="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681990</xdr:colOff>
      <xdr:row>10</xdr:row>
      <xdr:rowOff>104775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22860</xdr:colOff>
      <xdr:row>0</xdr:row>
      <xdr:rowOff>15240</xdr:rowOff>
    </xdr:from>
    <xdr:to>
      <xdr:col>4</xdr:col>
      <xdr:colOff>1135380</xdr:colOff>
      <xdr:row>2</xdr:row>
      <xdr:rowOff>22860</xdr:rowOff>
    </xdr:to>
    <xdr:pic>
      <xdr:nvPicPr>
        <xdr:cNvPr id="22083" name="Picture 2">
          <a:extLst>
            <a:ext uri="{FF2B5EF4-FFF2-40B4-BE49-F238E27FC236}">
              <a16:creationId xmlns:a16="http://schemas.microsoft.com/office/drawing/2014/main" xmlns="" id="{00000000-0008-0000-0B00-0000435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4320" y="15240"/>
          <a:ext cx="1844040" cy="3962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794385</xdr:colOff>
      <xdr:row>8</xdr:row>
      <xdr:rowOff>112395</xdr:rowOff>
    </xdr:from>
    <xdr:to>
      <xdr:col>4</xdr:col>
      <xdr:colOff>2676525</xdr:colOff>
      <xdr:row>10</xdr:row>
      <xdr:rowOff>95412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xmlns="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42333</xdr:rowOff>
    </xdr:from>
    <xdr:to>
      <xdr:col>16</xdr:col>
      <xdr:colOff>0</xdr:colOff>
      <xdr:row>9</xdr:row>
      <xdr:rowOff>102792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63500</xdr:colOff>
      <xdr:row>8</xdr:row>
      <xdr:rowOff>116417</xdr:rowOff>
    </xdr:from>
    <xdr:to>
      <xdr:col>4</xdr:col>
      <xdr:colOff>650241</xdr:colOff>
      <xdr:row>10</xdr:row>
      <xdr:rowOff>101600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1386840</xdr:colOff>
      <xdr:row>0</xdr:row>
      <xdr:rowOff>381000</xdr:rowOff>
    </xdr:to>
    <xdr:pic>
      <xdr:nvPicPr>
        <xdr:cNvPr id="24595" name="Picture 2">
          <a:extLst>
            <a:ext uri="{FF2B5EF4-FFF2-40B4-BE49-F238E27FC236}">
              <a16:creationId xmlns:a16="http://schemas.microsoft.com/office/drawing/2014/main" xmlns="" id="{00000000-0008-0000-0C00-0000136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51460" y="0"/>
          <a:ext cx="191262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160020</xdr:rowOff>
    </xdr:from>
    <xdr:to>
      <xdr:col>24</xdr:col>
      <xdr:colOff>169545</xdr:colOff>
      <xdr:row>10</xdr:row>
      <xdr:rowOff>49546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xmlns="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85725</xdr:colOff>
      <xdr:row>8</xdr:row>
      <xdr:rowOff>28575</xdr:rowOff>
    </xdr:from>
    <xdr:to>
      <xdr:col>5</xdr:col>
      <xdr:colOff>142875</xdr:colOff>
      <xdr:row>10</xdr:row>
      <xdr:rowOff>11435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240453</xdr:colOff>
      <xdr:row>8</xdr:row>
      <xdr:rowOff>31750</xdr:rowOff>
    </xdr:from>
    <xdr:to>
      <xdr:col>5</xdr:col>
      <xdr:colOff>827194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459529</xdr:colOff>
      <xdr:row>1</xdr:row>
      <xdr:rowOff>64559</xdr:rowOff>
    </xdr:from>
    <xdr:to>
      <xdr:col>5</xdr:col>
      <xdr:colOff>486201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xmlns="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596265</xdr:colOff>
      <xdr:row>1</xdr:row>
      <xdr:rowOff>66675</xdr:rowOff>
    </xdr:from>
    <xdr:to>
      <xdr:col>3</xdr:col>
      <xdr:colOff>1183005</xdr:colOff>
      <xdr:row>2</xdr:row>
      <xdr:rowOff>210325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1236981</xdr:colOff>
      <xdr:row>1</xdr:row>
      <xdr:rowOff>63499</xdr:rowOff>
    </xdr:from>
    <xdr:to>
      <xdr:col>4</xdr:col>
      <xdr:colOff>399026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49540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</xdr:colOff>
      <xdr:row>0</xdr:row>
      <xdr:rowOff>15240</xdr:rowOff>
    </xdr:from>
    <xdr:to>
      <xdr:col>11</xdr:col>
      <xdr:colOff>403860</xdr:colOff>
      <xdr:row>2</xdr:row>
      <xdr:rowOff>38100</xdr:rowOff>
    </xdr:to>
    <xdr:pic>
      <xdr:nvPicPr>
        <xdr:cNvPr id="4848" name="Logo1">
          <a:extLst>
            <a:ext uri="{FF2B5EF4-FFF2-40B4-BE49-F238E27FC236}">
              <a16:creationId xmlns:a16="http://schemas.microsoft.com/office/drawing/2014/main" xmlns="" id="{00000000-0008-0000-03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13460" y="15240"/>
          <a:ext cx="1836420" cy="3886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30903</xdr:rowOff>
    </xdr:from>
    <xdr:to>
      <xdr:col>8</xdr:col>
      <xdr:colOff>138854</xdr:colOff>
      <xdr:row>3</xdr:row>
      <xdr:rowOff>8555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57150</xdr:rowOff>
    </xdr:from>
    <xdr:to>
      <xdr:col>8</xdr:col>
      <xdr:colOff>138853</xdr:colOff>
      <xdr:row>5</xdr:row>
      <xdr:rowOff>42333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60960</xdr:colOff>
      <xdr:row>0</xdr:row>
      <xdr:rowOff>15240</xdr:rowOff>
    </xdr:from>
    <xdr:to>
      <xdr:col>15</xdr:col>
      <xdr:colOff>1036320</xdr:colOff>
      <xdr:row>1</xdr:row>
      <xdr:rowOff>167640</xdr:rowOff>
    </xdr:to>
    <xdr:pic>
      <xdr:nvPicPr>
        <xdr:cNvPr id="24130" name="Picture 2">
          <a:extLst>
            <a:ext uri="{FF2B5EF4-FFF2-40B4-BE49-F238E27FC236}">
              <a16:creationId xmlns:a16="http://schemas.microsoft.com/office/drawing/2014/main" xmlns="" id="{00000000-0008-0000-0400-0000425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01140" y="15240"/>
          <a:ext cx="1844040" cy="3733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1051560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xmlns="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12</xdr:col>
      <xdr:colOff>302895</xdr:colOff>
      <xdr:row>0</xdr:row>
      <xdr:rowOff>144780</xdr:rowOff>
    </xdr:from>
    <xdr:to>
      <xdr:col>13</xdr:col>
      <xdr:colOff>285797</xdr:colOff>
      <xdr:row>2</xdr:row>
      <xdr:rowOff>38187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624896</xdr:colOff>
      <xdr:row>10</xdr:row>
      <xdr:rowOff>160060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xmlns="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93345</xdr:colOff>
      <xdr:row>9</xdr:row>
      <xdr:rowOff>0</xdr:rowOff>
    </xdr:from>
    <xdr:to>
      <xdr:col>17</xdr:col>
      <xdr:colOff>1560297</xdr:colOff>
      <xdr:row>10</xdr:row>
      <xdr:rowOff>160060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xmlns="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691515</xdr:colOff>
      <xdr:row>9</xdr:row>
      <xdr:rowOff>0</xdr:rowOff>
    </xdr:from>
    <xdr:to>
      <xdr:col>17</xdr:col>
      <xdr:colOff>9547</xdr:colOff>
      <xdr:row>10</xdr:row>
      <xdr:rowOff>160060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xmlns="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1644015</xdr:colOff>
      <xdr:row>9</xdr:row>
      <xdr:rowOff>0</xdr:rowOff>
    </xdr:from>
    <xdr:to>
      <xdr:col>17</xdr:col>
      <xdr:colOff>3339378</xdr:colOff>
      <xdr:row>10</xdr:row>
      <xdr:rowOff>160060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xmlns="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3404023</xdr:colOff>
      <xdr:row>9</xdr:row>
      <xdr:rowOff>1</xdr:rowOff>
    </xdr:from>
    <xdr:to>
      <xdr:col>18</xdr:col>
      <xdr:colOff>272154</xdr:colOff>
      <xdr:row>10</xdr:row>
      <xdr:rowOff>160061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303953</xdr:colOff>
      <xdr:row>2</xdr:row>
      <xdr:rowOff>84667</xdr:rowOff>
    </xdr:from>
    <xdr:to>
      <xdr:col>13</xdr:col>
      <xdr:colOff>285811</xdr:colOff>
      <xdr:row>4</xdr:row>
      <xdr:rowOff>69850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308186</xdr:colOff>
      <xdr:row>4</xdr:row>
      <xdr:rowOff>120650</xdr:rowOff>
    </xdr:from>
    <xdr:to>
      <xdr:col>13</xdr:col>
      <xdr:colOff>289945</xdr:colOff>
      <xdr:row>7</xdr:row>
      <xdr:rowOff>52916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15240</xdr:rowOff>
    </xdr:from>
    <xdr:to>
      <xdr:col>5</xdr:col>
      <xdr:colOff>1036320</xdr:colOff>
      <xdr:row>2</xdr:row>
      <xdr:rowOff>7620</xdr:rowOff>
    </xdr:to>
    <xdr:pic>
      <xdr:nvPicPr>
        <xdr:cNvPr id="21100" name="Picture 2">
          <a:extLst>
            <a:ext uri="{FF2B5EF4-FFF2-40B4-BE49-F238E27FC236}">
              <a16:creationId xmlns:a16="http://schemas.microsoft.com/office/drawing/2014/main" xmlns="" id="{00000000-0008-0000-0500-00006C5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83920" y="1524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9525</xdr:rowOff>
    </xdr:from>
    <xdr:to>
      <xdr:col>3</xdr:col>
      <xdr:colOff>474303</xdr:colOff>
      <xdr:row>2</xdr:row>
      <xdr:rowOff>123825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179070</xdr:colOff>
      <xdr:row>11</xdr:row>
      <xdr:rowOff>266700</xdr:rowOff>
    </xdr:from>
    <xdr:to>
      <xdr:col>5</xdr:col>
      <xdr:colOff>2905076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2977515</xdr:colOff>
      <xdr:row>11</xdr:row>
      <xdr:rowOff>266700</xdr:rowOff>
    </xdr:from>
    <xdr:to>
      <xdr:col>6</xdr:col>
      <xdr:colOff>26724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xmlns="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93345</xdr:colOff>
      <xdr:row>11</xdr:row>
      <xdr:rowOff>266700</xdr:rowOff>
    </xdr:from>
    <xdr:to>
      <xdr:col>7</xdr:col>
      <xdr:colOff>908727</xdr:colOff>
      <xdr:row>11</xdr:row>
      <xdr:rowOff>581025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xmlns="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13547</xdr:rowOff>
    </xdr:from>
    <xdr:to>
      <xdr:col>3</xdr:col>
      <xdr:colOff>473228</xdr:colOff>
      <xdr:row>4</xdr:row>
      <xdr:rowOff>159597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718248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548640</xdr:colOff>
      <xdr:row>7</xdr:row>
      <xdr:rowOff>0</xdr:rowOff>
    </xdr:from>
    <xdr:to>
      <xdr:col>3</xdr:col>
      <xdr:colOff>2007789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xmlns="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2074545</xdr:colOff>
      <xdr:row>7</xdr:row>
      <xdr:rowOff>0</xdr:rowOff>
    </xdr:from>
    <xdr:to>
      <xdr:col>5</xdr:col>
      <xdr:colOff>822924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xmlns="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365760</xdr:colOff>
      <xdr:row>4</xdr:row>
      <xdr:rowOff>167640</xdr:rowOff>
    </xdr:to>
    <xdr:pic>
      <xdr:nvPicPr>
        <xdr:cNvPr id="19188" name="Picture 2">
          <a:extLst>
            <a:ext uri="{FF2B5EF4-FFF2-40B4-BE49-F238E27FC236}">
              <a16:creationId xmlns:a16="http://schemas.microsoft.com/office/drawing/2014/main" xmlns="" id="{00000000-0008-0000-0700-0000F4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20140" y="0"/>
          <a:ext cx="1851660" cy="3581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 xmlns="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729615</xdr:colOff>
      <xdr:row>4</xdr:row>
      <xdr:rowOff>190500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93345</xdr:rowOff>
    </xdr:from>
    <xdr:to>
      <xdr:col>23</xdr:col>
      <xdr:colOff>2956</xdr:colOff>
      <xdr:row>10</xdr:row>
      <xdr:rowOff>76147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102870</xdr:colOff>
      <xdr:row>8</xdr:row>
      <xdr:rowOff>93345</xdr:rowOff>
    </xdr:from>
    <xdr:to>
      <xdr:col>9</xdr:col>
      <xdr:colOff>76198</xdr:colOff>
      <xdr:row>10</xdr:row>
      <xdr:rowOff>76147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xmlns="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93345</xdr:rowOff>
    </xdr:from>
    <xdr:to>
      <xdr:col>25</xdr:col>
      <xdr:colOff>80433</xdr:colOff>
      <xdr:row>10</xdr:row>
      <xdr:rowOff>76147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xmlns="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137583</xdr:colOff>
      <xdr:row>8</xdr:row>
      <xdr:rowOff>93345</xdr:rowOff>
    </xdr:from>
    <xdr:to>
      <xdr:col>27</xdr:col>
      <xdr:colOff>99483</xdr:colOff>
      <xdr:row>10</xdr:row>
      <xdr:rowOff>76147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xmlns="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272415</xdr:colOff>
      <xdr:row>10</xdr:row>
      <xdr:rowOff>228600</xdr:rowOff>
    </xdr:from>
    <xdr:to>
      <xdr:col>2</xdr:col>
      <xdr:colOff>417249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613410</xdr:colOff>
      <xdr:row>10</xdr:row>
      <xdr:rowOff>238125</xdr:rowOff>
    </xdr:from>
    <xdr:to>
      <xdr:col>2</xdr:col>
      <xdr:colOff>2080159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xmlns="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5"/>
  <dimension ref="A1:O25"/>
  <sheetViews>
    <sheetView showGridLines="0" zoomScaleSheetLayoutView="85" workbookViewId="0">
      <selection activeCell="E6" sqref="E6"/>
    </sheetView>
  </sheetViews>
  <sheetFormatPr defaultRowHeight="13.2"/>
  <cols>
    <col min="1" max="1" width="2.88671875" style="172" customWidth="1"/>
    <col min="2" max="2" width="5.6640625" style="172" customWidth="1"/>
    <col min="3" max="3" width="38.5546875" style="172" customWidth="1"/>
    <col min="4" max="4" width="5.6640625" style="172" customWidth="1"/>
    <col min="5" max="5" width="38.5546875" style="172" customWidth="1"/>
    <col min="6" max="6" width="5.6640625" style="172" customWidth="1"/>
    <col min="7" max="7" width="38.5546875" style="172" customWidth="1"/>
    <col min="8" max="8" width="5.6640625" style="172" customWidth="1"/>
    <col min="9" max="9" width="2.88671875" style="172" customWidth="1"/>
    <col min="10" max="10" width="19" customWidth="1"/>
    <col min="11" max="11" width="3" customWidth="1"/>
    <col min="13" max="13" width="1.5546875" customWidth="1"/>
    <col min="14" max="14" width="38.88671875" customWidth="1"/>
  </cols>
  <sheetData>
    <row r="1" spans="1:15" ht="15" customHeight="1">
      <c r="A1" s="524"/>
      <c r="B1" s="524"/>
      <c r="C1" s="524"/>
      <c r="D1" s="524"/>
      <c r="E1" s="524"/>
      <c r="F1" s="524"/>
      <c r="G1" s="524"/>
      <c r="H1" s="524"/>
      <c r="I1" s="524"/>
      <c r="J1" t="s">
        <v>0</v>
      </c>
    </row>
    <row r="2" spans="1:15" ht="22.5" customHeight="1">
      <c r="A2" s="524"/>
      <c r="B2" s="526"/>
      <c r="C2" s="526"/>
      <c r="D2" s="526"/>
      <c r="E2" s="670" t="str">
        <f>CHOOSE(MATCH(Objeto,{"PM","PO"}),"PLANILHA MÚLTIPLA ","PLANILHA ORÇAMENTÁRIA ")&amp; Versao</f>
        <v>PLANILHA MÚLTIPLA v3.0.6</v>
      </c>
      <c r="F2" s="670"/>
      <c r="G2" s="670"/>
      <c r="H2" s="528"/>
      <c r="I2" s="526"/>
      <c r="J2" t="s">
        <v>438</v>
      </c>
    </row>
    <row r="3" spans="1:15" ht="22.5" customHeight="1">
      <c r="A3" s="524"/>
      <c r="B3" s="526"/>
      <c r="C3" s="526"/>
      <c r="D3" s="526"/>
      <c r="E3" s="670"/>
      <c r="F3" s="670"/>
      <c r="G3" s="670"/>
      <c r="H3" s="528"/>
      <c r="I3" s="526"/>
      <c r="O3" s="535">
        <v>1</v>
      </c>
    </row>
    <row r="4" spans="1:15" ht="17.100000000000001" customHeight="1">
      <c r="A4" s="524"/>
      <c r="B4" s="526"/>
      <c r="C4" s="526"/>
      <c r="D4" s="526"/>
      <c r="E4" s="526"/>
      <c r="F4" s="527"/>
      <c r="G4" s="528"/>
      <c r="H4" s="528"/>
      <c r="I4" s="526"/>
      <c r="O4" s="535">
        <v>1</v>
      </c>
    </row>
    <row r="5" spans="1:15" ht="17.100000000000001" customHeight="1" thickBot="1">
      <c r="A5" s="524"/>
      <c r="B5" s="526"/>
      <c r="C5" s="526"/>
      <c r="D5" s="526"/>
      <c r="E5" s="526"/>
      <c r="F5" s="527"/>
      <c r="G5" s="528"/>
      <c r="H5" s="528"/>
      <c r="I5" s="526"/>
      <c r="J5" s="554" t="s">
        <v>407</v>
      </c>
    </row>
    <row r="6" spans="1:15" ht="21" customHeight="1" thickBot="1">
      <c r="A6" s="524"/>
      <c r="B6" s="529"/>
      <c r="C6" s="529"/>
      <c r="D6" s="529"/>
      <c r="E6" s="531" t="s">
        <v>400</v>
      </c>
      <c r="F6" s="530"/>
      <c r="G6" s="531" t="s">
        <v>401</v>
      </c>
      <c r="H6" s="529"/>
      <c r="I6" s="524"/>
      <c r="J6" s="554" t="s">
        <v>1</v>
      </c>
    </row>
    <row r="7" spans="1:15">
      <c r="A7" s="524"/>
      <c r="B7" s="524"/>
      <c r="C7" s="524"/>
      <c r="D7" s="524"/>
      <c r="E7" s="524"/>
      <c r="F7" s="524"/>
      <c r="G7" s="524"/>
      <c r="H7" s="524"/>
      <c r="I7" s="524"/>
      <c r="J7" s="554" t="s">
        <v>364</v>
      </c>
      <c r="K7" s="543"/>
      <c r="L7" s="544"/>
      <c r="M7" s="544"/>
      <c r="N7" s="545"/>
    </row>
    <row r="8" spans="1:15" ht="21" customHeight="1">
      <c r="A8" s="526"/>
      <c r="B8" s="669" t="str">
        <f>IF($O$3&lt;&gt;2,"DOCUMENTAÇÃO DA PROPOSTA","PROPOSTA: Para visualizar/preencher esta seção, altere o TIPO DE ORÇAMENTO para 'Proposto'")</f>
        <v>DOCUMENTAÇÃO DA PROPOSTA</v>
      </c>
      <c r="C8" s="669"/>
      <c r="D8" s="669"/>
      <c r="E8" s="669"/>
      <c r="F8" s="669"/>
      <c r="G8" s="669"/>
      <c r="H8" s="669"/>
      <c r="I8" s="524"/>
      <c r="J8" s="554" t="s">
        <v>4</v>
      </c>
      <c r="K8" s="546"/>
      <c r="L8" s="547" t="s">
        <v>402</v>
      </c>
      <c r="M8" s="547"/>
      <c r="N8" s="548"/>
    </row>
    <row r="9" spans="1:15" ht="13.8" thickBot="1">
      <c r="A9" s="524"/>
      <c r="B9" s="524"/>
      <c r="C9" s="524"/>
      <c r="D9" s="524"/>
      <c r="E9" s="524"/>
      <c r="F9" s="524"/>
      <c r="G9" s="524"/>
      <c r="H9" s="524"/>
      <c r="I9" s="524"/>
      <c r="K9" s="546"/>
      <c r="L9" s="96" t="s">
        <v>405</v>
      </c>
      <c r="M9" s="96"/>
      <c r="N9" s="548"/>
    </row>
    <row r="10" spans="1:15" ht="21" customHeight="1" thickBot="1">
      <c r="A10" s="524"/>
      <c r="B10" s="524"/>
      <c r="C10" s="534" t="str">
        <f>IF(TIPOORCAMENTO&lt;&gt;"Proposto","","                    BDI                    ")</f>
        <v xml:space="preserve">                    BDI                    </v>
      </c>
      <c r="D10" s="525"/>
      <c r="E10" s="534" t="str">
        <f>IF(TIPOORCAMENTO&lt;&gt;"Proposto","","             ORÇAMENTO             ")</f>
        <v xml:space="preserve">             ORÇAMENTO             </v>
      </c>
      <c r="F10" s="525"/>
      <c r="G10" s="533" t="str">
        <f>IF(TIPOORCAMENTO&lt;&gt;"Proposto","","MEMÓRIA DE CÁLCULO / PLQ")</f>
        <v>MEMÓRIA DE CÁLCULO / PLQ</v>
      </c>
      <c r="H10" s="524"/>
      <c r="I10" s="524"/>
      <c r="K10" s="546"/>
      <c r="L10" s="6"/>
      <c r="M10" s="4"/>
      <c r="N10" s="549" t="s">
        <v>2</v>
      </c>
    </row>
    <row r="11" spans="1:15" ht="13.8" thickBot="1">
      <c r="A11" s="524"/>
      <c r="B11" s="524"/>
      <c r="C11" s="525"/>
      <c r="D11" s="525"/>
      <c r="E11" s="525"/>
      <c r="F11" s="525"/>
      <c r="G11" s="525"/>
      <c r="H11" s="524"/>
      <c r="I11" s="524"/>
      <c r="K11" s="546"/>
      <c r="L11" s="3"/>
      <c r="M11" s="3"/>
      <c r="N11" s="550"/>
    </row>
    <row r="12" spans="1:15" ht="21" customHeight="1" thickBot="1">
      <c r="A12" s="524"/>
      <c r="B12" s="524"/>
      <c r="C12" s="534" t="str">
        <f>IF(TIPOORCAMENTO&lt;&gt;"Proposto","","                    QCI                    ")</f>
        <v xml:space="preserve">                    QCI                    </v>
      </c>
      <c r="D12" s="525"/>
      <c r="E12" s="532" t="str">
        <f>IF(TIPOORCAMENTO&lt;&gt;"Proposto","","CRONOGRAMA FÍSICO-FINANCEIRO")</f>
        <v>CRONOGRAMA FÍSICO-FINANCEIRO</v>
      </c>
      <c r="F12" s="525"/>
      <c r="G12" s="525"/>
      <c r="H12" s="524"/>
      <c r="I12" s="524"/>
      <c r="K12" s="546"/>
      <c r="L12" s="7"/>
      <c r="M12" s="4"/>
      <c r="N12" s="549" t="s">
        <v>3</v>
      </c>
    </row>
    <row r="13" spans="1:15">
      <c r="A13" s="524"/>
      <c r="B13" s="524"/>
      <c r="C13" s="524"/>
      <c r="D13" s="524"/>
      <c r="E13" s="524"/>
      <c r="F13" s="524"/>
      <c r="G13" s="524"/>
      <c r="H13" s="524"/>
      <c r="I13" s="524"/>
      <c r="K13" s="546"/>
      <c r="L13" s="96"/>
      <c r="M13" s="96"/>
      <c r="N13" s="548"/>
    </row>
    <row r="14" spans="1:15">
      <c r="A14" s="524"/>
      <c r="B14" s="524"/>
      <c r="C14" s="524" t="str">
        <f ca="1">IF(TIPOORCAMENTO&lt;&gt;"Proposto","","Obs: Composições e Cotações devem ser preenchidas diretamente no arquivo Referência "&amp;IF(ISBLANK(Import.DataBase),"mm-aaaa",TEXT(Import.DataBase,"mm-aaaa"))&amp;".xlsm.")</f>
        <v>Obs: Composições e Cotações devem ser preenchidas diretamente no arquivo Referência 11-2024.xlsm.</v>
      </c>
      <c r="D14" s="524"/>
      <c r="E14" s="524"/>
      <c r="F14" s="524"/>
      <c r="G14" s="524"/>
      <c r="H14" s="524"/>
      <c r="I14" s="524"/>
      <c r="K14" s="546"/>
      <c r="L14" s="96"/>
      <c r="M14" s="96"/>
      <c r="N14" s="548"/>
    </row>
    <row r="15" spans="1:15">
      <c r="A15" s="524"/>
      <c r="B15" s="524"/>
      <c r="C15" s="524"/>
      <c r="D15" s="524"/>
      <c r="E15" s="524"/>
      <c r="F15" s="524"/>
      <c r="G15" s="524"/>
      <c r="H15" s="524"/>
      <c r="I15" s="524"/>
      <c r="K15" s="546"/>
      <c r="L15" s="96" t="s">
        <v>406</v>
      </c>
      <c r="M15" s="96"/>
      <c r="N15" s="548"/>
    </row>
    <row r="16" spans="1:15" ht="21" customHeight="1">
      <c r="A16" s="524"/>
      <c r="B16" s="669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669"/>
      <c r="D16" s="669"/>
      <c r="E16" s="669"/>
      <c r="F16" s="669"/>
      <c r="G16" s="669"/>
      <c r="H16" s="669"/>
      <c r="I16" s="524"/>
      <c r="K16" s="546"/>
      <c r="L16" s="541"/>
      <c r="M16" s="4"/>
      <c r="N16" s="549" t="s">
        <v>403</v>
      </c>
    </row>
    <row r="17" spans="1:14" ht="13.8" thickBot="1">
      <c r="A17" s="524"/>
      <c r="B17" s="524"/>
      <c r="C17" s="524"/>
      <c r="D17" s="524"/>
      <c r="E17" s="524"/>
      <c r="F17" s="524"/>
      <c r="G17" s="524"/>
      <c r="H17" s="524"/>
      <c r="I17" s="524"/>
      <c r="K17" s="546"/>
      <c r="L17" s="3"/>
      <c r="M17" s="3"/>
      <c r="N17" s="550"/>
    </row>
    <row r="18" spans="1:14" ht="21" customHeight="1" thickBot="1">
      <c r="A18" s="524"/>
      <c r="B18" s="524"/>
      <c r="C18" s="537" t="str">
        <f>IF(TIPOORCAMENTO&lt;&gt;"Licitado","","             ORÇAMENTO             ")</f>
        <v/>
      </c>
      <c r="D18" s="525"/>
      <c r="E18" s="537" t="str">
        <f>IF(TIPOORCAMENTO&lt;&gt;"Licitado","","                    QCI                    ")</f>
        <v/>
      </c>
      <c r="F18" s="525"/>
      <c r="G18" s="536" t="str">
        <f>IF(TIPOORCAMENTO&lt;&gt;"Licitado","","CRONOGRAMA FÍSICO-FINANCEIRO")</f>
        <v/>
      </c>
      <c r="H18" s="524"/>
      <c r="I18" s="524"/>
      <c r="K18" s="546"/>
      <c r="L18" s="542"/>
      <c r="M18" s="4"/>
      <c r="N18" s="549" t="s">
        <v>404</v>
      </c>
    </row>
    <row r="19" spans="1:14">
      <c r="A19" s="524"/>
      <c r="B19" s="524"/>
      <c r="C19" s="524"/>
      <c r="D19" s="524"/>
      <c r="E19" s="524"/>
      <c r="F19" s="524"/>
      <c r="G19" s="524"/>
      <c r="H19" s="524"/>
      <c r="I19" s="524"/>
      <c r="K19" s="551"/>
      <c r="L19" s="552"/>
      <c r="M19" s="552"/>
      <c r="N19" s="553"/>
    </row>
    <row r="20" spans="1:14" ht="21" customHeight="1">
      <c r="A20" s="526"/>
      <c r="B20" s="669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669"/>
      <c r="D20" s="669"/>
      <c r="E20" s="669"/>
      <c r="F20" s="669"/>
      <c r="G20" s="669"/>
      <c r="H20" s="669"/>
      <c r="I20" s="524"/>
    </row>
    <row r="21" spans="1:14" ht="13.8" thickBot="1">
      <c r="A21" s="524"/>
      <c r="B21" s="524"/>
      <c r="C21" s="524"/>
      <c r="D21" s="524"/>
      <c r="E21" s="524"/>
      <c r="F21" s="524"/>
      <c r="G21" s="524"/>
      <c r="H21" s="524"/>
      <c r="I21" s="524"/>
    </row>
    <row r="22" spans="1:14" ht="21" customHeight="1" thickBot="1">
      <c r="A22" s="524"/>
      <c r="B22" s="524"/>
      <c r="C22" s="538" t="str">
        <f>IF(OR(TIPOORCAMENTO&lt;&gt;"Licitado",ACOMPANHAMENTO&lt;&gt;"PLE"),"","PLAN. DE LEVANT. DE EVENTOS - PLE")</f>
        <v/>
      </c>
      <c r="D22" s="525"/>
      <c r="E22" s="540" t="str">
        <f>IF(TIPOORCAMENTO&lt;&gt;"Licitado","","                    RRE                    ")</f>
        <v/>
      </c>
      <c r="F22" s="525"/>
      <c r="G22" s="539" t="str">
        <f>IF(OR(TIPOORCAMENTO&lt;&gt;"Licitado",ACOMPANHAMENTO&lt;&gt;"BM"),"","  BOLETIM DE MEDIÇÃO - BM  ")</f>
        <v/>
      </c>
      <c r="H22" s="524"/>
      <c r="I22" s="524"/>
    </row>
    <row r="23" spans="1:14" ht="13.8" thickBot="1">
      <c r="A23" s="524"/>
      <c r="B23" s="524"/>
      <c r="C23" s="525"/>
      <c r="D23" s="525"/>
      <c r="E23" s="525"/>
      <c r="F23" s="525"/>
      <c r="G23" s="525"/>
      <c r="H23" s="524"/>
      <c r="I23" s="524"/>
    </row>
    <row r="24" spans="1:14" ht="21" customHeight="1" thickBot="1">
      <c r="A24" s="524"/>
      <c r="B24" s="524"/>
      <c r="C24" s="525"/>
      <c r="D24" s="525"/>
      <c r="E24" s="538" t="str">
        <f>IF(TIPOORCAMENTO&lt;&gt;"Licitado","","OF. DE SOLICITAÇÃO DE DESBLOQUEIO")</f>
        <v/>
      </c>
      <c r="F24" s="525"/>
      <c r="G24" s="525"/>
      <c r="H24" s="524"/>
      <c r="I24" s="524"/>
    </row>
    <row r="25" spans="1:14">
      <c r="A25" s="524"/>
      <c r="B25" s="524"/>
      <c r="C25" s="524"/>
      <c r="D25" s="524"/>
      <c r="E25" s="524"/>
      <c r="F25" s="524"/>
      <c r="G25" s="524"/>
      <c r="H25" s="524"/>
      <c r="I25" s="524"/>
    </row>
  </sheetData>
  <sheetProtection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832" priority="70" stopIfTrue="1">
      <formula>TIPOORCAMENTO="Licitado"</formula>
    </cfRule>
  </conditionalFormatting>
  <conditionalFormatting sqref="C18:G18 E22:E24">
    <cfRule type="expression" dxfId="831" priority="71" stopIfTrue="1">
      <formula>TIPOORCAMENTO&lt;&gt;"Licitado"</formula>
    </cfRule>
  </conditionalFormatting>
  <conditionalFormatting sqref="C22">
    <cfRule type="expression" dxfId="830" priority="73" stopIfTrue="1">
      <formula>OR(TIPOORCAMENTO&lt;&gt;"Licitado",ACOMPANHAMENTO&lt;&gt;"PLE")</formula>
    </cfRule>
  </conditionalFormatting>
  <conditionalFormatting sqref="G22">
    <cfRule type="expression" dxfId="829" priority="74" stopIfTrue="1">
      <formula>OR(TIPOORCAMENTO&lt;&gt;"Licitado",ACOMPANHAMENTO&lt;&gt;"BM")</formula>
    </cfRule>
  </conditionalFormatting>
  <conditionalFormatting sqref="B16:H16 B20:H20">
    <cfRule type="expression" dxfId="828" priority="599" stopIfTrue="1">
      <formula>$O$3&lt;&gt;2</formula>
    </cfRule>
  </conditionalFormatting>
  <conditionalFormatting sqref="B8:H8">
    <cfRule type="expression" dxfId="827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&amp;LPMv3.0.6&amp;R&amp;P / &amp;N</oddFooter>
  </headerFooter>
  <colBreaks count="1" manualBreakCount="1">
    <brk id="9" max="1048575" man="1"/>
  </col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Plan11"/>
  <dimension ref="A1:AG36"/>
  <sheetViews>
    <sheetView showGridLines="0" zoomScale="90" zoomScaleNormal="90" zoomScaleSheetLayoutView="100" workbookViewId="0">
      <pane xSplit="4" ySplit="13" topLeftCell="E14" activePane="bottomRight" state="frozen"/>
      <selection pane="topRight" activeCell="E1" sqref="E1"/>
      <selection pane="bottomLeft" activeCell="A13" sqref="A13"/>
      <selection pane="bottomRight" activeCell="A20" sqref="A20"/>
    </sheetView>
  </sheetViews>
  <sheetFormatPr defaultRowHeight="13.2"/>
  <cols>
    <col min="1" max="1" width="3.88671875" customWidth="1"/>
    <col min="2" max="2" width="8.109375" customWidth="1"/>
    <col min="3" max="3" width="17" customWidth="1"/>
    <col min="4" max="4" width="19.88671875" customWidth="1"/>
    <col min="5" max="5" width="1.44140625" customWidth="1"/>
    <col min="6" max="7" width="0" hidden="1" customWidth="1"/>
    <col min="8" max="32" width="5.6640625" customWidth="1"/>
    <col min="33" max="33" width="0.109375" customWidth="1"/>
  </cols>
  <sheetData>
    <row r="1" spans="1:33" hidden="1">
      <c r="A1" s="9" t="e">
        <f ca="1">IF(AUTOEVENTO="Manual",IF(OFFSET(EVENTOS!$F$14,PLE!$B1,0)&gt;0,"F",""),IF(PLE!B1&lt;=MAX(CÁLCULO!$M$15:$M$264),"F",""))</f>
        <v>#REF!</v>
      </c>
      <c r="B1" s="322" t="e">
        <f ca="1">OFFSET(B1,-1,0)+1</f>
        <v>#REF!</v>
      </c>
      <c r="C1" s="743" t="e">
        <f ca="1">IF(AUTOEVENTO="Manual",IF($B1&lt;&gt;1,OFFSET(EVENTOS!$D$14,$B1,0),0),IF(B1&lt;=MAX(CÁLCULO!$M$15:$M$264),VLOOKUP($B1,CÁLCULO!$M$15:$N$264,2,FALSE),0))</f>
        <v>#REF!</v>
      </c>
      <c r="D1" s="743"/>
      <c r="F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324"/>
      <c r="AD1" s="324"/>
      <c r="AE1" s="324"/>
      <c r="AF1" s="324"/>
    </row>
    <row r="2" spans="1:33" hidden="1">
      <c r="A2" s="9"/>
      <c r="B2" s="604"/>
      <c r="C2" s="605"/>
      <c r="D2" s="605"/>
      <c r="F2" s="606"/>
    </row>
    <row r="3" spans="1:33" ht="15.6">
      <c r="H3" s="259" t="s">
        <v>293</v>
      </c>
      <c r="AD3" s="675" t="s">
        <v>140</v>
      </c>
      <c r="AE3" s="675"/>
      <c r="AF3" s="675"/>
    </row>
    <row r="4" spans="1:33" ht="15.6">
      <c r="B4" s="98"/>
      <c r="C4" s="98"/>
      <c r="H4" s="102" t="str">
        <f>import.recurso</f>
        <v>OGU</v>
      </c>
      <c r="AD4" s="676" t="s">
        <v>143</v>
      </c>
      <c r="AE4" s="676"/>
      <c r="AF4" s="676"/>
    </row>
    <row r="6" spans="1:33">
      <c r="B6" s="263" t="s">
        <v>146</v>
      </c>
      <c r="C6" s="339"/>
      <c r="D6" s="265" t="s">
        <v>443</v>
      </c>
      <c r="E6" s="55"/>
      <c r="H6" s="266" t="s">
        <v>272</v>
      </c>
      <c r="I6" s="260"/>
      <c r="J6" s="260"/>
      <c r="K6" s="260"/>
      <c r="L6" s="261"/>
      <c r="M6" s="261"/>
      <c r="N6" s="340"/>
      <c r="O6" s="263" t="s">
        <v>273</v>
      </c>
      <c r="P6" s="267"/>
      <c r="Q6" s="96"/>
      <c r="R6" s="260"/>
      <c r="S6" s="260"/>
      <c r="T6" s="260"/>
      <c r="U6" s="264"/>
      <c r="V6" s="263" t="str">
        <f>IF(TIPOORCAMENTO="Licitado","NOME DA EMPRESA","DESCRIÇÃO DO LOTE")</f>
        <v>DESCRIÇÃO DO LOTE</v>
      </c>
      <c r="W6" s="260"/>
      <c r="X6" s="260"/>
      <c r="Y6" s="260"/>
      <c r="Z6" s="96"/>
      <c r="AA6" s="96"/>
      <c r="AB6" s="96"/>
      <c r="AC6" s="96"/>
      <c r="AD6" s="55"/>
      <c r="AE6" s="744" t="str">
        <f>IF(TIPOORCAMENTO="Licitado","Nº CTEF","")</f>
        <v/>
      </c>
      <c r="AF6" s="744"/>
    </row>
    <row r="7" spans="1:33">
      <c r="B7" s="726">
        <f>Import.CR</f>
        <v>0</v>
      </c>
      <c r="C7" s="726"/>
      <c r="D7" s="269" t="str">
        <f>Import.TransfereGOV</f>
        <v>953208-2023</v>
      </c>
      <c r="E7" s="50"/>
      <c r="H7" s="736" t="str">
        <f>Import.Proponente</f>
        <v>PREFEITURA MUNICIPAL DE PONTAL</v>
      </c>
      <c r="I7" s="736"/>
      <c r="J7" s="736"/>
      <c r="K7" s="736"/>
      <c r="L7" s="736"/>
      <c r="M7" s="736"/>
      <c r="N7" s="736"/>
      <c r="O7" s="726" t="str">
        <f>Import.Apelido</f>
        <v>RECAPE FEDERAL</v>
      </c>
      <c r="P7" s="726"/>
      <c r="Q7" s="726"/>
      <c r="R7" s="726"/>
      <c r="S7" s="726"/>
      <c r="T7" s="726"/>
      <c r="U7" s="726"/>
      <c r="V7" s="726">
        <f>IF(TIPOORCAMENTO="Licitado",Import.empresa,Import.DescLote)</f>
        <v>0</v>
      </c>
      <c r="W7" s="726"/>
      <c r="X7" s="726"/>
      <c r="Y7" s="726"/>
      <c r="Z7" s="726"/>
      <c r="AA7" s="726"/>
      <c r="AB7" s="726"/>
      <c r="AC7" s="726"/>
      <c r="AD7" s="726"/>
      <c r="AE7" s="745" t="str">
        <f>IF(TIPOORCAMENTO="Licitado",Import.CTEF,"")</f>
        <v/>
      </c>
      <c r="AF7" s="745"/>
      <c r="AG7" s="341"/>
    </row>
    <row r="8" spans="1:33">
      <c r="AG8" s="96"/>
    </row>
    <row r="9" spans="1:33" ht="15.6">
      <c r="A9" s="522">
        <v>0</v>
      </c>
      <c r="B9" s="342"/>
      <c r="C9" s="342"/>
      <c r="I9" s="343" t="s">
        <v>294</v>
      </c>
      <c r="J9" s="741">
        <v>1</v>
      </c>
      <c r="K9" s="741"/>
      <c r="M9" s="343" t="s">
        <v>283</v>
      </c>
      <c r="N9" s="742" t="str">
        <f ca="1">TEXT(IF(PLE.Medicao=1,Import.DataInicioObra,OFFSET($H$24,0,1+(PLE.Medicao-$I$25)*2-2)+1),"dd/mm/aaaa")&amp;" a "&amp;TEXT(OFFSET($H$24,0,1+(PLE.Medicao-$I$25)*2),"dd/mm/aaaa")</f>
        <v>00/01/1900 a 00/01/1900</v>
      </c>
      <c r="O9" s="742"/>
      <c r="P9" s="742"/>
      <c r="Q9" s="742"/>
      <c r="R9" s="742"/>
      <c r="S9" s="742"/>
      <c r="T9" s="742"/>
      <c r="U9" s="344"/>
      <c r="X9" s="343" t="s">
        <v>295</v>
      </c>
      <c r="Y9" s="739">
        <f ca="1">OFFSET($I$25,1+8*(ROUNDUP(($J$9-0)/((COLUMN($AG$14)-COLUMN($G$14)-1)/25*12),0)-1),ROUNDDOWN((($J$9-0)-OFFSET($I$25,8*(ROUNDUP(($J$9-0)/((COLUMN($AG$14)-COLUMN($G$14)-1)/25*12),0)-1),0))*(2+1/12),0))</f>
        <v>0</v>
      </c>
      <c r="Z9" s="739"/>
      <c r="AD9" s="343" t="s">
        <v>296</v>
      </c>
      <c r="AE9" s="739">
        <f ca="1">OFFSET($I$25,3+8*(ROUNDUP(($J$9-0)/((COLUMN($AG$14)-COLUMN($G$14)-1)/25*12),0)-1),ROUNDDOWN((($J$9-0)-OFFSET($I$25,8*(ROUNDUP(($J$9-0)/((COLUMN($AG$14)-COLUMN($G$14)-1)/25*12),0)-1),0))*(2+1/12),0))</f>
        <v>0</v>
      </c>
      <c r="AF9" s="739"/>
    </row>
    <row r="11" spans="1:33" ht="65.25" customHeight="1">
      <c r="A11" s="326" t="s">
        <v>290</v>
      </c>
      <c r="C11" s="740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740"/>
      <c r="F11" s="328" t="str">
        <f ca="1">IF(F$12&gt;CÁLCULO.NúmeroDeFrentes,"",OFFSET(CÁLCULO!$P$12,0,F$12))</f>
        <v>SETOR 1</v>
      </c>
      <c r="H11" s="328" t="str">
        <f ca="1">IF(H$12&gt;CÁLCULO.NúmeroDeFrentes,"",OFFSET(CÁLCULO!$P$12,0,H$12))</f>
        <v>SETOR 1</v>
      </c>
      <c r="I11" s="328" t="str">
        <f ca="1">IF(I$12&gt;CÁLCULO.NúmeroDeFrentes,"",OFFSET(CÁLCULO!$P$12,0,I$12))</f>
        <v>SETOR 2</v>
      </c>
      <c r="J11" s="328" t="str">
        <f ca="1">IF(J$12&gt;CÁLCULO.NúmeroDeFrentes,"",OFFSET(CÁLCULO!$P$12,0,J$12))</f>
        <v>SETOR 3</v>
      </c>
      <c r="K11" s="328" t="str">
        <f ca="1">IF(K$12&gt;CÁLCULO.NúmeroDeFrentes,"",OFFSET(CÁLCULO!$P$12,0,K$12))</f>
        <v>SETOR 4</v>
      </c>
      <c r="L11" s="328">
        <f ca="1">IF(L$12&gt;CÁLCULO.NúmeroDeFrentes,"",OFFSET(CÁLCULO!$P$12,0,L$12))</f>
        <v>0</v>
      </c>
      <c r="M11" s="328">
        <f ca="1">IF(M$12&gt;CÁLCULO.NúmeroDeFrentes,"",OFFSET(CÁLCULO!$P$12,0,M$12))</f>
        <v>0</v>
      </c>
      <c r="N11" s="328">
        <f ca="1">IF(N$12&gt;CÁLCULO.NúmeroDeFrentes,"",OFFSET(CÁLCULO!$P$12,0,N$12))</f>
        <v>0</v>
      </c>
      <c r="O11" s="328">
        <f ca="1">IF(O$12&gt;CÁLCULO.NúmeroDeFrentes,"",OFFSET(CÁLCULO!$P$12,0,O$12))</f>
        <v>0</v>
      </c>
      <c r="P11" s="328">
        <f ca="1">IF(P$12&gt;CÁLCULO.NúmeroDeFrentes,"",OFFSET(CÁLCULO!$P$12,0,P$12))</f>
        <v>0</v>
      </c>
      <c r="Q11" s="328">
        <f ca="1">IF(Q$12&gt;CÁLCULO.NúmeroDeFrentes,"",OFFSET(CÁLCULO!$P$12,0,Q$12))</f>
        <v>0</v>
      </c>
      <c r="R11" s="328" t="str">
        <f ca="1">IF(R$12&gt;CÁLCULO.NúmeroDeFrentes,"",OFFSET(CÁLCULO!$P$12,0,R$12))</f>
        <v/>
      </c>
      <c r="S11" s="328" t="str">
        <f ca="1">IF(S$12&gt;CÁLCULO.NúmeroDeFrentes,"",OFFSET(CÁLCULO!$P$12,0,S$12))</f>
        <v/>
      </c>
      <c r="T11" s="328" t="str">
        <f ca="1">IF(T$12&gt;CÁLCULO.NúmeroDeFrentes,"",OFFSET(CÁLCULO!$P$12,0,T$12))</f>
        <v/>
      </c>
      <c r="U11" s="328" t="str">
        <f ca="1">IF(U$12&gt;CÁLCULO.NúmeroDeFrentes,"",OFFSET(CÁLCULO!$P$12,0,U$12))</f>
        <v/>
      </c>
      <c r="V11" s="328" t="str">
        <f ca="1">IF(V$12&gt;CÁLCULO.NúmeroDeFrentes,"",OFFSET(CÁLCULO!$P$12,0,V$12))</f>
        <v/>
      </c>
      <c r="W11" s="328" t="str">
        <f ca="1">IF(W$12&gt;CÁLCULO.NúmeroDeFrentes,"",OFFSET(CÁLCULO!$P$12,0,W$12))</f>
        <v/>
      </c>
      <c r="X11" s="328" t="str">
        <f ca="1">IF(X$12&gt;CÁLCULO.NúmeroDeFrentes,"",OFFSET(CÁLCULO!$P$12,0,X$12))</f>
        <v/>
      </c>
      <c r="Y11" s="328" t="str">
        <f ca="1">IF(Y$12&gt;CÁLCULO.NúmeroDeFrentes,"",OFFSET(CÁLCULO!$P$12,0,Y$12))</f>
        <v/>
      </c>
      <c r="Z11" s="328" t="str">
        <f ca="1">IF(Z$12&gt;CÁLCULO.NúmeroDeFrentes,"",OFFSET(CÁLCULO!$P$12,0,Z$12))</f>
        <v/>
      </c>
      <c r="AA11" s="328" t="str">
        <f ca="1">IF(AA$12&gt;CÁLCULO.NúmeroDeFrentes,"",OFFSET(CÁLCULO!$P$12,0,AA$12))</f>
        <v/>
      </c>
      <c r="AB11" s="328" t="str">
        <f ca="1">IF(AB$12&gt;CÁLCULO.NúmeroDeFrentes,"",OFFSET(CÁLCULO!$P$12,0,AB$12))</f>
        <v/>
      </c>
      <c r="AC11" s="328" t="str">
        <f ca="1">IF(AC$12&gt;CÁLCULO.NúmeroDeFrentes,"",OFFSET(CÁLCULO!$P$12,0,AC$12))</f>
        <v/>
      </c>
      <c r="AD11" s="328" t="str">
        <f ca="1">IF(AD$12&gt;CÁLCULO.NúmeroDeFrentes,"",OFFSET(CÁLCULO!$P$12,0,AD$12))</f>
        <v/>
      </c>
      <c r="AE11" s="328" t="str">
        <f ca="1">IF(AE$12&gt;CÁLCULO.NúmeroDeFrentes,"",OFFSET(CÁLCULO!$P$12,0,AE$12))</f>
        <v/>
      </c>
      <c r="AF11" s="328" t="str">
        <f ca="1">IF(AF$12&gt;CÁLCULO.NúmeroDeFrentes,"",OFFSET(CÁLCULO!$P$12,0,AF$12))</f>
        <v/>
      </c>
    </row>
    <row r="12" spans="1:33" ht="12.75" customHeight="1">
      <c r="A12" s="131" t="s">
        <v>217</v>
      </c>
      <c r="B12" s="738" t="s">
        <v>266</v>
      </c>
      <c r="C12" s="738" t="s">
        <v>291</v>
      </c>
      <c r="D12" s="738"/>
      <c r="F12" s="329">
        <f ca="1">OFFSET(F12,0,-1)+1</f>
        <v>1</v>
      </c>
      <c r="H12" s="329">
        <f ca="1">OFFSET(H12,0,-1)+1</f>
        <v>1</v>
      </c>
      <c r="I12" s="329">
        <f ca="1">OFFSET(I12,0,-1)+1</f>
        <v>2</v>
      </c>
      <c r="J12" s="329">
        <f t="shared" ref="J12:AF12" ca="1" si="0">OFFSET(J12,0,-1)+1</f>
        <v>3</v>
      </c>
      <c r="K12" s="329">
        <f t="shared" ca="1" si="0"/>
        <v>4</v>
      </c>
      <c r="L12" s="329">
        <f t="shared" ca="1" si="0"/>
        <v>5</v>
      </c>
      <c r="M12" s="329">
        <f t="shared" ca="1" si="0"/>
        <v>6</v>
      </c>
      <c r="N12" s="329">
        <f t="shared" ca="1" si="0"/>
        <v>7</v>
      </c>
      <c r="O12" s="329">
        <f t="shared" ca="1" si="0"/>
        <v>8</v>
      </c>
      <c r="P12" s="329">
        <f t="shared" ca="1" si="0"/>
        <v>9</v>
      </c>
      <c r="Q12" s="329">
        <f t="shared" ca="1" si="0"/>
        <v>10</v>
      </c>
      <c r="R12" s="329">
        <f t="shared" ca="1" si="0"/>
        <v>11</v>
      </c>
      <c r="S12" s="329">
        <f t="shared" ca="1" si="0"/>
        <v>12</v>
      </c>
      <c r="T12" s="329">
        <f t="shared" ca="1" si="0"/>
        <v>13</v>
      </c>
      <c r="U12" s="329">
        <f t="shared" ca="1" si="0"/>
        <v>14</v>
      </c>
      <c r="V12" s="329">
        <f t="shared" ca="1" si="0"/>
        <v>15</v>
      </c>
      <c r="W12" s="329">
        <f t="shared" ca="1" si="0"/>
        <v>16</v>
      </c>
      <c r="X12" s="329">
        <f t="shared" ca="1" si="0"/>
        <v>17</v>
      </c>
      <c r="Y12" s="329">
        <f t="shared" ca="1" si="0"/>
        <v>18</v>
      </c>
      <c r="Z12" s="329">
        <f t="shared" ca="1" si="0"/>
        <v>19</v>
      </c>
      <c r="AA12" s="329">
        <f t="shared" ca="1" si="0"/>
        <v>20</v>
      </c>
      <c r="AB12" s="329">
        <f t="shared" ca="1" si="0"/>
        <v>21</v>
      </c>
      <c r="AC12" s="329">
        <f t="shared" ca="1" si="0"/>
        <v>22</v>
      </c>
      <c r="AD12" s="329">
        <f t="shared" ca="1" si="0"/>
        <v>23</v>
      </c>
      <c r="AE12" s="329">
        <f t="shared" ca="1" si="0"/>
        <v>24</v>
      </c>
      <c r="AF12" s="329">
        <f t="shared" ca="1" si="0"/>
        <v>25</v>
      </c>
    </row>
    <row r="13" spans="1:33">
      <c r="B13" s="738"/>
      <c r="C13" s="738"/>
      <c r="D13" s="738"/>
      <c r="F13" s="331"/>
      <c r="H13" s="331"/>
      <c r="I13" s="330"/>
      <c r="J13" s="330"/>
      <c r="K13" s="330"/>
      <c r="L13" s="330"/>
      <c r="M13" s="330"/>
      <c r="N13" s="330" t="s">
        <v>297</v>
      </c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2"/>
    </row>
    <row r="14" spans="1:33" ht="7.5" customHeight="1">
      <c r="A14" s="9" t="s">
        <v>246</v>
      </c>
    </row>
    <row r="15" spans="1:33">
      <c r="A15" s="9" t="str">
        <f ca="1">IF(AND(AUTOEVENTO="Manual",OFFSET(EVENTOS!$F$14,1,0)&gt;0),"F","")</f>
        <v/>
      </c>
      <c r="B15" s="333">
        <v>1</v>
      </c>
      <c r="C15" s="748" t="s">
        <v>269</v>
      </c>
      <c r="D15" s="748"/>
      <c r="F15" s="336"/>
      <c r="H15" s="336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I15" s="335"/>
      <c r="J15" s="335"/>
      <c r="K15" s="335"/>
      <c r="L15" s="335"/>
      <c r="M15" s="335"/>
      <c r="N15" s="335"/>
      <c r="O15" s="335"/>
      <c r="P15" s="335"/>
      <c r="Q15" s="335"/>
      <c r="R15" s="335"/>
      <c r="S15" s="335"/>
      <c r="T15" s="335"/>
      <c r="U15" s="335"/>
      <c r="V15" s="335"/>
      <c r="W15" s="335"/>
      <c r="X15" s="335"/>
      <c r="Y15" s="335"/>
      <c r="Z15" s="335"/>
      <c r="AA15" s="335"/>
      <c r="AB15" s="335"/>
      <c r="AC15" s="335"/>
      <c r="AD15" s="335"/>
      <c r="AE15" s="335"/>
      <c r="AF15" s="337"/>
    </row>
    <row r="16" spans="1:33">
      <c r="A16" s="9" t="str">
        <f ca="1">IF(AUTOEVENTO="Manual",IF(OFFSET(EVENTOS!$F$14,PLE!$B16,0)&gt;0,"F",""),IF(PLE!B16&lt;=MAX(CÁLCULO!$M$15:$M$264),"F",""))</f>
        <v>F</v>
      </c>
      <c r="B16" s="322">
        <f t="shared" ref="B16:B19" ca="1" si="1">OFFSET(B16,-1,0)+1</f>
        <v>2</v>
      </c>
      <c r="C16" s="743" t="str">
        <f ca="1">IF(AUTOEVENTO="Manual",IF($B16&lt;&gt;1,OFFSET(EVENTOS!$D$14,$B16,0),0),IF(B16&lt;=MAX(CÁLCULO!$M$15:$M$264),VLOOKUP($B16,CÁLCULO!$M$15:$N$264,2,FALSE),0))</f>
        <v>SERVIÇOS PRELIMINARES</v>
      </c>
      <c r="D16" s="743"/>
      <c r="F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  <c r="Y16" s="324"/>
      <c r="Z16" s="324"/>
      <c r="AA16" s="324"/>
      <c r="AB16" s="324"/>
      <c r="AC16" s="324"/>
      <c r="AD16" s="324"/>
      <c r="AE16" s="324"/>
      <c r="AF16" s="324"/>
    </row>
    <row r="17" spans="1:32">
      <c r="A17" s="9" t="str">
        <f ca="1">IF(AUTOEVENTO="Manual",IF(OFFSET(EVENTOS!$F$14,PLE!$B17,0)&gt;0,"F",""),IF(PLE!B17&lt;=MAX(CÁLCULO!$M$15:$M$264),"F",""))</f>
        <v>F</v>
      </c>
      <c r="B17" s="322">
        <f t="shared" ca="1" si="1"/>
        <v>3</v>
      </c>
      <c r="C17" s="743" t="str">
        <f ca="1">IF(AUTOEVENTO="Manual",IF($B17&lt;&gt;1,OFFSET(EVENTOS!$D$14,$B17,0),0),IF(B17&lt;=MAX(CÁLCULO!$M$15:$M$264),VLOOKUP($B17,CÁLCULO!$M$15:$N$264,2,FALSE),0))</f>
        <v>RECAPEAMENTO ASFÁLTICO</v>
      </c>
      <c r="D17" s="743"/>
      <c r="F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324"/>
      <c r="Y17" s="324"/>
      <c r="Z17" s="324"/>
      <c r="AA17" s="324"/>
      <c r="AB17" s="324"/>
      <c r="AC17" s="324"/>
      <c r="AD17" s="324"/>
      <c r="AE17" s="324"/>
      <c r="AF17" s="324"/>
    </row>
    <row r="18" spans="1:32">
      <c r="A18" s="9" t="str">
        <f ca="1">IF(AUTOEVENTO="Manual",IF(OFFSET(EVENTOS!$F$14,PLE!$B18,0)&gt;0,"F",""),IF(PLE!B18&lt;=MAX(CÁLCULO!$M$15:$M$264),"F",""))</f>
        <v>F</v>
      </c>
      <c r="B18" s="322">
        <f t="shared" ca="1" si="1"/>
        <v>4</v>
      </c>
      <c r="C18" s="743" t="str">
        <f ca="1">IF(AUTOEVENTO="Manual",IF($B18&lt;&gt;1,OFFSET(EVENTOS!$D$14,$B18,0),0),IF(B18&lt;=MAX(CÁLCULO!$M$15:$M$264),VLOOKUP($B18,CÁLCULO!$M$15:$N$264,2,FALSE),0))</f>
        <v>CALÇADAS</v>
      </c>
      <c r="D18" s="743"/>
      <c r="F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4"/>
      <c r="Z18" s="324"/>
      <c r="AA18" s="324"/>
      <c r="AB18" s="324"/>
      <c r="AC18" s="324"/>
      <c r="AD18" s="324"/>
      <c r="AE18" s="324"/>
      <c r="AF18" s="324"/>
    </row>
    <row r="19" spans="1:32">
      <c r="A19" s="9" t="str">
        <f ca="1">IF(AUTOEVENTO="Manual",IF(OFFSET(EVENTOS!$F$14,PLE!$B19,0)&gt;0,"F",""),IF(PLE!B19&lt;=MAX(CÁLCULO!$M$15:$M$264),"F",""))</f>
        <v>F</v>
      </c>
      <c r="B19" s="322">
        <f t="shared" ca="1" si="1"/>
        <v>5</v>
      </c>
      <c r="C19" s="743" t="str">
        <f ca="1">IF(AUTOEVENTO="Manual",IF($B19&lt;&gt;1,OFFSET(EVENTOS!$D$14,$B19,0),0),IF(B19&lt;=MAX(CÁLCULO!$M$15:$M$264),VLOOKUP($B19,CÁLCULO!$M$15:$N$264,2,FALSE),0))</f>
        <v>SINALIZAÇÃO VIÁRIA</v>
      </c>
      <c r="D19" s="743"/>
      <c r="F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  <c r="AF19" s="324"/>
    </row>
    <row r="20" spans="1:32">
      <c r="A20" s="9" t="str">
        <f ca="1">IF(AUTOEVENTO="Manual",IF(OFFSET(EVENTOS!$F$14,PLE!$B20,0)&gt;0,"F",""),IF(PLE!B20&lt;=MAX(CÁLCULO!$M$15:$M$264),"F",""))</f>
        <v>F</v>
      </c>
      <c r="B20" s="322">
        <f ca="1">OFFSET(B20,-1,0)+1</f>
        <v>6</v>
      </c>
      <c r="C20" s="743" t="str">
        <f ca="1">IF(AUTOEVENTO="Manual",IF($B20&lt;&gt;1,OFFSET(EVENTOS!$D$14,$B20,0),0),IF(B20&lt;=MAX(CÁLCULO!$M$15:$M$264),VLOOKUP($B20,CÁLCULO!$M$15:$N$264,2,FALSE),0))</f>
        <v>DRENAGEM</v>
      </c>
      <c r="D20" s="743"/>
      <c r="F20" s="324"/>
      <c r="H20" s="324"/>
      <c r="I20" s="324"/>
      <c r="J20" s="324"/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324"/>
      <c r="Y20" s="324"/>
      <c r="Z20" s="324"/>
      <c r="AA20" s="324"/>
      <c r="AB20" s="324"/>
      <c r="AC20" s="324"/>
      <c r="AD20" s="324"/>
      <c r="AE20" s="324"/>
      <c r="AF20" s="324"/>
    </row>
    <row r="21" spans="1:32" ht="4.5" customHeight="1">
      <c r="A21" s="9" t="s">
        <v>246</v>
      </c>
      <c r="B21" s="558"/>
      <c r="C21" s="589"/>
      <c r="D21" s="590"/>
      <c r="F21" s="345"/>
      <c r="H21" s="558"/>
      <c r="I21" s="589"/>
      <c r="J21" s="589"/>
      <c r="K21" s="589"/>
      <c r="L21" s="589"/>
      <c r="M21" s="589"/>
      <c r="N21" s="589"/>
      <c r="O21" s="589"/>
      <c r="P21" s="589"/>
      <c r="Q21" s="589"/>
      <c r="R21" s="589"/>
      <c r="S21" s="589"/>
      <c r="T21" s="589"/>
      <c r="U21" s="589"/>
      <c r="V21" s="589"/>
      <c r="W21" s="589"/>
      <c r="X21" s="589"/>
      <c r="Y21" s="589"/>
      <c r="Z21" s="589"/>
      <c r="AA21" s="589"/>
      <c r="AB21" s="589"/>
      <c r="AC21" s="589"/>
      <c r="AD21" s="589"/>
      <c r="AE21" s="589"/>
      <c r="AF21" s="590"/>
    </row>
    <row r="22" spans="1:32">
      <c r="A22" s="9" t="s">
        <v>246</v>
      </c>
    </row>
    <row r="23" spans="1:32">
      <c r="A23" s="9" t="s">
        <v>246</v>
      </c>
      <c r="I23" s="746" t="s">
        <v>298</v>
      </c>
      <c r="J23" s="746"/>
      <c r="K23" s="746"/>
      <c r="L23" s="746"/>
      <c r="M23" s="746"/>
      <c r="N23" s="746"/>
      <c r="O23" s="746"/>
      <c r="P23" s="746"/>
      <c r="Q23" s="746"/>
      <c r="R23" s="746"/>
      <c r="S23" s="746"/>
      <c r="T23" s="746"/>
      <c r="U23" s="746"/>
      <c r="V23" s="746"/>
      <c r="W23" s="746"/>
      <c r="X23" s="746"/>
      <c r="Y23" s="746"/>
      <c r="Z23" s="746"/>
      <c r="AA23" s="746"/>
      <c r="AB23" s="746"/>
      <c r="AC23" s="746"/>
      <c r="AD23" s="746"/>
      <c r="AE23" s="746"/>
      <c r="AF23" s="746"/>
    </row>
    <row r="24" spans="1:32">
      <c r="A24" s="9" t="s">
        <v>246</v>
      </c>
      <c r="H24" s="615"/>
      <c r="I24" s="761"/>
      <c r="J24" s="747"/>
      <c r="K24" s="747"/>
      <c r="L24" s="747"/>
      <c r="M24" s="747"/>
      <c r="N24" s="747"/>
      <c r="O24" s="747"/>
      <c r="P24" s="747"/>
      <c r="Q24" s="747"/>
      <c r="R24" s="747"/>
      <c r="S24" s="747"/>
      <c r="T24" s="747"/>
      <c r="U24" s="747"/>
      <c r="V24" s="747"/>
      <c r="W24" s="747"/>
      <c r="X24" s="747"/>
      <c r="Y24" s="747"/>
      <c r="Z24" s="747"/>
      <c r="AA24" s="747"/>
      <c r="AB24" s="747"/>
      <c r="AC24" s="747"/>
      <c r="AD24" s="747"/>
      <c r="AE24" s="747"/>
      <c r="AF24" s="752"/>
    </row>
    <row r="25" spans="1:32">
      <c r="A25" s="9" t="s">
        <v>246</v>
      </c>
      <c r="D25" s="346" t="s">
        <v>299</v>
      </c>
      <c r="I25" s="751">
        <f>IF(PLE.Medicao&lt;=12,1,TRUNC((PLE.Medicao - 2)/11,0) * 11 + 1)</f>
        <v>1</v>
      </c>
      <c r="J25" s="751"/>
      <c r="K25" s="751">
        <f>I25+1</f>
        <v>2</v>
      </c>
      <c r="L25" s="751"/>
      <c r="M25" s="751">
        <f>K25+1</f>
        <v>3</v>
      </c>
      <c r="N25" s="751"/>
      <c r="O25" s="751">
        <f>M25+1</f>
        <v>4</v>
      </c>
      <c r="P25" s="751"/>
      <c r="Q25" s="751">
        <f>O25+1</f>
        <v>5</v>
      </c>
      <c r="R25" s="751"/>
      <c r="S25" s="751">
        <f>Q25+1</f>
        <v>6</v>
      </c>
      <c r="T25" s="751"/>
      <c r="U25" s="751">
        <f>S25+1</f>
        <v>7</v>
      </c>
      <c r="V25" s="751"/>
      <c r="W25" s="751">
        <f>U25+1</f>
        <v>8</v>
      </c>
      <c r="X25" s="751"/>
      <c r="Y25" s="751">
        <f>W25+1</f>
        <v>9</v>
      </c>
      <c r="Z25" s="751"/>
      <c r="AA25" s="751">
        <f>Y25+1</f>
        <v>10</v>
      </c>
      <c r="AB25" s="751"/>
      <c r="AC25" s="751">
        <f>AA25+1</f>
        <v>11</v>
      </c>
      <c r="AD25" s="751"/>
      <c r="AE25" s="751">
        <f>AC25+1</f>
        <v>12</v>
      </c>
      <c r="AF25" s="751"/>
    </row>
    <row r="26" spans="1:32">
      <c r="A26" s="9" t="s">
        <v>246</v>
      </c>
      <c r="D26" s="755" t="s">
        <v>283</v>
      </c>
      <c r="H26" s="347" t="s">
        <v>300</v>
      </c>
      <c r="I26" s="760">
        <f ca="1">ROUND(I27,2)/ORÇAMENTO!$X$15</f>
        <v>0</v>
      </c>
      <c r="J26" s="760"/>
      <c r="K26" s="750">
        <f ca="1">ROUND(K27,2)/ORÇAMENTO!$X$15</f>
        <v>0</v>
      </c>
      <c r="L26" s="750"/>
      <c r="M26" s="749">
        <f ca="1">ROUND(M27,2)/ORÇAMENTO!$X$15</f>
        <v>0</v>
      </c>
      <c r="N26" s="749"/>
      <c r="O26" s="750">
        <f ca="1">ROUND(O27,2)/ORÇAMENTO!$X$15</f>
        <v>0</v>
      </c>
      <c r="P26" s="750"/>
      <c r="Q26" s="749">
        <f ca="1">ROUND(Q27,2)/ORÇAMENTO!$X$15</f>
        <v>0</v>
      </c>
      <c r="R26" s="749"/>
      <c r="S26" s="750">
        <f ca="1">ROUND(S27,2)/ORÇAMENTO!$X$15</f>
        <v>0</v>
      </c>
      <c r="T26" s="750"/>
      <c r="U26" s="749">
        <f ca="1">ROUND(U27,2)/ORÇAMENTO!$X$15</f>
        <v>0</v>
      </c>
      <c r="V26" s="749"/>
      <c r="W26" s="750">
        <f ca="1">ROUND(W27,2)/ORÇAMENTO!$X$15</f>
        <v>0</v>
      </c>
      <c r="X26" s="750"/>
      <c r="Y26" s="749">
        <f ca="1">ROUND(Y27,2)/ORÇAMENTO!$X$15</f>
        <v>0</v>
      </c>
      <c r="Z26" s="749"/>
      <c r="AA26" s="750">
        <f ca="1">ROUND(AA27,2)/ORÇAMENTO!$X$15</f>
        <v>0</v>
      </c>
      <c r="AB26" s="750"/>
      <c r="AC26" s="749">
        <f ca="1">ROUND(AC27,2)/ORÇAMENTO!$X$15</f>
        <v>0</v>
      </c>
      <c r="AD26" s="749"/>
      <c r="AE26" s="750">
        <f ca="1">ROUND(AE27,2)/ORÇAMENTO!$X$15</f>
        <v>0</v>
      </c>
      <c r="AF26" s="750"/>
    </row>
    <row r="27" spans="1:32">
      <c r="A27" s="9" t="s">
        <v>246</v>
      </c>
      <c r="D27" s="755"/>
      <c r="H27" s="348" t="s">
        <v>301</v>
      </c>
      <c r="I27" s="753">
        <f ca="1">IF(I25=1,I29,ROUND(I29,2)-ROUND(SUMIF(CÁLCULO!$AX$15:$BH$264,"&lt;="&amp;PLE!I25-1,CÁLCULO!$AB$15:$AL$264)*(1+CÁLCULO.TotalAdmLocal/(ORÇAMENTO!$X$15-CÁLCULO.TotalAdmLocal)),2))</f>
        <v>0</v>
      </c>
      <c r="J27" s="753"/>
      <c r="K27" s="753">
        <f ca="1">ROUND(K29,2)-ROUND(I29,2)</f>
        <v>0</v>
      </c>
      <c r="L27" s="753"/>
      <c r="M27" s="757">
        <f ca="1">ROUND(M29,2)-ROUND(K29,2)</f>
        <v>0</v>
      </c>
      <c r="N27" s="757"/>
      <c r="O27" s="753">
        <f ca="1">ROUND(O29,2)-ROUND(M29,2)</f>
        <v>0</v>
      </c>
      <c r="P27" s="753"/>
      <c r="Q27" s="757">
        <f ca="1">ROUND(Q29,2)-ROUND(O29,2)</f>
        <v>0</v>
      </c>
      <c r="R27" s="757"/>
      <c r="S27" s="753">
        <f ca="1">ROUND(S29,2)-ROUND(Q29,2)</f>
        <v>0</v>
      </c>
      <c r="T27" s="753"/>
      <c r="U27" s="757">
        <f ca="1">ROUND(U29,2)-ROUND(S29,2)</f>
        <v>0</v>
      </c>
      <c r="V27" s="757"/>
      <c r="W27" s="753">
        <f ca="1">ROUND(W29,2)-ROUND(U29,2)</f>
        <v>0</v>
      </c>
      <c r="X27" s="753"/>
      <c r="Y27" s="757">
        <f ca="1">ROUND(Y29,2)-ROUND(W29,2)</f>
        <v>0</v>
      </c>
      <c r="Z27" s="757"/>
      <c r="AA27" s="753">
        <f ca="1">ROUND(AA29,2)-ROUND(Y29,2)</f>
        <v>0</v>
      </c>
      <c r="AB27" s="753"/>
      <c r="AC27" s="757">
        <f ca="1">ROUND(AC29,2)-ROUND(AA29,2)</f>
        <v>0</v>
      </c>
      <c r="AD27" s="757"/>
      <c r="AE27" s="753">
        <f ca="1">ROUND(AE29,2)-ROUND(AC29,2)</f>
        <v>0</v>
      </c>
      <c r="AF27" s="753"/>
    </row>
    <row r="28" spans="1:32">
      <c r="A28" s="9" t="s">
        <v>246</v>
      </c>
      <c r="D28" s="755" t="s">
        <v>287</v>
      </c>
      <c r="H28" s="347" t="s">
        <v>300</v>
      </c>
      <c r="I28" s="759">
        <f ca="1">ROUND(I29,2)/ORÇAMENTO!$X$15</f>
        <v>0</v>
      </c>
      <c r="J28" s="759"/>
      <c r="K28" s="754">
        <f ca="1">ROUND(K29,2)/ORÇAMENTO!$X$15</f>
        <v>0</v>
      </c>
      <c r="L28" s="754"/>
      <c r="M28" s="756">
        <f ca="1">ROUND(M29,2)/ORÇAMENTO!$X$15</f>
        <v>0</v>
      </c>
      <c r="N28" s="756"/>
      <c r="O28" s="754">
        <f ca="1">ROUND(O29,2)/ORÇAMENTO!$X$15</f>
        <v>0</v>
      </c>
      <c r="P28" s="754"/>
      <c r="Q28" s="756">
        <f ca="1">ROUND(Q29,2)/ORÇAMENTO!$X$15</f>
        <v>0</v>
      </c>
      <c r="R28" s="756"/>
      <c r="S28" s="754">
        <f ca="1">ROUND(S29,2)/ORÇAMENTO!$X$15</f>
        <v>0</v>
      </c>
      <c r="T28" s="754"/>
      <c r="U28" s="756">
        <f ca="1">ROUND(U29,2)/ORÇAMENTO!$X$15</f>
        <v>0</v>
      </c>
      <c r="V28" s="756"/>
      <c r="W28" s="754">
        <f ca="1">ROUND(W29,2)/ORÇAMENTO!$X$15</f>
        <v>0</v>
      </c>
      <c r="X28" s="754"/>
      <c r="Y28" s="756">
        <f ca="1">ROUND(Y29,2)/ORÇAMENTO!$X$15</f>
        <v>0</v>
      </c>
      <c r="Z28" s="756"/>
      <c r="AA28" s="754">
        <f ca="1">ROUND(AA29,2)/ORÇAMENTO!$X$15</f>
        <v>0</v>
      </c>
      <c r="AB28" s="754"/>
      <c r="AC28" s="756">
        <f ca="1">ROUND(AC29,2)/ORÇAMENTO!$X$15</f>
        <v>0</v>
      </c>
      <c r="AD28" s="756"/>
      <c r="AE28" s="754">
        <f ca="1">ROUND(AE29,2)/ORÇAMENTO!$X$15</f>
        <v>0</v>
      </c>
      <c r="AF28" s="754"/>
    </row>
    <row r="29" spans="1:32">
      <c r="A29" s="9" t="s">
        <v>246</v>
      </c>
      <c r="D29" s="755"/>
      <c r="H29" s="348" t="s">
        <v>301</v>
      </c>
      <c r="I29" s="758">
        <f ca="1">SUMIF(CÁLCULO!$AX$15:$BH$264,"&lt;="&amp;PLE!I25,CÁLCULO!$AB$15:$AL$264)*(1+CÁLCULO.TotalAdmLocal/(ORÇAMENTO!$X$15-CÁLCULO.TotalAdmLocal))</f>
        <v>0</v>
      </c>
      <c r="J29" s="758"/>
      <c r="K29" s="753">
        <f ca="1">SUMIF(CÁLCULO!$AX$15:$BH$264,"&lt;="&amp;PLE!K25,CÁLCULO!$AB$15:$AL$264)*(1+CÁLCULO.TotalAdmLocal/(ORÇAMENTO!$X$15-CÁLCULO.TotalAdmLocal))</f>
        <v>0</v>
      </c>
      <c r="L29" s="753"/>
      <c r="M29" s="757">
        <f ca="1">SUMIF(CÁLCULO!$AX$15:$BH$264,"&lt;="&amp;PLE!M25,CÁLCULO!$AB$15:$AL$264)*(1+CÁLCULO.TotalAdmLocal/(ORÇAMENTO!$X$15-CÁLCULO.TotalAdmLocal))</f>
        <v>0</v>
      </c>
      <c r="N29" s="757"/>
      <c r="O29" s="753">
        <f ca="1">SUMIF(CÁLCULO!$AX$15:$BH$264,"&lt;="&amp;PLE!O25,CÁLCULO!$AB$15:$AL$264)*(1+CÁLCULO.TotalAdmLocal/(ORÇAMENTO!$X$15-CÁLCULO.TotalAdmLocal))</f>
        <v>0</v>
      </c>
      <c r="P29" s="753"/>
      <c r="Q29" s="757">
        <f ca="1">SUMIF(CÁLCULO!$AX$15:$BH$264,"&lt;="&amp;PLE!Q25,CÁLCULO!$AB$15:$AL$264)*(1+CÁLCULO.TotalAdmLocal/(ORÇAMENTO!$X$15-CÁLCULO.TotalAdmLocal))</f>
        <v>0</v>
      </c>
      <c r="R29" s="757"/>
      <c r="S29" s="753">
        <f ca="1">SUMIF(CÁLCULO!$AX$15:$BH$264,"&lt;="&amp;PLE!S25,CÁLCULO!$AB$15:$AL$264)*(1+CÁLCULO.TotalAdmLocal/(ORÇAMENTO!$X$15-CÁLCULO.TotalAdmLocal))</f>
        <v>0</v>
      </c>
      <c r="T29" s="753"/>
      <c r="U29" s="757">
        <f ca="1">SUMIF(CÁLCULO!$AX$15:$BH$264,"&lt;="&amp;PLE!U25,CÁLCULO!$AB$15:$AL$264)*(1+CÁLCULO.TotalAdmLocal/(ORÇAMENTO!$X$15-CÁLCULO.TotalAdmLocal))</f>
        <v>0</v>
      </c>
      <c r="V29" s="757"/>
      <c r="W29" s="753">
        <f ca="1">SUMIF(CÁLCULO!$AX$15:$BH$264,"&lt;="&amp;PLE!W25,CÁLCULO!$AB$15:$AL$264)*(1+CÁLCULO.TotalAdmLocal/(ORÇAMENTO!$X$15-CÁLCULO.TotalAdmLocal))</f>
        <v>0</v>
      </c>
      <c r="X29" s="753"/>
      <c r="Y29" s="757">
        <f ca="1">SUMIF(CÁLCULO!$AX$15:$BH$264,"&lt;="&amp;PLE!Y25,CÁLCULO!$AB$15:$AL$264)*(1+CÁLCULO.TotalAdmLocal/(ORÇAMENTO!$X$15-CÁLCULO.TotalAdmLocal))</f>
        <v>0</v>
      </c>
      <c r="Z29" s="757"/>
      <c r="AA29" s="753">
        <f ca="1">SUMIF(CÁLCULO!$AX$15:$BH$264,"&lt;="&amp;PLE!AA25,CÁLCULO!$AB$15:$AL$264)*(1+CÁLCULO.TotalAdmLocal/(ORÇAMENTO!$X$15-CÁLCULO.TotalAdmLocal))</f>
        <v>0</v>
      </c>
      <c r="AB29" s="753"/>
      <c r="AC29" s="757">
        <f ca="1">SUMIF(CÁLCULO!$AX$15:$BH$264,"&lt;="&amp;PLE!AC25,CÁLCULO!$AB$15:$AL$264)*(1+CÁLCULO.TotalAdmLocal/(ORÇAMENTO!$X$15-CÁLCULO.TotalAdmLocal))</f>
        <v>0</v>
      </c>
      <c r="AD29" s="757"/>
      <c r="AE29" s="753">
        <f ca="1">SUMIF(CÁLCULO!$AX$15:$BH$264,"&lt;="&amp;PLE!AE25,CÁLCULO!$AB$15:$AL$264)*(1+CÁLCULO.TotalAdmLocal/(ORÇAMENTO!$X$15-CÁLCULO.TotalAdmLocal))</f>
        <v>0</v>
      </c>
      <c r="AF29" s="753"/>
    </row>
    <row r="30" spans="1:32" ht="20.25" customHeight="1">
      <c r="A30" s="9" t="s">
        <v>246</v>
      </c>
    </row>
    <row r="31" spans="1:32" ht="13.8">
      <c r="A31" s="9" t="s">
        <v>246</v>
      </c>
      <c r="B31" s="709" t="str">
        <f>Import.Município</f>
        <v>PONTAL - SP</v>
      </c>
      <c r="C31" s="709"/>
      <c r="D31" s="709"/>
      <c r="E31" s="100"/>
      <c r="K31" s="100"/>
      <c r="U31" s="171"/>
      <c r="V31" s="171"/>
      <c r="W31" s="171"/>
      <c r="X31" s="171"/>
      <c r="Y31" s="224"/>
      <c r="Z31" s="224"/>
      <c r="AA31" s="224"/>
      <c r="AB31" s="224"/>
      <c r="AC31" s="224"/>
      <c r="AD31" s="224"/>
    </row>
    <row r="32" spans="1:32">
      <c r="A32" s="9" t="s">
        <v>246</v>
      </c>
      <c r="B32" s="12" t="s">
        <v>188</v>
      </c>
      <c r="C32" s="100"/>
      <c r="D32" s="100"/>
      <c r="E32" s="100"/>
      <c r="K32" s="100"/>
      <c r="U32" s="225" t="s">
        <v>302</v>
      </c>
      <c r="V32" s="100"/>
      <c r="W32" s="100"/>
      <c r="X32" s="100"/>
    </row>
    <row r="33" spans="1:24">
      <c r="A33" s="9" t="s">
        <v>246</v>
      </c>
      <c r="B33" s="100"/>
      <c r="C33" s="100"/>
      <c r="D33" s="100"/>
      <c r="E33" s="100"/>
      <c r="I33" s="92"/>
      <c r="K33" s="100"/>
      <c r="U33" s="90" t="s">
        <v>108</v>
      </c>
      <c r="W33" s="349" t="str">
        <f t="array" ref="W33:W36">Import.RespFiscalização</f>
        <v>ÉDIO QUARANTA JÚNIOR</v>
      </c>
      <c r="X33" s="100"/>
    </row>
    <row r="34" spans="1:24">
      <c r="A34" s="9" t="s">
        <v>246</v>
      </c>
      <c r="B34" s="704">
        <f ca="1">DADOS!$F$48</f>
        <v>45797</v>
      </c>
      <c r="C34" s="704"/>
      <c r="D34" s="704"/>
      <c r="E34" s="100"/>
      <c r="I34" s="92"/>
      <c r="K34" s="100"/>
      <c r="U34" s="90" t="s">
        <v>127</v>
      </c>
      <c r="W34" s="349" t="str">
        <v>ENGENHEIRO CIVIL</v>
      </c>
      <c r="X34" s="100"/>
    </row>
    <row r="35" spans="1:24">
      <c r="A35" s="9" t="s">
        <v>246</v>
      </c>
      <c r="B35" s="173" t="s">
        <v>189</v>
      </c>
      <c r="C35" s="174"/>
      <c r="D35" s="174"/>
      <c r="E35" s="100"/>
      <c r="I35" s="92"/>
      <c r="K35" s="100"/>
      <c r="U35" s="90" t="s">
        <v>109</v>
      </c>
      <c r="W35" s="349" t="str">
        <v>0600870441</v>
      </c>
      <c r="X35" s="100"/>
    </row>
    <row r="36" spans="1:24">
      <c r="U36" s="90" t="s">
        <v>110</v>
      </c>
      <c r="W36" s="350">
        <v>0</v>
      </c>
    </row>
  </sheetData>
  <sheetProtection password="BD1F" sheet="1" objects="1" scenarios="1" autoFilter="0"/>
  <autoFilter ref="A13:A35"/>
  <mergeCells count="99">
    <mergeCell ref="I25:J25"/>
    <mergeCell ref="I26:J26"/>
    <mergeCell ref="I24:J24"/>
    <mergeCell ref="D26:D27"/>
    <mergeCell ref="K25:L25"/>
    <mergeCell ref="K26:L26"/>
    <mergeCell ref="K27:L27"/>
    <mergeCell ref="I27:J27"/>
    <mergeCell ref="M25:N25"/>
    <mergeCell ref="O25:P25"/>
    <mergeCell ref="W25:X25"/>
    <mergeCell ref="M27:N27"/>
    <mergeCell ref="S27:T27"/>
    <mergeCell ref="O26:P26"/>
    <mergeCell ref="M26:N26"/>
    <mergeCell ref="W26:X26"/>
    <mergeCell ref="U26:V26"/>
    <mergeCell ref="Q26:R26"/>
    <mergeCell ref="S26:T26"/>
    <mergeCell ref="O27:P27"/>
    <mergeCell ref="Q27:R27"/>
    <mergeCell ref="U25:V25"/>
    <mergeCell ref="Q25:R25"/>
    <mergeCell ref="S25:T25"/>
    <mergeCell ref="AE28:AF28"/>
    <mergeCell ref="Q28:R28"/>
    <mergeCell ref="W27:X27"/>
    <mergeCell ref="Y27:Z27"/>
    <mergeCell ref="U27:V27"/>
    <mergeCell ref="W28:X28"/>
    <mergeCell ref="U28:V28"/>
    <mergeCell ref="Y28:Z28"/>
    <mergeCell ref="AC27:AD27"/>
    <mergeCell ref="AC28:AD28"/>
    <mergeCell ref="AA28:AB28"/>
    <mergeCell ref="AA27:AB27"/>
    <mergeCell ref="AE27:AF27"/>
    <mergeCell ref="AE29:AF29"/>
    <mergeCell ref="Q29:R29"/>
    <mergeCell ref="Y29:Z29"/>
    <mergeCell ref="AA29:AB29"/>
    <mergeCell ref="S29:T29"/>
    <mergeCell ref="W29:X29"/>
    <mergeCell ref="U29:V29"/>
    <mergeCell ref="AC29:AD29"/>
    <mergeCell ref="O29:P29"/>
    <mergeCell ref="S28:T28"/>
    <mergeCell ref="B34:D34"/>
    <mergeCell ref="B31:D31"/>
    <mergeCell ref="D28:D29"/>
    <mergeCell ref="M28:N28"/>
    <mergeCell ref="M29:N29"/>
    <mergeCell ref="I29:J29"/>
    <mergeCell ref="O28:P28"/>
    <mergeCell ref="K29:L29"/>
    <mergeCell ref="K28:L28"/>
    <mergeCell ref="I28:J28"/>
    <mergeCell ref="AC26:AD26"/>
    <mergeCell ref="AE26:AF26"/>
    <mergeCell ref="AA24:AB24"/>
    <mergeCell ref="Y24:Z24"/>
    <mergeCell ref="AE25:AF25"/>
    <mergeCell ref="AC25:AD25"/>
    <mergeCell ref="AA25:AB25"/>
    <mergeCell ref="AA26:AB26"/>
    <mergeCell ref="Y26:Z26"/>
    <mergeCell ref="AE24:AF24"/>
    <mergeCell ref="AC24:AD24"/>
    <mergeCell ref="Y25:Z25"/>
    <mergeCell ref="I23:AF23"/>
    <mergeCell ref="B12:B13"/>
    <mergeCell ref="O24:P24"/>
    <mergeCell ref="C15:D15"/>
    <mergeCell ref="C16:D16"/>
    <mergeCell ref="C17:D17"/>
    <mergeCell ref="C18:D18"/>
    <mergeCell ref="C19:D19"/>
    <mergeCell ref="K24:L24"/>
    <mergeCell ref="M24:N24"/>
    <mergeCell ref="C12:D13"/>
    <mergeCell ref="Q24:R24"/>
    <mergeCell ref="S24:T24"/>
    <mergeCell ref="U24:V24"/>
    <mergeCell ref="W24:X24"/>
    <mergeCell ref="C20:D20"/>
    <mergeCell ref="B7:C7"/>
    <mergeCell ref="C1:D1"/>
    <mergeCell ref="AD3:AF3"/>
    <mergeCell ref="AD4:AF4"/>
    <mergeCell ref="AE6:AF6"/>
    <mergeCell ref="H7:N7"/>
    <mergeCell ref="O7:U7"/>
    <mergeCell ref="AE7:AF7"/>
    <mergeCell ref="V7:AD7"/>
    <mergeCell ref="Y9:Z9"/>
    <mergeCell ref="AE9:AF9"/>
    <mergeCell ref="C11:D11"/>
    <mergeCell ref="J9:K9"/>
    <mergeCell ref="N9:T9"/>
  </mergeCells>
  <phoneticPr fontId="38" type="noConversion"/>
  <conditionalFormatting sqref="F1:F2">
    <cfRule type="expression" dxfId="183" priority="443" stopIfTrue="1">
      <formula>IF(OR(ACOMPANHAMENTO="BM",F$12&gt;CÁLCULO.NúmeroDeFrentes),TRUE,PLE.ValorDoEvento=0)</formula>
    </cfRule>
    <cfRule type="cellIs" dxfId="182" priority="444" stopIfTrue="1" operator="equal">
      <formula>$J$9</formula>
    </cfRule>
  </conditionalFormatting>
  <conditionalFormatting sqref="I26:AF26">
    <cfRule type="expression" dxfId="181" priority="445" stopIfTrue="1">
      <formula>I25=$J$9</formula>
    </cfRule>
  </conditionalFormatting>
  <conditionalFormatting sqref="I27:AF27">
    <cfRule type="expression" dxfId="180" priority="446" stopIfTrue="1">
      <formula>I25=$J$9</formula>
    </cfRule>
  </conditionalFormatting>
  <conditionalFormatting sqref="I28:AF28">
    <cfRule type="expression" dxfId="179" priority="447" stopIfTrue="1">
      <formula>I25=$J$9</formula>
    </cfRule>
  </conditionalFormatting>
  <conditionalFormatting sqref="I29:AF29">
    <cfRule type="expression" dxfId="178" priority="448" stopIfTrue="1">
      <formula>I25=$J$9</formula>
    </cfRule>
  </conditionalFormatting>
  <conditionalFormatting sqref="I25:J25">
    <cfRule type="cellIs" dxfId="177" priority="442" stopIfTrue="1" operator="notEqual">
      <formula>1</formula>
    </cfRule>
  </conditionalFormatting>
  <conditionalFormatting sqref="H1:AF1">
    <cfRule type="expression" dxfId="176" priority="460" stopIfTrue="1">
      <formula>IF(OR(ACOMPANHAMENTO="BM",TIPOORCAMENTO="Proposto",H$12&gt;CÁLCULO.NúmeroDeFrentes),TRUE,PLE.ValorDoEvento=0)</formula>
    </cfRule>
    <cfRule type="cellIs" dxfId="175" priority="461" stopIfTrue="1" operator="equal">
      <formula>$J$9</formula>
    </cfRule>
  </conditionalFormatting>
  <conditionalFormatting sqref="AE6:AE7">
    <cfRule type="expression" dxfId="174" priority="449" stopIfTrue="1">
      <formula>TIPOORCAMENTO&lt;&gt;"Licitado"</formula>
    </cfRule>
  </conditionalFormatting>
  <conditionalFormatting sqref="N9:T9">
    <cfRule type="expression" dxfId="173" priority="450" stopIfTrue="1">
      <formula>COLUMN(N9)&gt;COLUMN($AF$12)</formula>
    </cfRule>
    <cfRule type="expression" dxfId="172" priority="451" stopIfTrue="1">
      <formula>$N$9="DIGITE A DATA DA MEDIÇÃO"</formula>
    </cfRule>
  </conditionalFormatting>
  <conditionalFormatting sqref="I9:M9 U9:AF9">
    <cfRule type="expression" dxfId="171" priority="452" stopIfTrue="1">
      <formula>COLUMN(I9)&gt;COLUMN($AF$12)</formula>
    </cfRule>
  </conditionalFormatting>
  <conditionalFormatting sqref="F16:F20">
    <cfRule type="expression" dxfId="170" priority="25" stopIfTrue="1">
      <formula>IF(OR(ACOMPANHAMENTO="BM",F$12&gt;CÁLCULO.NúmeroDeFrentes),TRUE,PLE.ValorDoEvento=0)</formula>
    </cfRule>
    <cfRule type="cellIs" dxfId="169" priority="26" stopIfTrue="1" operator="equal">
      <formula>$J$9</formula>
    </cfRule>
  </conditionalFormatting>
  <conditionalFormatting sqref="H16:AF20">
    <cfRule type="expression" dxfId="168" priority="27" stopIfTrue="1">
      <formula>IF(OR(ACOMPANHAMENTO="BM",TIPOORCAMENTO="Proposto",H$12&gt;CÁLCULO.NúmeroDeFrentes),TRUE,PLE.ValorDoEvento=0)</formula>
    </cfRule>
    <cfRule type="cellIs" dxfId="167" priority="28" stopIfTrue="1" operator="equal">
      <formula>$J$9</formula>
    </cfRule>
  </conditionalFormatting>
  <conditionalFormatting sqref="F20">
    <cfRule type="expression" dxfId="166" priority="3" stopIfTrue="1">
      <formula>IF(OR(ACOMPANHAMENTO="BM",F$12&gt;CÁLCULO.NúmeroDeFrentes),TRUE,PLE.ValorDoEvento=0)</formula>
    </cfRule>
    <cfRule type="cellIs" dxfId="165" priority="4" stopIfTrue="1" operator="equal">
      <formula>$J$9</formula>
    </cfRule>
  </conditionalFormatting>
  <conditionalFormatting sqref="H20:AF20">
    <cfRule type="expression" dxfId="164" priority="1" stopIfTrue="1">
      <formula>IF(OR(ACOMPANHAMENTO="BM",TIPOORCAMENTO="Proposto",H$12&gt;CÁLCULO.NúmeroDeFrentes),TRUE,PLE.ValorDoEvento=0)</formula>
    </cfRule>
    <cfRule type="cellIs" dxfId="163" priority="2" stopIfTrue="1" operator="equal">
      <formula>$J$9</formula>
    </cfRule>
  </conditionalFormatting>
  <dataValidations count="3">
    <dataValidation type="whole" operator="greaterThan" allowBlank="1" showErrorMessage="1" sqref="F1:F4 I3:AC4 J9:K9 F16:F20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20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&amp;LPMv3.0.6&amp;R&amp;P / &amp;N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Plan7">
    <pageSetUpPr fitToPage="1"/>
  </sheetPr>
  <dimension ref="A1:AE37"/>
  <sheetViews>
    <sheetView showGridLines="0" topLeftCell="C1" zoomScale="90" zoomScaleNormal="90" zoomScaleSheetLayoutView="90" workbookViewId="0">
      <pane xSplit="5" ySplit="13" topLeftCell="I14" activePane="bottomRight" state="frozen"/>
      <selection activeCell="C1" sqref="C1"/>
      <selection pane="topRight" activeCell="H1" sqref="H1"/>
      <selection pane="bottomLeft" activeCell="C14" sqref="C14"/>
      <selection pane="bottomRight" activeCell="L24" sqref="L24"/>
    </sheetView>
  </sheetViews>
  <sheetFormatPr defaultRowHeight="13.2"/>
  <cols>
    <col min="1" max="1" width="15.88671875" hidden="1" customWidth="1"/>
    <col min="2" max="2" width="10.44140625" hidden="1" customWidth="1"/>
    <col min="3" max="3" width="3.6640625" customWidth="1"/>
    <col min="4" max="4" width="6.6640625" customWidth="1"/>
    <col min="5" max="5" width="18.6640625" customWidth="1"/>
    <col min="6" max="6" width="28.6640625" customWidth="1"/>
    <col min="7" max="7" width="35.6640625" customWidth="1"/>
    <col min="8" max="8" width="15.6640625" customWidth="1"/>
    <col min="9" max="9" width="12.6640625" customWidth="1"/>
    <col min="10" max="10" width="7.6640625" customWidth="1"/>
    <col min="11" max="15" width="16.6640625" customWidth="1"/>
    <col min="16" max="17" width="5.6640625" customWidth="1"/>
    <col min="18" max="18" width="35.6640625" customWidth="1"/>
    <col min="19" max="19" width="1.6640625" customWidth="1"/>
    <col min="20" max="21" width="16.6640625" customWidth="1"/>
    <col min="22" max="22" width="13.6640625" customWidth="1"/>
    <col min="23" max="24" width="16.6640625" customWidth="1"/>
    <col min="25" max="25" width="1.6640625" customWidth="1"/>
    <col min="26" max="28" width="9.109375" hidden="1" customWidth="1"/>
    <col min="29" max="29" width="3.6640625" hidden="1" customWidth="1"/>
    <col min="30" max="30" width="13.44140625" hidden="1" customWidth="1"/>
    <col min="31" max="31" width="9.109375" hidden="1" customWidth="1"/>
  </cols>
  <sheetData>
    <row r="1" spans="1:31" ht="30" customHeight="1">
      <c r="F1" s="351" t="s">
        <v>303</v>
      </c>
      <c r="I1" s="10"/>
      <c r="J1" s="10"/>
    </row>
    <row r="2" spans="1:31">
      <c r="Z2" s="123" t="s">
        <v>304</v>
      </c>
      <c r="AA2" s="352" t="s">
        <v>305</v>
      </c>
      <c r="AB2" s="90"/>
    </row>
    <row r="3" spans="1:31">
      <c r="D3" s="677" t="s">
        <v>146</v>
      </c>
      <c r="E3" s="677"/>
      <c r="F3" s="107" t="s">
        <v>443</v>
      </c>
      <c r="G3" s="677" t="s">
        <v>147</v>
      </c>
      <c r="H3" s="677"/>
      <c r="I3" s="677"/>
      <c r="J3" s="762" t="s">
        <v>306</v>
      </c>
      <c r="K3" s="762"/>
      <c r="L3" s="762"/>
      <c r="M3" s="763" t="s">
        <v>307</v>
      </c>
      <c r="N3" s="763"/>
      <c r="O3" s="763"/>
      <c r="Z3" s="127">
        <f ca="1">MAX(Z7:AB7)</f>
        <v>8.4033318391922601E-2</v>
      </c>
      <c r="AA3" s="353">
        <f ca="1">IF(OR($O$24=ORÇAMENTO.SumINVMANUAL+QCI.SumINVMANUAL,$O$24=0),0,MIN(MAX(0,($Z$3*$O$24-ORÇAMENTO.SumCPMANUAL-QCI.SumCPMANUAL)/($O$24-ORÇAMENTO.SumINVMANUAL-QCI.SumINVMANUAL)),1))</f>
        <v>8.4033318391922601E-2</v>
      </c>
      <c r="AB3" s="115"/>
    </row>
    <row r="4" spans="1:31">
      <c r="D4" s="674">
        <f>Import.CR</f>
        <v>0</v>
      </c>
      <c r="E4" s="674"/>
      <c r="F4" s="68" t="str">
        <f>Import.TransfereGOV</f>
        <v>953208-2023</v>
      </c>
      <c r="G4" s="674" t="str">
        <f>Import.Proponente</f>
        <v>PREFEITURA MUNICIPAL DE PONTAL</v>
      </c>
      <c r="H4" s="674"/>
      <c r="I4" s="674"/>
      <c r="J4" s="764" t="str">
        <f>Import.Município</f>
        <v>PONTAL - SP</v>
      </c>
      <c r="K4" s="764"/>
      <c r="L4" s="764"/>
      <c r="M4" s="763"/>
      <c r="N4" s="763"/>
      <c r="O4" s="763"/>
      <c r="R4" s="162"/>
      <c r="Z4" s="115"/>
      <c r="AA4" s="115"/>
      <c r="AB4" s="115"/>
    </row>
    <row r="5" spans="1:31" ht="5.0999999999999996" customHeight="1">
      <c r="M5" s="341"/>
      <c r="N5" s="96"/>
      <c r="O5" s="55"/>
      <c r="Z5" s="123"/>
      <c r="AA5" s="16"/>
      <c r="AB5" s="123"/>
    </row>
    <row r="6" spans="1:31">
      <c r="D6" s="677" t="s">
        <v>202</v>
      </c>
      <c r="E6" s="677"/>
      <c r="F6" s="677"/>
      <c r="G6" s="677"/>
      <c r="H6" s="677"/>
      <c r="I6" s="677"/>
      <c r="J6" s="677"/>
      <c r="K6" s="677"/>
      <c r="L6" s="354" t="s">
        <v>210</v>
      </c>
      <c r="M6" s="107" t="str">
        <f>IF(import.recurso="FGTS","FINANCIAMENTO","REPASSE")</f>
        <v>REPASSE</v>
      </c>
      <c r="N6" s="107" t="s">
        <v>308</v>
      </c>
      <c r="O6" s="107" t="s">
        <v>309</v>
      </c>
      <c r="Z6" s="123" t="s">
        <v>310</v>
      </c>
      <c r="AA6" s="16" t="s">
        <v>311</v>
      </c>
      <c r="AB6" s="123" t="s">
        <v>312</v>
      </c>
    </row>
    <row r="7" spans="1:31" ht="12.75" customHeight="1">
      <c r="C7" s="703" t="s">
        <v>209</v>
      </c>
      <c r="D7" s="674" t="str">
        <f>Import.Apelido</f>
        <v>RECAPE FEDERAL</v>
      </c>
      <c r="E7" s="674"/>
      <c r="F7" s="674"/>
      <c r="G7" s="674"/>
      <c r="H7" s="674"/>
      <c r="I7" s="674"/>
      <c r="J7" s="674"/>
      <c r="K7" s="674"/>
      <c r="L7" s="355" t="str">
        <f>import.recurso</f>
        <v>OGU</v>
      </c>
      <c r="M7" s="356">
        <f>Import.Repasse</f>
        <v>960019</v>
      </c>
      <c r="N7" s="356">
        <f>Import.Contrapartida</f>
        <v>88074.8</v>
      </c>
      <c r="O7" s="356">
        <f>M7+N7</f>
        <v>1048093.8</v>
      </c>
      <c r="Z7" s="127">
        <f>ROUND(Import.CPMinPerc,4)</f>
        <v>0</v>
      </c>
      <c r="AA7" s="127">
        <f ca="1">IF($O$24=0,0,Import.CPMinAbsoluta/$O$24)</f>
        <v>0</v>
      </c>
      <c r="AB7" s="127">
        <f ca="1">IF($O$24=0,0,($O$24-$AB$24-Import.Repasse)/($O$24))</f>
        <v>8.4033318391922601E-2</v>
      </c>
    </row>
    <row r="8" spans="1:31">
      <c r="C8" s="703"/>
      <c r="D8" s="115"/>
      <c r="E8" s="115"/>
      <c r="F8" s="357"/>
      <c r="G8" s="115"/>
      <c r="H8" s="115"/>
      <c r="I8" s="115"/>
      <c r="J8" s="115"/>
      <c r="K8" s="115"/>
      <c r="L8" s="115"/>
      <c r="M8" s="115"/>
      <c r="N8" s="115"/>
      <c r="O8" s="115"/>
    </row>
    <row r="9" spans="1:31" ht="12.75" customHeight="1">
      <c r="C9" s="703"/>
      <c r="E9" s="16"/>
      <c r="G9" s="767" t="str">
        <f ca="1">CHOOSE(1+LOG(1+2*(AND($O$24&gt;0,$M$25&gt;Import.CPMaxPerc,Import.CPMaxPerc&gt;0))+4*(OR(AND($O$24&gt;0,$M$25&lt;QCI!$Z$7),$M$24&lt;ROUND(Import.CPMinAbsoluta,2)))+8*(OR($L$10&lt;0,$M$10&lt;0))+16*(COUNTIF($L$13:$L$24,"&lt;0")&gt;0)+32*(OFFSET($A$24,-1,0)&lt;OFFSET(ORÇAMENTO!$E$264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767"/>
      <c r="I9" s="767"/>
      <c r="J9" s="767"/>
      <c r="K9" s="768" t="s">
        <v>313</v>
      </c>
      <c r="L9" s="358" t="str">
        <f>$L$13</f>
        <v>Repasse (R$)</v>
      </c>
      <c r="M9" s="358" t="s">
        <v>238</v>
      </c>
      <c r="AD9" s="765"/>
      <c r="AE9" s="765"/>
    </row>
    <row r="10" spans="1:31" ht="12.75" customHeight="1">
      <c r="A10" s="769" t="s">
        <v>314</v>
      </c>
      <c r="C10" s="703"/>
      <c r="G10" s="767"/>
      <c r="H10" s="767"/>
      <c r="I10" s="767"/>
      <c r="J10" s="767"/>
      <c r="K10" s="768"/>
      <c r="L10" s="359">
        <f ca="1">Import.Repasse-L24</f>
        <v>0</v>
      </c>
      <c r="M10" s="360">
        <f ca="1">Import.Contrapartida-M24</f>
        <v>0</v>
      </c>
      <c r="Z10" s="716" t="s">
        <v>216</v>
      </c>
      <c r="AA10" s="716"/>
      <c r="AB10" s="716"/>
      <c r="AD10" s="765" t="s">
        <v>315</v>
      </c>
      <c r="AE10" s="765"/>
    </row>
    <row r="11" spans="1:31" ht="20.100000000000001" customHeight="1">
      <c r="A11" s="769"/>
      <c r="C11" s="703"/>
      <c r="Z11" s="135" t="s">
        <v>316</v>
      </c>
      <c r="AA11" s="135" t="s">
        <v>238</v>
      </c>
      <c r="AB11" s="136" t="s">
        <v>239</v>
      </c>
    </row>
    <row r="12" spans="1:31" hidden="1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IF(NOT(ISBLANK(QCI.DescManual)),IF(QCI.Divisao="Calculado","Manual","SemiAuto"),IF(ISERROR(MATCH($A12,ORÇAMENTO!$E$15:$E$264,0)),"Branco","Automático"))</f>
        <v>Branco</v>
      </c>
      <c r="C12" t="str">
        <f ca="1">IF(O12&gt;0,"F","")</f>
        <v/>
      </c>
      <c r="D12" s="361">
        <f>ROW()-ROW($D$13)</f>
        <v>-1</v>
      </c>
      <c r="E12" s="143"/>
      <c r="F12" s="362"/>
      <c r="G12" s="641" t="str">
        <f ca="1">IF(OR($B12="Manual",$B12="SemiAuto"),QCI.DescManual,IF($B12="Automático",INDEX(ORÇAMENTO!$R$15:$R$264,MATCH($A12,ORÇAMENTO!$E$15:$E$264,0)),""))</f>
        <v/>
      </c>
      <c r="H12" s="143"/>
      <c r="I12" s="640"/>
      <c r="J12" s="363" t="str">
        <f ca="1">IF(AND(ISBLANK(E12),ISBLANK(F12)),"",VLOOKUP($F12,OFFSET(DADOS!$A$2,1,MATCH(QCI!$E12,DADOS!$2:$2,0)-1,100,50),2,FALSE))</f>
        <v/>
      </c>
      <c r="K12" s="639" t="str">
        <f ca="1">IF(OR($B12="Manual",$B12="SemiAuto"),QCI.LoteManual,IF($B12="Automático",IF(TIPOORCAMENTO="Licitado",Import.CTEF,"LOTE 1"),""))</f>
        <v/>
      </c>
      <c r="L12" s="364">
        <f ca="1">ROUND($O12,2)-ROUND($M12,2)-ROUND($N12,2)</f>
        <v>0</v>
      </c>
      <c r="M12" s="365">
        <f ca="1">ROUND($AA12,2)-ROUND($AE12,2)</f>
        <v>0</v>
      </c>
      <c r="N12" s="366">
        <f ca="1">ROUND($AB12,2)</f>
        <v>0</v>
      </c>
      <c r="O12" s="367">
        <f ca="1">IF($B12="Branco",0,IF(OR($B12="Manual",$B12="SemiAuto"),QCI.InvManual,INDEX(ORÇAMENTO!X$15:X$264,MATCH($A12,ORÇAMENTO!$E$15:$E$264,0))))</f>
        <v>0</v>
      </c>
      <c r="P12" s="612"/>
      <c r="R12" s="642"/>
      <c r="T12" s="643"/>
      <c r="U12" s="369"/>
      <c r="V12" s="644" t="s">
        <v>317</v>
      </c>
      <c r="W12" s="370">
        <f ca="1">$O12</f>
        <v>0</v>
      </c>
      <c r="X12" s="371">
        <v>0</v>
      </c>
      <c r="Z12" s="372">
        <f ca="1">$O12-$AA12-$AB12</f>
        <v>0</v>
      </c>
      <c r="AA12">
        <f ca="1">IF($B12="Branco",0,IF($B12="Manual",QCI.CPManual,IF($B12="SemiAuto",ROUND(QCI!$AA$3*QCI.InvManual,2),INDEX(ORÇAMENTO!$AA$15:$AA$264,MATCH($A12,ORÇAMENTO!$E$15:$E$264,0)))))</f>
        <v>0</v>
      </c>
      <c r="AB12">
        <f ca="1">IF($B12="Branco",0,IF($B12="Manual",QCI.OutrosManual,IF($B12="SemiAuto",0,INDEX(ORÇAMENTO!$AB$15:$AB$264,MATCH($A12,ORÇAMENTO!$E$15:$E$264,0)))))</f>
        <v>0</v>
      </c>
      <c r="AD12" s="373" t="b">
        <f ca="1">AND($AA$3&gt;0,$AA$3&lt;1,$O12&gt;0,OR($B12="Automático",$B12="SemiAuto"),OR(QCI!$Z$3=QCI!$Z$7,QCI!$Z$3=QCI!$AA$7,QCI!$Z$3=QCI!$AB$7))</f>
        <v>0</v>
      </c>
      <c r="AE12" s="373">
        <f ca="1">IF(AND($AD12,$O12&gt;0,COUNTIF(OFFSET($AD12,1,0):$AD$24,TRUE)=0),CHOOSE(1+LOG(1+2*(QCI!$Z$3=QCI!$Z$7)+4*(QCI!$Z$3=QCI!$AA$7)+8*(QCI!$Z$3=QCI!$AB$7),2),0,$AA$24-ROUND(Import.CPMinPerc*$O$24,2),$AA$24-Import.CPMinAbsoluta,Import.Repasse-$Z$24),0)</f>
        <v>0</v>
      </c>
    </row>
    <row r="13" spans="1:31" ht="25.5" customHeight="1">
      <c r="A13" s="374">
        <v>0</v>
      </c>
      <c r="B13" s="375" t="s">
        <v>318</v>
      </c>
      <c r="C13" s="131" t="s">
        <v>217</v>
      </c>
      <c r="D13" s="132" t="s">
        <v>195</v>
      </c>
      <c r="E13" s="132" t="s">
        <v>319</v>
      </c>
      <c r="F13" s="132" t="s">
        <v>320</v>
      </c>
      <c r="G13" s="132" t="s">
        <v>321</v>
      </c>
      <c r="H13" s="132" t="s">
        <v>161</v>
      </c>
      <c r="I13" s="132" t="s">
        <v>203</v>
      </c>
      <c r="J13" s="132" t="s">
        <v>322</v>
      </c>
      <c r="K13" s="132" t="s">
        <v>323</v>
      </c>
      <c r="L13" s="376" t="str">
        <f>IF(import.recurso="FGTS","Financiamento (R$)","Repasse (R$)")</f>
        <v>Repasse (R$)</v>
      </c>
      <c r="M13" s="377" t="s">
        <v>324</v>
      </c>
      <c r="N13" s="378" t="s">
        <v>239</v>
      </c>
      <c r="O13" s="132" t="s">
        <v>325</v>
      </c>
      <c r="R13" s="379" t="s">
        <v>321</v>
      </c>
      <c r="T13" s="379" t="s">
        <v>323</v>
      </c>
      <c r="U13" s="197" t="s">
        <v>325</v>
      </c>
      <c r="V13" s="380" t="s">
        <v>326</v>
      </c>
      <c r="W13" s="196" t="s">
        <v>324</v>
      </c>
      <c r="X13" s="198" t="s">
        <v>239</v>
      </c>
    </row>
    <row r="14" spans="1:31" ht="26.4">
      <c r="A14">
        <f t="shared" ref="A14:A23" ca="1" si="0">IF(NOT(ISBLANK(QCI.DescManual)),OFFSET(A14,-1,0),D14)</f>
        <v>1</v>
      </c>
      <c r="B14" t="str">
        <f ca="1">IF(NOT(ISBLANK(QCI.DescManual)),IF(QCI.Divisao="Calculado","Manual","SemiAuto"),IF(ISERROR(MATCH($A14,ORÇAMENTO!$E$15:$E$264,0)),"Branco","Automático"))</f>
        <v>Automático</v>
      </c>
      <c r="C14" t="str">
        <f t="shared" ref="C14:C22" ca="1" si="1">IF(O14&gt;0,"F","")</f>
        <v>F</v>
      </c>
      <c r="D14" s="361">
        <f t="shared" ref="D14:D22" si="2">ROW()-ROW($D$13)</f>
        <v>1</v>
      </c>
      <c r="E14" s="143" t="s">
        <v>10</v>
      </c>
      <c r="F14" s="362" t="s">
        <v>47</v>
      </c>
      <c r="G14" s="641" t="str">
        <f ca="1">IF(OR($B14="Manual",$B14="SemiAuto"),QCI.DescManual,IF($B14="Automático",INDEX(ORÇAMENTO!$R$15:$R$264,MATCH($A14,ORÇAMENTO!$E$15:$E$264,0)),""))</f>
        <v>RECAPEAMENTO ASFALTICO EM DIVERSAS RUAS</v>
      </c>
      <c r="H14" s="143" t="s">
        <v>466</v>
      </c>
      <c r="I14" s="640">
        <v>1</v>
      </c>
      <c r="J14" s="363" t="str">
        <f ca="1">IF(AND(ISBLANK(E14),ISBLANK(F14)),"",VLOOKUP($F14,OFFSET(DADOS!$A$2,1,MATCH(QCI!$E14,DADOS!$2:$2,0)-1,100,50),2,FALSE))</f>
        <v>m²</v>
      </c>
      <c r="K14" s="639" t="str">
        <f ca="1">IF(OR($B14="Manual",$B14="SemiAuto"),QCI.LoteManual,IF($B14="Automático",IF(TIPOORCAMENTO="Licitado",Import.CTEF,"LOTE 1"),""))</f>
        <v>LOTE 1</v>
      </c>
      <c r="L14" s="364">
        <f t="shared" ref="L14:L22" ca="1" si="3">ROUND($O14,2)-ROUND($M14,2)-ROUND($N14,2)</f>
        <v>960019</v>
      </c>
      <c r="M14" s="365">
        <f t="shared" ref="M14:M22" ca="1" si="4">ROUND($AA14,2)-ROUND($AE14,2)</f>
        <v>88074.8</v>
      </c>
      <c r="N14" s="366">
        <f t="shared" ref="N14:N22" ca="1" si="5">ROUND($AB14,2)</f>
        <v>0</v>
      </c>
      <c r="O14" s="367">
        <f ca="1">IF($B14="Branco",0,IF(OR($B14="Manual",$B14="SemiAuto"),QCI.InvManual,INDEX(ORÇAMENTO!X$15:X$264,MATCH($A14,ORÇAMENTO!$E$15:$E$264,0))))</f>
        <v>1048093.8</v>
      </c>
      <c r="P14" s="612"/>
      <c r="R14" s="642"/>
      <c r="T14" s="643"/>
      <c r="U14" s="369"/>
      <c r="V14" s="644" t="s">
        <v>317</v>
      </c>
      <c r="W14" s="370">
        <f t="shared" ref="W14:W22" ca="1" si="6">$O14</f>
        <v>1048093.8</v>
      </c>
      <c r="X14" s="371">
        <v>0</v>
      </c>
      <c r="Z14" s="372">
        <f t="shared" ref="Z14:Z22" ca="1" si="7">$O14-$AA14-$AB14</f>
        <v>960019</v>
      </c>
      <c r="AA14">
        <f ca="1">IF($B14="Branco",0,IF($B14="Manual",QCI.CPManual,IF($B14="SemiAuto",ROUND(QCI!$AA$3*QCI.InvManual,2),INDEX(ORÇAMENTO!$AA$15:$AA$264,MATCH($A14,ORÇAMENTO!$E$15:$E$264,0)))))</f>
        <v>88074.800000000047</v>
      </c>
      <c r="AB14">
        <f ca="1">IF($B14="Branco",0,IF($B14="Manual",QCI.OutrosManual,IF($B14="SemiAuto",0,INDEX(ORÇAMENTO!$AB$15:$AB$264,MATCH($A14,ORÇAMENTO!$E$15:$E$264,0)))))</f>
        <v>0</v>
      </c>
      <c r="AD14" s="373" t="b">
        <f ca="1">AND($AA$3&gt;0,$AA$3&lt;1,$O14&gt;0,OR($B14="Automático",$B14="SemiAuto"),OR(QCI!$Z$3=QCI!$Z$7,QCI!$Z$3=QCI!$AA$7,QCI!$Z$3=QCI!$AB$7))</f>
        <v>1</v>
      </c>
      <c r="AE14" s="373">
        <f ca="1">IF(AND($AD14,$O14&gt;0,COUNTIF(OFFSET($AD14,1,0):$AD$24,TRUE)=0),CHOOSE(1+LOG(1+2*(QCI!$Z$3=QCI!$Z$7)+4*(QCI!$Z$3=QCI!$AA$7)+8*(QCI!$Z$3=QCI!$AB$7),2),0,$AA$24-ROUND(Import.CPMinPerc*$O$24,2),$AA$24-Import.CPMinAbsoluta,Import.Repasse-$Z$24),0)</f>
        <v>0</v>
      </c>
    </row>
    <row r="15" spans="1:31">
      <c r="A15">
        <f t="shared" ca="1" si="0"/>
        <v>2</v>
      </c>
      <c r="B15" t="str">
        <f ca="1">IF(NOT(ISBLANK(QCI.DescManual)),IF(QCI.Divisao="Calculado","Manual","SemiAuto"),IF(ISERROR(MATCH($A15,ORÇAMENTO!$E$15:$E$264,0)),"Branco","Automático"))</f>
        <v>Branco</v>
      </c>
      <c r="C15" t="str">
        <f t="shared" ca="1" si="1"/>
        <v/>
      </c>
      <c r="D15" s="361">
        <f t="shared" si="2"/>
        <v>2</v>
      </c>
      <c r="E15" s="143"/>
      <c r="F15" s="362"/>
      <c r="G15" s="641" t="str">
        <f ca="1">IF(OR($B15="Manual",$B15="SemiAuto"),QCI.DescManual,IF($B15="Automático",INDEX(ORÇAMENTO!$R$15:$R$264,MATCH($A15,ORÇAMENTO!$E$15:$E$264,0)),""))</f>
        <v/>
      </c>
      <c r="H15" s="143"/>
      <c r="I15" s="640"/>
      <c r="J15" s="363" t="str">
        <f ca="1">IF(AND(ISBLANK(E15),ISBLANK(F15)),"",VLOOKUP($F15,OFFSET(DADOS!$A$2,1,MATCH(QCI!$E15,DADOS!$2:$2,0)-1,100,50),2,FALSE))</f>
        <v/>
      </c>
      <c r="K15" s="639" t="str">
        <f ca="1">IF(OR($B15="Manual",$B15="SemiAuto"),QCI.LoteManual,IF($B15="Automático",IF(TIPOORCAMENTO="Licitado",Import.CTEF,"LOTE 1"),""))</f>
        <v/>
      </c>
      <c r="L15" s="364">
        <f t="shared" ca="1" si="3"/>
        <v>0</v>
      </c>
      <c r="M15" s="365">
        <f t="shared" ca="1" si="4"/>
        <v>0</v>
      </c>
      <c r="N15" s="366">
        <f t="shared" ca="1" si="5"/>
        <v>0</v>
      </c>
      <c r="O15" s="367">
        <f ca="1">IF($B15="Branco",0,IF(OR($B15="Manual",$B15="SemiAuto"),QCI.InvManual,INDEX(ORÇAMENTO!X$15:X$264,MATCH($A15,ORÇAMENTO!$E$15:$E$264,0))))</f>
        <v>0</v>
      </c>
      <c r="P15" s="612"/>
      <c r="R15" s="642"/>
      <c r="T15" s="643"/>
      <c r="U15" s="369"/>
      <c r="V15" s="644" t="s">
        <v>317</v>
      </c>
      <c r="W15" s="370">
        <f t="shared" ca="1" si="6"/>
        <v>0</v>
      </c>
      <c r="X15" s="371">
        <v>0</v>
      </c>
      <c r="Z15" s="372">
        <f t="shared" ca="1" si="7"/>
        <v>0</v>
      </c>
      <c r="AA15">
        <f ca="1">IF($B15="Branco",0,IF($B15="Manual",QCI.CPManual,IF($B15="SemiAuto",ROUND(QCI!$AA$3*QCI.InvManual,2),INDEX(ORÇAMENTO!$AA$15:$AA$264,MATCH($A15,ORÇAMENTO!$E$15:$E$264,0)))))</f>
        <v>0</v>
      </c>
      <c r="AB15">
        <f ca="1">IF($B15="Branco",0,IF($B15="Manual",QCI.OutrosManual,IF($B15="SemiAuto",0,INDEX(ORÇAMENTO!$AB$15:$AB$264,MATCH($A15,ORÇAMENTO!$E$15:$E$264,0)))))</f>
        <v>0</v>
      </c>
      <c r="AD15" s="373" t="b">
        <f ca="1">AND($AA$3&gt;0,$AA$3&lt;1,$O15&gt;0,OR($B15="Automático",$B15="SemiAuto"),OR(QCI!$Z$3=QCI!$Z$7,QCI!$Z$3=QCI!$AA$7,QCI!$Z$3=QCI!$AB$7))</f>
        <v>0</v>
      </c>
      <c r="AE15" s="373">
        <f ca="1">IF(AND($AD15,$O15&gt;0,COUNTIF(OFFSET($AD15,1,0):$AD$24,TRUE)=0),CHOOSE(1+LOG(1+2*(QCI!$Z$3=QCI!$Z$7)+4*(QCI!$Z$3=QCI!$AA$7)+8*(QCI!$Z$3=QCI!$AB$7),2),0,$AA$24-ROUND(Import.CPMinPerc*$O$24,2),$AA$24-Import.CPMinAbsoluta,Import.Repasse-$Z$24),0)</f>
        <v>0</v>
      </c>
    </row>
    <row r="16" spans="1:31">
      <c r="A16">
        <f t="shared" ca="1" si="0"/>
        <v>3</v>
      </c>
      <c r="B16" t="str">
        <f ca="1">IF(NOT(ISBLANK(QCI.DescManual)),IF(QCI.Divisao="Calculado","Manual","SemiAuto"),IF(ISERROR(MATCH($A16,ORÇAMENTO!$E$15:$E$264,0)),"Branco","Automático"))</f>
        <v>Branco</v>
      </c>
      <c r="C16" t="str">
        <f t="shared" ca="1" si="1"/>
        <v/>
      </c>
      <c r="D16" s="361">
        <f t="shared" si="2"/>
        <v>3</v>
      </c>
      <c r="E16" s="143"/>
      <c r="F16" s="362"/>
      <c r="G16" s="641" t="str">
        <f ca="1">IF(OR($B16="Manual",$B16="SemiAuto"),QCI.DescManual,IF($B16="Automático",INDEX(ORÇAMENTO!$R$15:$R$264,MATCH($A16,ORÇAMENTO!$E$15:$E$264,0)),""))</f>
        <v/>
      </c>
      <c r="H16" s="143"/>
      <c r="I16" s="640"/>
      <c r="J16" s="363" t="str">
        <f ca="1">IF(AND(ISBLANK(E16),ISBLANK(F16)),"",VLOOKUP($F16,OFFSET(DADOS!$A$2,1,MATCH(QCI!$E16,DADOS!$2:$2,0)-1,100,50),2,FALSE))</f>
        <v/>
      </c>
      <c r="K16" s="639" t="str">
        <f ca="1">IF(OR($B16="Manual",$B16="SemiAuto"),QCI.LoteManual,IF($B16="Automático",IF(TIPOORCAMENTO="Licitado",Import.CTEF,"LOTE 1"),""))</f>
        <v/>
      </c>
      <c r="L16" s="364">
        <f t="shared" ca="1" si="3"/>
        <v>0</v>
      </c>
      <c r="M16" s="365">
        <f t="shared" ca="1" si="4"/>
        <v>0</v>
      </c>
      <c r="N16" s="366">
        <f t="shared" ca="1" si="5"/>
        <v>0</v>
      </c>
      <c r="O16" s="367">
        <f ca="1">IF($B16="Branco",0,IF(OR($B16="Manual",$B16="SemiAuto"),QCI.InvManual,INDEX(ORÇAMENTO!X$15:X$264,MATCH($A16,ORÇAMENTO!$E$15:$E$264,0))))</f>
        <v>0</v>
      </c>
      <c r="P16" s="612"/>
      <c r="R16" s="642"/>
      <c r="T16" s="643"/>
      <c r="U16" s="369"/>
      <c r="V16" s="644" t="s">
        <v>317</v>
      </c>
      <c r="W16" s="370">
        <f t="shared" ca="1" si="6"/>
        <v>0</v>
      </c>
      <c r="X16" s="371">
        <v>0</v>
      </c>
      <c r="Z16" s="372">
        <f t="shared" ca="1" si="7"/>
        <v>0</v>
      </c>
      <c r="AA16">
        <f ca="1">IF($B16="Branco",0,IF($B16="Manual",QCI.CPManual,IF($B16="SemiAuto",ROUND(QCI!$AA$3*QCI.InvManual,2),INDEX(ORÇAMENTO!$AA$15:$AA$264,MATCH($A16,ORÇAMENTO!$E$15:$E$264,0)))))</f>
        <v>0</v>
      </c>
      <c r="AB16">
        <f ca="1">IF($B16="Branco",0,IF($B16="Manual",QCI.OutrosManual,IF($B16="SemiAuto",0,INDEX(ORÇAMENTO!$AB$15:$AB$264,MATCH($A16,ORÇAMENTO!$E$15:$E$264,0)))))</f>
        <v>0</v>
      </c>
      <c r="AD16" s="373" t="b">
        <f ca="1">AND($AA$3&gt;0,$AA$3&lt;1,$O16&gt;0,OR($B16="Automático",$B16="SemiAuto"),OR(QCI!$Z$3=QCI!$Z$7,QCI!$Z$3=QCI!$AA$7,QCI!$Z$3=QCI!$AB$7))</f>
        <v>0</v>
      </c>
      <c r="AE16" s="373">
        <f ca="1">IF(AND($AD16,$O16&gt;0,COUNTIF(OFFSET($AD16,1,0):$AD$24,TRUE)=0),CHOOSE(1+LOG(1+2*(QCI!$Z$3=QCI!$Z$7)+4*(QCI!$Z$3=QCI!$AA$7)+8*(QCI!$Z$3=QCI!$AB$7),2),0,$AA$24-ROUND(Import.CPMinPerc*$O$24,2),$AA$24-Import.CPMinAbsoluta,Import.Repasse-$Z$24),0)</f>
        <v>0</v>
      </c>
    </row>
    <row r="17" spans="1:31">
      <c r="A17">
        <f t="shared" ca="1" si="0"/>
        <v>4</v>
      </c>
      <c r="B17" t="str">
        <f ca="1">IF(NOT(ISBLANK(QCI.DescManual)),IF(QCI.Divisao="Calculado","Manual","SemiAuto"),IF(ISERROR(MATCH($A17,ORÇAMENTO!$E$15:$E$264,0)),"Branco","Automático"))</f>
        <v>Branco</v>
      </c>
      <c r="C17" t="str">
        <f t="shared" ca="1" si="1"/>
        <v/>
      </c>
      <c r="D17" s="361">
        <f t="shared" si="2"/>
        <v>4</v>
      </c>
      <c r="E17" s="143"/>
      <c r="F17" s="362"/>
      <c r="G17" s="641" t="str">
        <f ca="1">IF(OR($B17="Manual",$B17="SemiAuto"),QCI.DescManual,IF($B17="Automático",INDEX(ORÇAMENTO!$R$15:$R$264,MATCH($A17,ORÇAMENTO!$E$15:$E$264,0)),""))</f>
        <v/>
      </c>
      <c r="H17" s="143"/>
      <c r="I17" s="640"/>
      <c r="J17" s="363" t="str">
        <f ca="1">IF(AND(ISBLANK(E17),ISBLANK(F17)),"",VLOOKUP($F17,OFFSET(DADOS!$A$2,1,MATCH(QCI!$E17,DADOS!$2:$2,0)-1,100,50),2,FALSE))</f>
        <v/>
      </c>
      <c r="K17" s="639" t="str">
        <f ca="1">IF(OR($B17="Manual",$B17="SemiAuto"),QCI.LoteManual,IF($B17="Automático",IF(TIPOORCAMENTO="Licitado",Import.CTEF,"LOTE 1"),""))</f>
        <v/>
      </c>
      <c r="L17" s="364">
        <f t="shared" ca="1" si="3"/>
        <v>0</v>
      </c>
      <c r="M17" s="365">
        <f t="shared" ca="1" si="4"/>
        <v>0</v>
      </c>
      <c r="N17" s="366">
        <f t="shared" ca="1" si="5"/>
        <v>0</v>
      </c>
      <c r="O17" s="367">
        <f ca="1">IF($B17="Branco",0,IF(OR($B17="Manual",$B17="SemiAuto"),QCI.InvManual,INDEX(ORÇAMENTO!X$15:X$264,MATCH($A17,ORÇAMENTO!$E$15:$E$264,0))))</f>
        <v>0</v>
      </c>
      <c r="P17" s="612"/>
      <c r="R17" s="642"/>
      <c r="T17" s="643"/>
      <c r="U17" s="369"/>
      <c r="V17" s="644" t="s">
        <v>317</v>
      </c>
      <c r="W17" s="370">
        <f t="shared" ca="1" si="6"/>
        <v>0</v>
      </c>
      <c r="X17" s="371">
        <v>0</v>
      </c>
      <c r="Z17" s="372">
        <f t="shared" ca="1" si="7"/>
        <v>0</v>
      </c>
      <c r="AA17">
        <f ca="1">IF($B17="Branco",0,IF($B17="Manual",QCI.CPManual,IF($B17="SemiAuto",ROUND(QCI!$AA$3*QCI.InvManual,2),INDEX(ORÇAMENTO!$AA$15:$AA$264,MATCH($A17,ORÇAMENTO!$E$15:$E$264,0)))))</f>
        <v>0</v>
      </c>
      <c r="AB17">
        <f ca="1">IF($B17="Branco",0,IF($B17="Manual",QCI.OutrosManual,IF($B17="SemiAuto",0,INDEX(ORÇAMENTO!$AB$15:$AB$264,MATCH($A17,ORÇAMENTO!$E$15:$E$264,0)))))</f>
        <v>0</v>
      </c>
      <c r="AD17" s="373" t="b">
        <f ca="1">AND($AA$3&gt;0,$AA$3&lt;1,$O17&gt;0,OR($B17="Automático",$B17="SemiAuto"),OR(QCI!$Z$3=QCI!$Z$7,QCI!$Z$3=QCI!$AA$7,QCI!$Z$3=QCI!$AB$7))</f>
        <v>0</v>
      </c>
      <c r="AE17" s="373">
        <f ca="1">IF(AND($AD17,$O17&gt;0,COUNTIF(OFFSET($AD17,1,0):$AD$24,TRUE)=0),CHOOSE(1+LOG(1+2*(QCI!$Z$3=QCI!$Z$7)+4*(QCI!$Z$3=QCI!$AA$7)+8*(QCI!$Z$3=QCI!$AB$7),2),0,$AA$24-ROUND(Import.CPMinPerc*$O$24,2),$AA$24-Import.CPMinAbsoluta,Import.Repasse-$Z$24),0)</f>
        <v>0</v>
      </c>
    </row>
    <row r="18" spans="1:31">
      <c r="A18">
        <f t="shared" ca="1" si="0"/>
        <v>5</v>
      </c>
      <c r="B18" t="str">
        <f ca="1">IF(NOT(ISBLANK(QCI.DescManual)),IF(QCI.Divisao="Calculado","Manual","SemiAuto"),IF(ISERROR(MATCH($A18,ORÇAMENTO!$E$15:$E$264,0)),"Branco","Automático"))</f>
        <v>Branco</v>
      </c>
      <c r="C18" t="str">
        <f t="shared" ca="1" si="1"/>
        <v/>
      </c>
      <c r="D18" s="361">
        <f t="shared" si="2"/>
        <v>5</v>
      </c>
      <c r="E18" s="143"/>
      <c r="F18" s="362"/>
      <c r="G18" s="641" t="str">
        <f ca="1">IF(OR($B18="Manual",$B18="SemiAuto"),QCI.DescManual,IF($B18="Automático",INDEX(ORÇAMENTO!$R$15:$R$264,MATCH($A18,ORÇAMENTO!$E$15:$E$264,0)),""))</f>
        <v/>
      </c>
      <c r="H18" s="143"/>
      <c r="I18" s="640"/>
      <c r="J18" s="363" t="str">
        <f ca="1">IF(AND(ISBLANK(E18),ISBLANK(F18)),"",VLOOKUP($F18,OFFSET(DADOS!$A$2,1,MATCH(QCI!$E18,DADOS!$2:$2,0)-1,100,50),2,FALSE))</f>
        <v/>
      </c>
      <c r="K18" s="639" t="str">
        <f ca="1">IF(OR($B18="Manual",$B18="SemiAuto"),QCI.LoteManual,IF($B18="Automático",IF(TIPOORCAMENTO="Licitado",Import.CTEF,"LOTE 1"),""))</f>
        <v/>
      </c>
      <c r="L18" s="364">
        <f t="shared" ca="1" si="3"/>
        <v>0</v>
      </c>
      <c r="M18" s="365">
        <f t="shared" ca="1" si="4"/>
        <v>0</v>
      </c>
      <c r="N18" s="366">
        <f t="shared" ca="1" si="5"/>
        <v>0</v>
      </c>
      <c r="O18" s="367">
        <f ca="1">IF($B18="Branco",0,IF(OR($B18="Manual",$B18="SemiAuto"),QCI.InvManual,INDEX(ORÇAMENTO!X$15:X$264,MATCH($A18,ORÇAMENTO!$E$15:$E$264,0))))</f>
        <v>0</v>
      </c>
      <c r="P18" s="612"/>
      <c r="R18" s="642"/>
      <c r="T18" s="643"/>
      <c r="U18" s="369"/>
      <c r="V18" s="644" t="s">
        <v>317</v>
      </c>
      <c r="W18" s="370">
        <f t="shared" ca="1" si="6"/>
        <v>0</v>
      </c>
      <c r="X18" s="371">
        <v>0</v>
      </c>
      <c r="Z18" s="372">
        <f t="shared" ca="1" si="7"/>
        <v>0</v>
      </c>
      <c r="AA18">
        <f ca="1">IF($B18="Branco",0,IF($B18="Manual",QCI.CPManual,IF($B18="SemiAuto",ROUND(QCI!$AA$3*QCI.InvManual,2),INDEX(ORÇAMENTO!$AA$15:$AA$264,MATCH($A18,ORÇAMENTO!$E$15:$E$264,0)))))</f>
        <v>0</v>
      </c>
      <c r="AB18">
        <f ca="1">IF($B18="Branco",0,IF($B18="Manual",QCI.OutrosManual,IF($B18="SemiAuto",0,INDEX(ORÇAMENTO!$AB$15:$AB$264,MATCH($A18,ORÇAMENTO!$E$15:$E$264,0)))))</f>
        <v>0</v>
      </c>
      <c r="AD18" s="373" t="b">
        <f ca="1">AND($AA$3&gt;0,$AA$3&lt;1,$O18&gt;0,OR($B18="Automático",$B18="SemiAuto"),OR(QCI!$Z$3=QCI!$Z$7,QCI!$Z$3=QCI!$AA$7,QCI!$Z$3=QCI!$AB$7))</f>
        <v>0</v>
      </c>
      <c r="AE18" s="373">
        <f ca="1">IF(AND($AD18,$O18&gt;0,COUNTIF(OFFSET($AD18,1,0):$AD$24,TRUE)=0),CHOOSE(1+LOG(1+2*(QCI!$Z$3=QCI!$Z$7)+4*(QCI!$Z$3=QCI!$AA$7)+8*(QCI!$Z$3=QCI!$AB$7),2),0,$AA$24-ROUND(Import.CPMinPerc*$O$24,2),$AA$24-Import.CPMinAbsoluta,Import.Repasse-$Z$24),0)</f>
        <v>0</v>
      </c>
    </row>
    <row r="19" spans="1:31">
      <c r="A19">
        <f t="shared" ca="1" si="0"/>
        <v>6</v>
      </c>
      <c r="B19" t="str">
        <f ca="1">IF(NOT(ISBLANK(QCI.DescManual)),IF(QCI.Divisao="Calculado","Manual","SemiAuto"),IF(ISERROR(MATCH($A19,ORÇAMENTO!$E$15:$E$264,0)),"Branco","Automático"))</f>
        <v>Branco</v>
      </c>
      <c r="C19" t="str">
        <f t="shared" ca="1" si="1"/>
        <v/>
      </c>
      <c r="D19" s="361">
        <f t="shared" si="2"/>
        <v>6</v>
      </c>
      <c r="E19" s="143"/>
      <c r="F19" s="362"/>
      <c r="G19" s="641" t="str">
        <f ca="1">IF(OR($B19="Manual",$B19="SemiAuto"),QCI.DescManual,IF($B19="Automático",INDEX(ORÇAMENTO!$R$15:$R$264,MATCH($A19,ORÇAMENTO!$E$15:$E$264,0)),""))</f>
        <v/>
      </c>
      <c r="H19" s="143"/>
      <c r="I19" s="640"/>
      <c r="J19" s="363" t="str">
        <f ca="1">IF(AND(ISBLANK(E19),ISBLANK(F19)),"",VLOOKUP($F19,OFFSET(DADOS!$A$2,1,MATCH(QCI!$E19,DADOS!$2:$2,0)-1,100,50),2,FALSE))</f>
        <v/>
      </c>
      <c r="K19" s="639" t="str">
        <f ca="1">IF(OR($B19="Manual",$B19="SemiAuto"),QCI.LoteManual,IF($B19="Automático",IF(TIPOORCAMENTO="Licitado",Import.CTEF,"LOTE 1"),""))</f>
        <v/>
      </c>
      <c r="L19" s="364">
        <f t="shared" ca="1" si="3"/>
        <v>0</v>
      </c>
      <c r="M19" s="365">
        <f t="shared" ca="1" si="4"/>
        <v>0</v>
      </c>
      <c r="N19" s="366">
        <f t="shared" ca="1" si="5"/>
        <v>0</v>
      </c>
      <c r="O19" s="367">
        <f ca="1">IF($B19="Branco",0,IF(OR($B19="Manual",$B19="SemiAuto"),QCI.InvManual,INDEX(ORÇAMENTO!X$15:X$264,MATCH($A19,ORÇAMENTO!$E$15:$E$264,0))))</f>
        <v>0</v>
      </c>
      <c r="P19" s="612"/>
      <c r="R19" s="642"/>
      <c r="T19" s="643"/>
      <c r="U19" s="369"/>
      <c r="V19" s="644" t="s">
        <v>317</v>
      </c>
      <c r="W19" s="370">
        <f t="shared" ca="1" si="6"/>
        <v>0</v>
      </c>
      <c r="X19" s="371">
        <v>0</v>
      </c>
      <c r="Z19" s="372">
        <f t="shared" ca="1" si="7"/>
        <v>0</v>
      </c>
      <c r="AA19">
        <f ca="1">IF($B19="Branco",0,IF($B19="Manual",QCI.CPManual,IF($B19="SemiAuto",ROUND(QCI!$AA$3*QCI.InvManual,2),INDEX(ORÇAMENTO!$AA$15:$AA$264,MATCH($A19,ORÇAMENTO!$E$15:$E$264,0)))))</f>
        <v>0</v>
      </c>
      <c r="AB19">
        <f ca="1">IF($B19="Branco",0,IF($B19="Manual",QCI.OutrosManual,IF($B19="SemiAuto",0,INDEX(ORÇAMENTO!$AB$15:$AB$264,MATCH($A19,ORÇAMENTO!$E$15:$E$264,0)))))</f>
        <v>0</v>
      </c>
      <c r="AD19" s="373" t="b">
        <f ca="1">AND($AA$3&gt;0,$AA$3&lt;1,$O19&gt;0,OR($B19="Automático",$B19="SemiAuto"),OR(QCI!$Z$3=QCI!$Z$7,QCI!$Z$3=QCI!$AA$7,QCI!$Z$3=QCI!$AB$7))</f>
        <v>0</v>
      </c>
      <c r="AE19" s="373">
        <f ca="1">IF(AND($AD19,$O19&gt;0,COUNTIF(OFFSET($AD19,1,0):$AD$24,TRUE)=0),CHOOSE(1+LOG(1+2*(QCI!$Z$3=QCI!$Z$7)+4*(QCI!$Z$3=QCI!$AA$7)+8*(QCI!$Z$3=QCI!$AB$7),2),0,$AA$24-ROUND(Import.CPMinPerc*$O$24,2),$AA$24-Import.CPMinAbsoluta,Import.Repasse-$Z$24),0)</f>
        <v>0</v>
      </c>
    </row>
    <row r="20" spans="1:31">
      <c r="A20">
        <f t="shared" ca="1" si="0"/>
        <v>7</v>
      </c>
      <c r="B20" t="str">
        <f ca="1">IF(NOT(ISBLANK(QCI.DescManual)),IF(QCI.Divisao="Calculado","Manual","SemiAuto"),IF(ISERROR(MATCH($A20,ORÇAMENTO!$E$15:$E$264,0)),"Branco","Automático"))</f>
        <v>Branco</v>
      </c>
      <c r="C20" t="str">
        <f t="shared" ca="1" si="1"/>
        <v/>
      </c>
      <c r="D20" s="361">
        <f t="shared" si="2"/>
        <v>7</v>
      </c>
      <c r="E20" s="143"/>
      <c r="F20" s="362"/>
      <c r="G20" s="641" t="str">
        <f ca="1">IF(OR($B20="Manual",$B20="SemiAuto"),QCI.DescManual,IF($B20="Automático",INDEX(ORÇAMENTO!$R$15:$R$264,MATCH($A20,ORÇAMENTO!$E$15:$E$264,0)),""))</f>
        <v/>
      </c>
      <c r="H20" s="143"/>
      <c r="I20" s="640"/>
      <c r="J20" s="363" t="str">
        <f ca="1">IF(AND(ISBLANK(E20),ISBLANK(F20)),"",VLOOKUP($F20,OFFSET(DADOS!$A$2,1,MATCH(QCI!$E20,DADOS!$2:$2,0)-1,100,50),2,FALSE))</f>
        <v/>
      </c>
      <c r="K20" s="639" t="str">
        <f ca="1">IF(OR($B20="Manual",$B20="SemiAuto"),QCI.LoteManual,IF($B20="Automático",IF(TIPOORCAMENTO="Licitado",Import.CTEF,"LOTE 1"),""))</f>
        <v/>
      </c>
      <c r="L20" s="364">
        <f t="shared" ca="1" si="3"/>
        <v>0</v>
      </c>
      <c r="M20" s="365">
        <f t="shared" ca="1" si="4"/>
        <v>0</v>
      </c>
      <c r="N20" s="366">
        <f t="shared" ca="1" si="5"/>
        <v>0</v>
      </c>
      <c r="O20" s="367">
        <f ca="1">IF($B20="Branco",0,IF(OR($B20="Manual",$B20="SemiAuto"),QCI.InvManual,INDEX(ORÇAMENTO!X$15:X$264,MATCH($A20,ORÇAMENTO!$E$15:$E$264,0))))</f>
        <v>0</v>
      </c>
      <c r="P20" s="612"/>
      <c r="R20" s="642"/>
      <c r="T20" s="643"/>
      <c r="U20" s="369"/>
      <c r="V20" s="644" t="s">
        <v>317</v>
      </c>
      <c r="W20" s="370">
        <f t="shared" ca="1" si="6"/>
        <v>0</v>
      </c>
      <c r="X20" s="371">
        <v>0</v>
      </c>
      <c r="Z20" s="372">
        <f t="shared" ca="1" si="7"/>
        <v>0</v>
      </c>
      <c r="AA20">
        <f ca="1">IF($B20="Branco",0,IF($B20="Manual",QCI.CPManual,IF($B20="SemiAuto",ROUND(QCI!$AA$3*QCI.InvManual,2),INDEX(ORÇAMENTO!$AA$15:$AA$264,MATCH($A20,ORÇAMENTO!$E$15:$E$264,0)))))</f>
        <v>0</v>
      </c>
      <c r="AB20">
        <f ca="1">IF($B20="Branco",0,IF($B20="Manual",QCI.OutrosManual,IF($B20="SemiAuto",0,INDEX(ORÇAMENTO!$AB$15:$AB$264,MATCH($A20,ORÇAMENTO!$E$15:$E$264,0)))))</f>
        <v>0</v>
      </c>
      <c r="AD20" s="373" t="b">
        <f ca="1">AND($AA$3&gt;0,$AA$3&lt;1,$O20&gt;0,OR($B20="Automático",$B20="SemiAuto"),OR(QCI!$Z$3=QCI!$Z$7,QCI!$Z$3=QCI!$AA$7,QCI!$Z$3=QCI!$AB$7))</f>
        <v>0</v>
      </c>
      <c r="AE20" s="373">
        <f ca="1">IF(AND($AD20,$O20&gt;0,COUNTIF(OFFSET($AD20,1,0):$AD$24,TRUE)=0),CHOOSE(1+LOG(1+2*(QCI!$Z$3=QCI!$Z$7)+4*(QCI!$Z$3=QCI!$AA$7)+8*(QCI!$Z$3=QCI!$AB$7),2),0,$AA$24-ROUND(Import.CPMinPerc*$O$24,2),$AA$24-Import.CPMinAbsoluta,Import.Repasse-$Z$24),0)</f>
        <v>0</v>
      </c>
    </row>
    <row r="21" spans="1:31">
      <c r="A21">
        <f t="shared" ca="1" si="0"/>
        <v>8</v>
      </c>
      <c r="B21" t="str">
        <f ca="1">IF(NOT(ISBLANK(QCI.DescManual)),IF(QCI.Divisao="Calculado","Manual","SemiAuto"),IF(ISERROR(MATCH($A21,ORÇAMENTO!$E$15:$E$264,0)),"Branco","Automático"))</f>
        <v>Branco</v>
      </c>
      <c r="C21" t="str">
        <f t="shared" ca="1" si="1"/>
        <v/>
      </c>
      <c r="D21" s="361">
        <f t="shared" si="2"/>
        <v>8</v>
      </c>
      <c r="E21" s="143"/>
      <c r="F21" s="362"/>
      <c r="G21" s="641" t="str">
        <f ca="1">IF(OR($B21="Manual",$B21="SemiAuto"),QCI.DescManual,IF($B21="Automático",INDEX(ORÇAMENTO!$R$15:$R$264,MATCH($A21,ORÇAMENTO!$E$15:$E$264,0)),""))</f>
        <v/>
      </c>
      <c r="H21" s="143"/>
      <c r="I21" s="640"/>
      <c r="J21" s="363" t="str">
        <f ca="1">IF(AND(ISBLANK(E21),ISBLANK(F21)),"",VLOOKUP($F21,OFFSET(DADOS!$A$2,1,MATCH(QCI!$E21,DADOS!$2:$2,0)-1,100,50),2,FALSE))</f>
        <v/>
      </c>
      <c r="K21" s="639" t="str">
        <f ca="1">IF(OR($B21="Manual",$B21="SemiAuto"),QCI.LoteManual,IF($B21="Automático",IF(TIPOORCAMENTO="Licitado",Import.CTEF,"LOTE 1"),""))</f>
        <v/>
      </c>
      <c r="L21" s="364">
        <f t="shared" ca="1" si="3"/>
        <v>0</v>
      </c>
      <c r="M21" s="365">
        <f t="shared" ca="1" si="4"/>
        <v>0</v>
      </c>
      <c r="N21" s="366">
        <f t="shared" ca="1" si="5"/>
        <v>0</v>
      </c>
      <c r="O21" s="367">
        <f ca="1">IF($B21="Branco",0,IF(OR($B21="Manual",$B21="SemiAuto"),QCI.InvManual,INDEX(ORÇAMENTO!X$15:X$264,MATCH($A21,ORÇAMENTO!$E$15:$E$264,0))))</f>
        <v>0</v>
      </c>
      <c r="P21" s="612"/>
      <c r="R21" s="642"/>
      <c r="T21" s="643"/>
      <c r="U21" s="369"/>
      <c r="V21" s="644" t="s">
        <v>317</v>
      </c>
      <c r="W21" s="370">
        <f t="shared" ca="1" si="6"/>
        <v>0</v>
      </c>
      <c r="X21" s="371">
        <v>0</v>
      </c>
      <c r="Z21" s="372">
        <f t="shared" ca="1" si="7"/>
        <v>0</v>
      </c>
      <c r="AA21">
        <f ca="1">IF($B21="Branco",0,IF($B21="Manual",QCI.CPManual,IF($B21="SemiAuto",ROUND(QCI!$AA$3*QCI.InvManual,2),INDEX(ORÇAMENTO!$AA$15:$AA$264,MATCH($A21,ORÇAMENTO!$E$15:$E$264,0)))))</f>
        <v>0</v>
      </c>
      <c r="AB21">
        <f ca="1">IF($B21="Branco",0,IF($B21="Manual",QCI.OutrosManual,IF($B21="SemiAuto",0,INDEX(ORÇAMENTO!$AB$15:$AB$264,MATCH($A21,ORÇAMENTO!$E$15:$E$264,0)))))</f>
        <v>0</v>
      </c>
      <c r="AD21" s="373" t="b">
        <f ca="1">AND($AA$3&gt;0,$AA$3&lt;1,$O21&gt;0,OR($B21="Automático",$B21="SemiAuto"),OR(QCI!$Z$3=QCI!$Z$7,QCI!$Z$3=QCI!$AA$7,QCI!$Z$3=QCI!$AB$7))</f>
        <v>0</v>
      </c>
      <c r="AE21" s="373">
        <f ca="1">IF(AND($AD21,$O21&gt;0,COUNTIF(OFFSET($AD21,1,0):$AD$24,TRUE)=0),CHOOSE(1+LOG(1+2*(QCI!$Z$3=QCI!$Z$7)+4*(QCI!$Z$3=QCI!$AA$7)+8*(QCI!$Z$3=QCI!$AB$7),2),0,$AA$24-ROUND(Import.CPMinPerc*$O$24,2),$AA$24-Import.CPMinAbsoluta,Import.Repasse-$Z$24),0)</f>
        <v>0</v>
      </c>
    </row>
    <row r="22" spans="1:31">
      <c r="A22">
        <f t="shared" ca="1" si="0"/>
        <v>9</v>
      </c>
      <c r="B22" t="str">
        <f ca="1">IF(NOT(ISBLANK(QCI.DescManual)),IF(QCI.Divisao="Calculado","Manual","SemiAuto"),IF(ISERROR(MATCH($A22,ORÇAMENTO!$E$15:$E$264,0)),"Branco","Automático"))</f>
        <v>Branco</v>
      </c>
      <c r="C22" t="str">
        <f t="shared" ca="1" si="1"/>
        <v/>
      </c>
      <c r="D22" s="361">
        <f t="shared" si="2"/>
        <v>9</v>
      </c>
      <c r="E22" s="143"/>
      <c r="F22" s="362"/>
      <c r="G22" s="641" t="str">
        <f ca="1">IF(OR($B22="Manual",$B22="SemiAuto"),QCI.DescManual,IF($B22="Automático",INDEX(ORÇAMENTO!$R$15:$R$264,MATCH($A22,ORÇAMENTO!$E$15:$E$264,0)),""))</f>
        <v/>
      </c>
      <c r="H22" s="143"/>
      <c r="I22" s="640"/>
      <c r="J22" s="363" t="str">
        <f ca="1">IF(AND(ISBLANK(E22),ISBLANK(F22)),"",VLOOKUP($F22,OFFSET(DADOS!$A$2,1,MATCH(QCI!$E22,DADOS!$2:$2,0)-1,100,50),2,FALSE))</f>
        <v/>
      </c>
      <c r="K22" s="639" t="str">
        <f ca="1">IF(OR($B22="Manual",$B22="SemiAuto"),QCI.LoteManual,IF($B22="Automático",IF(TIPOORCAMENTO="Licitado",Import.CTEF,"LOTE 1"),""))</f>
        <v/>
      </c>
      <c r="L22" s="364">
        <f t="shared" ca="1" si="3"/>
        <v>0</v>
      </c>
      <c r="M22" s="365">
        <f t="shared" ca="1" si="4"/>
        <v>0</v>
      </c>
      <c r="N22" s="366">
        <f t="shared" ca="1" si="5"/>
        <v>0</v>
      </c>
      <c r="O22" s="367">
        <f ca="1">IF($B22="Branco",0,IF(OR($B22="Manual",$B22="SemiAuto"),QCI.InvManual,INDEX(ORÇAMENTO!X$15:X$264,MATCH($A22,ORÇAMENTO!$E$15:$E$264,0))))</f>
        <v>0</v>
      </c>
      <c r="P22" s="612"/>
      <c r="R22" s="642"/>
      <c r="T22" s="643"/>
      <c r="U22" s="369"/>
      <c r="V22" s="644" t="s">
        <v>317</v>
      </c>
      <c r="W22" s="370">
        <f t="shared" ca="1" si="6"/>
        <v>0</v>
      </c>
      <c r="X22" s="371">
        <v>0</v>
      </c>
      <c r="Z22" s="372">
        <f t="shared" ca="1" si="7"/>
        <v>0</v>
      </c>
      <c r="AA22">
        <f ca="1">IF($B22="Branco",0,IF($B22="Manual",QCI.CPManual,IF($B22="SemiAuto",ROUND(QCI!$AA$3*QCI.InvManual,2),INDEX(ORÇAMENTO!$AA$15:$AA$264,MATCH($A22,ORÇAMENTO!$E$15:$E$264,0)))))</f>
        <v>0</v>
      </c>
      <c r="AB22">
        <f ca="1">IF($B22="Branco",0,IF($B22="Manual",QCI.OutrosManual,IF($B22="SemiAuto",0,INDEX(ORÇAMENTO!$AB$15:$AB$264,MATCH($A22,ORÇAMENTO!$E$15:$E$264,0)))))</f>
        <v>0</v>
      </c>
      <c r="AD22" s="373" t="b">
        <f ca="1">AND($AA$3&gt;0,$AA$3&lt;1,$O22&gt;0,OR($B22="Automático",$B22="SemiAuto"),OR(QCI!$Z$3=QCI!$Z$7,QCI!$Z$3=QCI!$AA$7,QCI!$Z$3=QCI!$AB$7))</f>
        <v>0</v>
      </c>
      <c r="AE22" s="373">
        <f ca="1">IF(AND($AD22,$O22&gt;0,COUNTIF(OFFSET($AD22,1,0):$AD$24,TRUE)=0),CHOOSE(1+LOG(1+2*(QCI!$Z$3=QCI!$Z$7)+4*(QCI!$Z$3=QCI!$AA$7)+8*(QCI!$Z$3=QCI!$AB$7),2),0,$AA$24-ROUND(Import.CPMinPerc*$O$24,2),$AA$24-Import.CPMinAbsoluta,Import.Repasse-$Z$24),0)</f>
        <v>0</v>
      </c>
    </row>
    <row r="23" spans="1:31">
      <c r="A23">
        <f t="shared" ca="1" si="0"/>
        <v>10</v>
      </c>
      <c r="B23" t="str">
        <f ca="1">IF(NOT(ISBLANK(QCI.DescManual)),IF(QCI.Divisao="Calculado","Manual","SemiAuto"),IF(ISERROR(MATCH($A23,ORÇAMENTO!$E$15:$E$264,0)),"Branco","Automático"))</f>
        <v>Branco</v>
      </c>
      <c r="C23" t="str">
        <f ca="1">IF(O23&gt;0,"F","")</f>
        <v/>
      </c>
      <c r="D23" s="361">
        <f>ROW()-ROW($D$13)</f>
        <v>10</v>
      </c>
      <c r="E23" s="143"/>
      <c r="F23" s="362"/>
      <c r="G23" s="641" t="str">
        <f ca="1">IF(OR($B23="Manual",$B23="SemiAuto"),QCI.DescManual,IF($B23="Automático",INDEX(ORÇAMENTO!$R$15:$R$264,MATCH($A23,ORÇAMENTO!$E$15:$E$264,0)),""))</f>
        <v/>
      </c>
      <c r="H23" s="143"/>
      <c r="I23" s="640"/>
      <c r="J23" s="363" t="str">
        <f ca="1">IF(AND(ISBLANK(E23),ISBLANK(F23)),"",VLOOKUP($F23,OFFSET(DADOS!$A$2,1,MATCH(QCI!$E23,DADOS!$2:$2,0)-1,100,50),2,FALSE))</f>
        <v/>
      </c>
      <c r="K23" s="639" t="str">
        <f ca="1">IF(OR($B23="Manual",$B23="SemiAuto"),QCI.LoteManual,IF($B23="Automático",IF(TIPOORCAMENTO="Licitado",Import.CTEF,"LOTE 1"),""))</f>
        <v/>
      </c>
      <c r="L23" s="364">
        <f ca="1">ROUND($O23,2)-ROUND($M23,2)-ROUND($N23,2)</f>
        <v>0</v>
      </c>
      <c r="M23" s="365">
        <f ca="1">ROUND($AA23,2)-ROUND($AE23,2)</f>
        <v>0</v>
      </c>
      <c r="N23" s="366">
        <f ca="1">ROUND($AB23,2)</f>
        <v>0</v>
      </c>
      <c r="O23" s="367">
        <f ca="1">IF($B23="Branco",0,IF(OR($B23="Manual",$B23="SemiAuto"),QCI.InvManual,INDEX(ORÇAMENTO!X$15:X$264,MATCH($A23,ORÇAMENTO!$E$15:$E$264,0))))</f>
        <v>0</v>
      </c>
      <c r="P23" s="612"/>
      <c r="R23" s="642"/>
      <c r="T23" s="643"/>
      <c r="U23" s="369"/>
      <c r="V23" s="644" t="s">
        <v>317</v>
      </c>
      <c r="W23" s="370">
        <f ca="1">$O23</f>
        <v>0</v>
      </c>
      <c r="X23" s="371">
        <v>0</v>
      </c>
      <c r="Z23" s="372">
        <f ca="1">$O23-$AA23-$AB23</f>
        <v>0</v>
      </c>
      <c r="AA23">
        <f ca="1">IF($B23="Branco",0,IF($B23="Manual",QCI.CPManual,IF($B23="SemiAuto",ROUND(QCI!$AA$3*QCI.InvManual,2),INDEX(ORÇAMENTO!$AA$15:$AA$264,MATCH($A23,ORÇAMENTO!$E$15:$E$264,0)))))</f>
        <v>0</v>
      </c>
      <c r="AB23">
        <f ca="1">IF($B23="Branco",0,IF($B23="Manual",QCI.OutrosManual,IF($B23="SemiAuto",0,INDEX(ORÇAMENTO!$AB$15:$AB$264,MATCH($A23,ORÇAMENTO!$E$15:$E$264,0)))))</f>
        <v>0</v>
      </c>
      <c r="AD23" s="373" t="b">
        <f ca="1">AND($AA$3&gt;0,$AA$3&lt;1,$O23&gt;0,OR($B23="Automático",$B23="SemiAuto"),OR(QCI!$Z$3=QCI!$Z$7,QCI!$Z$3=QCI!$AA$7,QCI!$Z$3=QCI!$AB$7))</f>
        <v>0</v>
      </c>
      <c r="AE23" s="373">
        <f ca="1">IF(AND($AD23,$O23&gt;0,COUNTIF(OFFSET($AD23,1,0):$AD$24,TRUE)=0),CHOOSE(1+LOG(1+2*(QCI!$Z$3=QCI!$Z$7)+4*(QCI!$Z$3=QCI!$AA$7)+8*(QCI!$Z$3=QCI!$AB$7),2),0,$AA$24-ROUND(Import.CPMinPerc*$O$24,2),$AA$24-Import.CPMinAbsoluta,Import.Repasse-$Z$24),0)</f>
        <v>0</v>
      </c>
    </row>
    <row r="24" spans="1:31" ht="13.8">
      <c r="B24" t="s">
        <v>327</v>
      </c>
      <c r="C24" t="s">
        <v>246</v>
      </c>
      <c r="D24" s="381"/>
      <c r="E24" s="382"/>
      <c r="F24" s="382"/>
      <c r="G24" s="382"/>
      <c r="H24" s="382"/>
      <c r="I24" s="382"/>
      <c r="J24" s="382"/>
      <c r="K24" s="766" t="s">
        <v>328</v>
      </c>
      <c r="L24" s="383">
        <f ca="1">SUM(L13:OFFSET(L24,-1,0))</f>
        <v>960019</v>
      </c>
      <c r="M24" s="384">
        <f ca="1">SUM(M13:OFFSET(M24,-1,0))</f>
        <v>88074.8</v>
      </c>
      <c r="N24" s="385">
        <f ca="1">SUM(N13:OFFSET(N24,-1,0))</f>
        <v>0</v>
      </c>
      <c r="O24" s="386">
        <f ca="1">SUM(O13:OFFSET(O24,-1,0))</f>
        <v>1048093.8</v>
      </c>
      <c r="R24" s="387"/>
      <c r="T24" s="388"/>
      <c r="U24" s="389"/>
      <c r="V24" s="390"/>
      <c r="W24" s="391"/>
      <c r="X24" s="392"/>
      <c r="Z24" s="393">
        <f ca="1">SUMPRODUCT(ROUND(Z13:OFFSET(Z24,-1,0),2))</f>
        <v>960019</v>
      </c>
      <c r="AA24" s="393">
        <f ca="1">SUMPRODUCT(ROUND(AA13:OFFSET(AA24,-1,0),2))</f>
        <v>88074.8</v>
      </c>
      <c r="AB24" s="393">
        <f ca="1">SUM(AB13:OFFSET(AB24,-1,0))</f>
        <v>0</v>
      </c>
    </row>
    <row r="25" spans="1:31">
      <c r="B25" t="s">
        <v>329</v>
      </c>
      <c r="C25" t="s">
        <v>246</v>
      </c>
      <c r="D25" s="394"/>
      <c r="E25" s="395"/>
      <c r="F25" s="395"/>
      <c r="G25" s="395"/>
      <c r="H25" s="395"/>
      <c r="I25" s="395"/>
      <c r="J25" s="395"/>
      <c r="K25" s="766"/>
      <c r="L25" s="396">
        <f ca="1">IF(ISERROR(L24/$O24),0,ROUND(L24/$O24,4))</f>
        <v>0.91600000000000004</v>
      </c>
      <c r="M25" s="397">
        <f ca="1">IF(ISERROR(M24/$O24),0,ROUND(M24/$O24,4))</f>
        <v>8.4000000000000005E-2</v>
      </c>
      <c r="N25" s="398">
        <f ca="1">IF(ISERROR(N24/$O24),0,ROUND(N24/$O24,4))</f>
        <v>0</v>
      </c>
      <c r="O25" s="399">
        <f ca="1">IF(ISERROR(O24/$O24),0,ROUND(O24/$O24,4))</f>
        <v>1</v>
      </c>
      <c r="R25" s="400"/>
      <c r="T25" s="401"/>
      <c r="U25" s="402"/>
      <c r="V25" s="403"/>
      <c r="W25" s="404"/>
      <c r="X25" s="405"/>
    </row>
    <row r="27" spans="1:31" ht="13.8">
      <c r="D27" s="166" t="s">
        <v>187</v>
      </c>
      <c r="E27" s="101"/>
      <c r="F27" s="101"/>
      <c r="G27" s="101"/>
      <c r="H27" s="101"/>
      <c r="I27" s="101"/>
      <c r="J27" s="101"/>
      <c r="K27" s="101"/>
      <c r="L27" s="101"/>
      <c r="M27" s="101"/>
    </row>
    <row r="28" spans="1:31" ht="12.75" customHeight="1">
      <c r="D28" s="707"/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</row>
    <row r="29" spans="1:31" ht="12.75" customHeight="1">
      <c r="D29" s="707"/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</row>
    <row r="30" spans="1:31" ht="12.75" customHeight="1">
      <c r="D30" s="707"/>
      <c r="E30" s="707"/>
      <c r="F30" s="707"/>
      <c r="G30" s="707"/>
      <c r="H30" s="707"/>
      <c r="I30" s="707"/>
      <c r="J30" s="707"/>
      <c r="K30" s="707"/>
      <c r="L30" s="707"/>
      <c r="M30" s="707"/>
      <c r="N30" s="707"/>
      <c r="O30" s="707"/>
    </row>
    <row r="33" spans="4:12" ht="13.8">
      <c r="D33" s="709" t="str">
        <f>Import.Município</f>
        <v>PONTAL - SP</v>
      </c>
      <c r="E33" s="709"/>
      <c r="F33" s="709"/>
      <c r="I33" s="171"/>
      <c r="J33" s="171"/>
      <c r="K33" s="224"/>
      <c r="L33" s="224"/>
    </row>
    <row r="34" spans="4:12">
      <c r="D34" s="12" t="s">
        <v>188</v>
      </c>
      <c r="E34" s="100"/>
      <c r="F34" s="100"/>
      <c r="I34" s="225" t="s">
        <v>330</v>
      </c>
      <c r="J34" s="225"/>
    </row>
    <row r="35" spans="4:12">
      <c r="D35" s="100"/>
      <c r="E35" s="100"/>
      <c r="F35" s="100"/>
      <c r="I35" s="90" t="str">
        <f>"Nome:" &amp;  " " &amp; DADOS!F28</f>
        <v>Nome: JOSÉ CARLOS NEVES SILVA</v>
      </c>
    </row>
    <row r="36" spans="4:12">
      <c r="D36" s="704">
        <f ca="1">DADOS!$F$25</f>
        <v>45797</v>
      </c>
      <c r="E36" s="704"/>
      <c r="F36" s="704"/>
      <c r="I36" s="90" t="str">
        <f>"Cargo:"  &amp; " " &amp; DADOS!F29</f>
        <v>Cargo: PREFEITO</v>
      </c>
    </row>
    <row r="37" spans="4:12">
      <c r="D37" s="173" t="s">
        <v>189</v>
      </c>
      <c r="E37" s="174"/>
      <c r="F37" s="174"/>
      <c r="K37" s="90"/>
      <c r="L37" s="91"/>
    </row>
  </sheetData>
  <sheetProtection sheet="1" objects="1" scenarios="1" autoFilter="0"/>
  <autoFilter ref="C13:C25"/>
  <mergeCells count="20">
    <mergeCell ref="D6:K6"/>
    <mergeCell ref="A10:A11"/>
    <mergeCell ref="Z10:AB10"/>
    <mergeCell ref="D36:F36"/>
    <mergeCell ref="D28:O30"/>
    <mergeCell ref="D33:F33"/>
    <mergeCell ref="AD10:AE10"/>
    <mergeCell ref="K24:K25"/>
    <mergeCell ref="C7:C11"/>
    <mergeCell ref="G9:J10"/>
    <mergeCell ref="K9:K10"/>
    <mergeCell ref="AD9:AE9"/>
    <mergeCell ref="D7:K7"/>
    <mergeCell ref="D3:E3"/>
    <mergeCell ref="G3:I3"/>
    <mergeCell ref="J3:L3"/>
    <mergeCell ref="M3:O4"/>
    <mergeCell ref="D4:E4"/>
    <mergeCell ref="G4:I4"/>
    <mergeCell ref="J4:L4"/>
  </mergeCells>
  <phoneticPr fontId="38" type="noConversion"/>
  <conditionalFormatting sqref="T12:V12">
    <cfRule type="expression" dxfId="162" priority="157" stopIfTrue="1">
      <formula>OR($B12="Automático",$B12="Branco")</formula>
    </cfRule>
  </conditionalFormatting>
  <conditionalFormatting sqref="L12">
    <cfRule type="expression" dxfId="161" priority="158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160" priority="159" stopIfTrue="1">
      <formula>OR($B12="Automático",$B12="Branco",$V12&lt;&gt;"Calculado")</formula>
    </cfRule>
  </conditionalFormatting>
  <conditionalFormatting sqref="M25">
    <cfRule type="expression" dxfId="159" priority="161" stopIfTrue="1">
      <formula>AND($G$9&lt;&gt;"",OR($M$25&lt;Import.CPMinPerc,$M$25&gt;Import.CPMaxPerc))</formula>
    </cfRule>
  </conditionalFormatting>
  <conditionalFormatting sqref="M24">
    <cfRule type="expression" dxfId="158" priority="162" stopIfTrue="1">
      <formula>AND($G$9&lt;&gt;"",$M$24&lt;Import.CPMinAbsoluta)</formula>
    </cfRule>
  </conditionalFormatting>
  <conditionalFormatting sqref="L10:M10">
    <cfRule type="cellIs" dxfId="157" priority="163" stopIfTrue="1" operator="lessThan">
      <formula>0</formula>
    </cfRule>
  </conditionalFormatting>
  <conditionalFormatting sqref="G12">
    <cfRule type="cellIs" dxfId="156" priority="164" stopIfTrue="1" operator="equal">
      <formula>"(digite a descrição aqui)"</formula>
    </cfRule>
  </conditionalFormatting>
  <conditionalFormatting sqref="T14:V22">
    <cfRule type="expression" dxfId="155" priority="5" stopIfTrue="1">
      <formula>OR($B14="Automático",$B14="Branco")</formula>
    </cfRule>
  </conditionalFormatting>
  <conditionalFormatting sqref="L14:L22">
    <cfRule type="expression" dxfId="154" priority="6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conditionalFormatting sqref="W14:X22">
    <cfRule type="expression" dxfId="153" priority="7" stopIfTrue="1">
      <formula>OR($B14="Automático",$B14="Branco",$V14&lt;&gt;"Calculado")</formula>
    </cfRule>
  </conditionalFormatting>
  <conditionalFormatting sqref="G14:G22">
    <cfRule type="cellIs" dxfId="152" priority="8" stopIfTrue="1" operator="equal">
      <formula>"(digite a descrição aqui)"</formula>
    </cfRule>
  </conditionalFormatting>
  <conditionalFormatting sqref="T23:V23">
    <cfRule type="expression" dxfId="151" priority="1" stopIfTrue="1">
      <formula>OR($B23="Automático",$B23="Branco")</formula>
    </cfRule>
  </conditionalFormatting>
  <conditionalFormatting sqref="L23">
    <cfRule type="expression" dxfId="150" priority="2" stopIfTrue="1">
      <formula>OR(L23&lt;0,AND(L$13="Contrapartida Financeira (R$)",$B23="T%",OR(L23&lt;Import.CPMinPerc,AND(L23&gt;Import.CPMaxPerc,Import.CPMaxPerc&gt;0))),AND(L$13="Contrapartida Financeira (R$)",$B23="TR$",L23&lt;Import.CPMinAbsoluta))</formula>
    </cfRule>
  </conditionalFormatting>
  <conditionalFormatting sqref="W23:X23">
    <cfRule type="expression" dxfId="149" priority="3" stopIfTrue="1">
      <formula>OR($B23="Automático",$B23="Branco",$V23&lt;&gt;"Calculado")</formula>
    </cfRule>
  </conditionalFormatting>
  <conditionalFormatting sqref="G23">
    <cfRule type="cellIs" dxfId="148" priority="4" stopIfTrue="1" operator="equal">
      <formula>"(digite a descrição aqui)"</formula>
    </cfRule>
  </conditionalFormatting>
  <dataValidations count="9">
    <dataValidation type="decimal" operator="greaterThan" allowBlank="1" showErrorMessage="1" error="Digite apenas números decimais maiores do que 0." sqref="U12 U14:U23">
      <formula1>0</formula1>
      <formula2>0</formula2>
    </dataValidation>
    <dataValidation type="list" allowBlank="1" sqref="E12 E14:E23">
      <formula1>QCI.ItemInvestimento</formula1>
      <formula2>0</formula2>
    </dataValidation>
    <dataValidation type="list" allowBlank="1" sqref="F12 F14:F23">
      <formula1>QCI.SubItemInvestimento</formula1>
      <formula2>0</formula2>
    </dataValidation>
    <dataValidation type="list" allowBlank="1" sqref="H12 H14:H23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:I23">
      <formula1>0</formula1>
      <formula2>0</formula2>
    </dataValidation>
    <dataValidation type="list" allowBlank="1" showErrorMessage="1" sqref="V12 V14:V23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:W23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:X23">
      <formula1>0</formula1>
      <formula2>QCI.MaxOUManual</formula2>
    </dataValidation>
    <dataValidation allowBlank="1" showInputMessage="1" showErrorMessage="1" prompt="Preencha somente se a meta não fizer parte do Orçamento desta Plan. Mult." sqref="R12 R14:R23"/>
  </dataValidations>
  <pageMargins left="0.78740157480314998" right="0.78740157480314998" top="0.78740157480314998" bottom="0.78740157480314998" header="0.59055118110236204" footer="0.59055118110236204"/>
  <pageSetup paperSize="9" scale="6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Plan13">
    <pageSetUpPr fitToPage="1"/>
  </sheetPr>
  <dimension ref="A1:AO279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36" sqref="A36"/>
    </sheetView>
  </sheetViews>
  <sheetFormatPr defaultRowHeight="13.2"/>
  <cols>
    <col min="1" max="2" width="6.6640625" hidden="1" customWidth="1"/>
    <col min="3" max="3" width="3.6640625" customWidth="1"/>
    <col min="4" max="4" width="10.6640625" customWidth="1"/>
    <col min="5" max="5" width="65.6640625" customWidth="1"/>
    <col min="6" max="6" width="7.6640625" customWidth="1"/>
    <col min="7" max="7" width="11.6640625" customWidth="1"/>
    <col min="8" max="8" width="14.6640625" customWidth="1"/>
    <col min="9" max="9" width="18.6640625" customWidth="1"/>
    <col min="10" max="12" width="11.6640625" customWidth="1"/>
    <col min="13" max="15" width="18.6640625" customWidth="1"/>
    <col min="17" max="18" width="11.6640625" hidden="1" customWidth="1"/>
    <col min="19" max="19" width="9.109375" hidden="1" customWidth="1"/>
    <col min="20" max="20" width="10.6640625" hidden="1" customWidth="1"/>
    <col min="21" max="21" width="65.6640625" hidden="1" customWidth="1"/>
    <col min="22" max="22" width="7.6640625" hidden="1" customWidth="1"/>
    <col min="23" max="23" width="11.6640625" hidden="1" customWidth="1"/>
    <col min="24" max="24" width="14.6640625" hidden="1" customWidth="1"/>
    <col min="25" max="25" width="18.6640625" hidden="1" customWidth="1"/>
    <col min="26" max="26" width="25.6640625" hidden="1" customWidth="1"/>
    <col min="27" max="27" width="0" hidden="1" customWidth="1"/>
    <col min="28" max="39" width="11.6640625" customWidth="1"/>
    <col min="40" max="40" width="10.44140625" customWidth="1"/>
    <col min="41" max="41" width="9.109375" hidden="1" customWidth="1"/>
  </cols>
  <sheetData>
    <row r="1" spans="1:41" ht="15.6">
      <c r="C1" s="95"/>
      <c r="D1" s="95"/>
      <c r="E1" s="406" t="str">
        <f>IF(CAIXA.Modo,"BA - Boletim de Aferição","BM - Boletim de Medição")</f>
        <v>BM - Boletim de Medição</v>
      </c>
      <c r="F1" s="95"/>
      <c r="G1" s="407"/>
      <c r="H1" s="95"/>
      <c r="J1" s="407"/>
      <c r="K1" s="407"/>
      <c r="L1" s="407"/>
      <c r="M1" s="407"/>
      <c r="N1" s="407"/>
      <c r="O1" s="64" t="s">
        <v>140</v>
      </c>
    </row>
    <row r="2" spans="1:41" ht="15">
      <c r="A2" s="408" t="s">
        <v>331</v>
      </c>
      <c r="B2" s="409"/>
      <c r="C2" s="100"/>
      <c r="D2" s="100"/>
      <c r="E2" s="410" t="str">
        <f ca="1">IF(Import.RegimeExecução="(SELECIONAR)","Selecione o Regime de Execução na Aba Dados",Import.RegimeExecução&amp;" - "&amp;import.recurso)</f>
        <v>EMPREITADA POR PREÇO GLOBAL - OGU</v>
      </c>
      <c r="F2" s="100"/>
      <c r="G2" s="100"/>
      <c r="H2" s="100"/>
      <c r="J2" s="100"/>
      <c r="K2" s="100"/>
      <c r="L2" s="100"/>
      <c r="M2" s="100"/>
      <c r="N2" s="100"/>
      <c r="O2" s="14" t="s">
        <v>143</v>
      </c>
    </row>
    <row r="3" spans="1:41">
      <c r="A3" s="770" t="b">
        <v>0</v>
      </c>
      <c r="B3" s="770"/>
      <c r="C3" s="100"/>
      <c r="D3" s="100"/>
      <c r="E3" s="105"/>
      <c r="F3" s="100"/>
      <c r="G3" s="100"/>
      <c r="H3" s="100"/>
      <c r="I3" s="100"/>
      <c r="J3" s="100"/>
      <c r="K3" s="100"/>
      <c r="L3" s="100"/>
      <c r="M3" s="100"/>
      <c r="N3" s="100"/>
      <c r="O3" s="100"/>
    </row>
    <row r="4" spans="1:41">
      <c r="C4" s="100"/>
      <c r="D4" s="677" t="s">
        <v>147</v>
      </c>
      <c r="E4" s="677"/>
      <c r="F4" s="714" t="s">
        <v>146</v>
      </c>
      <c r="G4" s="714"/>
      <c r="H4" s="714"/>
      <c r="I4" s="179" t="s">
        <v>443</v>
      </c>
      <c r="J4" s="677" t="s">
        <v>202</v>
      </c>
      <c r="K4" s="677"/>
      <c r="L4" s="677"/>
      <c r="M4" s="677"/>
      <c r="N4" s="677"/>
      <c r="O4" s="181" t="s">
        <v>332</v>
      </c>
    </row>
    <row r="5" spans="1:41" ht="12.75" customHeight="1">
      <c r="A5" t="s">
        <v>333</v>
      </c>
      <c r="C5" s="100"/>
      <c r="D5" s="674" t="str">
        <f>Import.Proponente</f>
        <v>PREFEITURA MUNICIPAL DE PONTAL</v>
      </c>
      <c r="E5" s="674"/>
      <c r="F5" s="712">
        <f>Import.CR</f>
        <v>0</v>
      </c>
      <c r="G5" s="712"/>
      <c r="H5" s="712"/>
      <c r="I5" s="411" t="str">
        <f>Import.TransfereGOV</f>
        <v>953208-2023</v>
      </c>
      <c r="J5" s="674" t="str">
        <f>Import.Apelido</f>
        <v>RECAPE FEDERAL</v>
      </c>
      <c r="K5" s="674"/>
      <c r="L5" s="674"/>
      <c r="M5" s="674"/>
      <c r="N5" s="674"/>
      <c r="O5" s="412">
        <f>Import.DataInicioObra</f>
        <v>0</v>
      </c>
      <c r="AO5" s="413" t="s">
        <v>334</v>
      </c>
    </row>
    <row r="6" spans="1:41" ht="5.0999999999999996" customHeight="1">
      <c r="C6" s="100"/>
      <c r="D6" s="117"/>
      <c r="E6" s="118"/>
      <c r="F6" s="117"/>
      <c r="G6" s="117"/>
      <c r="H6" s="117"/>
      <c r="I6" s="117"/>
      <c r="J6" s="117"/>
      <c r="K6" s="117"/>
      <c r="L6" s="117"/>
      <c r="M6" s="117"/>
      <c r="N6" s="117"/>
      <c r="O6" s="117"/>
      <c r="AO6" s="414"/>
    </row>
    <row r="7" spans="1:41" ht="12.75" customHeight="1">
      <c r="A7" t="str">
        <f ca="1">RegimeExecucao</f>
        <v>Global</v>
      </c>
      <c r="C7" s="100"/>
      <c r="D7" s="107" t="s">
        <v>335</v>
      </c>
      <c r="E7" s="107" t="s">
        <v>336</v>
      </c>
      <c r="F7" s="677" t="s">
        <v>337</v>
      </c>
      <c r="G7" s="677"/>
      <c r="H7" s="677"/>
      <c r="I7" s="677" t="str">
        <f>IF(TIPOORCAMENTO="Licitado","REGIME DE EXECUÇÃO","MUNICÍPIO / UF")</f>
        <v>MUNICÍPIO / UF</v>
      </c>
      <c r="J7" s="677"/>
      <c r="K7" s="677"/>
      <c r="L7" s="677"/>
      <c r="M7" s="677" t="s">
        <v>338</v>
      </c>
      <c r="N7" s="677"/>
      <c r="O7" s="107" t="s">
        <v>339</v>
      </c>
      <c r="AO7" s="355">
        <f ca="1">BM.MEDAcumulado</f>
        <v>0</v>
      </c>
    </row>
    <row r="8" spans="1:41" ht="12.75" customHeight="1">
      <c r="A8" s="408" t="s">
        <v>340</v>
      </c>
      <c r="B8" s="409"/>
      <c r="C8" s="703" t="s">
        <v>209</v>
      </c>
      <c r="D8" s="415">
        <f>Import.CTEF</f>
        <v>0</v>
      </c>
      <c r="E8" s="68">
        <f>Import.empresa</f>
        <v>0</v>
      </c>
      <c r="F8" s="674">
        <f>Import.CNPJ</f>
        <v>0</v>
      </c>
      <c r="G8" s="674"/>
      <c r="H8" s="674"/>
      <c r="I8" s="674" t="str">
        <f>IF(TIPOORCAMENTO="Licitado",Import.RegimeExecução,Import.Município)</f>
        <v>PONTAL - SP</v>
      </c>
      <c r="J8" s="674"/>
      <c r="K8" s="674"/>
      <c r="L8" s="674"/>
      <c r="M8" s="674" t="str">
        <f ca="1">TEXT(IF(BM.medicao=1,Import.DataInicioObra,OFFSET($AB$12,0,BM.medicao-1-$AB$13)+1),"dd/mm/aaaa")&amp;" a "&amp;TEXT(OFFSET($AB$12,0,BM.medicao-$AB$13),"dd/mm/aaaa")</f>
        <v>00/01/1900 a 00/01/1900</v>
      </c>
      <c r="N8" s="674"/>
      <c r="O8" s="565">
        <v>1</v>
      </c>
    </row>
    <row r="9" spans="1:41" ht="12.75" customHeight="1">
      <c r="A9" s="611" t="b">
        <v>1</v>
      </c>
      <c r="B9" s="50"/>
      <c r="C9" s="703"/>
      <c r="D9" s="16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</row>
    <row r="10" spans="1:41">
      <c r="C10" s="703"/>
      <c r="D10" s="16"/>
      <c r="E10" s="771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771"/>
      <c r="G10" s="771"/>
      <c r="H10" s="771"/>
      <c r="I10" s="771"/>
      <c r="J10" s="100"/>
      <c r="K10" s="100"/>
      <c r="L10" s="100"/>
      <c r="N10" s="772" t="str">
        <f ca="1">"Realizado Acumulado: "&amp;TEXT(ROUND($O$15/($I$15+10^-12),4),"0,00%")</f>
        <v>Realizado Acumulado: 0,00%</v>
      </c>
      <c r="O10" s="772"/>
    </row>
    <row r="11" spans="1:41" ht="15" customHeight="1">
      <c r="C11" s="703"/>
      <c r="D11" s="100"/>
      <c r="E11" s="771"/>
      <c r="F11" s="771"/>
      <c r="G11" s="771"/>
      <c r="H11" s="771"/>
      <c r="I11" s="771"/>
      <c r="J11" s="100"/>
      <c r="K11" s="100"/>
      <c r="L11" s="100"/>
      <c r="M11" s="100"/>
      <c r="N11" s="772"/>
      <c r="O11" s="772"/>
      <c r="T11" s="776" t="s">
        <v>341</v>
      </c>
      <c r="U11" s="776"/>
      <c r="V11" s="96"/>
      <c r="W11" s="96"/>
      <c r="X11" s="96"/>
      <c r="Y11" s="96"/>
      <c r="Z11" s="55"/>
      <c r="AB11" s="773" t="s">
        <v>342</v>
      </c>
      <c r="AC11" s="773"/>
      <c r="AD11" s="773"/>
      <c r="AE11" s="773"/>
      <c r="AF11" s="773"/>
      <c r="AG11" s="773"/>
      <c r="AH11" s="773"/>
      <c r="AI11" s="773"/>
      <c r="AJ11" s="773"/>
      <c r="AK11" s="773"/>
      <c r="AL11" s="773"/>
      <c r="AM11" s="773"/>
    </row>
    <row r="12" spans="1:41" ht="15" customHeight="1">
      <c r="C12" s="703"/>
      <c r="D12" s="100"/>
      <c r="E12" s="195" t="s">
        <v>343</v>
      </c>
      <c r="F12" s="100"/>
      <c r="G12" s="100"/>
      <c r="H12" s="100"/>
      <c r="I12" s="100"/>
      <c r="J12" s="774" t="str">
        <f ca="1">"Evolução Física "&amp;CHOOSE(MATCH(RegimeExecucao,{"Unitário","Global"},0),"(Qtde.)","(%)")</f>
        <v>Evolução Física (%)</v>
      </c>
      <c r="K12" s="774"/>
      <c r="L12" s="774"/>
      <c r="M12" s="774" t="s">
        <v>344</v>
      </c>
      <c r="N12" s="774"/>
      <c r="O12" s="774"/>
      <c r="Q12" s="775" t="str">
        <f ca="1">"Aferido (CAIXA) "&amp;CHOOSE(MATCH(RegimeExecucao,{"Unitário","Global"},0),"(Qtde.)","(%)")</f>
        <v>Aferido (CAIXA) (%)</v>
      </c>
      <c r="R12" s="775"/>
      <c r="T12" s="416" t="s">
        <v>345</v>
      </c>
      <c r="U12" s="224"/>
      <c r="V12" s="224"/>
      <c r="W12" s="224"/>
      <c r="X12" s="224"/>
      <c r="Y12" s="224"/>
      <c r="Z12" s="50"/>
      <c r="AB12" s="417"/>
      <c r="AC12" s="418"/>
      <c r="AD12" s="418"/>
      <c r="AE12" s="418"/>
      <c r="AF12" s="418"/>
      <c r="AG12" s="418"/>
      <c r="AH12" s="418"/>
      <c r="AI12" s="418"/>
      <c r="AJ12" s="418"/>
      <c r="AK12" s="418"/>
      <c r="AL12" s="418"/>
      <c r="AM12" s="419"/>
    </row>
    <row r="13" spans="1:41" ht="45" customHeight="1">
      <c r="A13" s="132" t="s">
        <v>222</v>
      </c>
      <c r="B13" s="132" t="s">
        <v>221</v>
      </c>
      <c r="C13" s="131" t="s">
        <v>217</v>
      </c>
      <c r="D13" s="379" t="s">
        <v>231</v>
      </c>
      <c r="E13" s="379" t="s">
        <v>234</v>
      </c>
      <c r="F13" s="420" t="s">
        <v>235</v>
      </c>
      <c r="G13" s="379" t="s">
        <v>203</v>
      </c>
      <c r="H13" s="379" t="s">
        <v>236</v>
      </c>
      <c r="I13" s="379" t="s">
        <v>237</v>
      </c>
      <c r="J13" s="379" t="s">
        <v>346</v>
      </c>
      <c r="K13" s="379" t="s">
        <v>347</v>
      </c>
      <c r="L13" s="379" t="s">
        <v>348</v>
      </c>
      <c r="M13" s="379" t="s">
        <v>346</v>
      </c>
      <c r="N13" s="379" t="s">
        <v>347</v>
      </c>
      <c r="O13" s="379" t="s">
        <v>348</v>
      </c>
      <c r="Q13" s="379" t="s">
        <v>346</v>
      </c>
      <c r="R13" s="379" t="s">
        <v>348</v>
      </c>
      <c r="T13" s="379" t="s">
        <v>231</v>
      </c>
      <c r="U13" s="379" t="s">
        <v>234</v>
      </c>
      <c r="V13" s="420" t="str">
        <f ca="1">IF(RegimeExecucao="Unitário","Unidade","")</f>
        <v/>
      </c>
      <c r="W13" s="379" t="str">
        <f ca="1">CHOOSE(MATCH(RegimeExecucao,{"Unitário","Global"},0),"Quant. Glosada (unid)","Percentual Glosado (%)")</f>
        <v>Percentual Glosado (%)</v>
      </c>
      <c r="X13" s="379" t="str">
        <f ca="1">CHOOSE(MATCH(RegimeExecucao,{"Unitário","Global"},0),"Preço Unitário (R$)","Valor Total do Item (R$)")</f>
        <v>Valor Total do Item (R$)</v>
      </c>
      <c r="Y13" s="379" t="s">
        <v>349</v>
      </c>
      <c r="Z13" s="379" t="s">
        <v>350</v>
      </c>
      <c r="AA13" s="421"/>
      <c r="AB13" s="422">
        <f ca="1">IF(BM.medicao&lt;=12,1,TRUNC((BM.medicao - 2)/11,0) * 11 + 1)</f>
        <v>1</v>
      </c>
      <c r="AC13" s="422">
        <f ca="1">OFFSET(AC13,0,-1)+1</f>
        <v>2</v>
      </c>
      <c r="AD13" s="422">
        <f t="shared" ref="AD13:AM13" ca="1" si="0">OFFSET(AD13,0,-1)+1</f>
        <v>3</v>
      </c>
      <c r="AE13" s="422">
        <f t="shared" ca="1" si="0"/>
        <v>4</v>
      </c>
      <c r="AF13" s="422">
        <f t="shared" ca="1" si="0"/>
        <v>5</v>
      </c>
      <c r="AG13" s="422">
        <f t="shared" ca="1" si="0"/>
        <v>6</v>
      </c>
      <c r="AH13" s="422">
        <f t="shared" ca="1" si="0"/>
        <v>7</v>
      </c>
      <c r="AI13" s="422">
        <f t="shared" ca="1" si="0"/>
        <v>8</v>
      </c>
      <c r="AJ13" s="422">
        <f t="shared" ca="1" si="0"/>
        <v>9</v>
      </c>
      <c r="AK13" s="422">
        <f t="shared" ca="1" si="0"/>
        <v>10</v>
      </c>
      <c r="AL13" s="422">
        <f t="shared" ca="1" si="0"/>
        <v>11</v>
      </c>
      <c r="AM13" s="422">
        <f t="shared" ca="1" si="0"/>
        <v>12</v>
      </c>
      <c r="AO13" s="132" t="s">
        <v>351</v>
      </c>
    </row>
    <row r="14" spans="1:41" ht="13.8" hidden="1">
      <c r="A14" t="str">
        <f ca="1">ORÇAMENTO!C14</f>
        <v>S</v>
      </c>
      <c r="B14">
        <f ca="1">ORÇAMENTO!D14</f>
        <v>0</v>
      </c>
      <c r="C14" s="139" t="str">
        <f ca="1">IF(OR($I14&gt;0,$A14=1,$A14=2,$A14=3,$A14=4),"F","")</f>
        <v/>
      </c>
      <c r="D14" s="142" t="str">
        <f ca="1">ORÇAMENTO!O14</f>
        <v>-</v>
      </c>
      <c r="E14" s="202" t="str">
        <f ca="1">ORÇAMENTO.Descricao</f>
        <v>(abra o arquivo 'Referência 11-2024.xlsm)</v>
      </c>
      <c r="F14" s="203" t="str">
        <f ca="1">IF(RegimeExecucao="Global","",ORÇAMENTO.Unidade)</f>
        <v/>
      </c>
      <c r="G14" s="147" t="str">
        <f ca="1">IF(RegimeExecucao="Global","",ORÇAMENTO!T14)</f>
        <v/>
      </c>
      <c r="H14" s="147" t="str">
        <f ca="1">IF(RegimeExecucao="Global","",ORÇAMENTO!W14)</f>
        <v/>
      </c>
      <c r="I14" s="150">
        <f ca="1">ORÇAMENTO!X14</f>
        <v>0</v>
      </c>
      <c r="J14" s="423">
        <f ca="1">IF($A14="S",IF(CAIXA.Modo,BM.AFAnterior,BM.MEDAnterior),IF(AND(RegimeExecucao="Global",$I14&gt;0,COUNTIF($AB$13:$AM$13,BM.medicao-1)&gt;0),M14/$I14*100,0))</f>
        <v>0</v>
      </c>
      <c r="K14" s="147">
        <f ca="1">L14-J14</f>
        <v>0</v>
      </c>
      <c r="L14" s="424">
        <f ca="1">IF($A14="S",IF(CAIXA.Modo,BM.AFAcumulado,BM.MEDAcumulado),IF(AND(RegimeExecucao="Global",$I14&gt;0,COUNTIF($AB$13:$AM$13,BM.medicao)&gt;0),O14/$I14*100,0))</f>
        <v>0</v>
      </c>
      <c r="M14" s="425">
        <f ca="1">IF($A14="S",VTOTALBM,IF($A14=0,0,ROUND(SomaAgrupBM,15-13*ORÇAMENTO!$AF$11)))</f>
        <v>0</v>
      </c>
      <c r="N14" s="426">
        <f ca="1">O14-M14</f>
        <v>0</v>
      </c>
      <c r="O14" s="150">
        <f ca="1">IF($A14="S",VTOTALBM,IF($A14=0,0,ROUND(SomaAgrupBM,15-13*ORÇAMENTO!$AF$11)))</f>
        <v>0</v>
      </c>
      <c r="Q14" s="427"/>
      <c r="R14" s="428"/>
      <c r="T14" s="142" t="str">
        <f ca="1">IF($W14&gt;0,$D14,"")</f>
        <v/>
      </c>
      <c r="U14" s="202" t="str">
        <f ca="1">IF($W14&gt;0,$E14,"")</f>
        <v/>
      </c>
      <c r="V14" s="203" t="str">
        <f ca="1">IF(AND($W14&gt;0,RegimeExecucao="Unitário"),$F14,"")</f>
        <v/>
      </c>
      <c r="W14" s="629">
        <f ca="1">IF($Y14&gt;0,CHOOSE(MATCH(RegimeExecucao,{"Unitário","Global"},0),IF($A14="S",$Y14/$X14,""),($Y14/$X14)*100),0)</f>
        <v>0</v>
      </c>
      <c r="X14" s="429" t="str">
        <f ca="1">IF($Y14&gt;0,CHOOSE(MATCH(RegimeExecucao,{"Unitário","Global"},0),IF($A14="S",ROUND($H14,ORÇAMENTO!$AF$10),""),ROUND($I14,ORÇAMENTO!$AF$11)),"")</f>
        <v/>
      </c>
      <c r="Y14" s="429">
        <f ca="1">AO14-O14</f>
        <v>0</v>
      </c>
      <c r="Z14" s="656"/>
      <c r="AB14" s="427"/>
      <c r="AC14" s="594"/>
      <c r="AD14" s="594"/>
      <c r="AE14" s="594"/>
      <c r="AF14" s="594"/>
      <c r="AG14" s="594"/>
      <c r="AH14" s="594"/>
      <c r="AI14" s="594"/>
      <c r="AJ14" s="594"/>
      <c r="AK14" s="594"/>
      <c r="AL14" s="594"/>
      <c r="AM14" s="428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ht="13.8">
      <c r="C15" s="139" t="s">
        <v>246</v>
      </c>
      <c r="D15" s="782" t="str">
        <f>"Objeto do CTEF: "&amp;Import.DescLote</f>
        <v xml:space="preserve">Objeto do CTEF: </v>
      </c>
      <c r="E15" s="782"/>
      <c r="F15" s="630"/>
      <c r="G15" s="631"/>
      <c r="H15" s="631" t="s">
        <v>352</v>
      </c>
      <c r="I15" s="632">
        <f>IF(OR(ACOMPANHAMENTO="PLE",TIPOORCAMENTO="Proposto"),0,ORÇAMENTO!$X$15)</f>
        <v>0</v>
      </c>
      <c r="J15" s="430">
        <f ca="1">IF(M$15=0,0,IF(RegimeExecucao="Global",M$15/$I$15*100,0))</f>
        <v>0</v>
      </c>
      <c r="K15" s="430">
        <f ca="1">L15-J15</f>
        <v>0</v>
      </c>
      <c r="L15" s="430">
        <f ca="1">IF(O$15=0,0,IF(RegimeExecucao="Global",O$15/$I$15*100,0))</f>
        <v>0</v>
      </c>
      <c r="M15" s="431">
        <f ca="1">IF(OR(ACOMPANHAMENTO="PLE",TIPOORCAMENTO="Proposto"),0,SUMIF(OFFSET($A15,1,0):$A$264,"S",OFFSET(M15,1,0):M$264))</f>
        <v>0</v>
      </c>
      <c r="N15" s="431">
        <f ca="1">O15-M15</f>
        <v>0</v>
      </c>
      <c r="O15" s="431">
        <f ca="1">IF(OR(ACOMPANHAMENTO="PLE",TIPOORCAMENTO="Proposto"),0,SUMIF(OFFSET($A15,1,0):$A$264,"S",OFFSET(O15,1,0):O$264))</f>
        <v>0</v>
      </c>
      <c r="Q15" s="432"/>
      <c r="R15" s="432"/>
      <c r="T15" s="433"/>
      <c r="U15" s="434"/>
      <c r="V15" s="434"/>
      <c r="W15" s="434"/>
      <c r="X15" s="434"/>
      <c r="Y15" s="434"/>
      <c r="Z15" s="435"/>
      <c r="AB15" s="778" t="str">
        <f ca="1">"Preencher abaixo com a "&amp;CHOOSE(MATCH(RegimeExecucao,{"Unitário","Global"},0),"QUANTIDADE","PORCENTAGEM")&amp;" executada no PERÍODO"</f>
        <v>Preencher abaixo com a PORCENTAGEM executada no PERÍODO</v>
      </c>
      <c r="AC15" s="778"/>
      <c r="AD15" s="778"/>
      <c r="AE15" s="778"/>
      <c r="AF15" s="778"/>
      <c r="AG15" s="778"/>
      <c r="AH15" s="778"/>
      <c r="AI15" s="778"/>
      <c r="AJ15" s="778"/>
      <c r="AK15" s="778"/>
      <c r="AL15" s="778"/>
      <c r="AM15" s="778"/>
    </row>
    <row r="16" spans="1:41" ht="13.8">
      <c r="A16">
        <f ca="1">ORÇAMENTO!C16</f>
        <v>1</v>
      </c>
      <c r="B16">
        <f ca="1">ORÇAMENTO!D16</f>
        <v>248</v>
      </c>
      <c r="C16" s="139" t="str">
        <f t="shared" ref="C16:C77" ca="1" si="1">IF(OR($I16&gt;0,$A16=1,$A16=2,$A16=3,$A16=4),"F","")</f>
        <v>F</v>
      </c>
      <c r="D16" s="142" t="str">
        <f ca="1">ORÇAMENTO!O16</f>
        <v>1.</v>
      </c>
      <c r="E16" s="202" t="str">
        <f t="shared" ref="E16:E77" si="2">ORÇAMENTO.Descricao</f>
        <v>RECAPEAMENTO ASFALTICO EM DIVERSAS RUAS</v>
      </c>
      <c r="F16" s="203" t="str">
        <f ca="1">IF(RegimeExecucao="Global","",ORÇAMENTO.Unidade)</f>
        <v/>
      </c>
      <c r="G16" s="147" t="str">
        <f ca="1">IF(RegimeExecucao="Global","",ORÇAMENTO!T16)</f>
        <v/>
      </c>
      <c r="H16" s="147" t="str">
        <f ca="1">IF(RegimeExecucao="Global","",ORÇAMENTO!W16)</f>
        <v/>
      </c>
      <c r="I16" s="150">
        <f ca="1">ORÇAMENTO!X16</f>
        <v>1048093.8</v>
      </c>
      <c r="J16" s="423">
        <f ca="1">IF($A16="S",IF(CAIXA.Modo,BM.AFAnterior,BM.MEDAnterior),IF(AND(RegimeExecucao="Global",$I16&gt;0,COUNTIF($AB$13:$AM$13,BM.medicao-1)&gt;0),M16/$I16*100,0))</f>
        <v>0</v>
      </c>
      <c r="K16" s="147">
        <f t="shared" ref="K16:K77" ca="1" si="3">L16-J16</f>
        <v>0</v>
      </c>
      <c r="L16" s="424">
        <f ca="1">IF($A16="S",IF(CAIXA.Modo,BM.AFAcumulado,BM.MEDAcumulado),IF(AND(RegimeExecucao="Global",$I16&gt;0,COUNTIF($AB$13:$AM$13,BM.medicao)&gt;0),O16/$I16*100,0))</f>
        <v>0</v>
      </c>
      <c r="M16" s="425">
        <f ca="1">IF($A16="S",VTOTALBM,IF($A16=0,0,ROUND(SomaAgrupBM,15-13*ORÇAMENTO!$AF$11)))</f>
        <v>0</v>
      </c>
      <c r="N16" s="426">
        <f t="shared" ref="N16:N77" ca="1" si="4">O16-M16</f>
        <v>0</v>
      </c>
      <c r="O16" s="150">
        <f ca="1">IF($A16="S",VTOTALBM,IF($A16=0,0,ROUND(SomaAgrupBM,15-13*ORÇAMENTO!$AF$11)))</f>
        <v>0</v>
      </c>
      <c r="Q16" s="427"/>
      <c r="R16" s="428"/>
      <c r="T16" s="142" t="str">
        <f t="shared" ref="T16:T77" ca="1" si="5">IF($W16&gt;0,$D16,"")</f>
        <v/>
      </c>
      <c r="U16" s="202" t="str">
        <f t="shared" ref="U16:U77" ca="1" si="6">IF($W16&gt;0,$E16,"")</f>
        <v/>
      </c>
      <c r="V16" s="203" t="str">
        <f ca="1">IF(AND($W16&gt;0,RegimeExecucao="Unitário"),$F16,"")</f>
        <v/>
      </c>
      <c r="W16" s="629">
        <f ca="1">IF($Y16&gt;0,CHOOSE(MATCH(RegimeExecucao,{"Unitário","Global"},0),IF($A16="S",$Y16/$X16,""),($Y16/$X16)*100),0)</f>
        <v>0</v>
      </c>
      <c r="X16" s="429" t="str">
        <f ca="1">IF($Y16&gt;0,CHOOSE(MATCH(RegimeExecucao,{"Unitário","Global"},0),IF($A16="S",ROUND($H16,ORÇAMENTO!$AF$10),""),ROUND($I16,ORÇAMENTO!$AF$11)),"")</f>
        <v/>
      </c>
      <c r="Y16" s="429">
        <f t="shared" ref="Y16:Y77" ca="1" si="7">AO16-O16</f>
        <v>0</v>
      </c>
      <c r="Z16" s="656"/>
      <c r="AB16" s="427"/>
      <c r="AC16" s="594"/>
      <c r="AD16" s="594"/>
      <c r="AE16" s="594"/>
      <c r="AF16" s="594"/>
      <c r="AG16" s="594"/>
      <c r="AH16" s="594"/>
      <c r="AI16" s="594"/>
      <c r="AJ16" s="594"/>
      <c r="AK16" s="594"/>
      <c r="AL16" s="594"/>
      <c r="AM16" s="428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ht="13.8">
      <c r="A17">
        <f ca="1">ORÇAMENTO!C17</f>
        <v>2</v>
      </c>
      <c r="B17">
        <f ca="1">ORÇAMENTO!D17</f>
        <v>2</v>
      </c>
      <c r="C17" s="139" t="str">
        <f t="shared" ca="1" si="1"/>
        <v>F</v>
      </c>
      <c r="D17" s="142" t="str">
        <f ca="1">ORÇAMENTO!O17</f>
        <v>1.1.</v>
      </c>
      <c r="E17" s="202" t="str">
        <f t="shared" si="2"/>
        <v>SERVIÇOS PRELIMINARES</v>
      </c>
      <c r="F17" s="203" t="str">
        <f ca="1">IF(RegimeExecucao="Global","",ORÇAMENTO.Unidade)</f>
        <v/>
      </c>
      <c r="G17" s="147" t="str">
        <f ca="1">IF(RegimeExecucao="Global","",ORÇAMENTO!T17)</f>
        <v/>
      </c>
      <c r="H17" s="147" t="str">
        <f ca="1">IF(RegimeExecucao="Global","",ORÇAMENTO!W17)</f>
        <v/>
      </c>
      <c r="I17" s="150">
        <f ca="1">ORÇAMENTO!X17</f>
        <v>4588</v>
      </c>
      <c r="J17" s="423">
        <f ca="1">IF($A17="S",IF(CAIXA.Modo,BM.AFAnterior,BM.MEDAnterior),IF(AND(RegimeExecucao="Global",$I17&gt;0,COUNTIF($AB$13:$AM$13,BM.medicao-1)&gt;0),M17/$I17*100,0))</f>
        <v>0</v>
      </c>
      <c r="K17" s="147">
        <f t="shared" ca="1" si="3"/>
        <v>0</v>
      </c>
      <c r="L17" s="424">
        <f ca="1">IF($A17="S",IF(CAIXA.Modo,BM.AFAcumulado,BM.MEDAcumulado),IF(AND(RegimeExecucao="Global",$I17&gt;0,COUNTIF($AB$13:$AM$13,BM.medicao)&gt;0),O17/$I17*100,0))</f>
        <v>0</v>
      </c>
      <c r="M17" s="425">
        <f ca="1">IF($A17="S",VTOTALBM,IF($A17=0,0,ROUND(SomaAgrupBM,15-13*ORÇAMENTO!$AF$11)))</f>
        <v>0</v>
      </c>
      <c r="N17" s="426">
        <f t="shared" ca="1" si="4"/>
        <v>0</v>
      </c>
      <c r="O17" s="150">
        <f ca="1">IF($A17="S",VTOTALBM,IF($A17=0,0,ROUND(SomaAgrupBM,15-13*ORÇAMENTO!$AF$11)))</f>
        <v>0</v>
      </c>
      <c r="Q17" s="427"/>
      <c r="R17" s="428"/>
      <c r="T17" s="142" t="str">
        <f t="shared" ca="1" si="5"/>
        <v/>
      </c>
      <c r="U17" s="202" t="str">
        <f t="shared" ca="1" si="6"/>
        <v/>
      </c>
      <c r="V17" s="203" t="str">
        <f ca="1">IF(AND($W17&gt;0,RegimeExecucao="Unitário"),$F17,"")</f>
        <v/>
      </c>
      <c r="W17" s="629">
        <f ca="1">IF($Y17&gt;0,CHOOSE(MATCH(RegimeExecucao,{"Unitário","Global"},0),IF($A17="S",$Y17/$X17,""),($Y17/$X17)*100),0)</f>
        <v>0</v>
      </c>
      <c r="X17" s="429" t="str">
        <f ca="1">IF($Y17&gt;0,CHOOSE(MATCH(RegimeExecucao,{"Unitário","Global"},0),IF($A17="S",ROUND($H17,ORÇAMENTO!$AF$10),""),ROUND($I17,ORÇAMENTO!$AF$11)),"")</f>
        <v/>
      </c>
      <c r="Y17" s="429">
        <f t="shared" ca="1" si="7"/>
        <v>0</v>
      </c>
      <c r="Z17" s="656"/>
      <c r="AB17" s="427"/>
      <c r="AC17" s="594"/>
      <c r="AD17" s="594"/>
      <c r="AE17" s="594"/>
      <c r="AF17" s="594"/>
      <c r="AG17" s="594"/>
      <c r="AH17" s="594"/>
      <c r="AI17" s="594"/>
      <c r="AJ17" s="594"/>
      <c r="AK17" s="594"/>
      <c r="AL17" s="594"/>
      <c r="AM17" s="428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ht="26.4">
      <c r="A18" t="str">
        <f ca="1">ORÇAMENTO!C18</f>
        <v>S</v>
      </c>
      <c r="B18">
        <f ca="1">ORÇAMENTO!D18</f>
        <v>0</v>
      </c>
      <c r="C18" s="139" t="str">
        <f t="shared" ca="1" si="1"/>
        <v>F</v>
      </c>
      <c r="D18" s="142" t="str">
        <f ca="1">ORÇAMENTO!O18</f>
        <v>1.1.1.</v>
      </c>
      <c r="E18" s="202" t="str">
        <f t="shared" si="2"/>
        <v>FORNECIMENTO E INSTALAÇÃO DE PLACA DE OBRA COM CHAPA GALVANIZADA E ESTRUTURA DE MADEIRA. AF_03/2022_PS</v>
      </c>
      <c r="F18" s="203" t="str">
        <f ca="1">IF(RegimeExecucao="Global","",ORÇAMENTO.Unidade)</f>
        <v/>
      </c>
      <c r="G18" s="147" t="str">
        <f ca="1">IF(RegimeExecucao="Global","",ORÇAMENTO!T18)</f>
        <v/>
      </c>
      <c r="H18" s="147" t="str">
        <f ca="1">IF(RegimeExecucao="Global","",ORÇAMENTO!W18)</f>
        <v/>
      </c>
      <c r="I18" s="150">
        <f ca="1">ORÇAMENTO!X18</f>
        <v>4588</v>
      </c>
      <c r="J18" s="423">
        <f ca="1">IF($A18="S",IF(CAIXA.Modo,BM.AFAnterior,BM.MEDAnterior),IF(AND(RegimeExecucao="Global",$I18&gt;0,COUNTIF($AB$13:$AM$13,BM.medicao-1)&gt;0),M18/$I18*100,0))</f>
        <v>0</v>
      </c>
      <c r="K18" s="147">
        <f t="shared" ca="1" si="3"/>
        <v>0</v>
      </c>
      <c r="L18" s="424">
        <f ca="1">IF($A18="S",IF(CAIXA.Modo,BM.AFAcumulado,BM.MEDAcumulado),IF(AND(RegimeExecucao="Global",$I18&gt;0,COUNTIF($AB$13:$AM$13,BM.medicao)&gt;0),O18/$I18*100,0))</f>
        <v>0</v>
      </c>
      <c r="M18" s="425">
        <f ca="1">IF($A18="S",VTOTALBM,IF($A18=0,0,ROUND(SomaAgrupBM,15-13*ORÇAMENTO!$AF$11)))</f>
        <v>0</v>
      </c>
      <c r="N18" s="426">
        <f t="shared" ca="1" si="4"/>
        <v>0</v>
      </c>
      <c r="O18" s="150">
        <f ca="1">IF($A18="S",VTOTALBM,IF($A18=0,0,ROUND(SomaAgrupBM,15-13*ORÇAMENTO!$AF$11)))</f>
        <v>0</v>
      </c>
      <c r="Q18" s="427"/>
      <c r="R18" s="428"/>
      <c r="T18" s="142" t="str">
        <f t="shared" ca="1" si="5"/>
        <v/>
      </c>
      <c r="U18" s="202" t="str">
        <f t="shared" ca="1" si="6"/>
        <v/>
      </c>
      <c r="V18" s="203" t="str">
        <f ca="1">IF(AND($W18&gt;0,RegimeExecucao="Unitário"),$F18,"")</f>
        <v/>
      </c>
      <c r="W18" s="629">
        <f ca="1">IF($Y18&gt;0,CHOOSE(MATCH(RegimeExecucao,{"Unitário","Global"},0),IF($A18="S",$Y18/$X18,""),($Y18/$X18)*100),0)</f>
        <v>0</v>
      </c>
      <c r="X18" s="429" t="str">
        <f ca="1">IF($Y18&gt;0,CHOOSE(MATCH(RegimeExecucao,{"Unitário","Global"},0),IF($A18="S",ROUND($H18,ORÇAMENTO!$AF$10),""),ROUND($I18,ORÇAMENTO!$AF$11)),"")</f>
        <v/>
      </c>
      <c r="Y18" s="429">
        <f t="shared" ca="1" si="7"/>
        <v>0</v>
      </c>
      <c r="Z18" s="656"/>
      <c r="AB18" s="427"/>
      <c r="AC18" s="594"/>
      <c r="AD18" s="594"/>
      <c r="AE18" s="594"/>
      <c r="AF18" s="594"/>
      <c r="AG18" s="594"/>
      <c r="AH18" s="594"/>
      <c r="AI18" s="594"/>
      <c r="AJ18" s="594"/>
      <c r="AK18" s="594"/>
      <c r="AL18" s="594"/>
      <c r="AM18" s="428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ht="13.8">
      <c r="A19">
        <f ca="1">ORÇAMENTO!C19</f>
        <v>2</v>
      </c>
      <c r="B19">
        <f ca="1">ORÇAMENTO!D19</f>
        <v>4</v>
      </c>
      <c r="C19" s="139" t="str">
        <f t="shared" ca="1" si="1"/>
        <v>F</v>
      </c>
      <c r="D19" s="142" t="str">
        <f ca="1">ORÇAMENTO!O19</f>
        <v>1.2.</v>
      </c>
      <c r="E19" s="202" t="str">
        <f t="shared" si="2"/>
        <v>RECAPEAMENTO ASFÁLTICO</v>
      </c>
      <c r="F19" s="203" t="str">
        <f ca="1">IF(RegimeExecucao="Global","",ORÇAMENTO.Unidade)</f>
        <v/>
      </c>
      <c r="G19" s="147" t="str">
        <f ca="1">IF(RegimeExecucao="Global","",ORÇAMENTO!T19)</f>
        <v/>
      </c>
      <c r="H19" s="147" t="str">
        <f ca="1">IF(RegimeExecucao="Global","",ORÇAMENTO!W19)</f>
        <v/>
      </c>
      <c r="I19" s="150">
        <f ca="1">ORÇAMENTO!X19</f>
        <v>991066.69</v>
      </c>
      <c r="J19" s="423">
        <f ca="1">IF($A19="S",IF(CAIXA.Modo,BM.AFAnterior,BM.MEDAnterior),IF(AND(RegimeExecucao="Global",$I19&gt;0,COUNTIF($AB$13:$AM$13,BM.medicao-1)&gt;0),M19/$I19*100,0))</f>
        <v>0</v>
      </c>
      <c r="K19" s="147">
        <f t="shared" ca="1" si="3"/>
        <v>0</v>
      </c>
      <c r="L19" s="424">
        <f ca="1">IF($A19="S",IF(CAIXA.Modo,BM.AFAcumulado,BM.MEDAcumulado),IF(AND(RegimeExecucao="Global",$I19&gt;0,COUNTIF($AB$13:$AM$13,BM.medicao)&gt;0),O19/$I19*100,0))</f>
        <v>0</v>
      </c>
      <c r="M19" s="425">
        <f ca="1">IF($A19="S",VTOTALBM,IF($A19=0,0,ROUND(SomaAgrupBM,15-13*ORÇAMENTO!$AF$11)))</f>
        <v>0</v>
      </c>
      <c r="N19" s="426">
        <f t="shared" ca="1" si="4"/>
        <v>0</v>
      </c>
      <c r="O19" s="150">
        <f ca="1">IF($A19="S",VTOTALBM,IF($A19=0,0,ROUND(SomaAgrupBM,15-13*ORÇAMENTO!$AF$11)))</f>
        <v>0</v>
      </c>
      <c r="Q19" s="427"/>
      <c r="R19" s="428"/>
      <c r="T19" s="142" t="str">
        <f t="shared" ca="1" si="5"/>
        <v/>
      </c>
      <c r="U19" s="202" t="str">
        <f t="shared" ca="1" si="6"/>
        <v/>
      </c>
      <c r="V19" s="203" t="str">
        <f ca="1">IF(AND($W19&gt;0,RegimeExecucao="Unitário"),$F19,"")</f>
        <v/>
      </c>
      <c r="W19" s="629">
        <f ca="1">IF($Y19&gt;0,CHOOSE(MATCH(RegimeExecucao,{"Unitário","Global"},0),IF($A19="S",$Y19/$X19,""),($Y19/$X19)*100),0)</f>
        <v>0</v>
      </c>
      <c r="X19" s="429" t="str">
        <f ca="1">IF($Y19&gt;0,CHOOSE(MATCH(RegimeExecucao,{"Unitário","Global"},0),IF($A19="S",ROUND($H19,ORÇAMENTO!$AF$10),""),ROUND($I19,ORÇAMENTO!$AF$11)),"")</f>
        <v/>
      </c>
      <c r="Y19" s="429">
        <f t="shared" ca="1" si="7"/>
        <v>0</v>
      </c>
      <c r="Z19" s="656"/>
      <c r="AB19" s="427"/>
      <c r="AC19" s="594"/>
      <c r="AD19" s="594"/>
      <c r="AE19" s="594"/>
      <c r="AF19" s="594"/>
      <c r="AG19" s="594"/>
      <c r="AH19" s="594"/>
      <c r="AI19" s="594"/>
      <c r="AJ19" s="594"/>
      <c r="AK19" s="594"/>
      <c r="AL19" s="594"/>
      <c r="AM19" s="428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13.8">
      <c r="A20" t="str">
        <f ca="1">ORÇAMENTO!C20</f>
        <v>S</v>
      </c>
      <c r="B20">
        <f ca="1">ORÇAMENTO!D20</f>
        <v>0</v>
      </c>
      <c r="C20" s="139" t="str">
        <f t="shared" ca="1" si="1"/>
        <v>F</v>
      </c>
      <c r="D20" s="142" t="str">
        <f ca="1">ORÇAMENTO!O20</f>
        <v>1.2.1.</v>
      </c>
      <c r="E20" s="202" t="str">
        <f t="shared" si="2"/>
        <v>Varrição de pavimento para recapeamento</v>
      </c>
      <c r="F20" s="203" t="str">
        <f ca="1">IF(RegimeExecucao="Global","",ORÇAMENTO.Unidade)</f>
        <v/>
      </c>
      <c r="G20" s="147" t="str">
        <f ca="1">IF(RegimeExecucao="Global","",ORÇAMENTO!T20)</f>
        <v/>
      </c>
      <c r="H20" s="147" t="str">
        <f ca="1">IF(RegimeExecucao="Global","",ORÇAMENTO!W20)</f>
        <v/>
      </c>
      <c r="I20" s="150">
        <f ca="1">ORÇAMENTO!X20</f>
        <v>19436.61</v>
      </c>
      <c r="J20" s="423">
        <f ca="1">IF($A20="S",IF(CAIXA.Modo,BM.AFAnterior,BM.MEDAnterior),IF(AND(RegimeExecucao="Global",$I20&gt;0,COUNTIF($AB$13:$AM$13,BM.medicao-1)&gt;0),M20/$I20*100,0))</f>
        <v>0</v>
      </c>
      <c r="K20" s="147">
        <f t="shared" ca="1" si="3"/>
        <v>0</v>
      </c>
      <c r="L20" s="424">
        <f ca="1">IF($A20="S",IF(CAIXA.Modo,BM.AFAcumulado,BM.MEDAcumulado),IF(AND(RegimeExecucao="Global",$I20&gt;0,COUNTIF($AB$13:$AM$13,BM.medicao)&gt;0),O20/$I20*100,0))</f>
        <v>0</v>
      </c>
      <c r="M20" s="425">
        <f ca="1">IF($A20="S",VTOTALBM,IF($A20=0,0,ROUND(SomaAgrupBM,15-13*ORÇAMENTO!$AF$11)))</f>
        <v>0</v>
      </c>
      <c r="N20" s="426">
        <f t="shared" ca="1" si="4"/>
        <v>0</v>
      </c>
      <c r="O20" s="150">
        <f ca="1">IF($A20="S",VTOTALBM,IF($A20=0,0,ROUND(SomaAgrupBM,15-13*ORÇAMENTO!$AF$11)))</f>
        <v>0</v>
      </c>
      <c r="Q20" s="427"/>
      <c r="R20" s="428"/>
      <c r="T20" s="142" t="str">
        <f t="shared" ca="1" si="5"/>
        <v/>
      </c>
      <c r="U20" s="202" t="str">
        <f t="shared" ca="1" si="6"/>
        <v/>
      </c>
      <c r="V20" s="203" t="str">
        <f ca="1">IF(AND($W20&gt;0,RegimeExecucao="Unitário"),$F20,"")</f>
        <v/>
      </c>
      <c r="W20" s="629">
        <f ca="1">IF($Y20&gt;0,CHOOSE(MATCH(RegimeExecucao,{"Unitário","Global"},0),IF($A20="S",$Y20/$X20,""),($Y20/$X20)*100),0)</f>
        <v>0</v>
      </c>
      <c r="X20" s="429" t="str">
        <f ca="1">IF($Y20&gt;0,CHOOSE(MATCH(RegimeExecucao,{"Unitário","Global"},0),IF($A20="S",ROUND($H20,ORÇAMENTO!$AF$10),""),ROUND($I20,ORÇAMENTO!$AF$11)),"")</f>
        <v/>
      </c>
      <c r="Y20" s="429">
        <f t="shared" ca="1" si="7"/>
        <v>0</v>
      </c>
      <c r="Z20" s="656"/>
      <c r="AB20" s="427"/>
      <c r="AC20" s="594"/>
      <c r="AD20" s="594"/>
      <c r="AE20" s="594"/>
      <c r="AF20" s="594"/>
      <c r="AG20" s="594"/>
      <c r="AH20" s="594"/>
      <c r="AI20" s="594"/>
      <c r="AJ20" s="594"/>
      <c r="AK20" s="594"/>
      <c r="AL20" s="594"/>
      <c r="AM20" s="428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ht="13.8">
      <c r="A21" t="str">
        <f ca="1">ORÇAMENTO!C21</f>
        <v>S</v>
      </c>
      <c r="B21">
        <f ca="1">ORÇAMENTO!D21</f>
        <v>0</v>
      </c>
      <c r="C21" s="139" t="str">
        <f t="shared" ca="1" si="1"/>
        <v>F</v>
      </c>
      <c r="D21" s="142" t="str">
        <f ca="1">ORÇAMENTO!O21</f>
        <v>1.2.2.</v>
      </c>
      <c r="E21" s="202" t="str">
        <f t="shared" si="2"/>
        <v>Imprimação betuminosa ligante</v>
      </c>
      <c r="F21" s="203" t="str">
        <f ca="1">IF(RegimeExecucao="Global","",ORÇAMENTO.Unidade)</f>
        <v/>
      </c>
      <c r="G21" s="147" t="str">
        <f ca="1">IF(RegimeExecucao="Global","",ORÇAMENTO!T21)</f>
        <v/>
      </c>
      <c r="H21" s="147" t="str">
        <f ca="1">IF(RegimeExecucao="Global","",ORÇAMENTO!W21)</f>
        <v/>
      </c>
      <c r="I21" s="150">
        <f ca="1">ORÇAMENTO!X21</f>
        <v>146052.26</v>
      </c>
      <c r="J21" s="423">
        <f ca="1">IF($A21="S",IF(CAIXA.Modo,BM.AFAnterior,BM.MEDAnterior),IF(AND(RegimeExecucao="Global",$I21&gt;0,COUNTIF($AB$13:$AM$13,BM.medicao-1)&gt;0),M21/$I21*100,0))</f>
        <v>0</v>
      </c>
      <c r="K21" s="147">
        <f t="shared" ca="1" si="3"/>
        <v>0</v>
      </c>
      <c r="L21" s="424">
        <f ca="1">IF($A21="S",IF(CAIXA.Modo,BM.AFAcumulado,BM.MEDAcumulado),IF(AND(RegimeExecucao="Global",$I21&gt;0,COUNTIF($AB$13:$AM$13,BM.medicao)&gt;0),O21/$I21*100,0))</f>
        <v>0</v>
      </c>
      <c r="M21" s="425">
        <f ca="1">IF($A21="S",VTOTALBM,IF($A21=0,0,ROUND(SomaAgrupBM,15-13*ORÇAMENTO!$AF$11)))</f>
        <v>0</v>
      </c>
      <c r="N21" s="426">
        <f t="shared" ca="1" si="4"/>
        <v>0</v>
      </c>
      <c r="O21" s="150">
        <f ca="1">IF($A21="S",VTOTALBM,IF($A21=0,0,ROUND(SomaAgrupBM,15-13*ORÇAMENTO!$AF$11)))</f>
        <v>0</v>
      </c>
      <c r="Q21" s="427"/>
      <c r="R21" s="428"/>
      <c r="T21" s="142" t="str">
        <f t="shared" ca="1" si="5"/>
        <v/>
      </c>
      <c r="U21" s="202" t="str">
        <f t="shared" ca="1" si="6"/>
        <v/>
      </c>
      <c r="V21" s="203" t="str">
        <f ca="1">IF(AND($W21&gt;0,RegimeExecucao="Unitário"),$F21,"")</f>
        <v/>
      </c>
      <c r="W21" s="629">
        <f ca="1">IF($Y21&gt;0,CHOOSE(MATCH(RegimeExecucao,{"Unitário","Global"},0),IF($A21="S",$Y21/$X21,""),($Y21/$X21)*100),0)</f>
        <v>0</v>
      </c>
      <c r="X21" s="429" t="str">
        <f ca="1">IF($Y21&gt;0,CHOOSE(MATCH(RegimeExecucao,{"Unitário","Global"},0),IF($A21="S",ROUND($H21,ORÇAMENTO!$AF$10),""),ROUND($I21,ORÇAMENTO!$AF$11)),"")</f>
        <v/>
      </c>
      <c r="Y21" s="429">
        <f t="shared" ca="1" si="7"/>
        <v>0</v>
      </c>
      <c r="Z21" s="656"/>
      <c r="AB21" s="427"/>
      <c r="AC21" s="594"/>
      <c r="AD21" s="594"/>
      <c r="AE21" s="594"/>
      <c r="AF21" s="594"/>
      <c r="AG21" s="594"/>
      <c r="AH21" s="594"/>
      <c r="AI21" s="594"/>
      <c r="AJ21" s="594"/>
      <c r="AK21" s="594"/>
      <c r="AL21" s="594"/>
      <c r="AM21" s="428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ht="39.6">
      <c r="A22" t="str">
        <f ca="1">ORÇAMENTO!C22</f>
        <v>S</v>
      </c>
      <c r="B22">
        <f ca="1">ORÇAMENTO!D22</f>
        <v>0</v>
      </c>
      <c r="C22" s="139" t="str">
        <f ca="1">IF(OR($I22&gt;0,$A22=1,$A22=2,$A22=3,$A22=4),"F","")</f>
        <v>F</v>
      </c>
      <c r="D22" s="142" t="str">
        <f ca="1">ORÇAMENTO!O22</f>
        <v>1.2.3.</v>
      </c>
      <c r="E22" s="202" t="str">
        <f t="shared" ref="E22:E27" si="8">ORÇAMENTO.Descricao</f>
        <v>EXECUÇÃO DE PAVIMENTO COM APLICAÇÃO DE CONCRETO ASFÁLTICO, CAMADA DE ROLAMENTO - EXCLUSIVE CARGA E TRANSPORTE. AF_11/2019</v>
      </c>
      <c r="F22" s="203" t="str">
        <f ca="1">IF(RegimeExecucao="Global","",ORÇAMENTO.Unidade)</f>
        <v/>
      </c>
      <c r="G22" s="147" t="str">
        <f ca="1">IF(RegimeExecucao="Global","",ORÇAMENTO!T22)</f>
        <v/>
      </c>
      <c r="H22" s="147" t="str">
        <f ca="1">IF(RegimeExecucao="Global","",ORÇAMENTO!W22)</f>
        <v/>
      </c>
      <c r="I22" s="150">
        <f ca="1">ORÇAMENTO!X22</f>
        <v>825577.82</v>
      </c>
      <c r="J22" s="423">
        <f ca="1">IF($A22="S",IF(CAIXA.Modo,BM.AFAnterior,BM.MEDAnterior),IF(AND(RegimeExecucao="Global",$I22&gt;0,COUNTIF($AB$13:$AM$13,BM.medicao-1)&gt;0),M22/$I22*100,0))</f>
        <v>0</v>
      </c>
      <c r="K22" s="147">
        <f ca="1">L22-J22</f>
        <v>0</v>
      </c>
      <c r="L22" s="424">
        <f ca="1">IF($A22="S",IF(CAIXA.Modo,BM.AFAcumulado,BM.MEDAcumulado),IF(AND(RegimeExecucao="Global",$I22&gt;0,COUNTIF($AB$13:$AM$13,BM.medicao)&gt;0),O22/$I22*100,0))</f>
        <v>0</v>
      </c>
      <c r="M22" s="425">
        <f ca="1">IF($A22="S",VTOTALBM,IF($A22=0,0,ROUND(SomaAgrupBM,15-13*ORÇAMENTO!$AF$11)))</f>
        <v>0</v>
      </c>
      <c r="N22" s="426">
        <f ca="1">O22-M22</f>
        <v>0</v>
      </c>
      <c r="O22" s="150">
        <f ca="1">IF($A22="S",VTOTALBM,IF($A22=0,0,ROUND(SomaAgrupBM,15-13*ORÇAMENTO!$AF$11)))</f>
        <v>0</v>
      </c>
      <c r="Q22" s="427"/>
      <c r="R22" s="428"/>
      <c r="T22" s="142" t="str">
        <f ca="1">IF($W22&gt;0,$D22,"")</f>
        <v/>
      </c>
      <c r="U22" s="202" t="str">
        <f ca="1">IF($W22&gt;0,$E22,"")</f>
        <v/>
      </c>
      <c r="V22" s="203" t="str">
        <f ca="1">IF(AND($W22&gt;0,RegimeExecucao="Unitário"),$F22,"")</f>
        <v/>
      </c>
      <c r="W22" s="629">
        <f ca="1">IF($Y22&gt;0,CHOOSE(MATCH(RegimeExecucao,{"Unitário","Global"},0),IF($A22="S",$Y22/$X22,""),($Y22/$X22)*100),0)</f>
        <v>0</v>
      </c>
      <c r="X22" s="429" t="str">
        <f ca="1">IF($Y22&gt;0,CHOOSE(MATCH(RegimeExecucao,{"Unitário","Global"},0),IF($A22="S",ROUND($H22,ORÇAMENTO!$AF$10),""),ROUND($I22,ORÇAMENTO!$AF$11)),"")</f>
        <v/>
      </c>
      <c r="Y22" s="429">
        <f ca="1">AO22-O22</f>
        <v>0</v>
      </c>
      <c r="Z22" s="656"/>
      <c r="AB22" s="427"/>
      <c r="AC22" s="594"/>
      <c r="AD22" s="594"/>
      <c r="AE22" s="594"/>
      <c r="AF22" s="594"/>
      <c r="AG22" s="594"/>
      <c r="AH22" s="594"/>
      <c r="AI22" s="594"/>
      <c r="AJ22" s="594"/>
      <c r="AK22" s="594"/>
      <c r="AL22" s="594"/>
      <c r="AM22" s="428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13.8">
      <c r="A23">
        <f ca="1">ORÇAMENTO!C23</f>
        <v>2</v>
      </c>
      <c r="B23">
        <f ca="1">ORÇAMENTO!D23</f>
        <v>5</v>
      </c>
      <c r="C23" s="139" t="str">
        <f t="shared" ref="C23:C27" ca="1" si="9">IF(OR($I23&gt;0,$A23=1,$A23=2,$A23=3,$A23=4),"F","")</f>
        <v>F</v>
      </c>
      <c r="D23" s="142" t="str">
        <f ca="1">ORÇAMENTO!O23</f>
        <v>1.3.</v>
      </c>
      <c r="E23" s="202" t="str">
        <f t="shared" si="8"/>
        <v>CALÇADAS</v>
      </c>
      <c r="F23" s="203" t="str">
        <f ca="1">IF(RegimeExecucao="Global","",ORÇAMENTO.Unidade)</f>
        <v/>
      </c>
      <c r="G23" s="147" t="str">
        <f ca="1">IF(RegimeExecucao="Global","",ORÇAMENTO!T23)</f>
        <v/>
      </c>
      <c r="H23" s="147" t="str">
        <f ca="1">IF(RegimeExecucao="Global","",ORÇAMENTO!W23)</f>
        <v/>
      </c>
      <c r="I23" s="150">
        <f ca="1">ORÇAMENTO!X23</f>
        <v>22655.3</v>
      </c>
      <c r="J23" s="423">
        <f ca="1">IF($A23="S",IF(CAIXA.Modo,BM.AFAnterior,BM.MEDAnterior),IF(AND(RegimeExecucao="Global",$I23&gt;0,COUNTIF($AB$13:$AM$13,BM.medicao-1)&gt;0),M23/$I23*100,0))</f>
        <v>0</v>
      </c>
      <c r="K23" s="147">
        <f t="shared" ref="K23:K27" ca="1" si="10">L23-J23</f>
        <v>0</v>
      </c>
      <c r="L23" s="424">
        <f ca="1">IF($A23="S",IF(CAIXA.Modo,BM.AFAcumulado,BM.MEDAcumulado),IF(AND(RegimeExecucao="Global",$I23&gt;0,COUNTIF($AB$13:$AM$13,BM.medicao)&gt;0),O23/$I23*100,0))</f>
        <v>0</v>
      </c>
      <c r="M23" s="425">
        <f ca="1">IF($A23="S",VTOTALBM,IF($A23=0,0,ROUND(SomaAgrupBM,15-13*ORÇAMENTO!$AF$11)))</f>
        <v>0</v>
      </c>
      <c r="N23" s="426">
        <f t="shared" ref="N23:N27" ca="1" si="11">O23-M23</f>
        <v>0</v>
      </c>
      <c r="O23" s="150">
        <f ca="1">IF($A23="S",VTOTALBM,IF($A23=0,0,ROUND(SomaAgrupBM,15-13*ORÇAMENTO!$AF$11)))</f>
        <v>0</v>
      </c>
      <c r="Q23" s="427"/>
      <c r="R23" s="428"/>
      <c r="T23" s="142" t="str">
        <f t="shared" ref="T23:T27" ca="1" si="12">IF($W23&gt;0,$D23,"")</f>
        <v/>
      </c>
      <c r="U23" s="202" t="str">
        <f t="shared" ref="U23:U27" ca="1" si="13">IF($W23&gt;0,$E23,"")</f>
        <v/>
      </c>
      <c r="V23" s="203" t="str">
        <f ca="1">IF(AND($W23&gt;0,RegimeExecucao="Unitário"),$F23,"")</f>
        <v/>
      </c>
      <c r="W23" s="629">
        <f ca="1">IF($Y23&gt;0,CHOOSE(MATCH(RegimeExecucao,{"Unitário","Global"},0),IF($A23="S",$Y23/$X23,""),($Y23/$X23)*100),0)</f>
        <v>0</v>
      </c>
      <c r="X23" s="429" t="str">
        <f ca="1">IF($Y23&gt;0,CHOOSE(MATCH(RegimeExecucao,{"Unitário","Global"},0),IF($A23="S",ROUND($H23,ORÇAMENTO!$AF$10),""),ROUND($I23,ORÇAMENTO!$AF$11)),"")</f>
        <v/>
      </c>
      <c r="Y23" s="429">
        <f t="shared" ref="Y23:Y27" ca="1" si="14">AO23-O23</f>
        <v>0</v>
      </c>
      <c r="Z23" s="656"/>
      <c r="AB23" s="427"/>
      <c r="AC23" s="594"/>
      <c r="AD23" s="594"/>
      <c r="AE23" s="594"/>
      <c r="AF23" s="594"/>
      <c r="AG23" s="594"/>
      <c r="AH23" s="594"/>
      <c r="AI23" s="594"/>
      <c r="AJ23" s="594"/>
      <c r="AK23" s="594"/>
      <c r="AL23" s="594"/>
      <c r="AM23" s="428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ht="26.4">
      <c r="A24" t="str">
        <f ca="1">ORÇAMENTO!C24</f>
        <v>S</v>
      </c>
      <c r="B24">
        <f ca="1">ORÇAMENTO!D24</f>
        <v>0</v>
      </c>
      <c r="C24" s="139" t="str">
        <f t="shared" ca="1" si="9"/>
        <v>F</v>
      </c>
      <c r="D24" s="142" t="str">
        <f ca="1">ORÇAMENTO!O24</f>
        <v>1.3.1.</v>
      </c>
      <c r="E24" s="202" t="str">
        <f t="shared" si="8"/>
        <v>Regularização e compactação mecanizada de superfície, sem controle do proctor normal</v>
      </c>
      <c r="F24" s="203" t="str">
        <f ca="1">IF(RegimeExecucao="Global","",ORÇAMENTO.Unidade)</f>
        <v/>
      </c>
      <c r="G24" s="147" t="str">
        <f ca="1">IF(RegimeExecucao="Global","",ORÇAMENTO!T24)</f>
        <v/>
      </c>
      <c r="H24" s="147" t="str">
        <f ca="1">IF(RegimeExecucao="Global","",ORÇAMENTO!W24)</f>
        <v/>
      </c>
      <c r="I24" s="150">
        <f ca="1">ORÇAMENTO!X24</f>
        <v>1256.3399999999999</v>
      </c>
      <c r="J24" s="423">
        <f ca="1">IF($A24="S",IF(CAIXA.Modo,BM.AFAnterior,BM.MEDAnterior),IF(AND(RegimeExecucao="Global",$I24&gt;0,COUNTIF($AB$13:$AM$13,BM.medicao-1)&gt;0),M24/$I24*100,0))</f>
        <v>0</v>
      </c>
      <c r="K24" s="147">
        <f t="shared" ca="1" si="10"/>
        <v>0</v>
      </c>
      <c r="L24" s="424">
        <f ca="1">IF($A24="S",IF(CAIXA.Modo,BM.AFAcumulado,BM.MEDAcumulado),IF(AND(RegimeExecucao="Global",$I24&gt;0,COUNTIF($AB$13:$AM$13,BM.medicao)&gt;0),O24/$I24*100,0))</f>
        <v>0</v>
      </c>
      <c r="M24" s="425">
        <f ca="1">IF($A24="S",VTOTALBM,IF($A24=0,0,ROUND(SomaAgrupBM,15-13*ORÇAMENTO!$AF$11)))</f>
        <v>0</v>
      </c>
      <c r="N24" s="426">
        <f t="shared" ca="1" si="11"/>
        <v>0</v>
      </c>
      <c r="O24" s="150">
        <f ca="1">IF($A24="S",VTOTALBM,IF($A24=0,0,ROUND(SomaAgrupBM,15-13*ORÇAMENTO!$AF$11)))</f>
        <v>0</v>
      </c>
      <c r="Q24" s="427"/>
      <c r="R24" s="428"/>
      <c r="T24" s="142" t="str">
        <f t="shared" ca="1" si="12"/>
        <v/>
      </c>
      <c r="U24" s="202" t="str">
        <f t="shared" ca="1" si="13"/>
        <v/>
      </c>
      <c r="V24" s="203" t="str">
        <f ca="1">IF(AND($W24&gt;0,RegimeExecucao="Unitário"),$F24,"")</f>
        <v/>
      </c>
      <c r="W24" s="629">
        <f ca="1">IF($Y24&gt;0,CHOOSE(MATCH(RegimeExecucao,{"Unitário","Global"},0),IF($A24="S",$Y24/$X24,""),($Y24/$X24)*100),0)</f>
        <v>0</v>
      </c>
      <c r="X24" s="429" t="str">
        <f ca="1">IF($Y24&gt;0,CHOOSE(MATCH(RegimeExecucao,{"Unitário","Global"},0),IF($A24="S",ROUND($H24,ORÇAMENTO!$AF$10),""),ROUND($I24,ORÇAMENTO!$AF$11)),"")</f>
        <v/>
      </c>
      <c r="Y24" s="429">
        <f t="shared" ca="1" si="14"/>
        <v>0</v>
      </c>
      <c r="Z24" s="656"/>
      <c r="AB24" s="427"/>
      <c r="AC24" s="594"/>
      <c r="AD24" s="594"/>
      <c r="AE24" s="594"/>
      <c r="AF24" s="594"/>
      <c r="AG24" s="594"/>
      <c r="AH24" s="594"/>
      <c r="AI24" s="594"/>
      <c r="AJ24" s="594"/>
      <c r="AK24" s="594"/>
      <c r="AL24" s="594"/>
      <c r="AM24" s="428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ht="26.4">
      <c r="A25" t="str">
        <f ca="1">ORÇAMENTO!C25</f>
        <v>S</v>
      </c>
      <c r="B25">
        <f ca="1">ORÇAMENTO!D25</f>
        <v>0</v>
      </c>
      <c r="C25" s="139" t="str">
        <f t="shared" ca="1" si="9"/>
        <v>F</v>
      </c>
      <c r="D25" s="142" t="str">
        <f ca="1">ORÇAMENTO!O25</f>
        <v>1.3.2.</v>
      </c>
      <c r="E25" s="202" t="str">
        <f t="shared" si="8"/>
        <v>LASTRO COM MATERIAL GRANULAR, APLICADO EM PISOS OU LAJES SOBRE SOLO, ESPESSURA DE *5 CM*. AF_01/2024</v>
      </c>
      <c r="F25" s="203" t="str">
        <f ca="1">IF(RegimeExecucao="Global","",ORÇAMENTO.Unidade)</f>
        <v/>
      </c>
      <c r="G25" s="147" t="str">
        <f ca="1">IF(RegimeExecucao="Global","",ORÇAMENTO!T25)</f>
        <v/>
      </c>
      <c r="H25" s="147" t="str">
        <f ca="1">IF(RegimeExecucao="Global","",ORÇAMENTO!W25)</f>
        <v/>
      </c>
      <c r="I25" s="150">
        <f ca="1">ORÇAMENTO!X25</f>
        <v>3477.82</v>
      </c>
      <c r="J25" s="423">
        <f ca="1">IF($A25="S",IF(CAIXA.Modo,BM.AFAnterior,BM.MEDAnterior),IF(AND(RegimeExecucao="Global",$I25&gt;0,COUNTIF($AB$13:$AM$13,BM.medicao-1)&gt;0),M25/$I25*100,0))</f>
        <v>0</v>
      </c>
      <c r="K25" s="147">
        <f t="shared" ca="1" si="10"/>
        <v>0</v>
      </c>
      <c r="L25" s="424">
        <f ca="1">IF($A25="S",IF(CAIXA.Modo,BM.AFAcumulado,BM.MEDAcumulado),IF(AND(RegimeExecucao="Global",$I25&gt;0,COUNTIF($AB$13:$AM$13,BM.medicao)&gt;0),O25/$I25*100,0))</f>
        <v>0</v>
      </c>
      <c r="M25" s="425">
        <f ca="1">IF($A25="S",VTOTALBM,IF($A25=0,0,ROUND(SomaAgrupBM,15-13*ORÇAMENTO!$AF$11)))</f>
        <v>0</v>
      </c>
      <c r="N25" s="426">
        <f t="shared" ca="1" si="11"/>
        <v>0</v>
      </c>
      <c r="O25" s="150">
        <f ca="1">IF($A25="S",VTOTALBM,IF($A25=0,0,ROUND(SomaAgrupBM,15-13*ORÇAMENTO!$AF$11)))</f>
        <v>0</v>
      </c>
      <c r="Q25" s="427"/>
      <c r="R25" s="428"/>
      <c r="T25" s="142" t="str">
        <f t="shared" ca="1" si="12"/>
        <v/>
      </c>
      <c r="U25" s="202" t="str">
        <f t="shared" ca="1" si="13"/>
        <v/>
      </c>
      <c r="V25" s="203" t="str">
        <f ca="1">IF(AND($W25&gt;0,RegimeExecucao="Unitário"),$F25,"")</f>
        <v/>
      </c>
      <c r="W25" s="629">
        <f ca="1">IF($Y25&gt;0,CHOOSE(MATCH(RegimeExecucao,{"Unitário","Global"},0),IF($A25="S",$Y25/$X25,""),($Y25/$X25)*100),0)</f>
        <v>0</v>
      </c>
      <c r="X25" s="429" t="str">
        <f ca="1">IF($Y25&gt;0,CHOOSE(MATCH(RegimeExecucao,{"Unitário","Global"},0),IF($A25="S",ROUND($H25,ORÇAMENTO!$AF$10),""),ROUND($I25,ORÇAMENTO!$AF$11)),"")</f>
        <v/>
      </c>
      <c r="Y25" s="429">
        <f t="shared" ca="1" si="14"/>
        <v>0</v>
      </c>
      <c r="Z25" s="656"/>
      <c r="AB25" s="427"/>
      <c r="AC25" s="594"/>
      <c r="AD25" s="594"/>
      <c r="AE25" s="594"/>
      <c r="AF25" s="594"/>
      <c r="AG25" s="594"/>
      <c r="AH25" s="594"/>
      <c r="AI25" s="594"/>
      <c r="AJ25" s="594"/>
      <c r="AK25" s="594"/>
      <c r="AL25" s="594"/>
      <c r="AM25" s="428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39.6">
      <c r="A26" t="str">
        <f ca="1">ORÇAMENTO!C26</f>
        <v>S</v>
      </c>
      <c r="B26">
        <f ca="1">ORÇAMENTO!D26</f>
        <v>0</v>
      </c>
      <c r="C26" s="139" t="str">
        <f t="shared" ca="1" si="9"/>
        <v>F</v>
      </c>
      <c r="D26" s="142" t="str">
        <f ca="1">ORÇAMENTO!O26</f>
        <v>1.3.3.</v>
      </c>
      <c r="E26" s="202" t="str">
        <f t="shared" si="8"/>
        <v>EXECUÇÃO DE PASSEIO (CALÇADA) OU PISO DE CONCRETO COM CONCRETO MOLDADO IN LOCO, USINADO C20, ACABAMENTO CONVENCIONAL, NÃO ARMADO. AF_08/2022</v>
      </c>
      <c r="F26" s="203" t="str">
        <f ca="1">IF(RegimeExecucao="Global","",ORÇAMENTO.Unidade)</f>
        <v/>
      </c>
      <c r="G26" s="147" t="str">
        <f ca="1">IF(RegimeExecucao="Global","",ORÇAMENTO!T26)</f>
        <v/>
      </c>
      <c r="H26" s="147" t="str">
        <f ca="1">IF(RegimeExecucao="Global","",ORÇAMENTO!W26)</f>
        <v/>
      </c>
      <c r="I26" s="150">
        <f ca="1">ORÇAMENTO!X26</f>
        <v>16163.19</v>
      </c>
      <c r="J26" s="423">
        <f ca="1">IF($A26="S",IF(CAIXA.Modo,BM.AFAnterior,BM.MEDAnterior),IF(AND(RegimeExecucao="Global",$I26&gt;0,COUNTIF($AB$13:$AM$13,BM.medicao-1)&gt;0),M26/$I26*100,0))</f>
        <v>0</v>
      </c>
      <c r="K26" s="147">
        <f t="shared" ca="1" si="10"/>
        <v>0</v>
      </c>
      <c r="L26" s="424">
        <f ca="1">IF($A26="S",IF(CAIXA.Modo,BM.AFAcumulado,BM.MEDAcumulado),IF(AND(RegimeExecucao="Global",$I26&gt;0,COUNTIF($AB$13:$AM$13,BM.medicao)&gt;0),O26/$I26*100,0))</f>
        <v>0</v>
      </c>
      <c r="M26" s="425">
        <f ca="1">IF($A26="S",VTOTALBM,IF($A26=0,0,ROUND(SomaAgrupBM,15-13*ORÇAMENTO!$AF$11)))</f>
        <v>0</v>
      </c>
      <c r="N26" s="426">
        <f t="shared" ca="1" si="11"/>
        <v>0</v>
      </c>
      <c r="O26" s="150">
        <f ca="1">IF($A26="S",VTOTALBM,IF($A26=0,0,ROUND(SomaAgrupBM,15-13*ORÇAMENTO!$AF$11)))</f>
        <v>0</v>
      </c>
      <c r="Q26" s="427"/>
      <c r="R26" s="428"/>
      <c r="T26" s="142" t="str">
        <f t="shared" ca="1" si="12"/>
        <v/>
      </c>
      <c r="U26" s="202" t="str">
        <f t="shared" ca="1" si="13"/>
        <v/>
      </c>
      <c r="V26" s="203" t="str">
        <f ca="1">IF(AND($W26&gt;0,RegimeExecucao="Unitário"),$F26,"")</f>
        <v/>
      </c>
      <c r="W26" s="629">
        <f ca="1">IF($Y26&gt;0,CHOOSE(MATCH(RegimeExecucao,{"Unitário","Global"},0),IF($A26="S",$Y26/$X26,""),($Y26/$X26)*100),0)</f>
        <v>0</v>
      </c>
      <c r="X26" s="429" t="str">
        <f ca="1">IF($Y26&gt;0,CHOOSE(MATCH(RegimeExecucao,{"Unitário","Global"},0),IF($A26="S",ROUND($H26,ORÇAMENTO!$AF$10),""),ROUND($I26,ORÇAMENTO!$AF$11)),"")</f>
        <v/>
      </c>
      <c r="Y26" s="429">
        <f t="shared" ca="1" si="14"/>
        <v>0</v>
      </c>
      <c r="Z26" s="656"/>
      <c r="AB26" s="427"/>
      <c r="AC26" s="594"/>
      <c r="AD26" s="594"/>
      <c r="AE26" s="594"/>
      <c r="AF26" s="594"/>
      <c r="AG26" s="594"/>
      <c r="AH26" s="594"/>
      <c r="AI26" s="594"/>
      <c r="AJ26" s="594"/>
      <c r="AK26" s="594"/>
      <c r="AL26" s="594"/>
      <c r="AM26" s="428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9.6">
      <c r="A27" t="str">
        <f ca="1">ORÇAMENTO!C27</f>
        <v>S</v>
      </c>
      <c r="B27">
        <f ca="1">ORÇAMENTO!D27</f>
        <v>0</v>
      </c>
      <c r="C27" s="139" t="str">
        <f t="shared" ca="1" si="9"/>
        <v>F</v>
      </c>
      <c r="D27" s="142" t="str">
        <f ca="1">ORÇAMENTO!O27</f>
        <v>1.3.4.</v>
      </c>
      <c r="E27" s="202" t="str">
        <f t="shared" si="8"/>
        <v>RAMPA DE ACESSIBILIDADE EM CONCRETO MOLDADO IN LOCO, EM CALÇADA NOVA COM LARGURA MENOR À 3,00 M, FCK 25MPA, COM PISO PODOTÁTIL. AF_03/2024</v>
      </c>
      <c r="F27" s="203" t="str">
        <f ca="1">IF(RegimeExecucao="Global","",ORÇAMENTO.Unidade)</f>
        <v/>
      </c>
      <c r="G27" s="147" t="str">
        <f ca="1">IF(RegimeExecucao="Global","",ORÇAMENTO!T27)</f>
        <v/>
      </c>
      <c r="H27" s="147" t="str">
        <f ca="1">IF(RegimeExecucao="Global","",ORÇAMENTO!W27)</f>
        <v/>
      </c>
      <c r="I27" s="150">
        <f ca="1">ORÇAMENTO!X27</f>
        <v>1757.95</v>
      </c>
      <c r="J27" s="423">
        <f ca="1">IF($A27="S",IF(CAIXA.Modo,BM.AFAnterior,BM.MEDAnterior),IF(AND(RegimeExecucao="Global",$I27&gt;0,COUNTIF($AB$13:$AM$13,BM.medicao-1)&gt;0),M27/$I27*100,0))</f>
        <v>0</v>
      </c>
      <c r="K27" s="147">
        <f t="shared" ca="1" si="10"/>
        <v>0</v>
      </c>
      <c r="L27" s="424">
        <f ca="1">IF($A27="S",IF(CAIXA.Modo,BM.AFAcumulado,BM.MEDAcumulado),IF(AND(RegimeExecucao="Global",$I27&gt;0,COUNTIF($AB$13:$AM$13,BM.medicao)&gt;0),O27/$I27*100,0))</f>
        <v>0</v>
      </c>
      <c r="M27" s="425">
        <f ca="1">IF($A27="S",VTOTALBM,IF($A27=0,0,ROUND(SomaAgrupBM,15-13*ORÇAMENTO!$AF$11)))</f>
        <v>0</v>
      </c>
      <c r="N27" s="426">
        <f t="shared" ca="1" si="11"/>
        <v>0</v>
      </c>
      <c r="O27" s="150">
        <f ca="1">IF($A27="S",VTOTALBM,IF($A27=0,0,ROUND(SomaAgrupBM,15-13*ORÇAMENTO!$AF$11)))</f>
        <v>0</v>
      </c>
      <c r="Q27" s="427"/>
      <c r="R27" s="428"/>
      <c r="T27" s="142" t="str">
        <f t="shared" ca="1" si="12"/>
        <v/>
      </c>
      <c r="U27" s="202" t="str">
        <f t="shared" ca="1" si="13"/>
        <v/>
      </c>
      <c r="V27" s="203" t="str">
        <f ca="1">IF(AND($W27&gt;0,RegimeExecucao="Unitário"),$F27,"")</f>
        <v/>
      </c>
      <c r="W27" s="629">
        <f ca="1">IF($Y27&gt;0,CHOOSE(MATCH(RegimeExecucao,{"Unitário","Global"},0),IF($A27="S",$Y27/$X27,""),($Y27/$X27)*100),0)</f>
        <v>0</v>
      </c>
      <c r="X27" s="429" t="str">
        <f ca="1">IF($Y27&gt;0,CHOOSE(MATCH(RegimeExecucao,{"Unitário","Global"},0),IF($A27="S",ROUND($H27,ORÇAMENTO!$AF$10),""),ROUND($I27,ORÇAMENTO!$AF$11)),"")</f>
        <v/>
      </c>
      <c r="Y27" s="429">
        <f t="shared" ca="1" si="14"/>
        <v>0</v>
      </c>
      <c r="Z27" s="656"/>
      <c r="AB27" s="427"/>
      <c r="AC27" s="594"/>
      <c r="AD27" s="594"/>
      <c r="AE27" s="594"/>
      <c r="AF27" s="594"/>
      <c r="AG27" s="594"/>
      <c r="AH27" s="594"/>
      <c r="AI27" s="594"/>
      <c r="AJ27" s="594"/>
      <c r="AK27" s="594"/>
      <c r="AL27" s="594"/>
      <c r="AM27" s="428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ht="13.8">
      <c r="A28">
        <f ca="1">ORÇAMENTO!C28</f>
        <v>2</v>
      </c>
      <c r="B28">
        <f ca="1">ORÇAMENTO!D28</f>
        <v>2</v>
      </c>
      <c r="C28" s="139" t="str">
        <f t="shared" ca="1" si="1"/>
        <v>F</v>
      </c>
      <c r="D28" s="142" t="str">
        <f ca="1">ORÇAMENTO!O28</f>
        <v>1.4.</v>
      </c>
      <c r="E28" s="202" t="str">
        <f t="shared" si="2"/>
        <v>SINALIZAÇÃO VIÁRIA</v>
      </c>
      <c r="F28" s="203" t="str">
        <f ca="1">IF(RegimeExecucao="Global","",ORÇAMENTO.Unidade)</f>
        <v/>
      </c>
      <c r="G28" s="147" t="str">
        <f ca="1">IF(RegimeExecucao="Global","",ORÇAMENTO!T28)</f>
        <v/>
      </c>
      <c r="H28" s="147" t="str">
        <f ca="1">IF(RegimeExecucao="Global","",ORÇAMENTO!W28)</f>
        <v/>
      </c>
      <c r="I28" s="150">
        <f ca="1">ORÇAMENTO!X28</f>
        <v>12992.89</v>
      </c>
      <c r="J28" s="423">
        <f ca="1">IF($A28="S",IF(CAIXA.Modo,BM.AFAnterior,BM.MEDAnterior),IF(AND(RegimeExecucao="Global",$I28&gt;0,COUNTIF($AB$13:$AM$13,BM.medicao-1)&gt;0),M28/$I28*100,0))</f>
        <v>0</v>
      </c>
      <c r="K28" s="147">
        <f t="shared" ca="1" si="3"/>
        <v>0</v>
      </c>
      <c r="L28" s="424">
        <f ca="1">IF($A28="S",IF(CAIXA.Modo,BM.AFAcumulado,BM.MEDAcumulado),IF(AND(RegimeExecucao="Global",$I28&gt;0,COUNTIF($AB$13:$AM$13,BM.medicao)&gt;0),O28/$I28*100,0))</f>
        <v>0</v>
      </c>
      <c r="M28" s="425">
        <f ca="1">IF($A28="S",VTOTALBM,IF($A28=0,0,ROUND(SomaAgrupBM,15-13*ORÇAMENTO!$AF$11)))</f>
        <v>0</v>
      </c>
      <c r="N28" s="426">
        <f t="shared" ca="1" si="4"/>
        <v>0</v>
      </c>
      <c r="O28" s="150">
        <f ca="1">IF($A28="S",VTOTALBM,IF($A28=0,0,ROUND(SomaAgrupBM,15-13*ORÇAMENTO!$AF$11)))</f>
        <v>0</v>
      </c>
      <c r="Q28" s="427"/>
      <c r="R28" s="428"/>
      <c r="T28" s="142" t="str">
        <f t="shared" ca="1" si="5"/>
        <v/>
      </c>
      <c r="U28" s="202" t="str">
        <f t="shared" ca="1" si="6"/>
        <v/>
      </c>
      <c r="V28" s="203" t="str">
        <f ca="1">IF(AND($W28&gt;0,RegimeExecucao="Unitário"),$F28,"")</f>
        <v/>
      </c>
      <c r="W28" s="629">
        <f ca="1">IF($Y28&gt;0,CHOOSE(MATCH(RegimeExecucao,{"Unitário","Global"},0),IF($A28="S",$Y28/$X28,""),($Y28/$X28)*100),0)</f>
        <v>0</v>
      </c>
      <c r="X28" s="429" t="str">
        <f ca="1">IF($Y28&gt;0,CHOOSE(MATCH(RegimeExecucao,{"Unitário","Global"},0),IF($A28="S",ROUND($H28,ORÇAMENTO!$AF$10),""),ROUND($I28,ORÇAMENTO!$AF$11)),"")</f>
        <v/>
      </c>
      <c r="Y28" s="429">
        <f t="shared" ca="1" si="7"/>
        <v>0</v>
      </c>
      <c r="Z28" s="656"/>
      <c r="AB28" s="427"/>
      <c r="AC28" s="594"/>
      <c r="AD28" s="594"/>
      <c r="AE28" s="594"/>
      <c r="AF28" s="594"/>
      <c r="AG28" s="594"/>
      <c r="AH28" s="594"/>
      <c r="AI28" s="594"/>
      <c r="AJ28" s="594"/>
      <c r="AK28" s="594"/>
      <c r="AL28" s="594"/>
      <c r="AM28" s="428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ht="39.6">
      <c r="A29" t="str">
        <f ca="1">ORÇAMENTO!C29</f>
        <v>S</v>
      </c>
      <c r="B29">
        <f ca="1">ORÇAMENTO!D29</f>
        <v>0</v>
      </c>
      <c r="C29" s="139" t="str">
        <f t="shared" ca="1" si="1"/>
        <v>F</v>
      </c>
      <c r="D29" s="142" t="str">
        <f ca="1">ORÇAMENTO!O29</f>
        <v>1.4.1.</v>
      </c>
      <c r="E29" s="202" t="str">
        <f t="shared" si="2"/>
        <v>PINTURA DE FAIXA DE PEDESTRE OU ZEBRADA TINTA RETRORREFLETIVA A BASE DE RESINA ACRÍLICA COM MICROESFERAS DE VIDRO, E = 30 CM, APLICAÇÃO MANUAL. AF_05/2021</v>
      </c>
      <c r="F29" s="203" t="str">
        <f ca="1">IF(RegimeExecucao="Global","",ORÇAMENTO.Unidade)</f>
        <v/>
      </c>
      <c r="G29" s="147" t="str">
        <f ca="1">IF(RegimeExecucao="Global","",ORÇAMENTO!T29)</f>
        <v/>
      </c>
      <c r="H29" s="147" t="str">
        <f ca="1">IF(RegimeExecucao="Global","",ORÇAMENTO!W29)</f>
        <v/>
      </c>
      <c r="I29" s="150">
        <f ca="1">ORÇAMENTO!X29</f>
        <v>12992.89</v>
      </c>
      <c r="J29" s="423">
        <f ca="1">IF($A29="S",IF(CAIXA.Modo,BM.AFAnterior,BM.MEDAnterior),IF(AND(RegimeExecucao="Global",$I29&gt;0,COUNTIF($AB$13:$AM$13,BM.medicao-1)&gt;0),M29/$I29*100,0))</f>
        <v>0</v>
      </c>
      <c r="K29" s="147">
        <f t="shared" ca="1" si="3"/>
        <v>0</v>
      </c>
      <c r="L29" s="424">
        <f ca="1">IF($A29="S",IF(CAIXA.Modo,BM.AFAcumulado,BM.MEDAcumulado),IF(AND(RegimeExecucao="Global",$I29&gt;0,COUNTIF($AB$13:$AM$13,BM.medicao)&gt;0),O29/$I29*100,0))</f>
        <v>0</v>
      </c>
      <c r="M29" s="425">
        <f ca="1">IF($A29="S",VTOTALBM,IF($A29=0,0,ROUND(SomaAgrupBM,15-13*ORÇAMENTO!$AF$11)))</f>
        <v>0</v>
      </c>
      <c r="N29" s="426">
        <f t="shared" ca="1" si="4"/>
        <v>0</v>
      </c>
      <c r="O29" s="150">
        <f ca="1">IF($A29="S",VTOTALBM,IF($A29=0,0,ROUND(SomaAgrupBM,15-13*ORÇAMENTO!$AF$11)))</f>
        <v>0</v>
      </c>
      <c r="Q29" s="427"/>
      <c r="R29" s="428"/>
      <c r="T29" s="142" t="str">
        <f t="shared" ca="1" si="5"/>
        <v/>
      </c>
      <c r="U29" s="202" t="str">
        <f t="shared" ca="1" si="6"/>
        <v/>
      </c>
      <c r="V29" s="203" t="str">
        <f ca="1">IF(AND($W29&gt;0,RegimeExecucao="Unitário"),$F29,"")</f>
        <v/>
      </c>
      <c r="W29" s="629">
        <f ca="1">IF($Y29&gt;0,CHOOSE(MATCH(RegimeExecucao,{"Unitário","Global"},0),IF($A29="S",$Y29/$X29,""),($Y29/$X29)*100),0)</f>
        <v>0</v>
      </c>
      <c r="X29" s="429" t="str">
        <f ca="1">IF($Y29&gt;0,CHOOSE(MATCH(RegimeExecucao,{"Unitário","Global"},0),IF($A29="S",ROUND($H29,ORÇAMENTO!$AF$10),""),ROUND($I29,ORÇAMENTO!$AF$11)),"")</f>
        <v/>
      </c>
      <c r="Y29" s="429">
        <f t="shared" ca="1" si="7"/>
        <v>0</v>
      </c>
      <c r="Z29" s="656"/>
      <c r="AB29" s="427"/>
      <c r="AC29" s="594"/>
      <c r="AD29" s="594"/>
      <c r="AE29" s="594"/>
      <c r="AF29" s="594"/>
      <c r="AG29" s="594"/>
      <c r="AH29" s="594"/>
      <c r="AI29" s="594"/>
      <c r="AJ29" s="594"/>
      <c r="AK29" s="594"/>
      <c r="AL29" s="594"/>
      <c r="AM29" s="428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13.8">
      <c r="A30">
        <f ca="1">ORÇAMENTO!C30</f>
        <v>2</v>
      </c>
      <c r="B30">
        <f ca="1">ORÇAMENTO!D30</f>
        <v>234</v>
      </c>
      <c r="C30" s="139" t="str">
        <f t="shared" ca="1" si="1"/>
        <v>F</v>
      </c>
      <c r="D30" s="142" t="str">
        <f ca="1">ORÇAMENTO!O30</f>
        <v>1.5.</v>
      </c>
      <c r="E30" s="202" t="str">
        <f t="shared" si="2"/>
        <v>DRENAGEM</v>
      </c>
      <c r="F30" s="203" t="str">
        <f ca="1">IF(RegimeExecucao="Global","",ORÇAMENTO.Unidade)</f>
        <v/>
      </c>
      <c r="G30" s="147" t="str">
        <f ca="1">IF(RegimeExecucao="Global","",ORÇAMENTO!T30)</f>
        <v/>
      </c>
      <c r="H30" s="147" t="str">
        <f ca="1">IF(RegimeExecucao="Global","",ORÇAMENTO!W30)</f>
        <v/>
      </c>
      <c r="I30" s="150">
        <f ca="1">ORÇAMENTO!X30</f>
        <v>16790.919999999998</v>
      </c>
      <c r="J30" s="423">
        <f ca="1">IF($A30="S",IF(CAIXA.Modo,BM.AFAnterior,BM.MEDAnterior),IF(AND(RegimeExecucao="Global",$I30&gt;0,COUNTIF($AB$13:$AM$13,BM.medicao-1)&gt;0),M30/$I30*100,0))</f>
        <v>0</v>
      </c>
      <c r="K30" s="147">
        <f t="shared" ca="1" si="3"/>
        <v>0</v>
      </c>
      <c r="L30" s="424">
        <f ca="1">IF($A30="S",IF(CAIXA.Modo,BM.AFAcumulado,BM.MEDAcumulado),IF(AND(RegimeExecucao="Global",$I30&gt;0,COUNTIF($AB$13:$AM$13,BM.medicao)&gt;0),O30/$I30*100,0))</f>
        <v>0</v>
      </c>
      <c r="M30" s="425">
        <f ca="1">IF($A30="S",VTOTALBM,IF($A30=0,0,ROUND(SomaAgrupBM,15-13*ORÇAMENTO!$AF$11)))</f>
        <v>0</v>
      </c>
      <c r="N30" s="426">
        <f t="shared" ca="1" si="4"/>
        <v>0</v>
      </c>
      <c r="O30" s="150">
        <f ca="1">IF($A30="S",VTOTALBM,IF($A30=0,0,ROUND(SomaAgrupBM,15-13*ORÇAMENTO!$AF$11)))</f>
        <v>0</v>
      </c>
      <c r="Q30" s="427"/>
      <c r="R30" s="428"/>
      <c r="T30" s="142" t="str">
        <f t="shared" ca="1" si="5"/>
        <v/>
      </c>
      <c r="U30" s="202" t="str">
        <f t="shared" ca="1" si="6"/>
        <v/>
      </c>
      <c r="V30" s="203" t="str">
        <f ca="1">IF(AND($W30&gt;0,RegimeExecucao="Unitário"),$F30,"")</f>
        <v/>
      </c>
      <c r="W30" s="629">
        <f ca="1">IF($Y30&gt;0,CHOOSE(MATCH(RegimeExecucao,{"Unitário","Global"},0),IF($A30="S",$Y30/$X30,""),($Y30/$X30)*100),0)</f>
        <v>0</v>
      </c>
      <c r="X30" s="429" t="str">
        <f ca="1">IF($Y30&gt;0,CHOOSE(MATCH(RegimeExecucao,{"Unitário","Global"},0),IF($A30="S",ROUND($H30,ORÇAMENTO!$AF$10),""),ROUND($I30,ORÇAMENTO!$AF$11)),"")</f>
        <v/>
      </c>
      <c r="Y30" s="429">
        <f t="shared" ca="1" si="7"/>
        <v>0</v>
      </c>
      <c r="Z30" s="656"/>
      <c r="AB30" s="427"/>
      <c r="AC30" s="594"/>
      <c r="AD30" s="594"/>
      <c r="AE30" s="594"/>
      <c r="AF30" s="594"/>
      <c r="AG30" s="594"/>
      <c r="AH30" s="594"/>
      <c r="AI30" s="594"/>
      <c r="AJ30" s="594"/>
      <c r="AK30" s="594"/>
      <c r="AL30" s="594"/>
      <c r="AM30" s="428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ht="26.4">
      <c r="A31" t="str">
        <f ca="1">ORÇAMENTO!C31</f>
        <v>S</v>
      </c>
      <c r="B31">
        <f ca="1">ORÇAMENTO!D31</f>
        <v>0</v>
      </c>
      <c r="C31" s="139" t="str">
        <f t="shared" ca="1" si="1"/>
        <v>F</v>
      </c>
      <c r="D31" s="142" t="str">
        <f ca="1">ORÇAMENTO!O31</f>
        <v>1.5.1.</v>
      </c>
      <c r="E31" s="202" t="str">
        <f t="shared" si="2"/>
        <v>EXECUÇÃO DE SARJETÃO DE CONCRETO USINADO, MOLDADA  IN LOCO  EM TRECHO RETO, 100 CM BASE X 20 CM ALTURA. AF_01/2024</v>
      </c>
      <c r="F31" s="203" t="str">
        <f ca="1">IF(RegimeExecucao="Global","",ORÇAMENTO.Unidade)</f>
        <v/>
      </c>
      <c r="G31" s="147" t="str">
        <f ca="1">IF(RegimeExecucao="Global","",ORÇAMENTO!T31)</f>
        <v/>
      </c>
      <c r="H31" s="147" t="str">
        <f ca="1">IF(RegimeExecucao="Global","",ORÇAMENTO!W31)</f>
        <v/>
      </c>
      <c r="I31" s="150">
        <f ca="1">ORÇAMENTO!X31</f>
        <v>10189.07</v>
      </c>
      <c r="J31" s="423">
        <f ca="1">IF($A31="S",IF(CAIXA.Modo,BM.AFAnterior,BM.MEDAnterior),IF(AND(RegimeExecucao="Global",$I31&gt;0,COUNTIF($AB$13:$AM$13,BM.medicao-1)&gt;0),M31/$I31*100,0))</f>
        <v>0</v>
      </c>
      <c r="K31" s="147">
        <f t="shared" ca="1" si="3"/>
        <v>0</v>
      </c>
      <c r="L31" s="424">
        <f ca="1">IF($A31="S",IF(CAIXA.Modo,BM.AFAcumulado,BM.MEDAcumulado),IF(AND(RegimeExecucao="Global",$I31&gt;0,COUNTIF($AB$13:$AM$13,BM.medicao)&gt;0),O31/$I31*100,0))</f>
        <v>0</v>
      </c>
      <c r="M31" s="425">
        <f ca="1">IF($A31="S",VTOTALBM,IF($A31=0,0,ROUND(SomaAgrupBM,15-13*ORÇAMENTO!$AF$11)))</f>
        <v>0</v>
      </c>
      <c r="N31" s="426">
        <f t="shared" ca="1" si="4"/>
        <v>0</v>
      </c>
      <c r="O31" s="150">
        <f ca="1">IF($A31="S",VTOTALBM,IF($A31=0,0,ROUND(SomaAgrupBM,15-13*ORÇAMENTO!$AF$11)))</f>
        <v>0</v>
      </c>
      <c r="Q31" s="427"/>
      <c r="R31" s="428"/>
      <c r="T31" s="142" t="str">
        <f t="shared" ca="1" si="5"/>
        <v/>
      </c>
      <c r="U31" s="202" t="str">
        <f t="shared" ca="1" si="6"/>
        <v/>
      </c>
      <c r="V31" s="203" t="str">
        <f ca="1">IF(AND($W31&gt;0,RegimeExecucao="Unitário"),$F31,"")</f>
        <v/>
      </c>
      <c r="W31" s="629">
        <f ca="1">IF($Y31&gt;0,CHOOSE(MATCH(RegimeExecucao,{"Unitário","Global"},0),IF($A31="S",$Y31/$X31,""),($Y31/$X31)*100),0)</f>
        <v>0</v>
      </c>
      <c r="X31" s="429" t="str">
        <f ca="1">IF($Y31&gt;0,CHOOSE(MATCH(RegimeExecucao,{"Unitário","Global"},0),IF($A31="S",ROUND($H31,ORÇAMENTO!$AF$10),""),ROUND($I31,ORÇAMENTO!$AF$11)),"")</f>
        <v/>
      </c>
      <c r="Y31" s="429">
        <f t="shared" ca="1" si="7"/>
        <v>0</v>
      </c>
      <c r="Z31" s="656"/>
      <c r="AB31" s="427"/>
      <c r="AC31" s="594"/>
      <c r="AD31" s="594"/>
      <c r="AE31" s="594"/>
      <c r="AF31" s="594"/>
      <c r="AG31" s="594"/>
      <c r="AH31" s="594"/>
      <c r="AI31" s="594"/>
      <c r="AJ31" s="594"/>
      <c r="AK31" s="594"/>
      <c r="AL31" s="594"/>
      <c r="AM31" s="428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13.8">
      <c r="A32" t="str">
        <f ca="1">ORÇAMENTO!C32</f>
        <v>S</v>
      </c>
      <c r="B32">
        <f ca="1">ORÇAMENTO!D32</f>
        <v>0</v>
      </c>
      <c r="C32" s="139" t="str">
        <f t="shared" ca="1" si="1"/>
        <v>F</v>
      </c>
      <c r="D32" s="142" t="str">
        <f ca="1">ORÇAMENTO!O32</f>
        <v>1.5.2.</v>
      </c>
      <c r="E32" s="202" t="str">
        <f t="shared" si="2"/>
        <v>LEVANTAMENTO OU REBAIXAMENTO DE TAMPÃO DE POÇO DE VISITA</v>
      </c>
      <c r="F32" s="203" t="str">
        <f ca="1">IF(RegimeExecucao="Global","",ORÇAMENTO.Unidade)</f>
        <v/>
      </c>
      <c r="G32" s="147" t="str">
        <f ca="1">IF(RegimeExecucao="Global","",ORÇAMENTO!T32)</f>
        <v/>
      </c>
      <c r="H32" s="147" t="str">
        <f ca="1">IF(RegimeExecucao="Global","",ORÇAMENTO!W32)</f>
        <v/>
      </c>
      <c r="I32" s="150">
        <f ca="1">ORÇAMENTO!X32</f>
        <v>6601.85</v>
      </c>
      <c r="J32" s="423">
        <f ca="1">IF($A32="S",IF(CAIXA.Modo,BM.AFAnterior,BM.MEDAnterior),IF(AND(RegimeExecucao="Global",$I32&gt;0,COUNTIF($AB$13:$AM$13,BM.medicao-1)&gt;0),M32/$I32*100,0))</f>
        <v>0</v>
      </c>
      <c r="K32" s="147">
        <f t="shared" ca="1" si="3"/>
        <v>0</v>
      </c>
      <c r="L32" s="424">
        <f ca="1">IF($A32="S",IF(CAIXA.Modo,BM.AFAcumulado,BM.MEDAcumulado),IF(AND(RegimeExecucao="Global",$I32&gt;0,COUNTIF($AB$13:$AM$13,BM.medicao)&gt;0),O32/$I32*100,0))</f>
        <v>0</v>
      </c>
      <c r="M32" s="425">
        <f ca="1">IF($A32="S",VTOTALBM,IF($A32=0,0,ROUND(SomaAgrupBM,15-13*ORÇAMENTO!$AF$11)))</f>
        <v>0</v>
      </c>
      <c r="N32" s="426">
        <f t="shared" ca="1" si="4"/>
        <v>0</v>
      </c>
      <c r="O32" s="150">
        <f ca="1">IF($A32="S",VTOTALBM,IF($A32=0,0,ROUND(SomaAgrupBM,15-13*ORÇAMENTO!$AF$11)))</f>
        <v>0</v>
      </c>
      <c r="Q32" s="427"/>
      <c r="R32" s="428"/>
      <c r="T32" s="142" t="str">
        <f t="shared" ca="1" si="5"/>
        <v/>
      </c>
      <c r="U32" s="202" t="str">
        <f t="shared" ca="1" si="6"/>
        <v/>
      </c>
      <c r="V32" s="203" t="str">
        <f ca="1">IF(AND($W32&gt;0,RegimeExecucao="Unitário"),$F32,"")</f>
        <v/>
      </c>
      <c r="W32" s="629">
        <f ca="1">IF($Y32&gt;0,CHOOSE(MATCH(RegimeExecucao,{"Unitário","Global"},0),IF($A32="S",$Y32/$X32,""),($Y32/$X32)*100),0)</f>
        <v>0</v>
      </c>
      <c r="X32" s="429" t="str">
        <f ca="1">IF($Y32&gt;0,CHOOSE(MATCH(RegimeExecucao,{"Unitário","Global"},0),IF($A32="S",ROUND($H32,ORÇAMENTO!$AF$10),""),ROUND($I32,ORÇAMENTO!$AF$11)),"")</f>
        <v/>
      </c>
      <c r="Y32" s="429">
        <f t="shared" ca="1" si="7"/>
        <v>0</v>
      </c>
      <c r="Z32" s="656"/>
      <c r="AB32" s="427"/>
      <c r="AC32" s="594"/>
      <c r="AD32" s="594"/>
      <c r="AE32" s="594"/>
      <c r="AF32" s="594"/>
      <c r="AG32" s="594"/>
      <c r="AH32" s="594"/>
      <c r="AI32" s="594"/>
      <c r="AJ32" s="594"/>
      <c r="AK32" s="594"/>
      <c r="AL32" s="594"/>
      <c r="AM32" s="428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ht="13.8">
      <c r="A33" t="str">
        <f ca="1">ORÇAMENTO!C33</f>
        <v>S</v>
      </c>
      <c r="B33">
        <f ca="1">ORÇAMENTO!D33</f>
        <v>0</v>
      </c>
      <c r="C33" s="139" t="str">
        <f t="shared" ca="1" si="1"/>
        <v/>
      </c>
      <c r="D33" s="142" t="str">
        <f ca="1">ORÇAMENTO!O33</f>
        <v>-</v>
      </c>
      <c r="E33" s="202" t="str">
        <f t="shared" ca="1" si="2"/>
        <v>(abra o arquivo 'Referência 11-2024.xlsm)</v>
      </c>
      <c r="F33" s="203" t="str">
        <f ca="1">IF(RegimeExecucao="Global","",ORÇAMENTO.Unidade)</f>
        <v/>
      </c>
      <c r="G33" s="147" t="str">
        <f ca="1">IF(RegimeExecucao="Global","",ORÇAMENTO!T33)</f>
        <v/>
      </c>
      <c r="H33" s="147" t="str">
        <f ca="1">IF(RegimeExecucao="Global","",ORÇAMENTO!W33)</f>
        <v/>
      </c>
      <c r="I33" s="150">
        <f ca="1">ORÇAMENTO!X33</f>
        <v>0</v>
      </c>
      <c r="J33" s="423">
        <f ca="1">IF($A33="S",IF(CAIXA.Modo,BM.AFAnterior,BM.MEDAnterior),IF(AND(RegimeExecucao="Global",$I33&gt;0,COUNTIF($AB$13:$AM$13,BM.medicao-1)&gt;0),M33/$I33*100,0))</f>
        <v>0</v>
      </c>
      <c r="K33" s="147">
        <f t="shared" ca="1" si="3"/>
        <v>0</v>
      </c>
      <c r="L33" s="424">
        <f ca="1">IF($A33="S",IF(CAIXA.Modo,BM.AFAcumulado,BM.MEDAcumulado),IF(AND(RegimeExecucao="Global",$I33&gt;0,COUNTIF($AB$13:$AM$13,BM.medicao)&gt;0),O33/$I33*100,0))</f>
        <v>0</v>
      </c>
      <c r="M33" s="425">
        <f ca="1">IF($A33="S",VTOTALBM,IF($A33=0,0,ROUND(SomaAgrupBM,15-13*ORÇAMENTO!$AF$11)))</f>
        <v>0</v>
      </c>
      <c r="N33" s="426">
        <f t="shared" ca="1" si="4"/>
        <v>0</v>
      </c>
      <c r="O33" s="150">
        <f ca="1">IF($A33="S",VTOTALBM,IF($A33=0,0,ROUND(SomaAgrupBM,15-13*ORÇAMENTO!$AF$11)))</f>
        <v>0</v>
      </c>
      <c r="Q33" s="427"/>
      <c r="R33" s="428"/>
      <c r="T33" s="142" t="str">
        <f t="shared" ca="1" si="5"/>
        <v/>
      </c>
      <c r="U33" s="202" t="str">
        <f t="shared" ca="1" si="6"/>
        <v/>
      </c>
      <c r="V33" s="203" t="str">
        <f ca="1">IF(AND($W33&gt;0,RegimeExecucao="Unitário"),$F33,"")</f>
        <v/>
      </c>
      <c r="W33" s="629">
        <f ca="1">IF($Y33&gt;0,CHOOSE(MATCH(RegimeExecucao,{"Unitário","Global"},0),IF($A33="S",$Y33/$X33,""),($Y33/$X33)*100),0)</f>
        <v>0</v>
      </c>
      <c r="X33" s="429" t="str">
        <f ca="1">IF($Y33&gt;0,CHOOSE(MATCH(RegimeExecucao,{"Unitário","Global"},0),IF($A33="S",ROUND($H33,ORÇAMENTO!$AF$10),""),ROUND($I33,ORÇAMENTO!$AF$11)),"")</f>
        <v/>
      </c>
      <c r="Y33" s="429">
        <f t="shared" ca="1" si="7"/>
        <v>0</v>
      </c>
      <c r="Z33" s="656"/>
      <c r="AB33" s="427"/>
      <c r="AC33" s="594"/>
      <c r="AD33" s="594"/>
      <c r="AE33" s="594"/>
      <c r="AF33" s="594"/>
      <c r="AG33" s="594"/>
      <c r="AH33" s="594"/>
      <c r="AI33" s="594"/>
      <c r="AJ33" s="594"/>
      <c r="AK33" s="594"/>
      <c r="AL33" s="594"/>
      <c r="AM33" s="428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ht="13.8">
      <c r="A34" t="str">
        <f ca="1">ORÇAMENTO!C34</f>
        <v>S</v>
      </c>
      <c r="B34">
        <f ca="1">ORÇAMENTO!D34</f>
        <v>0</v>
      </c>
      <c r="C34" s="139" t="str">
        <f t="shared" ca="1" si="1"/>
        <v/>
      </c>
      <c r="D34" s="142" t="str">
        <f ca="1">ORÇAMENTO!O34</f>
        <v>-</v>
      </c>
      <c r="E34" s="202" t="str">
        <f t="shared" ca="1" si="2"/>
        <v>(abra o arquivo 'Referência 11-2024.xlsm)</v>
      </c>
      <c r="F34" s="203" t="str">
        <f ca="1">IF(RegimeExecucao="Global","",ORÇAMENTO.Unidade)</f>
        <v/>
      </c>
      <c r="G34" s="147" t="str">
        <f ca="1">IF(RegimeExecucao="Global","",ORÇAMENTO!T34)</f>
        <v/>
      </c>
      <c r="H34" s="147" t="str">
        <f ca="1">IF(RegimeExecucao="Global","",ORÇAMENTO!W34)</f>
        <v/>
      </c>
      <c r="I34" s="150">
        <f ca="1">ORÇAMENTO!X34</f>
        <v>0</v>
      </c>
      <c r="J34" s="423">
        <f ca="1">IF($A34="S",IF(CAIXA.Modo,BM.AFAnterior,BM.MEDAnterior),IF(AND(RegimeExecucao="Global",$I34&gt;0,COUNTIF($AB$13:$AM$13,BM.medicao-1)&gt;0),M34/$I34*100,0))</f>
        <v>0</v>
      </c>
      <c r="K34" s="147">
        <f t="shared" ca="1" si="3"/>
        <v>0</v>
      </c>
      <c r="L34" s="424">
        <f ca="1">IF($A34="S",IF(CAIXA.Modo,BM.AFAcumulado,BM.MEDAcumulado),IF(AND(RegimeExecucao="Global",$I34&gt;0,COUNTIF($AB$13:$AM$13,BM.medicao)&gt;0),O34/$I34*100,0))</f>
        <v>0</v>
      </c>
      <c r="M34" s="425">
        <f ca="1">IF($A34="S",VTOTALBM,IF($A34=0,0,ROUND(SomaAgrupBM,15-13*ORÇAMENTO!$AF$11)))</f>
        <v>0</v>
      </c>
      <c r="N34" s="426">
        <f t="shared" ca="1" si="4"/>
        <v>0</v>
      </c>
      <c r="O34" s="150">
        <f ca="1">IF($A34="S",VTOTALBM,IF($A34=0,0,ROUND(SomaAgrupBM,15-13*ORÇAMENTO!$AF$11)))</f>
        <v>0</v>
      </c>
      <c r="Q34" s="427"/>
      <c r="R34" s="428"/>
      <c r="T34" s="142" t="str">
        <f t="shared" ca="1" si="5"/>
        <v/>
      </c>
      <c r="U34" s="202" t="str">
        <f t="shared" ca="1" si="6"/>
        <v/>
      </c>
      <c r="V34" s="203" t="str">
        <f ca="1">IF(AND($W34&gt;0,RegimeExecucao="Unitário"),$F34,"")</f>
        <v/>
      </c>
      <c r="W34" s="629">
        <f ca="1">IF($Y34&gt;0,CHOOSE(MATCH(RegimeExecucao,{"Unitário","Global"},0),IF($A34="S",$Y34/$X34,""),($Y34/$X34)*100),0)</f>
        <v>0</v>
      </c>
      <c r="X34" s="429" t="str">
        <f ca="1">IF($Y34&gt;0,CHOOSE(MATCH(RegimeExecucao,{"Unitário","Global"},0),IF($A34="S",ROUND($H34,ORÇAMENTO!$AF$10),""),ROUND($I34,ORÇAMENTO!$AF$11)),"")</f>
        <v/>
      </c>
      <c r="Y34" s="429">
        <f t="shared" ca="1" si="7"/>
        <v>0</v>
      </c>
      <c r="Z34" s="656"/>
      <c r="AB34" s="427"/>
      <c r="AC34" s="594"/>
      <c r="AD34" s="594"/>
      <c r="AE34" s="594"/>
      <c r="AF34" s="594"/>
      <c r="AG34" s="594"/>
      <c r="AH34" s="594"/>
      <c r="AI34" s="594"/>
      <c r="AJ34" s="594"/>
      <c r="AK34" s="594"/>
      <c r="AL34" s="594"/>
      <c r="AM34" s="428"/>
      <c r="AO34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ht="13.8">
      <c r="A35" t="str">
        <f ca="1">ORÇAMENTO!C35</f>
        <v>S</v>
      </c>
      <c r="B35">
        <f ca="1">ORÇAMENTO!D35</f>
        <v>0</v>
      </c>
      <c r="C35" s="139" t="str">
        <f t="shared" ca="1" si="1"/>
        <v/>
      </c>
      <c r="D35" s="142" t="str">
        <f ca="1">ORÇAMENTO!O35</f>
        <v>-</v>
      </c>
      <c r="E35" s="202" t="str">
        <f t="shared" ca="1" si="2"/>
        <v>(abra o arquivo 'Referência 11-2024.xlsm)</v>
      </c>
      <c r="F35" s="203" t="str">
        <f ca="1">IF(RegimeExecucao="Global","",ORÇAMENTO.Unidade)</f>
        <v/>
      </c>
      <c r="G35" s="147" t="str">
        <f ca="1">IF(RegimeExecucao="Global","",ORÇAMENTO!T35)</f>
        <v/>
      </c>
      <c r="H35" s="147" t="str">
        <f ca="1">IF(RegimeExecucao="Global","",ORÇAMENTO!W35)</f>
        <v/>
      </c>
      <c r="I35" s="150">
        <f ca="1">ORÇAMENTO!X35</f>
        <v>0</v>
      </c>
      <c r="J35" s="423">
        <f ca="1">IF($A35="S",IF(CAIXA.Modo,BM.AFAnterior,BM.MEDAnterior),IF(AND(RegimeExecucao="Global",$I35&gt;0,COUNTIF($AB$13:$AM$13,BM.medicao-1)&gt;0),M35/$I35*100,0))</f>
        <v>0</v>
      </c>
      <c r="K35" s="147">
        <f t="shared" ca="1" si="3"/>
        <v>0</v>
      </c>
      <c r="L35" s="424">
        <f ca="1">IF($A35="S",IF(CAIXA.Modo,BM.AFAcumulado,BM.MEDAcumulado),IF(AND(RegimeExecucao="Global",$I35&gt;0,COUNTIF($AB$13:$AM$13,BM.medicao)&gt;0),O35/$I35*100,0))</f>
        <v>0</v>
      </c>
      <c r="M35" s="425">
        <f ca="1">IF($A35="S",VTOTALBM,IF($A35=0,0,ROUND(SomaAgrupBM,15-13*ORÇAMENTO!$AF$11)))</f>
        <v>0</v>
      </c>
      <c r="N35" s="426">
        <f t="shared" ca="1" si="4"/>
        <v>0</v>
      </c>
      <c r="O35" s="150">
        <f ca="1">IF($A35="S",VTOTALBM,IF($A35=0,0,ROUND(SomaAgrupBM,15-13*ORÇAMENTO!$AF$11)))</f>
        <v>0</v>
      </c>
      <c r="Q35" s="427"/>
      <c r="R35" s="428"/>
      <c r="T35" s="142" t="str">
        <f t="shared" ca="1" si="5"/>
        <v/>
      </c>
      <c r="U35" s="202" t="str">
        <f t="shared" ca="1" si="6"/>
        <v/>
      </c>
      <c r="V35" s="203" t="str">
        <f ca="1">IF(AND($W35&gt;0,RegimeExecucao="Unitário"),$F35,"")</f>
        <v/>
      </c>
      <c r="W35" s="629">
        <f ca="1">IF($Y35&gt;0,CHOOSE(MATCH(RegimeExecucao,{"Unitário","Global"},0),IF($A35="S",$Y35/$X35,""),($Y35/$X35)*100),0)</f>
        <v>0</v>
      </c>
      <c r="X35" s="429" t="str">
        <f ca="1">IF($Y35&gt;0,CHOOSE(MATCH(RegimeExecucao,{"Unitário","Global"},0),IF($A35="S",ROUND($H35,ORÇAMENTO!$AF$10),""),ROUND($I35,ORÇAMENTO!$AF$11)),"")</f>
        <v/>
      </c>
      <c r="Y35" s="429">
        <f t="shared" ca="1" si="7"/>
        <v>0</v>
      </c>
      <c r="Z35" s="656"/>
      <c r="AB35" s="427"/>
      <c r="AC35" s="594"/>
      <c r="AD35" s="594"/>
      <c r="AE35" s="594"/>
      <c r="AF35" s="594"/>
      <c r="AG35" s="594"/>
      <c r="AH35" s="594"/>
      <c r="AI35" s="594"/>
      <c r="AJ35" s="594"/>
      <c r="AK35" s="594"/>
      <c r="AL35" s="594"/>
      <c r="AM35" s="428"/>
      <c r="AO35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ht="13.8">
      <c r="A36" t="str">
        <f ca="1">ORÇAMENTO!C36</f>
        <v>S</v>
      </c>
      <c r="B36">
        <f ca="1">ORÇAMENTO!D36</f>
        <v>0</v>
      </c>
      <c r="C36" s="139" t="str">
        <f t="shared" ca="1" si="1"/>
        <v/>
      </c>
      <c r="D36" s="142" t="str">
        <f ca="1">ORÇAMENTO!O36</f>
        <v>-</v>
      </c>
      <c r="E36" s="202" t="str">
        <f t="shared" ca="1" si="2"/>
        <v>(abra o arquivo 'Referência 11-2024.xlsm)</v>
      </c>
      <c r="F36" s="203" t="str">
        <f ca="1">IF(RegimeExecucao="Global","",ORÇAMENTO.Unidade)</f>
        <v/>
      </c>
      <c r="G36" s="147" t="str">
        <f ca="1">IF(RegimeExecucao="Global","",ORÇAMENTO!T36)</f>
        <v/>
      </c>
      <c r="H36" s="147" t="str">
        <f ca="1">IF(RegimeExecucao="Global","",ORÇAMENTO!W36)</f>
        <v/>
      </c>
      <c r="I36" s="150">
        <f ca="1">ORÇAMENTO!X36</f>
        <v>0</v>
      </c>
      <c r="J36" s="423">
        <f ca="1">IF($A36="S",IF(CAIXA.Modo,BM.AFAnterior,BM.MEDAnterior),IF(AND(RegimeExecucao="Global",$I36&gt;0,COUNTIF($AB$13:$AM$13,BM.medicao-1)&gt;0),M36/$I36*100,0))</f>
        <v>0</v>
      </c>
      <c r="K36" s="147">
        <f t="shared" ca="1" si="3"/>
        <v>0</v>
      </c>
      <c r="L36" s="424">
        <f ca="1">IF($A36="S",IF(CAIXA.Modo,BM.AFAcumulado,BM.MEDAcumulado),IF(AND(RegimeExecucao="Global",$I36&gt;0,COUNTIF($AB$13:$AM$13,BM.medicao)&gt;0),O36/$I36*100,0))</f>
        <v>0</v>
      </c>
      <c r="M36" s="425">
        <f ca="1">IF($A36="S",VTOTALBM,IF($A36=0,0,ROUND(SomaAgrupBM,15-13*ORÇAMENTO!$AF$11)))</f>
        <v>0</v>
      </c>
      <c r="N36" s="426">
        <f t="shared" ca="1" si="4"/>
        <v>0</v>
      </c>
      <c r="O36" s="150">
        <f ca="1">IF($A36="S",VTOTALBM,IF($A36=0,0,ROUND(SomaAgrupBM,15-13*ORÇAMENTO!$AF$11)))</f>
        <v>0</v>
      </c>
      <c r="Q36" s="427"/>
      <c r="R36" s="428"/>
      <c r="T36" s="142" t="str">
        <f t="shared" ca="1" si="5"/>
        <v/>
      </c>
      <c r="U36" s="202" t="str">
        <f t="shared" ca="1" si="6"/>
        <v/>
      </c>
      <c r="V36" s="203" t="str">
        <f ca="1">IF(AND($W36&gt;0,RegimeExecucao="Unitário"),$F36,"")</f>
        <v/>
      </c>
      <c r="W36" s="629">
        <f ca="1">IF($Y36&gt;0,CHOOSE(MATCH(RegimeExecucao,{"Unitário","Global"},0),IF($A36="S",$Y36/$X36,""),($Y36/$X36)*100),0)</f>
        <v>0</v>
      </c>
      <c r="X36" s="429" t="str">
        <f ca="1">IF($Y36&gt;0,CHOOSE(MATCH(RegimeExecucao,{"Unitário","Global"},0),IF($A36="S",ROUND($H36,ORÇAMENTO!$AF$10),""),ROUND($I36,ORÇAMENTO!$AF$11)),"")</f>
        <v/>
      </c>
      <c r="Y36" s="429">
        <f t="shared" ca="1" si="7"/>
        <v>0</v>
      </c>
      <c r="Z36" s="656"/>
      <c r="AB36" s="427"/>
      <c r="AC36" s="594"/>
      <c r="AD36" s="594"/>
      <c r="AE36" s="594"/>
      <c r="AF36" s="594"/>
      <c r="AG36" s="594"/>
      <c r="AH36" s="594"/>
      <c r="AI36" s="594"/>
      <c r="AJ36" s="594"/>
      <c r="AK36" s="594"/>
      <c r="AL36" s="594"/>
      <c r="AM36" s="428"/>
      <c r="AO36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ht="13.8">
      <c r="A37" t="str">
        <f ca="1">ORÇAMENTO!C37</f>
        <v>S</v>
      </c>
      <c r="B37">
        <f ca="1">ORÇAMENTO!D37</f>
        <v>0</v>
      </c>
      <c r="C37" s="139" t="str">
        <f t="shared" ca="1" si="1"/>
        <v/>
      </c>
      <c r="D37" s="142" t="str">
        <f ca="1">ORÇAMENTO!O37</f>
        <v>-</v>
      </c>
      <c r="E37" s="202" t="str">
        <f t="shared" ca="1" si="2"/>
        <v>(abra o arquivo 'Referência 11-2024.xlsm)</v>
      </c>
      <c r="F37" s="203" t="str">
        <f ca="1">IF(RegimeExecucao="Global","",ORÇAMENTO.Unidade)</f>
        <v/>
      </c>
      <c r="G37" s="147" t="str">
        <f ca="1">IF(RegimeExecucao="Global","",ORÇAMENTO!T37)</f>
        <v/>
      </c>
      <c r="H37" s="147" t="str">
        <f ca="1">IF(RegimeExecucao="Global","",ORÇAMENTO!W37)</f>
        <v/>
      </c>
      <c r="I37" s="150">
        <f ca="1">ORÇAMENTO!X37</f>
        <v>0</v>
      </c>
      <c r="J37" s="423">
        <f ca="1">IF($A37="S",IF(CAIXA.Modo,BM.AFAnterior,BM.MEDAnterior),IF(AND(RegimeExecucao="Global",$I37&gt;0,COUNTIF($AB$13:$AM$13,BM.medicao-1)&gt;0),M37/$I37*100,0))</f>
        <v>0</v>
      </c>
      <c r="K37" s="147">
        <f t="shared" ca="1" si="3"/>
        <v>0</v>
      </c>
      <c r="L37" s="424">
        <f ca="1">IF($A37="S",IF(CAIXA.Modo,BM.AFAcumulado,BM.MEDAcumulado),IF(AND(RegimeExecucao="Global",$I37&gt;0,COUNTIF($AB$13:$AM$13,BM.medicao)&gt;0),O37/$I37*100,0))</f>
        <v>0</v>
      </c>
      <c r="M37" s="425">
        <f ca="1">IF($A37="S",VTOTALBM,IF($A37=0,0,ROUND(SomaAgrupBM,15-13*ORÇAMENTO!$AF$11)))</f>
        <v>0</v>
      </c>
      <c r="N37" s="426">
        <f t="shared" ca="1" si="4"/>
        <v>0</v>
      </c>
      <c r="O37" s="150">
        <f ca="1">IF($A37="S",VTOTALBM,IF($A37=0,0,ROUND(SomaAgrupBM,15-13*ORÇAMENTO!$AF$11)))</f>
        <v>0</v>
      </c>
      <c r="Q37" s="427"/>
      <c r="R37" s="428"/>
      <c r="T37" s="142" t="str">
        <f t="shared" ca="1" si="5"/>
        <v/>
      </c>
      <c r="U37" s="202" t="str">
        <f t="shared" ca="1" si="6"/>
        <v/>
      </c>
      <c r="V37" s="203" t="str">
        <f ca="1">IF(AND($W37&gt;0,RegimeExecucao="Unitário"),$F37,"")</f>
        <v/>
      </c>
      <c r="W37" s="629">
        <f ca="1">IF($Y37&gt;0,CHOOSE(MATCH(RegimeExecucao,{"Unitário","Global"},0),IF($A37="S",$Y37/$X37,""),($Y37/$X37)*100),0)</f>
        <v>0</v>
      </c>
      <c r="X37" s="429" t="str">
        <f ca="1">IF($Y37&gt;0,CHOOSE(MATCH(RegimeExecucao,{"Unitário","Global"},0),IF($A37="S",ROUND($H37,ORÇAMENTO!$AF$10),""),ROUND($I37,ORÇAMENTO!$AF$11)),"")</f>
        <v/>
      </c>
      <c r="Y37" s="429">
        <f t="shared" ca="1" si="7"/>
        <v>0</v>
      </c>
      <c r="Z37" s="656"/>
      <c r="AB37" s="427"/>
      <c r="AC37" s="594"/>
      <c r="AD37" s="594"/>
      <c r="AE37" s="594"/>
      <c r="AF37" s="594"/>
      <c r="AG37" s="594"/>
      <c r="AH37" s="594"/>
      <c r="AI37" s="594"/>
      <c r="AJ37" s="594"/>
      <c r="AK37" s="594"/>
      <c r="AL37" s="594"/>
      <c r="AM37" s="428"/>
      <c r="AO37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ht="13.8">
      <c r="A38" t="str">
        <f ca="1">ORÇAMENTO!C38</f>
        <v>S</v>
      </c>
      <c r="B38">
        <f ca="1">ORÇAMENTO!D38</f>
        <v>0</v>
      </c>
      <c r="C38" s="139" t="str">
        <f t="shared" ca="1" si="1"/>
        <v/>
      </c>
      <c r="D38" s="142" t="str">
        <f ca="1">ORÇAMENTO!O38</f>
        <v>-</v>
      </c>
      <c r="E38" s="202" t="str">
        <f t="shared" ca="1" si="2"/>
        <v>(abra o arquivo 'Referência 11-2024.xlsm)</v>
      </c>
      <c r="F38" s="203" t="str">
        <f ca="1">IF(RegimeExecucao="Global","",ORÇAMENTO.Unidade)</f>
        <v/>
      </c>
      <c r="G38" s="147" t="str">
        <f ca="1">IF(RegimeExecucao="Global","",ORÇAMENTO!T38)</f>
        <v/>
      </c>
      <c r="H38" s="147" t="str">
        <f ca="1">IF(RegimeExecucao="Global","",ORÇAMENTO!W38)</f>
        <v/>
      </c>
      <c r="I38" s="150">
        <f ca="1">ORÇAMENTO!X38</f>
        <v>0</v>
      </c>
      <c r="J38" s="423">
        <f ca="1">IF($A38="S",IF(CAIXA.Modo,BM.AFAnterior,BM.MEDAnterior),IF(AND(RegimeExecucao="Global",$I38&gt;0,COUNTIF($AB$13:$AM$13,BM.medicao-1)&gt;0),M38/$I38*100,0))</f>
        <v>0</v>
      </c>
      <c r="K38" s="147">
        <f t="shared" ca="1" si="3"/>
        <v>0</v>
      </c>
      <c r="L38" s="424">
        <f ca="1">IF($A38="S",IF(CAIXA.Modo,BM.AFAcumulado,BM.MEDAcumulado),IF(AND(RegimeExecucao="Global",$I38&gt;0,COUNTIF($AB$13:$AM$13,BM.medicao)&gt;0),O38/$I38*100,0))</f>
        <v>0</v>
      </c>
      <c r="M38" s="425">
        <f ca="1">IF($A38="S",VTOTALBM,IF($A38=0,0,ROUND(SomaAgrupBM,15-13*ORÇAMENTO!$AF$11)))</f>
        <v>0</v>
      </c>
      <c r="N38" s="426">
        <f t="shared" ca="1" si="4"/>
        <v>0</v>
      </c>
      <c r="O38" s="150">
        <f ca="1">IF($A38="S",VTOTALBM,IF($A38=0,0,ROUND(SomaAgrupBM,15-13*ORÇAMENTO!$AF$11)))</f>
        <v>0</v>
      </c>
      <c r="Q38" s="427"/>
      <c r="R38" s="428"/>
      <c r="T38" s="142" t="str">
        <f t="shared" ca="1" si="5"/>
        <v/>
      </c>
      <c r="U38" s="202" t="str">
        <f t="shared" ca="1" si="6"/>
        <v/>
      </c>
      <c r="V38" s="203" t="str">
        <f ca="1">IF(AND($W38&gt;0,RegimeExecucao="Unitário"),$F38,"")</f>
        <v/>
      </c>
      <c r="W38" s="629">
        <f ca="1">IF($Y38&gt;0,CHOOSE(MATCH(RegimeExecucao,{"Unitário","Global"},0),IF($A38="S",$Y38/$X38,""),($Y38/$X38)*100),0)</f>
        <v>0</v>
      </c>
      <c r="X38" s="429" t="str">
        <f ca="1">IF($Y38&gt;0,CHOOSE(MATCH(RegimeExecucao,{"Unitário","Global"},0),IF($A38="S",ROUND($H38,ORÇAMENTO!$AF$10),""),ROUND($I38,ORÇAMENTO!$AF$11)),"")</f>
        <v/>
      </c>
      <c r="Y38" s="429">
        <f t="shared" ca="1" si="7"/>
        <v>0</v>
      </c>
      <c r="Z38" s="656"/>
      <c r="AB38" s="427"/>
      <c r="AC38" s="594"/>
      <c r="AD38" s="594"/>
      <c r="AE38" s="594"/>
      <c r="AF38" s="594"/>
      <c r="AG38" s="594"/>
      <c r="AH38" s="594"/>
      <c r="AI38" s="594"/>
      <c r="AJ38" s="594"/>
      <c r="AK38" s="594"/>
      <c r="AL38" s="594"/>
      <c r="AM38" s="428"/>
      <c r="AO38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ht="13.8">
      <c r="A39" t="str">
        <f ca="1">ORÇAMENTO!C39</f>
        <v>S</v>
      </c>
      <c r="B39">
        <f ca="1">ORÇAMENTO!D39</f>
        <v>0</v>
      </c>
      <c r="C39" s="139" t="str">
        <f t="shared" ca="1" si="1"/>
        <v/>
      </c>
      <c r="D39" s="142" t="str">
        <f ca="1">ORÇAMENTO!O39</f>
        <v>-</v>
      </c>
      <c r="E39" s="202" t="str">
        <f t="shared" ca="1" si="2"/>
        <v>(abra o arquivo 'Referência 11-2024.xlsm)</v>
      </c>
      <c r="F39" s="203" t="str">
        <f ca="1">IF(RegimeExecucao="Global","",ORÇAMENTO.Unidade)</f>
        <v/>
      </c>
      <c r="G39" s="147" t="str">
        <f ca="1">IF(RegimeExecucao="Global","",ORÇAMENTO!T39)</f>
        <v/>
      </c>
      <c r="H39" s="147" t="str">
        <f ca="1">IF(RegimeExecucao="Global","",ORÇAMENTO!W39)</f>
        <v/>
      </c>
      <c r="I39" s="150">
        <f ca="1">ORÇAMENTO!X39</f>
        <v>0</v>
      </c>
      <c r="J39" s="423">
        <f ca="1">IF($A39="S",IF(CAIXA.Modo,BM.AFAnterior,BM.MEDAnterior),IF(AND(RegimeExecucao="Global",$I39&gt;0,COUNTIF($AB$13:$AM$13,BM.medicao-1)&gt;0),M39/$I39*100,0))</f>
        <v>0</v>
      </c>
      <c r="K39" s="147">
        <f t="shared" ca="1" si="3"/>
        <v>0</v>
      </c>
      <c r="L39" s="424">
        <f ca="1">IF($A39="S",IF(CAIXA.Modo,BM.AFAcumulado,BM.MEDAcumulado),IF(AND(RegimeExecucao="Global",$I39&gt;0,COUNTIF($AB$13:$AM$13,BM.medicao)&gt;0),O39/$I39*100,0))</f>
        <v>0</v>
      </c>
      <c r="M39" s="425">
        <f ca="1">IF($A39="S",VTOTALBM,IF($A39=0,0,ROUND(SomaAgrupBM,15-13*ORÇAMENTO!$AF$11)))</f>
        <v>0</v>
      </c>
      <c r="N39" s="426">
        <f t="shared" ca="1" si="4"/>
        <v>0</v>
      </c>
      <c r="O39" s="150">
        <f ca="1">IF($A39="S",VTOTALBM,IF($A39=0,0,ROUND(SomaAgrupBM,15-13*ORÇAMENTO!$AF$11)))</f>
        <v>0</v>
      </c>
      <c r="Q39" s="427"/>
      <c r="R39" s="428"/>
      <c r="T39" s="142" t="str">
        <f t="shared" ca="1" si="5"/>
        <v/>
      </c>
      <c r="U39" s="202" t="str">
        <f t="shared" ca="1" si="6"/>
        <v/>
      </c>
      <c r="V39" s="203" t="str">
        <f ca="1">IF(AND($W39&gt;0,RegimeExecucao="Unitário"),$F39,"")</f>
        <v/>
      </c>
      <c r="W39" s="629">
        <f ca="1">IF($Y39&gt;0,CHOOSE(MATCH(RegimeExecucao,{"Unitário","Global"},0),IF($A39="S",$Y39/$X39,""),($Y39/$X39)*100),0)</f>
        <v>0</v>
      </c>
      <c r="X39" s="429" t="str">
        <f ca="1">IF($Y39&gt;0,CHOOSE(MATCH(RegimeExecucao,{"Unitário","Global"},0),IF($A39="S",ROUND($H39,ORÇAMENTO!$AF$10),""),ROUND($I39,ORÇAMENTO!$AF$11)),"")</f>
        <v/>
      </c>
      <c r="Y39" s="429">
        <f t="shared" ca="1" si="7"/>
        <v>0</v>
      </c>
      <c r="Z39" s="656"/>
      <c r="AB39" s="427"/>
      <c r="AC39" s="594"/>
      <c r="AD39" s="594"/>
      <c r="AE39" s="594"/>
      <c r="AF39" s="594"/>
      <c r="AG39" s="594"/>
      <c r="AH39" s="594"/>
      <c r="AI39" s="594"/>
      <c r="AJ39" s="594"/>
      <c r="AK39" s="594"/>
      <c r="AL39" s="594"/>
      <c r="AM39" s="428"/>
      <c r="AO39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ht="13.8">
      <c r="A40" t="str">
        <f ca="1">ORÇAMENTO!C40</f>
        <v>S</v>
      </c>
      <c r="B40">
        <f ca="1">ORÇAMENTO!D40</f>
        <v>0</v>
      </c>
      <c r="C40" s="139" t="str">
        <f t="shared" ca="1" si="1"/>
        <v/>
      </c>
      <c r="D40" s="142" t="str">
        <f ca="1">ORÇAMENTO!O40</f>
        <v>-</v>
      </c>
      <c r="E40" s="202" t="str">
        <f t="shared" ca="1" si="2"/>
        <v>(abra o arquivo 'Referência 11-2024.xlsm)</v>
      </c>
      <c r="F40" s="203" t="str">
        <f ca="1">IF(RegimeExecucao="Global","",ORÇAMENTO.Unidade)</f>
        <v/>
      </c>
      <c r="G40" s="147" t="str">
        <f ca="1">IF(RegimeExecucao="Global","",ORÇAMENTO!T40)</f>
        <v/>
      </c>
      <c r="H40" s="147" t="str">
        <f ca="1">IF(RegimeExecucao="Global","",ORÇAMENTO!W40)</f>
        <v/>
      </c>
      <c r="I40" s="150">
        <f ca="1">ORÇAMENTO!X40</f>
        <v>0</v>
      </c>
      <c r="J40" s="423">
        <f ca="1">IF($A40="S",IF(CAIXA.Modo,BM.AFAnterior,BM.MEDAnterior),IF(AND(RegimeExecucao="Global",$I40&gt;0,COUNTIF($AB$13:$AM$13,BM.medicao-1)&gt;0),M40/$I40*100,0))</f>
        <v>0</v>
      </c>
      <c r="K40" s="147">
        <f t="shared" ca="1" si="3"/>
        <v>0</v>
      </c>
      <c r="L40" s="424">
        <f ca="1">IF($A40="S",IF(CAIXA.Modo,BM.AFAcumulado,BM.MEDAcumulado),IF(AND(RegimeExecucao="Global",$I40&gt;0,COUNTIF($AB$13:$AM$13,BM.medicao)&gt;0),O40/$I40*100,0))</f>
        <v>0</v>
      </c>
      <c r="M40" s="425">
        <f ca="1">IF($A40="S",VTOTALBM,IF($A40=0,0,ROUND(SomaAgrupBM,15-13*ORÇAMENTO!$AF$11)))</f>
        <v>0</v>
      </c>
      <c r="N40" s="426">
        <f t="shared" ca="1" si="4"/>
        <v>0</v>
      </c>
      <c r="O40" s="150">
        <f ca="1">IF($A40="S",VTOTALBM,IF($A40=0,0,ROUND(SomaAgrupBM,15-13*ORÇAMENTO!$AF$11)))</f>
        <v>0</v>
      </c>
      <c r="Q40" s="427"/>
      <c r="R40" s="428"/>
      <c r="T40" s="142" t="str">
        <f t="shared" ca="1" si="5"/>
        <v/>
      </c>
      <c r="U40" s="202" t="str">
        <f t="shared" ca="1" si="6"/>
        <v/>
      </c>
      <c r="V40" s="203" t="str">
        <f ca="1">IF(AND($W40&gt;0,RegimeExecucao="Unitário"),$F40,"")</f>
        <v/>
      </c>
      <c r="W40" s="629">
        <f ca="1">IF($Y40&gt;0,CHOOSE(MATCH(RegimeExecucao,{"Unitário","Global"},0),IF($A40="S",$Y40/$X40,""),($Y40/$X40)*100),0)</f>
        <v>0</v>
      </c>
      <c r="X40" s="429" t="str">
        <f ca="1">IF($Y40&gt;0,CHOOSE(MATCH(RegimeExecucao,{"Unitário","Global"},0),IF($A40="S",ROUND($H40,ORÇAMENTO!$AF$10),""),ROUND($I40,ORÇAMENTO!$AF$11)),"")</f>
        <v/>
      </c>
      <c r="Y40" s="429">
        <f t="shared" ca="1" si="7"/>
        <v>0</v>
      </c>
      <c r="Z40" s="656"/>
      <c r="AB40" s="427"/>
      <c r="AC40" s="594"/>
      <c r="AD40" s="594"/>
      <c r="AE40" s="594"/>
      <c r="AF40" s="594"/>
      <c r="AG40" s="594"/>
      <c r="AH40" s="594"/>
      <c r="AI40" s="594"/>
      <c r="AJ40" s="594"/>
      <c r="AK40" s="594"/>
      <c r="AL40" s="594"/>
      <c r="AM40" s="428"/>
      <c r="AO40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ht="13.8">
      <c r="A41" t="str">
        <f ca="1">ORÇAMENTO!C41</f>
        <v>S</v>
      </c>
      <c r="B41">
        <f ca="1">ORÇAMENTO!D41</f>
        <v>0</v>
      </c>
      <c r="C41" s="139" t="str">
        <f t="shared" ca="1" si="1"/>
        <v/>
      </c>
      <c r="D41" s="142" t="str">
        <f ca="1">ORÇAMENTO!O41</f>
        <v>-</v>
      </c>
      <c r="E41" s="202" t="str">
        <f t="shared" ca="1" si="2"/>
        <v>(abra o arquivo 'Referência 11-2024.xlsm)</v>
      </c>
      <c r="F41" s="203" t="str">
        <f ca="1">IF(RegimeExecucao="Global","",ORÇAMENTO.Unidade)</f>
        <v/>
      </c>
      <c r="G41" s="147" t="str">
        <f ca="1">IF(RegimeExecucao="Global","",ORÇAMENTO!T41)</f>
        <v/>
      </c>
      <c r="H41" s="147" t="str">
        <f ca="1">IF(RegimeExecucao="Global","",ORÇAMENTO!W41)</f>
        <v/>
      </c>
      <c r="I41" s="150">
        <f ca="1">ORÇAMENTO!X41</f>
        <v>0</v>
      </c>
      <c r="J41" s="423">
        <f ca="1">IF($A41="S",IF(CAIXA.Modo,BM.AFAnterior,BM.MEDAnterior),IF(AND(RegimeExecucao="Global",$I41&gt;0,COUNTIF($AB$13:$AM$13,BM.medicao-1)&gt;0),M41/$I41*100,0))</f>
        <v>0</v>
      </c>
      <c r="K41" s="147">
        <f t="shared" ca="1" si="3"/>
        <v>0</v>
      </c>
      <c r="L41" s="424">
        <f ca="1">IF($A41="S",IF(CAIXA.Modo,BM.AFAcumulado,BM.MEDAcumulado),IF(AND(RegimeExecucao="Global",$I41&gt;0,COUNTIF($AB$13:$AM$13,BM.medicao)&gt;0),O41/$I41*100,0))</f>
        <v>0</v>
      </c>
      <c r="M41" s="425">
        <f ca="1">IF($A41="S",VTOTALBM,IF($A41=0,0,ROUND(SomaAgrupBM,15-13*ORÇAMENTO!$AF$11)))</f>
        <v>0</v>
      </c>
      <c r="N41" s="426">
        <f t="shared" ca="1" si="4"/>
        <v>0</v>
      </c>
      <c r="O41" s="150">
        <f ca="1">IF($A41="S",VTOTALBM,IF($A41=0,0,ROUND(SomaAgrupBM,15-13*ORÇAMENTO!$AF$11)))</f>
        <v>0</v>
      </c>
      <c r="Q41" s="427"/>
      <c r="R41" s="428"/>
      <c r="T41" s="142" t="str">
        <f t="shared" ca="1" si="5"/>
        <v/>
      </c>
      <c r="U41" s="202" t="str">
        <f t="shared" ca="1" si="6"/>
        <v/>
      </c>
      <c r="V41" s="203" t="str">
        <f ca="1">IF(AND($W41&gt;0,RegimeExecucao="Unitário"),$F41,"")</f>
        <v/>
      </c>
      <c r="W41" s="629">
        <f ca="1">IF($Y41&gt;0,CHOOSE(MATCH(RegimeExecucao,{"Unitário","Global"},0),IF($A41="S",$Y41/$X41,""),($Y41/$X41)*100),0)</f>
        <v>0</v>
      </c>
      <c r="X41" s="429" t="str">
        <f ca="1">IF($Y41&gt;0,CHOOSE(MATCH(RegimeExecucao,{"Unitário","Global"},0),IF($A41="S",ROUND($H41,ORÇAMENTO!$AF$10),""),ROUND($I41,ORÇAMENTO!$AF$11)),"")</f>
        <v/>
      </c>
      <c r="Y41" s="429">
        <f t="shared" ca="1" si="7"/>
        <v>0</v>
      </c>
      <c r="Z41" s="656"/>
      <c r="AB41" s="427"/>
      <c r="AC41" s="594"/>
      <c r="AD41" s="594"/>
      <c r="AE41" s="594"/>
      <c r="AF41" s="594"/>
      <c r="AG41" s="594"/>
      <c r="AH41" s="594"/>
      <c r="AI41" s="594"/>
      <c r="AJ41" s="594"/>
      <c r="AK41" s="594"/>
      <c r="AL41" s="594"/>
      <c r="AM41" s="428"/>
      <c r="AO41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ht="13.8">
      <c r="A42" t="str">
        <f ca="1">ORÇAMENTO!C42</f>
        <v>S</v>
      </c>
      <c r="B42">
        <f ca="1">ORÇAMENTO!D42</f>
        <v>0</v>
      </c>
      <c r="C42" s="139" t="str">
        <f t="shared" ca="1" si="1"/>
        <v/>
      </c>
      <c r="D42" s="142" t="str">
        <f ca="1">ORÇAMENTO!O42</f>
        <v>-</v>
      </c>
      <c r="E42" s="202" t="str">
        <f t="shared" ca="1" si="2"/>
        <v>(abra o arquivo 'Referência 11-2024.xlsm)</v>
      </c>
      <c r="F42" s="203" t="str">
        <f ca="1">IF(RegimeExecucao="Global","",ORÇAMENTO.Unidade)</f>
        <v/>
      </c>
      <c r="G42" s="147" t="str">
        <f ca="1">IF(RegimeExecucao="Global","",ORÇAMENTO!T42)</f>
        <v/>
      </c>
      <c r="H42" s="147" t="str">
        <f ca="1">IF(RegimeExecucao="Global","",ORÇAMENTO!W42)</f>
        <v/>
      </c>
      <c r="I42" s="150">
        <f ca="1">ORÇAMENTO!X42</f>
        <v>0</v>
      </c>
      <c r="J42" s="423">
        <f ca="1">IF($A42="S",IF(CAIXA.Modo,BM.AFAnterior,BM.MEDAnterior),IF(AND(RegimeExecucao="Global",$I42&gt;0,COUNTIF($AB$13:$AM$13,BM.medicao-1)&gt;0),M42/$I42*100,0))</f>
        <v>0</v>
      </c>
      <c r="K42" s="147">
        <f t="shared" ca="1" si="3"/>
        <v>0</v>
      </c>
      <c r="L42" s="424">
        <f ca="1">IF($A42="S",IF(CAIXA.Modo,BM.AFAcumulado,BM.MEDAcumulado),IF(AND(RegimeExecucao="Global",$I42&gt;0,COUNTIF($AB$13:$AM$13,BM.medicao)&gt;0),O42/$I42*100,0))</f>
        <v>0</v>
      </c>
      <c r="M42" s="425">
        <f ca="1">IF($A42="S",VTOTALBM,IF($A42=0,0,ROUND(SomaAgrupBM,15-13*ORÇAMENTO!$AF$11)))</f>
        <v>0</v>
      </c>
      <c r="N42" s="426">
        <f t="shared" ca="1" si="4"/>
        <v>0</v>
      </c>
      <c r="O42" s="150">
        <f ca="1">IF($A42="S",VTOTALBM,IF($A42=0,0,ROUND(SomaAgrupBM,15-13*ORÇAMENTO!$AF$11)))</f>
        <v>0</v>
      </c>
      <c r="Q42" s="427"/>
      <c r="R42" s="428"/>
      <c r="T42" s="142" t="str">
        <f t="shared" ca="1" si="5"/>
        <v/>
      </c>
      <c r="U42" s="202" t="str">
        <f t="shared" ca="1" si="6"/>
        <v/>
      </c>
      <c r="V42" s="203" t="str">
        <f ca="1">IF(AND($W42&gt;0,RegimeExecucao="Unitário"),$F42,"")</f>
        <v/>
      </c>
      <c r="W42" s="629">
        <f ca="1">IF($Y42&gt;0,CHOOSE(MATCH(RegimeExecucao,{"Unitário","Global"},0),IF($A42="S",$Y42/$X42,""),($Y42/$X42)*100),0)</f>
        <v>0</v>
      </c>
      <c r="X42" s="429" t="str">
        <f ca="1">IF($Y42&gt;0,CHOOSE(MATCH(RegimeExecucao,{"Unitário","Global"},0),IF($A42="S",ROUND($H42,ORÇAMENTO!$AF$10),""),ROUND($I42,ORÇAMENTO!$AF$11)),"")</f>
        <v/>
      </c>
      <c r="Y42" s="429">
        <f t="shared" ca="1" si="7"/>
        <v>0</v>
      </c>
      <c r="Z42" s="656"/>
      <c r="AB42" s="427"/>
      <c r="AC42" s="594"/>
      <c r="AD42" s="594"/>
      <c r="AE42" s="594"/>
      <c r="AF42" s="594"/>
      <c r="AG42" s="594"/>
      <c r="AH42" s="594"/>
      <c r="AI42" s="594"/>
      <c r="AJ42" s="594"/>
      <c r="AK42" s="594"/>
      <c r="AL42" s="594"/>
      <c r="AM42" s="428"/>
      <c r="AO42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ht="13.8">
      <c r="A43" t="str">
        <f ca="1">ORÇAMENTO!C43</f>
        <v>S</v>
      </c>
      <c r="B43">
        <f ca="1">ORÇAMENTO!D43</f>
        <v>0</v>
      </c>
      <c r="C43" s="139" t="str">
        <f t="shared" ca="1" si="1"/>
        <v/>
      </c>
      <c r="D43" s="142" t="str">
        <f ca="1">ORÇAMENTO!O43</f>
        <v>-</v>
      </c>
      <c r="E43" s="202" t="str">
        <f t="shared" ca="1" si="2"/>
        <v>(abra o arquivo 'Referência 11-2024.xlsm)</v>
      </c>
      <c r="F43" s="203" t="str">
        <f ca="1">IF(RegimeExecucao="Global","",ORÇAMENTO.Unidade)</f>
        <v/>
      </c>
      <c r="G43" s="147" t="str">
        <f ca="1">IF(RegimeExecucao="Global","",ORÇAMENTO!T43)</f>
        <v/>
      </c>
      <c r="H43" s="147" t="str">
        <f ca="1">IF(RegimeExecucao="Global","",ORÇAMENTO!W43)</f>
        <v/>
      </c>
      <c r="I43" s="150">
        <f ca="1">ORÇAMENTO!X43</f>
        <v>0</v>
      </c>
      <c r="J43" s="423">
        <f ca="1">IF($A43="S",IF(CAIXA.Modo,BM.AFAnterior,BM.MEDAnterior),IF(AND(RegimeExecucao="Global",$I43&gt;0,COUNTIF($AB$13:$AM$13,BM.medicao-1)&gt;0),M43/$I43*100,0))</f>
        <v>0</v>
      </c>
      <c r="K43" s="147">
        <f t="shared" ca="1" si="3"/>
        <v>0</v>
      </c>
      <c r="L43" s="424">
        <f ca="1">IF($A43="S",IF(CAIXA.Modo,BM.AFAcumulado,BM.MEDAcumulado),IF(AND(RegimeExecucao="Global",$I43&gt;0,COUNTIF($AB$13:$AM$13,BM.medicao)&gt;0),O43/$I43*100,0))</f>
        <v>0</v>
      </c>
      <c r="M43" s="425">
        <f ca="1">IF($A43="S",VTOTALBM,IF($A43=0,0,ROUND(SomaAgrupBM,15-13*ORÇAMENTO!$AF$11)))</f>
        <v>0</v>
      </c>
      <c r="N43" s="426">
        <f t="shared" ca="1" si="4"/>
        <v>0</v>
      </c>
      <c r="O43" s="150">
        <f ca="1">IF($A43="S",VTOTALBM,IF($A43=0,0,ROUND(SomaAgrupBM,15-13*ORÇAMENTO!$AF$11)))</f>
        <v>0</v>
      </c>
      <c r="Q43" s="427"/>
      <c r="R43" s="428"/>
      <c r="T43" s="142" t="str">
        <f t="shared" ca="1" si="5"/>
        <v/>
      </c>
      <c r="U43" s="202" t="str">
        <f t="shared" ca="1" si="6"/>
        <v/>
      </c>
      <c r="V43" s="203" t="str">
        <f ca="1">IF(AND($W43&gt;0,RegimeExecucao="Unitário"),$F43,"")</f>
        <v/>
      </c>
      <c r="W43" s="629">
        <f ca="1">IF($Y43&gt;0,CHOOSE(MATCH(RegimeExecucao,{"Unitário","Global"},0),IF($A43="S",$Y43/$X43,""),($Y43/$X43)*100),0)</f>
        <v>0</v>
      </c>
      <c r="X43" s="429" t="str">
        <f ca="1">IF($Y43&gt;0,CHOOSE(MATCH(RegimeExecucao,{"Unitário","Global"},0),IF($A43="S",ROUND($H43,ORÇAMENTO!$AF$10),""),ROUND($I43,ORÇAMENTO!$AF$11)),"")</f>
        <v/>
      </c>
      <c r="Y43" s="429">
        <f t="shared" ca="1" si="7"/>
        <v>0</v>
      </c>
      <c r="Z43" s="656"/>
      <c r="AB43" s="427"/>
      <c r="AC43" s="594"/>
      <c r="AD43" s="594"/>
      <c r="AE43" s="594"/>
      <c r="AF43" s="594"/>
      <c r="AG43" s="594"/>
      <c r="AH43" s="594"/>
      <c r="AI43" s="594"/>
      <c r="AJ43" s="594"/>
      <c r="AK43" s="594"/>
      <c r="AL43" s="594"/>
      <c r="AM43" s="428"/>
      <c r="AO43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ht="13.8">
      <c r="A44" t="str">
        <f ca="1">ORÇAMENTO!C44</f>
        <v>S</v>
      </c>
      <c r="B44">
        <f ca="1">ORÇAMENTO!D44</f>
        <v>0</v>
      </c>
      <c r="C44" s="139" t="str">
        <f t="shared" ca="1" si="1"/>
        <v/>
      </c>
      <c r="D44" s="142" t="str">
        <f ca="1">ORÇAMENTO!O44</f>
        <v>-</v>
      </c>
      <c r="E44" s="202" t="str">
        <f t="shared" ca="1" si="2"/>
        <v>(abra o arquivo 'Referência 11-2024.xlsm)</v>
      </c>
      <c r="F44" s="203" t="str">
        <f ca="1">IF(RegimeExecucao="Global","",ORÇAMENTO.Unidade)</f>
        <v/>
      </c>
      <c r="G44" s="147" t="str">
        <f ca="1">IF(RegimeExecucao="Global","",ORÇAMENTO!T44)</f>
        <v/>
      </c>
      <c r="H44" s="147" t="str">
        <f ca="1">IF(RegimeExecucao="Global","",ORÇAMENTO!W44)</f>
        <v/>
      </c>
      <c r="I44" s="150">
        <f ca="1">ORÇAMENTO!X44</f>
        <v>0</v>
      </c>
      <c r="J44" s="423">
        <f ca="1">IF($A44="S",IF(CAIXA.Modo,BM.AFAnterior,BM.MEDAnterior),IF(AND(RegimeExecucao="Global",$I44&gt;0,COUNTIF($AB$13:$AM$13,BM.medicao-1)&gt;0),M44/$I44*100,0))</f>
        <v>0</v>
      </c>
      <c r="K44" s="147">
        <f t="shared" ca="1" si="3"/>
        <v>0</v>
      </c>
      <c r="L44" s="424">
        <f ca="1">IF($A44="S",IF(CAIXA.Modo,BM.AFAcumulado,BM.MEDAcumulado),IF(AND(RegimeExecucao="Global",$I44&gt;0,COUNTIF($AB$13:$AM$13,BM.medicao)&gt;0),O44/$I44*100,0))</f>
        <v>0</v>
      </c>
      <c r="M44" s="425">
        <f ca="1">IF($A44="S",VTOTALBM,IF($A44=0,0,ROUND(SomaAgrupBM,15-13*ORÇAMENTO!$AF$11)))</f>
        <v>0</v>
      </c>
      <c r="N44" s="426">
        <f t="shared" ca="1" si="4"/>
        <v>0</v>
      </c>
      <c r="O44" s="150">
        <f ca="1">IF($A44="S",VTOTALBM,IF($A44=0,0,ROUND(SomaAgrupBM,15-13*ORÇAMENTO!$AF$11)))</f>
        <v>0</v>
      </c>
      <c r="Q44" s="427"/>
      <c r="R44" s="428"/>
      <c r="T44" s="142" t="str">
        <f t="shared" ca="1" si="5"/>
        <v/>
      </c>
      <c r="U44" s="202" t="str">
        <f t="shared" ca="1" si="6"/>
        <v/>
      </c>
      <c r="V44" s="203" t="str">
        <f ca="1">IF(AND($W44&gt;0,RegimeExecucao="Unitário"),$F44,"")</f>
        <v/>
      </c>
      <c r="W44" s="629">
        <f ca="1">IF($Y44&gt;0,CHOOSE(MATCH(RegimeExecucao,{"Unitário","Global"},0),IF($A44="S",$Y44/$X44,""),($Y44/$X44)*100),0)</f>
        <v>0</v>
      </c>
      <c r="X44" s="429" t="str">
        <f ca="1">IF($Y44&gt;0,CHOOSE(MATCH(RegimeExecucao,{"Unitário","Global"},0),IF($A44="S",ROUND($H44,ORÇAMENTO!$AF$10),""),ROUND($I44,ORÇAMENTO!$AF$11)),"")</f>
        <v/>
      </c>
      <c r="Y44" s="429">
        <f t="shared" ca="1" si="7"/>
        <v>0</v>
      </c>
      <c r="Z44" s="656"/>
      <c r="AB44" s="427"/>
      <c r="AC44" s="594"/>
      <c r="AD44" s="594"/>
      <c r="AE44" s="594"/>
      <c r="AF44" s="594"/>
      <c r="AG44" s="594"/>
      <c r="AH44" s="594"/>
      <c r="AI44" s="594"/>
      <c r="AJ44" s="594"/>
      <c r="AK44" s="594"/>
      <c r="AL44" s="594"/>
      <c r="AM44" s="428"/>
      <c r="AO44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ht="13.8">
      <c r="A45" t="str">
        <f ca="1">ORÇAMENTO!C45</f>
        <v>S</v>
      </c>
      <c r="B45">
        <f ca="1">ORÇAMENTO!D45</f>
        <v>0</v>
      </c>
      <c r="C45" s="139" t="str">
        <f t="shared" ca="1" si="1"/>
        <v/>
      </c>
      <c r="D45" s="142" t="str">
        <f ca="1">ORÇAMENTO!O45</f>
        <v>-</v>
      </c>
      <c r="E45" s="202" t="str">
        <f t="shared" ca="1" si="2"/>
        <v>(abra o arquivo 'Referência 11-2024.xlsm)</v>
      </c>
      <c r="F45" s="203" t="str">
        <f ca="1">IF(RegimeExecucao="Global","",ORÇAMENTO.Unidade)</f>
        <v/>
      </c>
      <c r="G45" s="147" t="str">
        <f ca="1">IF(RegimeExecucao="Global","",ORÇAMENTO!T45)</f>
        <v/>
      </c>
      <c r="H45" s="147" t="str">
        <f ca="1">IF(RegimeExecucao="Global","",ORÇAMENTO!W45)</f>
        <v/>
      </c>
      <c r="I45" s="150">
        <f ca="1">ORÇAMENTO!X45</f>
        <v>0</v>
      </c>
      <c r="J45" s="423">
        <f ca="1">IF($A45="S",IF(CAIXA.Modo,BM.AFAnterior,BM.MEDAnterior),IF(AND(RegimeExecucao="Global",$I45&gt;0,COUNTIF($AB$13:$AM$13,BM.medicao-1)&gt;0),M45/$I45*100,0))</f>
        <v>0</v>
      </c>
      <c r="K45" s="147">
        <f t="shared" ca="1" si="3"/>
        <v>0</v>
      </c>
      <c r="L45" s="424">
        <f ca="1">IF($A45="S",IF(CAIXA.Modo,BM.AFAcumulado,BM.MEDAcumulado),IF(AND(RegimeExecucao="Global",$I45&gt;0,COUNTIF($AB$13:$AM$13,BM.medicao)&gt;0),O45/$I45*100,0))</f>
        <v>0</v>
      </c>
      <c r="M45" s="425">
        <f ca="1">IF($A45="S",VTOTALBM,IF($A45=0,0,ROUND(SomaAgrupBM,15-13*ORÇAMENTO!$AF$11)))</f>
        <v>0</v>
      </c>
      <c r="N45" s="426">
        <f t="shared" ca="1" si="4"/>
        <v>0</v>
      </c>
      <c r="O45" s="150">
        <f ca="1">IF($A45="S",VTOTALBM,IF($A45=0,0,ROUND(SomaAgrupBM,15-13*ORÇAMENTO!$AF$11)))</f>
        <v>0</v>
      </c>
      <c r="Q45" s="427"/>
      <c r="R45" s="428"/>
      <c r="T45" s="142" t="str">
        <f t="shared" ca="1" si="5"/>
        <v/>
      </c>
      <c r="U45" s="202" t="str">
        <f t="shared" ca="1" si="6"/>
        <v/>
      </c>
      <c r="V45" s="203" t="str">
        <f ca="1">IF(AND($W45&gt;0,RegimeExecucao="Unitário"),$F45,"")</f>
        <v/>
      </c>
      <c r="W45" s="629">
        <f ca="1">IF($Y45&gt;0,CHOOSE(MATCH(RegimeExecucao,{"Unitário","Global"},0),IF($A45="S",$Y45/$X45,""),($Y45/$X45)*100),0)</f>
        <v>0</v>
      </c>
      <c r="X45" s="429" t="str">
        <f ca="1">IF($Y45&gt;0,CHOOSE(MATCH(RegimeExecucao,{"Unitário","Global"},0),IF($A45="S",ROUND($H45,ORÇAMENTO!$AF$10),""),ROUND($I45,ORÇAMENTO!$AF$11)),"")</f>
        <v/>
      </c>
      <c r="Y45" s="429">
        <f t="shared" ca="1" si="7"/>
        <v>0</v>
      </c>
      <c r="Z45" s="656"/>
      <c r="AB45" s="427"/>
      <c r="AC45" s="594"/>
      <c r="AD45" s="594"/>
      <c r="AE45" s="594"/>
      <c r="AF45" s="594"/>
      <c r="AG45" s="594"/>
      <c r="AH45" s="594"/>
      <c r="AI45" s="594"/>
      <c r="AJ45" s="594"/>
      <c r="AK45" s="594"/>
      <c r="AL45" s="594"/>
      <c r="AM45" s="428"/>
      <c r="AO45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ht="13.8">
      <c r="A46" t="str">
        <f ca="1">ORÇAMENTO!C46</f>
        <v>S</v>
      </c>
      <c r="B46">
        <f ca="1">ORÇAMENTO!D46</f>
        <v>0</v>
      </c>
      <c r="C46" s="139" t="str">
        <f t="shared" ca="1" si="1"/>
        <v/>
      </c>
      <c r="D46" s="142" t="str">
        <f ca="1">ORÇAMENTO!O46</f>
        <v>-</v>
      </c>
      <c r="E46" s="202" t="str">
        <f t="shared" ca="1" si="2"/>
        <v>(abra o arquivo 'Referência 11-2024.xlsm)</v>
      </c>
      <c r="F46" s="203" t="str">
        <f ca="1">IF(RegimeExecucao="Global","",ORÇAMENTO.Unidade)</f>
        <v/>
      </c>
      <c r="G46" s="147" t="str">
        <f ca="1">IF(RegimeExecucao="Global","",ORÇAMENTO!T46)</f>
        <v/>
      </c>
      <c r="H46" s="147" t="str">
        <f ca="1">IF(RegimeExecucao="Global","",ORÇAMENTO!W46)</f>
        <v/>
      </c>
      <c r="I46" s="150">
        <f ca="1">ORÇAMENTO!X46</f>
        <v>0</v>
      </c>
      <c r="J46" s="423">
        <f ca="1">IF($A46="S",IF(CAIXA.Modo,BM.AFAnterior,BM.MEDAnterior),IF(AND(RegimeExecucao="Global",$I46&gt;0,COUNTIF($AB$13:$AM$13,BM.medicao-1)&gt;0),M46/$I46*100,0))</f>
        <v>0</v>
      </c>
      <c r="K46" s="147">
        <f t="shared" ca="1" si="3"/>
        <v>0</v>
      </c>
      <c r="L46" s="424">
        <f ca="1">IF($A46="S",IF(CAIXA.Modo,BM.AFAcumulado,BM.MEDAcumulado),IF(AND(RegimeExecucao="Global",$I46&gt;0,COUNTIF($AB$13:$AM$13,BM.medicao)&gt;0),O46/$I46*100,0))</f>
        <v>0</v>
      </c>
      <c r="M46" s="425">
        <f ca="1">IF($A46="S",VTOTALBM,IF($A46=0,0,ROUND(SomaAgrupBM,15-13*ORÇAMENTO!$AF$11)))</f>
        <v>0</v>
      </c>
      <c r="N46" s="426">
        <f t="shared" ca="1" si="4"/>
        <v>0</v>
      </c>
      <c r="O46" s="150">
        <f ca="1">IF($A46="S",VTOTALBM,IF($A46=0,0,ROUND(SomaAgrupBM,15-13*ORÇAMENTO!$AF$11)))</f>
        <v>0</v>
      </c>
      <c r="Q46" s="427"/>
      <c r="R46" s="428"/>
      <c r="T46" s="142" t="str">
        <f t="shared" ca="1" si="5"/>
        <v/>
      </c>
      <c r="U46" s="202" t="str">
        <f t="shared" ca="1" si="6"/>
        <v/>
      </c>
      <c r="V46" s="203" t="str">
        <f ca="1">IF(AND($W46&gt;0,RegimeExecucao="Unitário"),$F46,"")</f>
        <v/>
      </c>
      <c r="W46" s="629">
        <f ca="1">IF($Y46&gt;0,CHOOSE(MATCH(RegimeExecucao,{"Unitário","Global"},0),IF($A46="S",$Y46/$X46,""),($Y46/$X46)*100),0)</f>
        <v>0</v>
      </c>
      <c r="X46" s="429" t="str">
        <f ca="1">IF($Y46&gt;0,CHOOSE(MATCH(RegimeExecucao,{"Unitário","Global"},0),IF($A46="S",ROUND($H46,ORÇAMENTO!$AF$10),""),ROUND($I46,ORÇAMENTO!$AF$11)),"")</f>
        <v/>
      </c>
      <c r="Y46" s="429">
        <f t="shared" ca="1" si="7"/>
        <v>0</v>
      </c>
      <c r="Z46" s="656"/>
      <c r="AB46" s="427"/>
      <c r="AC46" s="594"/>
      <c r="AD46" s="594"/>
      <c r="AE46" s="594"/>
      <c r="AF46" s="594"/>
      <c r="AG46" s="594"/>
      <c r="AH46" s="594"/>
      <c r="AI46" s="594"/>
      <c r="AJ46" s="594"/>
      <c r="AK46" s="594"/>
      <c r="AL46" s="594"/>
      <c r="AM46" s="428"/>
      <c r="AO46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ht="13.8">
      <c r="A47" t="str">
        <f ca="1">ORÇAMENTO!C47</f>
        <v>S</v>
      </c>
      <c r="B47">
        <f ca="1">ORÇAMENTO!D47</f>
        <v>0</v>
      </c>
      <c r="C47" s="139" t="str">
        <f t="shared" ca="1" si="1"/>
        <v/>
      </c>
      <c r="D47" s="142" t="str">
        <f ca="1">ORÇAMENTO!O47</f>
        <v>-</v>
      </c>
      <c r="E47" s="202" t="str">
        <f t="shared" ca="1" si="2"/>
        <v>(abra o arquivo 'Referência 11-2024.xlsm)</v>
      </c>
      <c r="F47" s="203" t="str">
        <f ca="1">IF(RegimeExecucao="Global","",ORÇAMENTO.Unidade)</f>
        <v/>
      </c>
      <c r="G47" s="147" t="str">
        <f ca="1">IF(RegimeExecucao="Global","",ORÇAMENTO!T47)</f>
        <v/>
      </c>
      <c r="H47" s="147" t="str">
        <f ca="1">IF(RegimeExecucao="Global","",ORÇAMENTO!W47)</f>
        <v/>
      </c>
      <c r="I47" s="150">
        <f ca="1">ORÇAMENTO!X47</f>
        <v>0</v>
      </c>
      <c r="J47" s="423">
        <f ca="1">IF($A47="S",IF(CAIXA.Modo,BM.AFAnterior,BM.MEDAnterior),IF(AND(RegimeExecucao="Global",$I47&gt;0,COUNTIF($AB$13:$AM$13,BM.medicao-1)&gt;0),M47/$I47*100,0))</f>
        <v>0</v>
      </c>
      <c r="K47" s="147">
        <f t="shared" ca="1" si="3"/>
        <v>0</v>
      </c>
      <c r="L47" s="424">
        <f ca="1">IF($A47="S",IF(CAIXA.Modo,BM.AFAcumulado,BM.MEDAcumulado),IF(AND(RegimeExecucao="Global",$I47&gt;0,COUNTIF($AB$13:$AM$13,BM.medicao)&gt;0),O47/$I47*100,0))</f>
        <v>0</v>
      </c>
      <c r="M47" s="425">
        <f ca="1">IF($A47="S",VTOTALBM,IF($A47=0,0,ROUND(SomaAgrupBM,15-13*ORÇAMENTO!$AF$11)))</f>
        <v>0</v>
      </c>
      <c r="N47" s="426">
        <f t="shared" ca="1" si="4"/>
        <v>0</v>
      </c>
      <c r="O47" s="150">
        <f ca="1">IF($A47="S",VTOTALBM,IF($A47=0,0,ROUND(SomaAgrupBM,15-13*ORÇAMENTO!$AF$11)))</f>
        <v>0</v>
      </c>
      <c r="Q47" s="427"/>
      <c r="R47" s="428"/>
      <c r="T47" s="142" t="str">
        <f t="shared" ca="1" si="5"/>
        <v/>
      </c>
      <c r="U47" s="202" t="str">
        <f t="shared" ca="1" si="6"/>
        <v/>
      </c>
      <c r="V47" s="203" t="str">
        <f ca="1">IF(AND($W47&gt;0,RegimeExecucao="Unitário"),$F47,"")</f>
        <v/>
      </c>
      <c r="W47" s="629">
        <f ca="1">IF($Y47&gt;0,CHOOSE(MATCH(RegimeExecucao,{"Unitário","Global"},0),IF($A47="S",$Y47/$X47,""),($Y47/$X47)*100),0)</f>
        <v>0</v>
      </c>
      <c r="X47" s="429" t="str">
        <f ca="1">IF($Y47&gt;0,CHOOSE(MATCH(RegimeExecucao,{"Unitário","Global"},0),IF($A47="S",ROUND($H47,ORÇAMENTO!$AF$10),""),ROUND($I47,ORÇAMENTO!$AF$11)),"")</f>
        <v/>
      </c>
      <c r="Y47" s="429">
        <f t="shared" ca="1" si="7"/>
        <v>0</v>
      </c>
      <c r="Z47" s="656"/>
      <c r="AB47" s="427"/>
      <c r="AC47" s="594"/>
      <c r="AD47" s="594"/>
      <c r="AE47" s="594"/>
      <c r="AF47" s="594"/>
      <c r="AG47" s="594"/>
      <c r="AH47" s="594"/>
      <c r="AI47" s="594"/>
      <c r="AJ47" s="594"/>
      <c r="AK47" s="594"/>
      <c r="AL47" s="594"/>
      <c r="AM47" s="428"/>
      <c r="AO47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ht="13.8">
      <c r="A48" t="str">
        <f ca="1">ORÇAMENTO!C48</f>
        <v>S</v>
      </c>
      <c r="B48">
        <f ca="1">ORÇAMENTO!D48</f>
        <v>0</v>
      </c>
      <c r="C48" s="139" t="str">
        <f t="shared" ca="1" si="1"/>
        <v/>
      </c>
      <c r="D48" s="142" t="str">
        <f ca="1">ORÇAMENTO!O48</f>
        <v>-</v>
      </c>
      <c r="E48" s="202" t="str">
        <f t="shared" ca="1" si="2"/>
        <v>(abra o arquivo 'Referência 11-2024.xlsm)</v>
      </c>
      <c r="F48" s="203" t="str">
        <f ca="1">IF(RegimeExecucao="Global","",ORÇAMENTO.Unidade)</f>
        <v/>
      </c>
      <c r="G48" s="147" t="str">
        <f ca="1">IF(RegimeExecucao="Global","",ORÇAMENTO!T48)</f>
        <v/>
      </c>
      <c r="H48" s="147" t="str">
        <f ca="1">IF(RegimeExecucao="Global","",ORÇAMENTO!W48)</f>
        <v/>
      </c>
      <c r="I48" s="150">
        <f ca="1">ORÇAMENTO!X48</f>
        <v>0</v>
      </c>
      <c r="J48" s="423">
        <f ca="1">IF($A48="S",IF(CAIXA.Modo,BM.AFAnterior,BM.MEDAnterior),IF(AND(RegimeExecucao="Global",$I48&gt;0,COUNTIF($AB$13:$AM$13,BM.medicao-1)&gt;0),M48/$I48*100,0))</f>
        <v>0</v>
      </c>
      <c r="K48" s="147">
        <f t="shared" ca="1" si="3"/>
        <v>0</v>
      </c>
      <c r="L48" s="424">
        <f ca="1">IF($A48="S",IF(CAIXA.Modo,BM.AFAcumulado,BM.MEDAcumulado),IF(AND(RegimeExecucao="Global",$I48&gt;0,COUNTIF($AB$13:$AM$13,BM.medicao)&gt;0),O48/$I48*100,0))</f>
        <v>0</v>
      </c>
      <c r="M48" s="425">
        <f ca="1">IF($A48="S",VTOTALBM,IF($A48=0,0,ROUND(SomaAgrupBM,15-13*ORÇAMENTO!$AF$11)))</f>
        <v>0</v>
      </c>
      <c r="N48" s="426">
        <f t="shared" ca="1" si="4"/>
        <v>0</v>
      </c>
      <c r="O48" s="150">
        <f ca="1">IF($A48="S",VTOTALBM,IF($A48=0,0,ROUND(SomaAgrupBM,15-13*ORÇAMENTO!$AF$11)))</f>
        <v>0</v>
      </c>
      <c r="Q48" s="427"/>
      <c r="R48" s="428"/>
      <c r="T48" s="142" t="str">
        <f t="shared" ca="1" si="5"/>
        <v/>
      </c>
      <c r="U48" s="202" t="str">
        <f t="shared" ca="1" si="6"/>
        <v/>
      </c>
      <c r="V48" s="203" t="str">
        <f ca="1">IF(AND($W48&gt;0,RegimeExecucao="Unitário"),$F48,"")</f>
        <v/>
      </c>
      <c r="W48" s="629">
        <f ca="1">IF($Y48&gt;0,CHOOSE(MATCH(RegimeExecucao,{"Unitário","Global"},0),IF($A48="S",$Y48/$X48,""),($Y48/$X48)*100),0)</f>
        <v>0</v>
      </c>
      <c r="X48" s="429" t="str">
        <f ca="1">IF($Y48&gt;0,CHOOSE(MATCH(RegimeExecucao,{"Unitário","Global"},0),IF($A48="S",ROUND($H48,ORÇAMENTO!$AF$10),""),ROUND($I48,ORÇAMENTO!$AF$11)),"")</f>
        <v/>
      </c>
      <c r="Y48" s="429">
        <f t="shared" ca="1" si="7"/>
        <v>0</v>
      </c>
      <c r="Z48" s="656"/>
      <c r="AB48" s="427"/>
      <c r="AC48" s="594"/>
      <c r="AD48" s="594"/>
      <c r="AE48" s="594"/>
      <c r="AF48" s="594"/>
      <c r="AG48" s="594"/>
      <c r="AH48" s="594"/>
      <c r="AI48" s="594"/>
      <c r="AJ48" s="594"/>
      <c r="AK48" s="594"/>
      <c r="AL48" s="594"/>
      <c r="AM48" s="428"/>
      <c r="AO48">
        <f ca="1">IF($A48="S",IF(BM!$I48=0,0,CHOOSE(MATCH(RegimeExecucao,{"Global","Unitário"},0),ROUND(ROUND(BM.MEDAcumulado,15-13*BM!$A$9)/100*BM!$I48,15-13*ORÇAMENTO!$AF$11),ROUND(ROUND(BM.MEDAcumulado,15-13*BM!$A$9)*ROUND(BM!$H48,15-13*ORÇAMENTO!$AF$10),15-13*ORÇAMENTO!$AF$11))),IF($A48=0,0,ROUND(SomaAgrupBM,15-13*ORÇAMENTO!$AF$11)))</f>
        <v>0</v>
      </c>
    </row>
    <row r="49" spans="1:41" ht="13.8">
      <c r="A49" t="str">
        <f ca="1">ORÇAMENTO!C49</f>
        <v>S</v>
      </c>
      <c r="B49">
        <f ca="1">ORÇAMENTO!D49</f>
        <v>0</v>
      </c>
      <c r="C49" s="139" t="str">
        <f t="shared" ca="1" si="1"/>
        <v/>
      </c>
      <c r="D49" s="142" t="str">
        <f ca="1">ORÇAMENTO!O49</f>
        <v>-</v>
      </c>
      <c r="E49" s="202" t="str">
        <f t="shared" ca="1" si="2"/>
        <v>(abra o arquivo 'Referência 11-2024.xlsm)</v>
      </c>
      <c r="F49" s="203" t="str">
        <f ca="1">IF(RegimeExecucao="Global","",ORÇAMENTO.Unidade)</f>
        <v/>
      </c>
      <c r="G49" s="147" t="str">
        <f ca="1">IF(RegimeExecucao="Global","",ORÇAMENTO!T49)</f>
        <v/>
      </c>
      <c r="H49" s="147" t="str">
        <f ca="1">IF(RegimeExecucao="Global","",ORÇAMENTO!W49)</f>
        <v/>
      </c>
      <c r="I49" s="150">
        <f ca="1">ORÇAMENTO!X49</f>
        <v>0</v>
      </c>
      <c r="J49" s="423">
        <f ca="1">IF($A49="S",IF(CAIXA.Modo,BM.AFAnterior,BM.MEDAnterior),IF(AND(RegimeExecucao="Global",$I49&gt;0,COUNTIF($AB$13:$AM$13,BM.medicao-1)&gt;0),M49/$I49*100,0))</f>
        <v>0</v>
      </c>
      <c r="K49" s="147">
        <f t="shared" ca="1" si="3"/>
        <v>0</v>
      </c>
      <c r="L49" s="424">
        <f ca="1">IF($A49="S",IF(CAIXA.Modo,BM.AFAcumulado,BM.MEDAcumulado),IF(AND(RegimeExecucao="Global",$I49&gt;0,COUNTIF($AB$13:$AM$13,BM.medicao)&gt;0),O49/$I49*100,0))</f>
        <v>0</v>
      </c>
      <c r="M49" s="425">
        <f ca="1">IF($A49="S",VTOTALBM,IF($A49=0,0,ROUND(SomaAgrupBM,15-13*ORÇAMENTO!$AF$11)))</f>
        <v>0</v>
      </c>
      <c r="N49" s="426">
        <f t="shared" ca="1" si="4"/>
        <v>0</v>
      </c>
      <c r="O49" s="150">
        <f ca="1">IF($A49="S",VTOTALBM,IF($A49=0,0,ROUND(SomaAgrupBM,15-13*ORÇAMENTO!$AF$11)))</f>
        <v>0</v>
      </c>
      <c r="Q49" s="427"/>
      <c r="R49" s="428"/>
      <c r="T49" s="142" t="str">
        <f t="shared" ca="1" si="5"/>
        <v/>
      </c>
      <c r="U49" s="202" t="str">
        <f t="shared" ca="1" si="6"/>
        <v/>
      </c>
      <c r="V49" s="203" t="str">
        <f ca="1">IF(AND($W49&gt;0,RegimeExecucao="Unitário"),$F49,"")</f>
        <v/>
      </c>
      <c r="W49" s="629">
        <f ca="1">IF($Y49&gt;0,CHOOSE(MATCH(RegimeExecucao,{"Unitário","Global"},0),IF($A49="S",$Y49/$X49,""),($Y49/$X49)*100),0)</f>
        <v>0</v>
      </c>
      <c r="X49" s="429" t="str">
        <f ca="1">IF($Y49&gt;0,CHOOSE(MATCH(RegimeExecucao,{"Unitário","Global"},0),IF($A49="S",ROUND($H49,ORÇAMENTO!$AF$10),""),ROUND($I49,ORÇAMENTO!$AF$11)),"")</f>
        <v/>
      </c>
      <c r="Y49" s="429">
        <f t="shared" ca="1" si="7"/>
        <v>0</v>
      </c>
      <c r="Z49" s="656"/>
      <c r="AB49" s="427"/>
      <c r="AC49" s="594"/>
      <c r="AD49" s="594"/>
      <c r="AE49" s="594"/>
      <c r="AF49" s="594"/>
      <c r="AG49" s="594"/>
      <c r="AH49" s="594"/>
      <c r="AI49" s="594"/>
      <c r="AJ49" s="594"/>
      <c r="AK49" s="594"/>
      <c r="AL49" s="594"/>
      <c r="AM49" s="428"/>
      <c r="AO49">
        <f ca="1">IF($A49="S",IF(BM!$I49=0,0,CHOOSE(MATCH(RegimeExecucao,{"Global","Unitário"},0),ROUND(ROUND(BM.MEDAcumulado,15-13*BM!$A$9)/100*BM!$I49,15-13*ORÇAMENTO!$AF$11),ROUND(ROUND(BM.MEDAcumulado,15-13*BM!$A$9)*ROUND(BM!$H49,15-13*ORÇAMENTO!$AF$10),15-13*ORÇAMENTO!$AF$11))),IF($A49=0,0,ROUND(SomaAgrupBM,15-13*ORÇAMENTO!$AF$11)))</f>
        <v>0</v>
      </c>
    </row>
    <row r="50" spans="1:41" ht="13.8">
      <c r="A50" t="str">
        <f ca="1">ORÇAMENTO!C50</f>
        <v>S</v>
      </c>
      <c r="B50">
        <f ca="1">ORÇAMENTO!D50</f>
        <v>0</v>
      </c>
      <c r="C50" s="139" t="str">
        <f t="shared" ca="1" si="1"/>
        <v/>
      </c>
      <c r="D50" s="142" t="str">
        <f ca="1">ORÇAMENTO!O50</f>
        <v>-</v>
      </c>
      <c r="E50" s="202" t="str">
        <f t="shared" ca="1" si="2"/>
        <v>(abra o arquivo 'Referência 11-2024.xlsm)</v>
      </c>
      <c r="F50" s="203" t="str">
        <f ca="1">IF(RegimeExecucao="Global","",ORÇAMENTO.Unidade)</f>
        <v/>
      </c>
      <c r="G50" s="147" t="str">
        <f ca="1">IF(RegimeExecucao="Global","",ORÇAMENTO!T50)</f>
        <v/>
      </c>
      <c r="H50" s="147" t="str">
        <f ca="1">IF(RegimeExecucao="Global","",ORÇAMENTO!W50)</f>
        <v/>
      </c>
      <c r="I50" s="150">
        <f ca="1">ORÇAMENTO!X50</f>
        <v>0</v>
      </c>
      <c r="J50" s="423">
        <f ca="1">IF($A50="S",IF(CAIXA.Modo,BM.AFAnterior,BM.MEDAnterior),IF(AND(RegimeExecucao="Global",$I50&gt;0,COUNTIF($AB$13:$AM$13,BM.medicao-1)&gt;0),M50/$I50*100,0))</f>
        <v>0</v>
      </c>
      <c r="K50" s="147">
        <f t="shared" ca="1" si="3"/>
        <v>0</v>
      </c>
      <c r="L50" s="424">
        <f ca="1">IF($A50="S",IF(CAIXA.Modo,BM.AFAcumulado,BM.MEDAcumulado),IF(AND(RegimeExecucao="Global",$I50&gt;0,COUNTIF($AB$13:$AM$13,BM.medicao)&gt;0),O50/$I50*100,0))</f>
        <v>0</v>
      </c>
      <c r="M50" s="425">
        <f ca="1">IF($A50="S",VTOTALBM,IF($A50=0,0,ROUND(SomaAgrupBM,15-13*ORÇAMENTO!$AF$11)))</f>
        <v>0</v>
      </c>
      <c r="N50" s="426">
        <f t="shared" ca="1" si="4"/>
        <v>0</v>
      </c>
      <c r="O50" s="150">
        <f ca="1">IF($A50="S",VTOTALBM,IF($A50=0,0,ROUND(SomaAgrupBM,15-13*ORÇAMENTO!$AF$11)))</f>
        <v>0</v>
      </c>
      <c r="Q50" s="427"/>
      <c r="R50" s="428"/>
      <c r="T50" s="142" t="str">
        <f t="shared" ca="1" si="5"/>
        <v/>
      </c>
      <c r="U50" s="202" t="str">
        <f t="shared" ca="1" si="6"/>
        <v/>
      </c>
      <c r="V50" s="203" t="str">
        <f ca="1">IF(AND($W50&gt;0,RegimeExecucao="Unitário"),$F50,"")</f>
        <v/>
      </c>
      <c r="W50" s="629">
        <f ca="1">IF($Y50&gt;0,CHOOSE(MATCH(RegimeExecucao,{"Unitário","Global"},0),IF($A50="S",$Y50/$X50,""),($Y50/$X50)*100),0)</f>
        <v>0</v>
      </c>
      <c r="X50" s="429" t="str">
        <f ca="1">IF($Y50&gt;0,CHOOSE(MATCH(RegimeExecucao,{"Unitário","Global"},0),IF($A50="S",ROUND($H50,ORÇAMENTO!$AF$10),""),ROUND($I50,ORÇAMENTO!$AF$11)),"")</f>
        <v/>
      </c>
      <c r="Y50" s="429">
        <f t="shared" ca="1" si="7"/>
        <v>0</v>
      </c>
      <c r="Z50" s="656"/>
      <c r="AB50" s="427"/>
      <c r="AC50" s="594"/>
      <c r="AD50" s="594"/>
      <c r="AE50" s="594"/>
      <c r="AF50" s="594"/>
      <c r="AG50" s="594"/>
      <c r="AH50" s="594"/>
      <c r="AI50" s="594"/>
      <c r="AJ50" s="594"/>
      <c r="AK50" s="594"/>
      <c r="AL50" s="594"/>
      <c r="AM50" s="428"/>
      <c r="AO50">
        <f ca="1">IF($A50="S",IF(BM!$I50=0,0,CHOOSE(MATCH(RegimeExecucao,{"Global","Unitário"},0),ROUND(ROUND(BM.MEDAcumulado,15-13*BM!$A$9)/100*BM!$I50,15-13*ORÇAMENTO!$AF$11),ROUND(ROUND(BM.MEDAcumulado,15-13*BM!$A$9)*ROUND(BM!$H50,15-13*ORÇAMENTO!$AF$10),15-13*ORÇAMENTO!$AF$11))),IF($A50=0,0,ROUND(SomaAgrupBM,15-13*ORÇAMENTO!$AF$11)))</f>
        <v>0</v>
      </c>
    </row>
    <row r="51" spans="1:41" ht="13.8">
      <c r="A51" t="str">
        <f ca="1">ORÇAMENTO!C51</f>
        <v>S</v>
      </c>
      <c r="B51">
        <f ca="1">ORÇAMENTO!D51</f>
        <v>0</v>
      </c>
      <c r="C51" s="139" t="str">
        <f t="shared" ca="1" si="1"/>
        <v/>
      </c>
      <c r="D51" s="142" t="str">
        <f ca="1">ORÇAMENTO!O51</f>
        <v>-</v>
      </c>
      <c r="E51" s="202" t="str">
        <f t="shared" ca="1" si="2"/>
        <v>(abra o arquivo 'Referência 11-2024.xlsm)</v>
      </c>
      <c r="F51" s="203" t="str">
        <f ca="1">IF(RegimeExecucao="Global","",ORÇAMENTO.Unidade)</f>
        <v/>
      </c>
      <c r="G51" s="147" t="str">
        <f ca="1">IF(RegimeExecucao="Global","",ORÇAMENTO!T51)</f>
        <v/>
      </c>
      <c r="H51" s="147" t="str">
        <f ca="1">IF(RegimeExecucao="Global","",ORÇAMENTO!W51)</f>
        <v/>
      </c>
      <c r="I51" s="150">
        <f ca="1">ORÇAMENTO!X51</f>
        <v>0</v>
      </c>
      <c r="J51" s="423">
        <f ca="1">IF($A51="S",IF(CAIXA.Modo,BM.AFAnterior,BM.MEDAnterior),IF(AND(RegimeExecucao="Global",$I51&gt;0,COUNTIF($AB$13:$AM$13,BM.medicao-1)&gt;0),M51/$I51*100,0))</f>
        <v>0</v>
      </c>
      <c r="K51" s="147">
        <f t="shared" ca="1" si="3"/>
        <v>0</v>
      </c>
      <c r="L51" s="424">
        <f ca="1">IF($A51="S",IF(CAIXA.Modo,BM.AFAcumulado,BM.MEDAcumulado),IF(AND(RegimeExecucao="Global",$I51&gt;0,COUNTIF($AB$13:$AM$13,BM.medicao)&gt;0),O51/$I51*100,0))</f>
        <v>0</v>
      </c>
      <c r="M51" s="425">
        <f ca="1">IF($A51="S",VTOTALBM,IF($A51=0,0,ROUND(SomaAgrupBM,15-13*ORÇAMENTO!$AF$11)))</f>
        <v>0</v>
      </c>
      <c r="N51" s="426">
        <f t="shared" ca="1" si="4"/>
        <v>0</v>
      </c>
      <c r="O51" s="150">
        <f ca="1">IF($A51="S",VTOTALBM,IF($A51=0,0,ROUND(SomaAgrupBM,15-13*ORÇAMENTO!$AF$11)))</f>
        <v>0</v>
      </c>
      <c r="Q51" s="427"/>
      <c r="R51" s="428"/>
      <c r="T51" s="142" t="str">
        <f t="shared" ca="1" si="5"/>
        <v/>
      </c>
      <c r="U51" s="202" t="str">
        <f t="shared" ca="1" si="6"/>
        <v/>
      </c>
      <c r="V51" s="203" t="str">
        <f ca="1">IF(AND($W51&gt;0,RegimeExecucao="Unitário"),$F51,"")</f>
        <v/>
      </c>
      <c r="W51" s="629">
        <f ca="1">IF($Y51&gt;0,CHOOSE(MATCH(RegimeExecucao,{"Unitário","Global"},0),IF($A51="S",$Y51/$X51,""),($Y51/$X51)*100),0)</f>
        <v>0</v>
      </c>
      <c r="X51" s="429" t="str">
        <f ca="1">IF($Y51&gt;0,CHOOSE(MATCH(RegimeExecucao,{"Unitário","Global"},0),IF($A51="S",ROUND($H51,ORÇAMENTO!$AF$10),""),ROUND($I51,ORÇAMENTO!$AF$11)),"")</f>
        <v/>
      </c>
      <c r="Y51" s="429">
        <f t="shared" ca="1" si="7"/>
        <v>0</v>
      </c>
      <c r="Z51" s="656"/>
      <c r="AB51" s="427"/>
      <c r="AC51" s="594"/>
      <c r="AD51" s="594"/>
      <c r="AE51" s="594"/>
      <c r="AF51" s="594"/>
      <c r="AG51" s="594"/>
      <c r="AH51" s="594"/>
      <c r="AI51" s="594"/>
      <c r="AJ51" s="594"/>
      <c r="AK51" s="594"/>
      <c r="AL51" s="594"/>
      <c r="AM51" s="428"/>
      <c r="AO51">
        <f ca="1">IF($A51="S",IF(BM!$I51=0,0,CHOOSE(MATCH(RegimeExecucao,{"Global","Unitário"},0),ROUND(ROUND(BM.MEDAcumulado,15-13*BM!$A$9)/100*BM!$I51,15-13*ORÇAMENTO!$AF$11),ROUND(ROUND(BM.MEDAcumulado,15-13*BM!$A$9)*ROUND(BM!$H51,15-13*ORÇAMENTO!$AF$10),15-13*ORÇAMENTO!$AF$11))),IF($A51=0,0,ROUND(SomaAgrupBM,15-13*ORÇAMENTO!$AF$11)))</f>
        <v>0</v>
      </c>
    </row>
    <row r="52" spans="1:41" ht="13.8">
      <c r="A52" t="str">
        <f ca="1">ORÇAMENTO!C52</f>
        <v>S</v>
      </c>
      <c r="B52">
        <f ca="1">ORÇAMENTO!D52</f>
        <v>0</v>
      </c>
      <c r="C52" s="139" t="str">
        <f t="shared" ca="1" si="1"/>
        <v/>
      </c>
      <c r="D52" s="142" t="str">
        <f ca="1">ORÇAMENTO!O52</f>
        <v>-</v>
      </c>
      <c r="E52" s="202" t="str">
        <f t="shared" ca="1" si="2"/>
        <v>(abra o arquivo 'Referência 11-2024.xlsm)</v>
      </c>
      <c r="F52" s="203" t="str">
        <f ca="1">IF(RegimeExecucao="Global","",ORÇAMENTO.Unidade)</f>
        <v/>
      </c>
      <c r="G52" s="147" t="str">
        <f ca="1">IF(RegimeExecucao="Global","",ORÇAMENTO!T52)</f>
        <v/>
      </c>
      <c r="H52" s="147" t="str">
        <f ca="1">IF(RegimeExecucao="Global","",ORÇAMENTO!W52)</f>
        <v/>
      </c>
      <c r="I52" s="150">
        <f ca="1">ORÇAMENTO!X52</f>
        <v>0</v>
      </c>
      <c r="J52" s="423">
        <f ca="1">IF($A52="S",IF(CAIXA.Modo,BM.AFAnterior,BM.MEDAnterior),IF(AND(RegimeExecucao="Global",$I52&gt;0,COUNTIF($AB$13:$AM$13,BM.medicao-1)&gt;0),M52/$I52*100,0))</f>
        <v>0</v>
      </c>
      <c r="K52" s="147">
        <f t="shared" ca="1" si="3"/>
        <v>0</v>
      </c>
      <c r="L52" s="424">
        <f ca="1">IF($A52="S",IF(CAIXA.Modo,BM.AFAcumulado,BM.MEDAcumulado),IF(AND(RegimeExecucao="Global",$I52&gt;0,COUNTIF($AB$13:$AM$13,BM.medicao)&gt;0),O52/$I52*100,0))</f>
        <v>0</v>
      </c>
      <c r="M52" s="425">
        <f ca="1">IF($A52="S",VTOTALBM,IF($A52=0,0,ROUND(SomaAgrupBM,15-13*ORÇAMENTO!$AF$11)))</f>
        <v>0</v>
      </c>
      <c r="N52" s="426">
        <f t="shared" ca="1" si="4"/>
        <v>0</v>
      </c>
      <c r="O52" s="150">
        <f ca="1">IF($A52="S",VTOTALBM,IF($A52=0,0,ROUND(SomaAgrupBM,15-13*ORÇAMENTO!$AF$11)))</f>
        <v>0</v>
      </c>
      <c r="Q52" s="427"/>
      <c r="R52" s="428"/>
      <c r="T52" s="142" t="str">
        <f t="shared" ca="1" si="5"/>
        <v/>
      </c>
      <c r="U52" s="202" t="str">
        <f t="shared" ca="1" si="6"/>
        <v/>
      </c>
      <c r="V52" s="203" t="str">
        <f ca="1">IF(AND($W52&gt;0,RegimeExecucao="Unitário"),$F52,"")</f>
        <v/>
      </c>
      <c r="W52" s="629">
        <f ca="1">IF($Y52&gt;0,CHOOSE(MATCH(RegimeExecucao,{"Unitário","Global"},0),IF($A52="S",$Y52/$X52,""),($Y52/$X52)*100),0)</f>
        <v>0</v>
      </c>
      <c r="X52" s="429" t="str">
        <f ca="1">IF($Y52&gt;0,CHOOSE(MATCH(RegimeExecucao,{"Unitário","Global"},0),IF($A52="S",ROUND($H52,ORÇAMENTO!$AF$10),""),ROUND($I52,ORÇAMENTO!$AF$11)),"")</f>
        <v/>
      </c>
      <c r="Y52" s="429">
        <f t="shared" ca="1" si="7"/>
        <v>0</v>
      </c>
      <c r="Z52" s="656"/>
      <c r="AB52" s="427"/>
      <c r="AC52" s="594"/>
      <c r="AD52" s="594"/>
      <c r="AE52" s="594"/>
      <c r="AF52" s="594"/>
      <c r="AG52" s="594"/>
      <c r="AH52" s="594"/>
      <c r="AI52" s="594"/>
      <c r="AJ52" s="594"/>
      <c r="AK52" s="594"/>
      <c r="AL52" s="594"/>
      <c r="AM52" s="428"/>
      <c r="AO52">
        <f ca="1">IF($A52="S",IF(BM!$I52=0,0,CHOOSE(MATCH(RegimeExecucao,{"Global","Unitário"},0),ROUND(ROUND(BM.MEDAcumulado,15-13*BM!$A$9)/100*BM!$I52,15-13*ORÇAMENTO!$AF$11),ROUND(ROUND(BM.MEDAcumulado,15-13*BM!$A$9)*ROUND(BM!$H52,15-13*ORÇAMENTO!$AF$10),15-13*ORÇAMENTO!$AF$11))),IF($A52=0,0,ROUND(SomaAgrupBM,15-13*ORÇAMENTO!$AF$11)))</f>
        <v>0</v>
      </c>
    </row>
    <row r="53" spans="1:41" ht="13.8">
      <c r="A53" t="str">
        <f ca="1">ORÇAMENTO!C53</f>
        <v>S</v>
      </c>
      <c r="B53">
        <f ca="1">ORÇAMENTO!D53</f>
        <v>0</v>
      </c>
      <c r="C53" s="139" t="str">
        <f t="shared" ca="1" si="1"/>
        <v/>
      </c>
      <c r="D53" s="142" t="str">
        <f ca="1">ORÇAMENTO!O53</f>
        <v>-</v>
      </c>
      <c r="E53" s="202" t="str">
        <f t="shared" ca="1" si="2"/>
        <v>(abra o arquivo 'Referência 11-2024.xlsm)</v>
      </c>
      <c r="F53" s="203" t="str">
        <f ca="1">IF(RegimeExecucao="Global","",ORÇAMENTO.Unidade)</f>
        <v/>
      </c>
      <c r="G53" s="147" t="str">
        <f ca="1">IF(RegimeExecucao="Global","",ORÇAMENTO!T53)</f>
        <v/>
      </c>
      <c r="H53" s="147" t="str">
        <f ca="1">IF(RegimeExecucao="Global","",ORÇAMENTO!W53)</f>
        <v/>
      </c>
      <c r="I53" s="150">
        <f ca="1">ORÇAMENTO!X53</f>
        <v>0</v>
      </c>
      <c r="J53" s="423">
        <f ca="1">IF($A53="S",IF(CAIXA.Modo,BM.AFAnterior,BM.MEDAnterior),IF(AND(RegimeExecucao="Global",$I53&gt;0,COUNTIF($AB$13:$AM$13,BM.medicao-1)&gt;0),M53/$I53*100,0))</f>
        <v>0</v>
      </c>
      <c r="K53" s="147">
        <f t="shared" ca="1" si="3"/>
        <v>0</v>
      </c>
      <c r="L53" s="424">
        <f ca="1">IF($A53="S",IF(CAIXA.Modo,BM.AFAcumulado,BM.MEDAcumulado),IF(AND(RegimeExecucao="Global",$I53&gt;0,COUNTIF($AB$13:$AM$13,BM.medicao)&gt;0),O53/$I53*100,0))</f>
        <v>0</v>
      </c>
      <c r="M53" s="425">
        <f ca="1">IF($A53="S",VTOTALBM,IF($A53=0,0,ROUND(SomaAgrupBM,15-13*ORÇAMENTO!$AF$11)))</f>
        <v>0</v>
      </c>
      <c r="N53" s="426">
        <f t="shared" ca="1" si="4"/>
        <v>0</v>
      </c>
      <c r="O53" s="150">
        <f ca="1">IF($A53="S",VTOTALBM,IF($A53=0,0,ROUND(SomaAgrupBM,15-13*ORÇAMENTO!$AF$11)))</f>
        <v>0</v>
      </c>
      <c r="Q53" s="427"/>
      <c r="R53" s="428"/>
      <c r="T53" s="142" t="str">
        <f t="shared" ca="1" si="5"/>
        <v/>
      </c>
      <c r="U53" s="202" t="str">
        <f t="shared" ca="1" si="6"/>
        <v/>
      </c>
      <c r="V53" s="203" t="str">
        <f ca="1">IF(AND($W53&gt;0,RegimeExecucao="Unitário"),$F53,"")</f>
        <v/>
      </c>
      <c r="W53" s="629">
        <f ca="1">IF($Y53&gt;0,CHOOSE(MATCH(RegimeExecucao,{"Unitário","Global"},0),IF($A53="S",$Y53/$X53,""),($Y53/$X53)*100),0)</f>
        <v>0</v>
      </c>
      <c r="X53" s="429" t="str">
        <f ca="1">IF($Y53&gt;0,CHOOSE(MATCH(RegimeExecucao,{"Unitário","Global"},0),IF($A53="S",ROUND($H53,ORÇAMENTO!$AF$10),""),ROUND($I53,ORÇAMENTO!$AF$11)),"")</f>
        <v/>
      </c>
      <c r="Y53" s="429">
        <f t="shared" ca="1" si="7"/>
        <v>0</v>
      </c>
      <c r="Z53" s="656"/>
      <c r="AB53" s="427"/>
      <c r="AC53" s="594"/>
      <c r="AD53" s="594"/>
      <c r="AE53" s="594"/>
      <c r="AF53" s="594"/>
      <c r="AG53" s="594"/>
      <c r="AH53" s="594"/>
      <c r="AI53" s="594"/>
      <c r="AJ53" s="594"/>
      <c r="AK53" s="594"/>
      <c r="AL53" s="594"/>
      <c r="AM53" s="428"/>
      <c r="AO53">
        <f ca="1">IF($A53="S",IF(BM!$I53=0,0,CHOOSE(MATCH(RegimeExecucao,{"Global","Unitário"},0),ROUND(ROUND(BM.MEDAcumulado,15-13*BM!$A$9)/100*BM!$I53,15-13*ORÇAMENTO!$AF$11),ROUND(ROUND(BM.MEDAcumulado,15-13*BM!$A$9)*ROUND(BM!$H53,15-13*ORÇAMENTO!$AF$10),15-13*ORÇAMENTO!$AF$11))),IF($A53=0,0,ROUND(SomaAgrupBM,15-13*ORÇAMENTO!$AF$11)))</f>
        <v>0</v>
      </c>
    </row>
    <row r="54" spans="1:41" ht="13.8">
      <c r="A54" t="str">
        <f ca="1">ORÇAMENTO!C54</f>
        <v>S</v>
      </c>
      <c r="B54">
        <f ca="1">ORÇAMENTO!D54</f>
        <v>0</v>
      </c>
      <c r="C54" s="139" t="str">
        <f t="shared" ca="1" si="1"/>
        <v/>
      </c>
      <c r="D54" s="142" t="str">
        <f ca="1">ORÇAMENTO!O54</f>
        <v>-</v>
      </c>
      <c r="E54" s="202" t="str">
        <f t="shared" ca="1" si="2"/>
        <v>(abra o arquivo 'Referência 11-2024.xlsm)</v>
      </c>
      <c r="F54" s="203" t="str">
        <f ca="1">IF(RegimeExecucao="Global","",ORÇAMENTO.Unidade)</f>
        <v/>
      </c>
      <c r="G54" s="147" t="str">
        <f ca="1">IF(RegimeExecucao="Global","",ORÇAMENTO!T54)</f>
        <v/>
      </c>
      <c r="H54" s="147" t="str">
        <f ca="1">IF(RegimeExecucao="Global","",ORÇAMENTO!W54)</f>
        <v/>
      </c>
      <c r="I54" s="150">
        <f ca="1">ORÇAMENTO!X54</f>
        <v>0</v>
      </c>
      <c r="J54" s="423">
        <f ca="1">IF($A54="S",IF(CAIXA.Modo,BM.AFAnterior,BM.MEDAnterior),IF(AND(RegimeExecucao="Global",$I54&gt;0,COUNTIF($AB$13:$AM$13,BM.medicao-1)&gt;0),M54/$I54*100,0))</f>
        <v>0</v>
      </c>
      <c r="K54" s="147">
        <f t="shared" ca="1" si="3"/>
        <v>0</v>
      </c>
      <c r="L54" s="424">
        <f ca="1">IF($A54="S",IF(CAIXA.Modo,BM.AFAcumulado,BM.MEDAcumulado),IF(AND(RegimeExecucao="Global",$I54&gt;0,COUNTIF($AB$13:$AM$13,BM.medicao)&gt;0),O54/$I54*100,0))</f>
        <v>0</v>
      </c>
      <c r="M54" s="425">
        <f ca="1">IF($A54="S",VTOTALBM,IF($A54=0,0,ROUND(SomaAgrupBM,15-13*ORÇAMENTO!$AF$11)))</f>
        <v>0</v>
      </c>
      <c r="N54" s="426">
        <f t="shared" ca="1" si="4"/>
        <v>0</v>
      </c>
      <c r="O54" s="150">
        <f ca="1">IF($A54="S",VTOTALBM,IF($A54=0,0,ROUND(SomaAgrupBM,15-13*ORÇAMENTO!$AF$11)))</f>
        <v>0</v>
      </c>
      <c r="Q54" s="427"/>
      <c r="R54" s="428"/>
      <c r="T54" s="142" t="str">
        <f t="shared" ca="1" si="5"/>
        <v/>
      </c>
      <c r="U54" s="202" t="str">
        <f t="shared" ca="1" si="6"/>
        <v/>
      </c>
      <c r="V54" s="203" t="str">
        <f ca="1">IF(AND($W54&gt;0,RegimeExecucao="Unitário"),$F54,"")</f>
        <v/>
      </c>
      <c r="W54" s="629">
        <f ca="1">IF($Y54&gt;0,CHOOSE(MATCH(RegimeExecucao,{"Unitário","Global"},0),IF($A54="S",$Y54/$X54,""),($Y54/$X54)*100),0)</f>
        <v>0</v>
      </c>
      <c r="X54" s="429" t="str">
        <f ca="1">IF($Y54&gt;0,CHOOSE(MATCH(RegimeExecucao,{"Unitário","Global"},0),IF($A54="S",ROUND($H54,ORÇAMENTO!$AF$10),""),ROUND($I54,ORÇAMENTO!$AF$11)),"")</f>
        <v/>
      </c>
      <c r="Y54" s="429">
        <f t="shared" ca="1" si="7"/>
        <v>0</v>
      </c>
      <c r="Z54" s="656"/>
      <c r="AB54" s="427"/>
      <c r="AC54" s="594"/>
      <c r="AD54" s="594"/>
      <c r="AE54" s="594"/>
      <c r="AF54" s="594"/>
      <c r="AG54" s="594"/>
      <c r="AH54" s="594"/>
      <c r="AI54" s="594"/>
      <c r="AJ54" s="594"/>
      <c r="AK54" s="594"/>
      <c r="AL54" s="594"/>
      <c r="AM54" s="428"/>
      <c r="AO54">
        <f ca="1">IF($A54="S",IF(BM!$I54=0,0,CHOOSE(MATCH(RegimeExecucao,{"Global","Unitário"},0),ROUND(ROUND(BM.MEDAcumulado,15-13*BM!$A$9)/100*BM!$I54,15-13*ORÇAMENTO!$AF$11),ROUND(ROUND(BM.MEDAcumulado,15-13*BM!$A$9)*ROUND(BM!$H54,15-13*ORÇAMENTO!$AF$10),15-13*ORÇAMENTO!$AF$11))),IF($A54=0,0,ROUND(SomaAgrupBM,15-13*ORÇAMENTO!$AF$11)))</f>
        <v>0</v>
      </c>
    </row>
    <row r="55" spans="1:41" ht="13.8">
      <c r="A55" t="str">
        <f ca="1">ORÇAMENTO!C55</f>
        <v>S</v>
      </c>
      <c r="B55">
        <f ca="1">ORÇAMENTO!D55</f>
        <v>0</v>
      </c>
      <c r="C55" s="139" t="str">
        <f t="shared" ca="1" si="1"/>
        <v/>
      </c>
      <c r="D55" s="142" t="str">
        <f ca="1">ORÇAMENTO!O55</f>
        <v>-</v>
      </c>
      <c r="E55" s="202" t="str">
        <f t="shared" ca="1" si="2"/>
        <v>(abra o arquivo 'Referência 11-2024.xlsm)</v>
      </c>
      <c r="F55" s="203" t="str">
        <f ca="1">IF(RegimeExecucao="Global","",ORÇAMENTO.Unidade)</f>
        <v/>
      </c>
      <c r="G55" s="147" t="str">
        <f ca="1">IF(RegimeExecucao="Global","",ORÇAMENTO!T55)</f>
        <v/>
      </c>
      <c r="H55" s="147" t="str">
        <f ca="1">IF(RegimeExecucao="Global","",ORÇAMENTO!W55)</f>
        <v/>
      </c>
      <c r="I55" s="150">
        <f ca="1">ORÇAMENTO!X55</f>
        <v>0</v>
      </c>
      <c r="J55" s="423">
        <f ca="1">IF($A55="S",IF(CAIXA.Modo,BM.AFAnterior,BM.MEDAnterior),IF(AND(RegimeExecucao="Global",$I55&gt;0,COUNTIF($AB$13:$AM$13,BM.medicao-1)&gt;0),M55/$I55*100,0))</f>
        <v>0</v>
      </c>
      <c r="K55" s="147">
        <f t="shared" ca="1" si="3"/>
        <v>0</v>
      </c>
      <c r="L55" s="424">
        <f ca="1">IF($A55="S",IF(CAIXA.Modo,BM.AFAcumulado,BM.MEDAcumulado),IF(AND(RegimeExecucao="Global",$I55&gt;0,COUNTIF($AB$13:$AM$13,BM.medicao)&gt;0),O55/$I55*100,0))</f>
        <v>0</v>
      </c>
      <c r="M55" s="425">
        <f ca="1">IF($A55="S",VTOTALBM,IF($A55=0,0,ROUND(SomaAgrupBM,15-13*ORÇAMENTO!$AF$11)))</f>
        <v>0</v>
      </c>
      <c r="N55" s="426">
        <f t="shared" ca="1" si="4"/>
        <v>0</v>
      </c>
      <c r="O55" s="150">
        <f ca="1">IF($A55="S",VTOTALBM,IF($A55=0,0,ROUND(SomaAgrupBM,15-13*ORÇAMENTO!$AF$11)))</f>
        <v>0</v>
      </c>
      <c r="Q55" s="427"/>
      <c r="R55" s="428"/>
      <c r="T55" s="142" t="str">
        <f t="shared" ca="1" si="5"/>
        <v/>
      </c>
      <c r="U55" s="202" t="str">
        <f t="shared" ca="1" si="6"/>
        <v/>
      </c>
      <c r="V55" s="203" t="str">
        <f ca="1">IF(AND($W55&gt;0,RegimeExecucao="Unitário"),$F55,"")</f>
        <v/>
      </c>
      <c r="W55" s="629">
        <f ca="1">IF($Y55&gt;0,CHOOSE(MATCH(RegimeExecucao,{"Unitário","Global"},0),IF($A55="S",$Y55/$X55,""),($Y55/$X55)*100),0)</f>
        <v>0</v>
      </c>
      <c r="X55" s="429" t="str">
        <f ca="1">IF($Y55&gt;0,CHOOSE(MATCH(RegimeExecucao,{"Unitário","Global"},0),IF($A55="S",ROUND($H55,ORÇAMENTO!$AF$10),""),ROUND($I55,ORÇAMENTO!$AF$11)),"")</f>
        <v/>
      </c>
      <c r="Y55" s="429">
        <f t="shared" ca="1" si="7"/>
        <v>0</v>
      </c>
      <c r="Z55" s="656"/>
      <c r="AB55" s="427"/>
      <c r="AC55" s="594"/>
      <c r="AD55" s="594"/>
      <c r="AE55" s="594"/>
      <c r="AF55" s="594"/>
      <c r="AG55" s="594"/>
      <c r="AH55" s="594"/>
      <c r="AI55" s="594"/>
      <c r="AJ55" s="594"/>
      <c r="AK55" s="594"/>
      <c r="AL55" s="594"/>
      <c r="AM55" s="428"/>
      <c r="AO55">
        <f ca="1">IF($A55="S",IF(BM!$I55=0,0,CHOOSE(MATCH(RegimeExecucao,{"Global","Unitário"},0),ROUND(ROUND(BM.MEDAcumulado,15-13*BM!$A$9)/100*BM!$I55,15-13*ORÇAMENTO!$AF$11),ROUND(ROUND(BM.MEDAcumulado,15-13*BM!$A$9)*ROUND(BM!$H55,15-13*ORÇAMENTO!$AF$10),15-13*ORÇAMENTO!$AF$11))),IF($A55=0,0,ROUND(SomaAgrupBM,15-13*ORÇAMENTO!$AF$11)))</f>
        <v>0</v>
      </c>
    </row>
    <row r="56" spans="1:41" ht="13.8">
      <c r="A56" t="str">
        <f ca="1">ORÇAMENTO!C56</f>
        <v>S</v>
      </c>
      <c r="B56">
        <f ca="1">ORÇAMENTO!D56</f>
        <v>0</v>
      </c>
      <c r="C56" s="139" t="str">
        <f t="shared" ca="1" si="1"/>
        <v/>
      </c>
      <c r="D56" s="142" t="str">
        <f ca="1">ORÇAMENTO!O56</f>
        <v>-</v>
      </c>
      <c r="E56" s="202" t="str">
        <f t="shared" ca="1" si="2"/>
        <v>(abra o arquivo 'Referência 11-2024.xlsm)</v>
      </c>
      <c r="F56" s="203" t="str">
        <f ca="1">IF(RegimeExecucao="Global","",ORÇAMENTO.Unidade)</f>
        <v/>
      </c>
      <c r="G56" s="147" t="str">
        <f ca="1">IF(RegimeExecucao="Global","",ORÇAMENTO!T56)</f>
        <v/>
      </c>
      <c r="H56" s="147" t="str">
        <f ca="1">IF(RegimeExecucao="Global","",ORÇAMENTO!W56)</f>
        <v/>
      </c>
      <c r="I56" s="150">
        <f ca="1">ORÇAMENTO!X56</f>
        <v>0</v>
      </c>
      <c r="J56" s="423">
        <f ca="1">IF($A56="S",IF(CAIXA.Modo,BM.AFAnterior,BM.MEDAnterior),IF(AND(RegimeExecucao="Global",$I56&gt;0,COUNTIF($AB$13:$AM$13,BM.medicao-1)&gt;0),M56/$I56*100,0))</f>
        <v>0</v>
      </c>
      <c r="K56" s="147">
        <f t="shared" ca="1" si="3"/>
        <v>0</v>
      </c>
      <c r="L56" s="424">
        <f ca="1">IF($A56="S",IF(CAIXA.Modo,BM.AFAcumulado,BM.MEDAcumulado),IF(AND(RegimeExecucao="Global",$I56&gt;0,COUNTIF($AB$13:$AM$13,BM.medicao)&gt;0),O56/$I56*100,0))</f>
        <v>0</v>
      </c>
      <c r="M56" s="425">
        <f ca="1">IF($A56="S",VTOTALBM,IF($A56=0,0,ROUND(SomaAgrupBM,15-13*ORÇAMENTO!$AF$11)))</f>
        <v>0</v>
      </c>
      <c r="N56" s="426">
        <f t="shared" ca="1" si="4"/>
        <v>0</v>
      </c>
      <c r="O56" s="150">
        <f ca="1">IF($A56="S",VTOTALBM,IF($A56=0,0,ROUND(SomaAgrupBM,15-13*ORÇAMENTO!$AF$11)))</f>
        <v>0</v>
      </c>
      <c r="Q56" s="427"/>
      <c r="R56" s="428"/>
      <c r="T56" s="142" t="str">
        <f t="shared" ca="1" si="5"/>
        <v/>
      </c>
      <c r="U56" s="202" t="str">
        <f t="shared" ca="1" si="6"/>
        <v/>
      </c>
      <c r="V56" s="203" t="str">
        <f ca="1">IF(AND($W56&gt;0,RegimeExecucao="Unitário"),$F56,"")</f>
        <v/>
      </c>
      <c r="W56" s="629">
        <f ca="1">IF($Y56&gt;0,CHOOSE(MATCH(RegimeExecucao,{"Unitário","Global"},0),IF($A56="S",$Y56/$X56,""),($Y56/$X56)*100),0)</f>
        <v>0</v>
      </c>
      <c r="X56" s="429" t="str">
        <f ca="1">IF($Y56&gt;0,CHOOSE(MATCH(RegimeExecucao,{"Unitário","Global"},0),IF($A56="S",ROUND($H56,ORÇAMENTO!$AF$10),""),ROUND($I56,ORÇAMENTO!$AF$11)),"")</f>
        <v/>
      </c>
      <c r="Y56" s="429">
        <f t="shared" ca="1" si="7"/>
        <v>0</v>
      </c>
      <c r="Z56" s="656"/>
      <c r="AB56" s="427"/>
      <c r="AC56" s="594"/>
      <c r="AD56" s="594"/>
      <c r="AE56" s="594"/>
      <c r="AF56" s="594"/>
      <c r="AG56" s="594"/>
      <c r="AH56" s="594"/>
      <c r="AI56" s="594"/>
      <c r="AJ56" s="594"/>
      <c r="AK56" s="594"/>
      <c r="AL56" s="594"/>
      <c r="AM56" s="428"/>
      <c r="AO56">
        <f ca="1">IF($A56="S",IF(BM!$I56=0,0,CHOOSE(MATCH(RegimeExecucao,{"Global","Unitário"},0),ROUND(ROUND(BM.MEDAcumulado,15-13*BM!$A$9)/100*BM!$I56,15-13*ORÇAMENTO!$AF$11),ROUND(ROUND(BM.MEDAcumulado,15-13*BM!$A$9)*ROUND(BM!$H56,15-13*ORÇAMENTO!$AF$10),15-13*ORÇAMENTO!$AF$11))),IF($A56=0,0,ROUND(SomaAgrupBM,15-13*ORÇAMENTO!$AF$11)))</f>
        <v>0</v>
      </c>
    </row>
    <row r="57" spans="1:41" ht="13.8">
      <c r="A57" t="str">
        <f ca="1">ORÇAMENTO!C57</f>
        <v>S</v>
      </c>
      <c r="B57">
        <f ca="1">ORÇAMENTO!D57</f>
        <v>0</v>
      </c>
      <c r="C57" s="139" t="str">
        <f t="shared" ca="1" si="1"/>
        <v/>
      </c>
      <c r="D57" s="142" t="str">
        <f ca="1">ORÇAMENTO!O57</f>
        <v>-</v>
      </c>
      <c r="E57" s="202" t="str">
        <f t="shared" ca="1" si="2"/>
        <v>(abra o arquivo 'Referência 11-2024.xlsm)</v>
      </c>
      <c r="F57" s="203" t="str">
        <f ca="1">IF(RegimeExecucao="Global","",ORÇAMENTO.Unidade)</f>
        <v/>
      </c>
      <c r="G57" s="147" t="str">
        <f ca="1">IF(RegimeExecucao="Global","",ORÇAMENTO!T57)</f>
        <v/>
      </c>
      <c r="H57" s="147" t="str">
        <f ca="1">IF(RegimeExecucao="Global","",ORÇAMENTO!W57)</f>
        <v/>
      </c>
      <c r="I57" s="150">
        <f ca="1">ORÇAMENTO!X57</f>
        <v>0</v>
      </c>
      <c r="J57" s="423">
        <f ca="1">IF($A57="S",IF(CAIXA.Modo,BM.AFAnterior,BM.MEDAnterior),IF(AND(RegimeExecucao="Global",$I57&gt;0,COUNTIF($AB$13:$AM$13,BM.medicao-1)&gt;0),M57/$I57*100,0))</f>
        <v>0</v>
      </c>
      <c r="K57" s="147">
        <f t="shared" ca="1" si="3"/>
        <v>0</v>
      </c>
      <c r="L57" s="424">
        <f ca="1">IF($A57="S",IF(CAIXA.Modo,BM.AFAcumulado,BM.MEDAcumulado),IF(AND(RegimeExecucao="Global",$I57&gt;0,COUNTIF($AB$13:$AM$13,BM.medicao)&gt;0),O57/$I57*100,0))</f>
        <v>0</v>
      </c>
      <c r="M57" s="425">
        <f ca="1">IF($A57="S",VTOTALBM,IF($A57=0,0,ROUND(SomaAgrupBM,15-13*ORÇAMENTO!$AF$11)))</f>
        <v>0</v>
      </c>
      <c r="N57" s="426">
        <f t="shared" ca="1" si="4"/>
        <v>0</v>
      </c>
      <c r="O57" s="150">
        <f ca="1">IF($A57="S",VTOTALBM,IF($A57=0,0,ROUND(SomaAgrupBM,15-13*ORÇAMENTO!$AF$11)))</f>
        <v>0</v>
      </c>
      <c r="Q57" s="427"/>
      <c r="R57" s="428"/>
      <c r="T57" s="142" t="str">
        <f t="shared" ca="1" si="5"/>
        <v/>
      </c>
      <c r="U57" s="202" t="str">
        <f t="shared" ca="1" si="6"/>
        <v/>
      </c>
      <c r="V57" s="203" t="str">
        <f ca="1">IF(AND($W57&gt;0,RegimeExecucao="Unitário"),$F57,"")</f>
        <v/>
      </c>
      <c r="W57" s="629">
        <f ca="1">IF($Y57&gt;0,CHOOSE(MATCH(RegimeExecucao,{"Unitário","Global"},0),IF($A57="S",$Y57/$X57,""),($Y57/$X57)*100),0)</f>
        <v>0</v>
      </c>
      <c r="X57" s="429" t="str">
        <f ca="1">IF($Y57&gt;0,CHOOSE(MATCH(RegimeExecucao,{"Unitário","Global"},0),IF($A57="S",ROUND($H57,ORÇAMENTO!$AF$10),""),ROUND($I57,ORÇAMENTO!$AF$11)),"")</f>
        <v/>
      </c>
      <c r="Y57" s="429">
        <f t="shared" ca="1" si="7"/>
        <v>0</v>
      </c>
      <c r="Z57" s="656"/>
      <c r="AB57" s="427"/>
      <c r="AC57" s="594"/>
      <c r="AD57" s="594"/>
      <c r="AE57" s="594"/>
      <c r="AF57" s="594"/>
      <c r="AG57" s="594"/>
      <c r="AH57" s="594"/>
      <c r="AI57" s="594"/>
      <c r="AJ57" s="594"/>
      <c r="AK57" s="594"/>
      <c r="AL57" s="594"/>
      <c r="AM57" s="428"/>
      <c r="AO57">
        <f ca="1">IF($A57="S",IF(BM!$I57=0,0,CHOOSE(MATCH(RegimeExecucao,{"Global","Unitário"},0),ROUND(ROUND(BM.MEDAcumulado,15-13*BM!$A$9)/100*BM!$I57,15-13*ORÇAMENTO!$AF$11),ROUND(ROUND(BM.MEDAcumulado,15-13*BM!$A$9)*ROUND(BM!$H57,15-13*ORÇAMENTO!$AF$10),15-13*ORÇAMENTO!$AF$11))),IF($A57=0,0,ROUND(SomaAgrupBM,15-13*ORÇAMENTO!$AF$11)))</f>
        <v>0</v>
      </c>
    </row>
    <row r="58" spans="1:41" ht="13.8">
      <c r="A58" t="str">
        <f ca="1">ORÇAMENTO!C58</f>
        <v>S</v>
      </c>
      <c r="B58">
        <f ca="1">ORÇAMENTO!D58</f>
        <v>0</v>
      </c>
      <c r="C58" s="139" t="str">
        <f t="shared" ca="1" si="1"/>
        <v/>
      </c>
      <c r="D58" s="142" t="str">
        <f ca="1">ORÇAMENTO!O58</f>
        <v>-</v>
      </c>
      <c r="E58" s="202" t="str">
        <f t="shared" ca="1" si="2"/>
        <v>(abra o arquivo 'Referência 11-2024.xlsm)</v>
      </c>
      <c r="F58" s="203" t="str">
        <f ca="1">IF(RegimeExecucao="Global","",ORÇAMENTO.Unidade)</f>
        <v/>
      </c>
      <c r="G58" s="147" t="str">
        <f ca="1">IF(RegimeExecucao="Global","",ORÇAMENTO!T58)</f>
        <v/>
      </c>
      <c r="H58" s="147" t="str">
        <f ca="1">IF(RegimeExecucao="Global","",ORÇAMENTO!W58)</f>
        <v/>
      </c>
      <c r="I58" s="150">
        <f ca="1">ORÇAMENTO!X58</f>
        <v>0</v>
      </c>
      <c r="J58" s="423">
        <f ca="1">IF($A58="S",IF(CAIXA.Modo,BM.AFAnterior,BM.MEDAnterior),IF(AND(RegimeExecucao="Global",$I58&gt;0,COUNTIF($AB$13:$AM$13,BM.medicao-1)&gt;0),M58/$I58*100,0))</f>
        <v>0</v>
      </c>
      <c r="K58" s="147">
        <f t="shared" ca="1" si="3"/>
        <v>0</v>
      </c>
      <c r="L58" s="424">
        <f ca="1">IF($A58="S",IF(CAIXA.Modo,BM.AFAcumulado,BM.MEDAcumulado),IF(AND(RegimeExecucao="Global",$I58&gt;0,COUNTIF($AB$13:$AM$13,BM.medicao)&gt;0),O58/$I58*100,0))</f>
        <v>0</v>
      </c>
      <c r="M58" s="425">
        <f ca="1">IF($A58="S",VTOTALBM,IF($A58=0,0,ROUND(SomaAgrupBM,15-13*ORÇAMENTO!$AF$11)))</f>
        <v>0</v>
      </c>
      <c r="N58" s="426">
        <f t="shared" ca="1" si="4"/>
        <v>0</v>
      </c>
      <c r="O58" s="150">
        <f ca="1">IF($A58="S",VTOTALBM,IF($A58=0,0,ROUND(SomaAgrupBM,15-13*ORÇAMENTO!$AF$11)))</f>
        <v>0</v>
      </c>
      <c r="Q58" s="427"/>
      <c r="R58" s="428"/>
      <c r="T58" s="142" t="str">
        <f t="shared" ca="1" si="5"/>
        <v/>
      </c>
      <c r="U58" s="202" t="str">
        <f t="shared" ca="1" si="6"/>
        <v/>
      </c>
      <c r="V58" s="203" t="str">
        <f ca="1">IF(AND($W58&gt;0,RegimeExecucao="Unitário"),$F58,"")</f>
        <v/>
      </c>
      <c r="W58" s="629">
        <f ca="1">IF($Y58&gt;0,CHOOSE(MATCH(RegimeExecucao,{"Unitário","Global"},0),IF($A58="S",$Y58/$X58,""),($Y58/$X58)*100),0)</f>
        <v>0</v>
      </c>
      <c r="X58" s="429" t="str">
        <f ca="1">IF($Y58&gt;0,CHOOSE(MATCH(RegimeExecucao,{"Unitário","Global"},0),IF($A58="S",ROUND($H58,ORÇAMENTO!$AF$10),""),ROUND($I58,ORÇAMENTO!$AF$11)),"")</f>
        <v/>
      </c>
      <c r="Y58" s="429">
        <f t="shared" ca="1" si="7"/>
        <v>0</v>
      </c>
      <c r="Z58" s="656"/>
      <c r="AB58" s="427"/>
      <c r="AC58" s="594"/>
      <c r="AD58" s="594"/>
      <c r="AE58" s="594"/>
      <c r="AF58" s="594"/>
      <c r="AG58" s="594"/>
      <c r="AH58" s="594"/>
      <c r="AI58" s="594"/>
      <c r="AJ58" s="594"/>
      <c r="AK58" s="594"/>
      <c r="AL58" s="594"/>
      <c r="AM58" s="428"/>
      <c r="AO58">
        <f ca="1">IF($A58="S",IF(BM!$I58=0,0,CHOOSE(MATCH(RegimeExecucao,{"Global","Unitário"},0),ROUND(ROUND(BM.MEDAcumulado,15-13*BM!$A$9)/100*BM!$I58,15-13*ORÇAMENTO!$AF$11),ROUND(ROUND(BM.MEDAcumulado,15-13*BM!$A$9)*ROUND(BM!$H58,15-13*ORÇAMENTO!$AF$10),15-13*ORÇAMENTO!$AF$11))),IF($A58=0,0,ROUND(SomaAgrupBM,15-13*ORÇAMENTO!$AF$11)))</f>
        <v>0</v>
      </c>
    </row>
    <row r="59" spans="1:41" ht="13.8">
      <c r="A59" t="str">
        <f ca="1">ORÇAMENTO!C59</f>
        <v>S</v>
      </c>
      <c r="B59">
        <f ca="1">ORÇAMENTO!D59</f>
        <v>0</v>
      </c>
      <c r="C59" s="139" t="str">
        <f t="shared" ca="1" si="1"/>
        <v/>
      </c>
      <c r="D59" s="142" t="str">
        <f ca="1">ORÇAMENTO!O59</f>
        <v>-</v>
      </c>
      <c r="E59" s="202" t="str">
        <f t="shared" ca="1" si="2"/>
        <v>(abra o arquivo 'Referência 11-2024.xlsm)</v>
      </c>
      <c r="F59" s="203" t="str">
        <f ca="1">IF(RegimeExecucao="Global","",ORÇAMENTO.Unidade)</f>
        <v/>
      </c>
      <c r="G59" s="147" t="str">
        <f ca="1">IF(RegimeExecucao="Global","",ORÇAMENTO!T59)</f>
        <v/>
      </c>
      <c r="H59" s="147" t="str">
        <f ca="1">IF(RegimeExecucao="Global","",ORÇAMENTO!W59)</f>
        <v/>
      </c>
      <c r="I59" s="150">
        <f ca="1">ORÇAMENTO!X59</f>
        <v>0</v>
      </c>
      <c r="J59" s="423">
        <f ca="1">IF($A59="S",IF(CAIXA.Modo,BM.AFAnterior,BM.MEDAnterior),IF(AND(RegimeExecucao="Global",$I59&gt;0,COUNTIF($AB$13:$AM$13,BM.medicao-1)&gt;0),M59/$I59*100,0))</f>
        <v>0</v>
      </c>
      <c r="K59" s="147">
        <f t="shared" ca="1" si="3"/>
        <v>0</v>
      </c>
      <c r="L59" s="424">
        <f ca="1">IF($A59="S",IF(CAIXA.Modo,BM.AFAcumulado,BM.MEDAcumulado),IF(AND(RegimeExecucao="Global",$I59&gt;0,COUNTIF($AB$13:$AM$13,BM.medicao)&gt;0),O59/$I59*100,0))</f>
        <v>0</v>
      </c>
      <c r="M59" s="425">
        <f ca="1">IF($A59="S",VTOTALBM,IF($A59=0,0,ROUND(SomaAgrupBM,15-13*ORÇAMENTO!$AF$11)))</f>
        <v>0</v>
      </c>
      <c r="N59" s="426">
        <f t="shared" ca="1" si="4"/>
        <v>0</v>
      </c>
      <c r="O59" s="150">
        <f ca="1">IF($A59="S",VTOTALBM,IF($A59=0,0,ROUND(SomaAgrupBM,15-13*ORÇAMENTO!$AF$11)))</f>
        <v>0</v>
      </c>
      <c r="Q59" s="427"/>
      <c r="R59" s="428"/>
      <c r="T59" s="142" t="str">
        <f t="shared" ca="1" si="5"/>
        <v/>
      </c>
      <c r="U59" s="202" t="str">
        <f t="shared" ca="1" si="6"/>
        <v/>
      </c>
      <c r="V59" s="203" t="str">
        <f ca="1">IF(AND($W59&gt;0,RegimeExecucao="Unitário"),$F59,"")</f>
        <v/>
      </c>
      <c r="W59" s="629">
        <f ca="1">IF($Y59&gt;0,CHOOSE(MATCH(RegimeExecucao,{"Unitário","Global"},0),IF($A59="S",$Y59/$X59,""),($Y59/$X59)*100),0)</f>
        <v>0</v>
      </c>
      <c r="X59" s="429" t="str">
        <f ca="1">IF($Y59&gt;0,CHOOSE(MATCH(RegimeExecucao,{"Unitário","Global"},0),IF($A59="S",ROUND($H59,ORÇAMENTO!$AF$10),""),ROUND($I59,ORÇAMENTO!$AF$11)),"")</f>
        <v/>
      </c>
      <c r="Y59" s="429">
        <f t="shared" ca="1" si="7"/>
        <v>0</v>
      </c>
      <c r="Z59" s="656"/>
      <c r="AB59" s="427"/>
      <c r="AC59" s="594"/>
      <c r="AD59" s="594"/>
      <c r="AE59" s="594"/>
      <c r="AF59" s="594"/>
      <c r="AG59" s="594"/>
      <c r="AH59" s="594"/>
      <c r="AI59" s="594"/>
      <c r="AJ59" s="594"/>
      <c r="AK59" s="594"/>
      <c r="AL59" s="594"/>
      <c r="AM59" s="428"/>
      <c r="AO59">
        <f ca="1">IF($A59="S",IF(BM!$I59=0,0,CHOOSE(MATCH(RegimeExecucao,{"Global","Unitário"},0),ROUND(ROUND(BM.MEDAcumulado,15-13*BM!$A$9)/100*BM!$I59,15-13*ORÇAMENTO!$AF$11),ROUND(ROUND(BM.MEDAcumulado,15-13*BM!$A$9)*ROUND(BM!$H59,15-13*ORÇAMENTO!$AF$10),15-13*ORÇAMENTO!$AF$11))),IF($A59=0,0,ROUND(SomaAgrupBM,15-13*ORÇAMENTO!$AF$11)))</f>
        <v>0</v>
      </c>
    </row>
    <row r="60" spans="1:41" ht="13.8">
      <c r="A60" t="str">
        <f ca="1">ORÇAMENTO!C60</f>
        <v>S</v>
      </c>
      <c r="B60">
        <f ca="1">ORÇAMENTO!D60</f>
        <v>0</v>
      </c>
      <c r="C60" s="139" t="str">
        <f t="shared" ca="1" si="1"/>
        <v/>
      </c>
      <c r="D60" s="142" t="str">
        <f ca="1">ORÇAMENTO!O60</f>
        <v>-</v>
      </c>
      <c r="E60" s="202" t="str">
        <f t="shared" ca="1" si="2"/>
        <v>(abra o arquivo 'Referência 11-2024.xlsm)</v>
      </c>
      <c r="F60" s="203" t="str">
        <f ca="1">IF(RegimeExecucao="Global","",ORÇAMENTO.Unidade)</f>
        <v/>
      </c>
      <c r="G60" s="147" t="str">
        <f ca="1">IF(RegimeExecucao="Global","",ORÇAMENTO!T60)</f>
        <v/>
      </c>
      <c r="H60" s="147" t="str">
        <f ca="1">IF(RegimeExecucao="Global","",ORÇAMENTO!W60)</f>
        <v/>
      </c>
      <c r="I60" s="150">
        <f ca="1">ORÇAMENTO!X60</f>
        <v>0</v>
      </c>
      <c r="J60" s="423">
        <f ca="1">IF($A60="S",IF(CAIXA.Modo,BM.AFAnterior,BM.MEDAnterior),IF(AND(RegimeExecucao="Global",$I60&gt;0,COUNTIF($AB$13:$AM$13,BM.medicao-1)&gt;0),M60/$I60*100,0))</f>
        <v>0</v>
      </c>
      <c r="K60" s="147">
        <f t="shared" ca="1" si="3"/>
        <v>0</v>
      </c>
      <c r="L60" s="424">
        <f ca="1">IF($A60="S",IF(CAIXA.Modo,BM.AFAcumulado,BM.MEDAcumulado),IF(AND(RegimeExecucao="Global",$I60&gt;0,COUNTIF($AB$13:$AM$13,BM.medicao)&gt;0),O60/$I60*100,0))</f>
        <v>0</v>
      </c>
      <c r="M60" s="425">
        <f ca="1">IF($A60="S",VTOTALBM,IF($A60=0,0,ROUND(SomaAgrupBM,15-13*ORÇAMENTO!$AF$11)))</f>
        <v>0</v>
      </c>
      <c r="N60" s="426">
        <f t="shared" ca="1" si="4"/>
        <v>0</v>
      </c>
      <c r="O60" s="150">
        <f ca="1">IF($A60="S",VTOTALBM,IF($A60=0,0,ROUND(SomaAgrupBM,15-13*ORÇAMENTO!$AF$11)))</f>
        <v>0</v>
      </c>
      <c r="Q60" s="427"/>
      <c r="R60" s="428"/>
      <c r="T60" s="142" t="str">
        <f t="shared" ca="1" si="5"/>
        <v/>
      </c>
      <c r="U60" s="202" t="str">
        <f t="shared" ca="1" si="6"/>
        <v/>
      </c>
      <c r="V60" s="203" t="str">
        <f ca="1">IF(AND($W60&gt;0,RegimeExecucao="Unitário"),$F60,"")</f>
        <v/>
      </c>
      <c r="W60" s="629">
        <f ca="1">IF($Y60&gt;0,CHOOSE(MATCH(RegimeExecucao,{"Unitário","Global"},0),IF($A60="S",$Y60/$X60,""),($Y60/$X60)*100),0)</f>
        <v>0</v>
      </c>
      <c r="X60" s="429" t="str">
        <f ca="1">IF($Y60&gt;0,CHOOSE(MATCH(RegimeExecucao,{"Unitário","Global"},0),IF($A60="S",ROUND($H60,ORÇAMENTO!$AF$10),""),ROUND($I60,ORÇAMENTO!$AF$11)),"")</f>
        <v/>
      </c>
      <c r="Y60" s="429">
        <f t="shared" ca="1" si="7"/>
        <v>0</v>
      </c>
      <c r="Z60" s="656"/>
      <c r="AB60" s="427"/>
      <c r="AC60" s="594"/>
      <c r="AD60" s="594"/>
      <c r="AE60" s="594"/>
      <c r="AF60" s="594"/>
      <c r="AG60" s="594"/>
      <c r="AH60" s="594"/>
      <c r="AI60" s="594"/>
      <c r="AJ60" s="594"/>
      <c r="AK60" s="594"/>
      <c r="AL60" s="594"/>
      <c r="AM60" s="428"/>
      <c r="AO60">
        <f ca="1">IF($A60="S",IF(BM!$I60=0,0,CHOOSE(MATCH(RegimeExecucao,{"Global","Unitário"},0),ROUND(ROUND(BM.MEDAcumulado,15-13*BM!$A$9)/100*BM!$I60,15-13*ORÇAMENTO!$AF$11),ROUND(ROUND(BM.MEDAcumulado,15-13*BM!$A$9)*ROUND(BM!$H60,15-13*ORÇAMENTO!$AF$10),15-13*ORÇAMENTO!$AF$11))),IF($A60=0,0,ROUND(SomaAgrupBM,15-13*ORÇAMENTO!$AF$11)))</f>
        <v>0</v>
      </c>
    </row>
    <row r="61" spans="1:41" ht="13.8">
      <c r="A61" t="str">
        <f ca="1">ORÇAMENTO!C61</f>
        <v>S</v>
      </c>
      <c r="B61">
        <f ca="1">ORÇAMENTO!D61</f>
        <v>0</v>
      </c>
      <c r="C61" s="139" t="str">
        <f t="shared" ca="1" si="1"/>
        <v/>
      </c>
      <c r="D61" s="142" t="str">
        <f ca="1">ORÇAMENTO!O61</f>
        <v>-</v>
      </c>
      <c r="E61" s="202" t="str">
        <f t="shared" ca="1" si="2"/>
        <v>(abra o arquivo 'Referência 11-2024.xlsm)</v>
      </c>
      <c r="F61" s="203" t="str">
        <f ca="1">IF(RegimeExecucao="Global","",ORÇAMENTO.Unidade)</f>
        <v/>
      </c>
      <c r="G61" s="147" t="str">
        <f ca="1">IF(RegimeExecucao="Global","",ORÇAMENTO!T61)</f>
        <v/>
      </c>
      <c r="H61" s="147" t="str">
        <f ca="1">IF(RegimeExecucao="Global","",ORÇAMENTO!W61)</f>
        <v/>
      </c>
      <c r="I61" s="150">
        <f ca="1">ORÇAMENTO!X61</f>
        <v>0</v>
      </c>
      <c r="J61" s="423">
        <f ca="1">IF($A61="S",IF(CAIXA.Modo,BM.AFAnterior,BM.MEDAnterior),IF(AND(RegimeExecucao="Global",$I61&gt;0,COUNTIF($AB$13:$AM$13,BM.medicao-1)&gt;0),M61/$I61*100,0))</f>
        <v>0</v>
      </c>
      <c r="K61" s="147">
        <f t="shared" ca="1" si="3"/>
        <v>0</v>
      </c>
      <c r="L61" s="424">
        <f ca="1">IF($A61="S",IF(CAIXA.Modo,BM.AFAcumulado,BM.MEDAcumulado),IF(AND(RegimeExecucao="Global",$I61&gt;0,COUNTIF($AB$13:$AM$13,BM.medicao)&gt;0),O61/$I61*100,0))</f>
        <v>0</v>
      </c>
      <c r="M61" s="425">
        <f ca="1">IF($A61="S",VTOTALBM,IF($A61=0,0,ROUND(SomaAgrupBM,15-13*ORÇAMENTO!$AF$11)))</f>
        <v>0</v>
      </c>
      <c r="N61" s="426">
        <f t="shared" ca="1" si="4"/>
        <v>0</v>
      </c>
      <c r="O61" s="150">
        <f ca="1">IF($A61="S",VTOTALBM,IF($A61=0,0,ROUND(SomaAgrupBM,15-13*ORÇAMENTO!$AF$11)))</f>
        <v>0</v>
      </c>
      <c r="Q61" s="427"/>
      <c r="R61" s="428"/>
      <c r="T61" s="142" t="str">
        <f t="shared" ca="1" si="5"/>
        <v/>
      </c>
      <c r="U61" s="202" t="str">
        <f t="shared" ca="1" si="6"/>
        <v/>
      </c>
      <c r="V61" s="203" t="str">
        <f ca="1">IF(AND($W61&gt;0,RegimeExecucao="Unitário"),$F61,"")</f>
        <v/>
      </c>
      <c r="W61" s="629">
        <f ca="1">IF($Y61&gt;0,CHOOSE(MATCH(RegimeExecucao,{"Unitário","Global"},0),IF($A61="S",$Y61/$X61,""),($Y61/$X61)*100),0)</f>
        <v>0</v>
      </c>
      <c r="X61" s="429" t="str">
        <f ca="1">IF($Y61&gt;0,CHOOSE(MATCH(RegimeExecucao,{"Unitário","Global"},0),IF($A61="S",ROUND($H61,ORÇAMENTO!$AF$10),""),ROUND($I61,ORÇAMENTO!$AF$11)),"")</f>
        <v/>
      </c>
      <c r="Y61" s="429">
        <f t="shared" ca="1" si="7"/>
        <v>0</v>
      </c>
      <c r="Z61" s="656"/>
      <c r="AB61" s="427"/>
      <c r="AC61" s="594"/>
      <c r="AD61" s="594"/>
      <c r="AE61" s="594"/>
      <c r="AF61" s="594"/>
      <c r="AG61" s="594"/>
      <c r="AH61" s="594"/>
      <c r="AI61" s="594"/>
      <c r="AJ61" s="594"/>
      <c r="AK61" s="594"/>
      <c r="AL61" s="594"/>
      <c r="AM61" s="428"/>
      <c r="AO61">
        <f ca="1">IF($A61="S",IF(BM!$I61=0,0,CHOOSE(MATCH(RegimeExecucao,{"Global","Unitário"},0),ROUND(ROUND(BM.MEDAcumulado,15-13*BM!$A$9)/100*BM!$I61,15-13*ORÇAMENTO!$AF$11),ROUND(ROUND(BM.MEDAcumulado,15-13*BM!$A$9)*ROUND(BM!$H61,15-13*ORÇAMENTO!$AF$10),15-13*ORÇAMENTO!$AF$11))),IF($A61=0,0,ROUND(SomaAgrupBM,15-13*ORÇAMENTO!$AF$11)))</f>
        <v>0</v>
      </c>
    </row>
    <row r="62" spans="1:41" ht="13.8">
      <c r="A62" t="str">
        <f ca="1">ORÇAMENTO!C62</f>
        <v>S</v>
      </c>
      <c r="B62">
        <f ca="1">ORÇAMENTO!D62</f>
        <v>0</v>
      </c>
      <c r="C62" s="139" t="str">
        <f t="shared" ca="1" si="1"/>
        <v/>
      </c>
      <c r="D62" s="142" t="str">
        <f ca="1">ORÇAMENTO!O62</f>
        <v>-</v>
      </c>
      <c r="E62" s="202" t="str">
        <f t="shared" ca="1" si="2"/>
        <v>(abra o arquivo 'Referência 11-2024.xlsm)</v>
      </c>
      <c r="F62" s="203" t="str">
        <f ca="1">IF(RegimeExecucao="Global","",ORÇAMENTO.Unidade)</f>
        <v/>
      </c>
      <c r="G62" s="147" t="str">
        <f ca="1">IF(RegimeExecucao="Global","",ORÇAMENTO!T62)</f>
        <v/>
      </c>
      <c r="H62" s="147" t="str">
        <f ca="1">IF(RegimeExecucao="Global","",ORÇAMENTO!W62)</f>
        <v/>
      </c>
      <c r="I62" s="150">
        <f ca="1">ORÇAMENTO!X62</f>
        <v>0</v>
      </c>
      <c r="J62" s="423">
        <f ca="1">IF($A62="S",IF(CAIXA.Modo,BM.AFAnterior,BM.MEDAnterior),IF(AND(RegimeExecucao="Global",$I62&gt;0,COUNTIF($AB$13:$AM$13,BM.medicao-1)&gt;0),M62/$I62*100,0))</f>
        <v>0</v>
      </c>
      <c r="K62" s="147">
        <f t="shared" ca="1" si="3"/>
        <v>0</v>
      </c>
      <c r="L62" s="424">
        <f ca="1">IF($A62="S",IF(CAIXA.Modo,BM.AFAcumulado,BM.MEDAcumulado),IF(AND(RegimeExecucao="Global",$I62&gt;0,COUNTIF($AB$13:$AM$13,BM.medicao)&gt;0),O62/$I62*100,0))</f>
        <v>0</v>
      </c>
      <c r="M62" s="425">
        <f ca="1">IF($A62="S",VTOTALBM,IF($A62=0,0,ROUND(SomaAgrupBM,15-13*ORÇAMENTO!$AF$11)))</f>
        <v>0</v>
      </c>
      <c r="N62" s="426">
        <f t="shared" ca="1" si="4"/>
        <v>0</v>
      </c>
      <c r="O62" s="150">
        <f ca="1">IF($A62="S",VTOTALBM,IF($A62=0,0,ROUND(SomaAgrupBM,15-13*ORÇAMENTO!$AF$11)))</f>
        <v>0</v>
      </c>
      <c r="Q62" s="427"/>
      <c r="R62" s="428"/>
      <c r="T62" s="142" t="str">
        <f t="shared" ca="1" si="5"/>
        <v/>
      </c>
      <c r="U62" s="202" t="str">
        <f t="shared" ca="1" si="6"/>
        <v/>
      </c>
      <c r="V62" s="203" t="str">
        <f ca="1">IF(AND($W62&gt;0,RegimeExecucao="Unitário"),$F62,"")</f>
        <v/>
      </c>
      <c r="W62" s="629">
        <f ca="1">IF($Y62&gt;0,CHOOSE(MATCH(RegimeExecucao,{"Unitário","Global"},0),IF($A62="S",$Y62/$X62,""),($Y62/$X62)*100),0)</f>
        <v>0</v>
      </c>
      <c r="X62" s="429" t="str">
        <f ca="1">IF($Y62&gt;0,CHOOSE(MATCH(RegimeExecucao,{"Unitário","Global"},0),IF($A62="S",ROUND($H62,ORÇAMENTO!$AF$10),""),ROUND($I62,ORÇAMENTO!$AF$11)),"")</f>
        <v/>
      </c>
      <c r="Y62" s="429">
        <f t="shared" ca="1" si="7"/>
        <v>0</v>
      </c>
      <c r="Z62" s="656"/>
      <c r="AB62" s="427"/>
      <c r="AC62" s="594"/>
      <c r="AD62" s="594"/>
      <c r="AE62" s="594"/>
      <c r="AF62" s="594"/>
      <c r="AG62" s="594"/>
      <c r="AH62" s="594"/>
      <c r="AI62" s="594"/>
      <c r="AJ62" s="594"/>
      <c r="AK62" s="594"/>
      <c r="AL62" s="594"/>
      <c r="AM62" s="428"/>
      <c r="AO62">
        <f ca="1">IF($A62="S",IF(BM!$I62=0,0,CHOOSE(MATCH(RegimeExecucao,{"Global","Unitário"},0),ROUND(ROUND(BM.MEDAcumulado,15-13*BM!$A$9)/100*BM!$I62,15-13*ORÇAMENTO!$AF$11),ROUND(ROUND(BM.MEDAcumulado,15-13*BM!$A$9)*ROUND(BM!$H62,15-13*ORÇAMENTO!$AF$10),15-13*ORÇAMENTO!$AF$11))),IF($A62=0,0,ROUND(SomaAgrupBM,15-13*ORÇAMENTO!$AF$11)))</f>
        <v>0</v>
      </c>
    </row>
    <row r="63" spans="1:41" ht="13.8">
      <c r="A63" t="str">
        <f ca="1">ORÇAMENTO!C63</f>
        <v>S</v>
      </c>
      <c r="B63">
        <f ca="1">ORÇAMENTO!D63</f>
        <v>0</v>
      </c>
      <c r="C63" s="139" t="str">
        <f t="shared" ca="1" si="1"/>
        <v/>
      </c>
      <c r="D63" s="142" t="str">
        <f ca="1">ORÇAMENTO!O63</f>
        <v>-</v>
      </c>
      <c r="E63" s="202" t="str">
        <f t="shared" ca="1" si="2"/>
        <v>(abra o arquivo 'Referência 11-2024.xlsm)</v>
      </c>
      <c r="F63" s="203" t="str">
        <f ca="1">IF(RegimeExecucao="Global","",ORÇAMENTO.Unidade)</f>
        <v/>
      </c>
      <c r="G63" s="147" t="str">
        <f ca="1">IF(RegimeExecucao="Global","",ORÇAMENTO!T63)</f>
        <v/>
      </c>
      <c r="H63" s="147" t="str">
        <f ca="1">IF(RegimeExecucao="Global","",ORÇAMENTO!W63)</f>
        <v/>
      </c>
      <c r="I63" s="150">
        <f ca="1">ORÇAMENTO!X63</f>
        <v>0</v>
      </c>
      <c r="J63" s="423">
        <f ca="1">IF($A63="S",IF(CAIXA.Modo,BM.AFAnterior,BM.MEDAnterior),IF(AND(RegimeExecucao="Global",$I63&gt;0,COUNTIF($AB$13:$AM$13,BM.medicao-1)&gt;0),M63/$I63*100,0))</f>
        <v>0</v>
      </c>
      <c r="K63" s="147">
        <f t="shared" ca="1" si="3"/>
        <v>0</v>
      </c>
      <c r="L63" s="424">
        <f ca="1">IF($A63="S",IF(CAIXA.Modo,BM.AFAcumulado,BM.MEDAcumulado),IF(AND(RegimeExecucao="Global",$I63&gt;0,COUNTIF($AB$13:$AM$13,BM.medicao)&gt;0),O63/$I63*100,0))</f>
        <v>0</v>
      </c>
      <c r="M63" s="425">
        <f ca="1">IF($A63="S",VTOTALBM,IF($A63=0,0,ROUND(SomaAgrupBM,15-13*ORÇAMENTO!$AF$11)))</f>
        <v>0</v>
      </c>
      <c r="N63" s="426">
        <f t="shared" ca="1" si="4"/>
        <v>0</v>
      </c>
      <c r="O63" s="150">
        <f ca="1">IF($A63="S",VTOTALBM,IF($A63=0,0,ROUND(SomaAgrupBM,15-13*ORÇAMENTO!$AF$11)))</f>
        <v>0</v>
      </c>
      <c r="Q63" s="427"/>
      <c r="R63" s="428"/>
      <c r="T63" s="142" t="str">
        <f t="shared" ca="1" si="5"/>
        <v/>
      </c>
      <c r="U63" s="202" t="str">
        <f t="shared" ca="1" si="6"/>
        <v/>
      </c>
      <c r="V63" s="203" t="str">
        <f ca="1">IF(AND($W63&gt;0,RegimeExecucao="Unitário"),$F63,"")</f>
        <v/>
      </c>
      <c r="W63" s="629">
        <f ca="1">IF($Y63&gt;0,CHOOSE(MATCH(RegimeExecucao,{"Unitário","Global"},0),IF($A63="S",$Y63/$X63,""),($Y63/$X63)*100),0)</f>
        <v>0</v>
      </c>
      <c r="X63" s="429" t="str">
        <f ca="1">IF($Y63&gt;0,CHOOSE(MATCH(RegimeExecucao,{"Unitário","Global"},0),IF($A63="S",ROUND($H63,ORÇAMENTO!$AF$10),""),ROUND($I63,ORÇAMENTO!$AF$11)),"")</f>
        <v/>
      </c>
      <c r="Y63" s="429">
        <f t="shared" ca="1" si="7"/>
        <v>0</v>
      </c>
      <c r="Z63" s="656"/>
      <c r="AB63" s="427"/>
      <c r="AC63" s="594"/>
      <c r="AD63" s="594"/>
      <c r="AE63" s="594"/>
      <c r="AF63" s="594"/>
      <c r="AG63" s="594"/>
      <c r="AH63" s="594"/>
      <c r="AI63" s="594"/>
      <c r="AJ63" s="594"/>
      <c r="AK63" s="594"/>
      <c r="AL63" s="594"/>
      <c r="AM63" s="428"/>
      <c r="AO63">
        <f ca="1">IF($A63="S",IF(BM!$I63=0,0,CHOOSE(MATCH(RegimeExecucao,{"Global","Unitário"},0),ROUND(ROUND(BM.MEDAcumulado,15-13*BM!$A$9)/100*BM!$I63,15-13*ORÇAMENTO!$AF$11),ROUND(ROUND(BM.MEDAcumulado,15-13*BM!$A$9)*ROUND(BM!$H63,15-13*ORÇAMENTO!$AF$10),15-13*ORÇAMENTO!$AF$11))),IF($A63=0,0,ROUND(SomaAgrupBM,15-13*ORÇAMENTO!$AF$11)))</f>
        <v>0</v>
      </c>
    </row>
    <row r="64" spans="1:41" ht="13.8">
      <c r="A64" t="str">
        <f ca="1">ORÇAMENTO!C64</f>
        <v>S</v>
      </c>
      <c r="B64">
        <f ca="1">ORÇAMENTO!D64</f>
        <v>0</v>
      </c>
      <c r="C64" s="139" t="str">
        <f t="shared" ca="1" si="1"/>
        <v/>
      </c>
      <c r="D64" s="142" t="str">
        <f ca="1">ORÇAMENTO!O64</f>
        <v>-</v>
      </c>
      <c r="E64" s="202" t="str">
        <f t="shared" ca="1" si="2"/>
        <v>(abra o arquivo 'Referência 11-2024.xlsm)</v>
      </c>
      <c r="F64" s="203" t="str">
        <f ca="1">IF(RegimeExecucao="Global","",ORÇAMENTO.Unidade)</f>
        <v/>
      </c>
      <c r="G64" s="147" t="str">
        <f ca="1">IF(RegimeExecucao="Global","",ORÇAMENTO!T64)</f>
        <v/>
      </c>
      <c r="H64" s="147" t="str">
        <f ca="1">IF(RegimeExecucao="Global","",ORÇAMENTO!W64)</f>
        <v/>
      </c>
      <c r="I64" s="150">
        <f ca="1">ORÇAMENTO!X64</f>
        <v>0</v>
      </c>
      <c r="J64" s="423">
        <f ca="1">IF($A64="S",IF(CAIXA.Modo,BM.AFAnterior,BM.MEDAnterior),IF(AND(RegimeExecucao="Global",$I64&gt;0,COUNTIF($AB$13:$AM$13,BM.medicao-1)&gt;0),M64/$I64*100,0))</f>
        <v>0</v>
      </c>
      <c r="K64" s="147">
        <f t="shared" ca="1" si="3"/>
        <v>0</v>
      </c>
      <c r="L64" s="424">
        <f ca="1">IF($A64="S",IF(CAIXA.Modo,BM.AFAcumulado,BM.MEDAcumulado),IF(AND(RegimeExecucao="Global",$I64&gt;0,COUNTIF($AB$13:$AM$13,BM.medicao)&gt;0),O64/$I64*100,0))</f>
        <v>0</v>
      </c>
      <c r="M64" s="425">
        <f ca="1">IF($A64="S",VTOTALBM,IF($A64=0,0,ROUND(SomaAgrupBM,15-13*ORÇAMENTO!$AF$11)))</f>
        <v>0</v>
      </c>
      <c r="N64" s="426">
        <f t="shared" ca="1" si="4"/>
        <v>0</v>
      </c>
      <c r="O64" s="150">
        <f ca="1">IF($A64="S",VTOTALBM,IF($A64=0,0,ROUND(SomaAgrupBM,15-13*ORÇAMENTO!$AF$11)))</f>
        <v>0</v>
      </c>
      <c r="Q64" s="427"/>
      <c r="R64" s="428"/>
      <c r="T64" s="142" t="str">
        <f t="shared" ca="1" si="5"/>
        <v/>
      </c>
      <c r="U64" s="202" t="str">
        <f t="shared" ca="1" si="6"/>
        <v/>
      </c>
      <c r="V64" s="203" t="str">
        <f ca="1">IF(AND($W64&gt;0,RegimeExecucao="Unitário"),$F64,"")</f>
        <v/>
      </c>
      <c r="W64" s="629">
        <f ca="1">IF($Y64&gt;0,CHOOSE(MATCH(RegimeExecucao,{"Unitário","Global"},0),IF($A64="S",$Y64/$X64,""),($Y64/$X64)*100),0)</f>
        <v>0</v>
      </c>
      <c r="X64" s="429" t="str">
        <f ca="1">IF($Y64&gt;0,CHOOSE(MATCH(RegimeExecucao,{"Unitário","Global"},0),IF($A64="S",ROUND($H64,ORÇAMENTO!$AF$10),""),ROUND($I64,ORÇAMENTO!$AF$11)),"")</f>
        <v/>
      </c>
      <c r="Y64" s="429">
        <f t="shared" ca="1" si="7"/>
        <v>0</v>
      </c>
      <c r="Z64" s="656"/>
      <c r="AB64" s="427"/>
      <c r="AC64" s="594"/>
      <c r="AD64" s="594"/>
      <c r="AE64" s="594"/>
      <c r="AF64" s="594"/>
      <c r="AG64" s="594"/>
      <c r="AH64" s="594"/>
      <c r="AI64" s="594"/>
      <c r="AJ64" s="594"/>
      <c r="AK64" s="594"/>
      <c r="AL64" s="594"/>
      <c r="AM64" s="428"/>
      <c r="AO64">
        <f ca="1">IF($A64="S",IF(BM!$I64=0,0,CHOOSE(MATCH(RegimeExecucao,{"Global","Unitário"},0),ROUND(ROUND(BM.MEDAcumulado,15-13*BM!$A$9)/100*BM!$I64,15-13*ORÇAMENTO!$AF$11),ROUND(ROUND(BM.MEDAcumulado,15-13*BM!$A$9)*ROUND(BM!$H64,15-13*ORÇAMENTO!$AF$10),15-13*ORÇAMENTO!$AF$11))),IF($A64=0,0,ROUND(SomaAgrupBM,15-13*ORÇAMENTO!$AF$11)))</f>
        <v>0</v>
      </c>
    </row>
    <row r="65" spans="1:41" ht="13.8">
      <c r="A65" t="str">
        <f ca="1">ORÇAMENTO!C65</f>
        <v>S</v>
      </c>
      <c r="B65">
        <f ca="1">ORÇAMENTO!D65</f>
        <v>0</v>
      </c>
      <c r="C65" s="139" t="str">
        <f t="shared" ca="1" si="1"/>
        <v/>
      </c>
      <c r="D65" s="142" t="str">
        <f ca="1">ORÇAMENTO!O65</f>
        <v>-</v>
      </c>
      <c r="E65" s="202" t="str">
        <f t="shared" ca="1" si="2"/>
        <v>(abra o arquivo 'Referência 11-2024.xlsm)</v>
      </c>
      <c r="F65" s="203" t="str">
        <f ca="1">IF(RegimeExecucao="Global","",ORÇAMENTO.Unidade)</f>
        <v/>
      </c>
      <c r="G65" s="147" t="str">
        <f ca="1">IF(RegimeExecucao="Global","",ORÇAMENTO!T65)</f>
        <v/>
      </c>
      <c r="H65" s="147" t="str">
        <f ca="1">IF(RegimeExecucao="Global","",ORÇAMENTO!W65)</f>
        <v/>
      </c>
      <c r="I65" s="150">
        <f ca="1">ORÇAMENTO!X65</f>
        <v>0</v>
      </c>
      <c r="J65" s="423">
        <f ca="1">IF($A65="S",IF(CAIXA.Modo,BM.AFAnterior,BM.MEDAnterior),IF(AND(RegimeExecucao="Global",$I65&gt;0,COUNTIF($AB$13:$AM$13,BM.medicao-1)&gt;0),M65/$I65*100,0))</f>
        <v>0</v>
      </c>
      <c r="K65" s="147">
        <f t="shared" ca="1" si="3"/>
        <v>0</v>
      </c>
      <c r="L65" s="424">
        <f ca="1">IF($A65="S",IF(CAIXA.Modo,BM.AFAcumulado,BM.MEDAcumulado),IF(AND(RegimeExecucao="Global",$I65&gt;0,COUNTIF($AB$13:$AM$13,BM.medicao)&gt;0),O65/$I65*100,0))</f>
        <v>0</v>
      </c>
      <c r="M65" s="425">
        <f ca="1">IF($A65="S",VTOTALBM,IF($A65=0,0,ROUND(SomaAgrupBM,15-13*ORÇAMENTO!$AF$11)))</f>
        <v>0</v>
      </c>
      <c r="N65" s="426">
        <f t="shared" ca="1" si="4"/>
        <v>0</v>
      </c>
      <c r="O65" s="150">
        <f ca="1">IF($A65="S",VTOTALBM,IF($A65=0,0,ROUND(SomaAgrupBM,15-13*ORÇAMENTO!$AF$11)))</f>
        <v>0</v>
      </c>
      <c r="Q65" s="427"/>
      <c r="R65" s="428"/>
      <c r="T65" s="142" t="str">
        <f t="shared" ca="1" si="5"/>
        <v/>
      </c>
      <c r="U65" s="202" t="str">
        <f t="shared" ca="1" si="6"/>
        <v/>
      </c>
      <c r="V65" s="203" t="str">
        <f ca="1">IF(AND($W65&gt;0,RegimeExecucao="Unitário"),$F65,"")</f>
        <v/>
      </c>
      <c r="W65" s="629">
        <f ca="1">IF($Y65&gt;0,CHOOSE(MATCH(RegimeExecucao,{"Unitário","Global"},0),IF($A65="S",$Y65/$X65,""),($Y65/$X65)*100),0)</f>
        <v>0</v>
      </c>
      <c r="X65" s="429" t="str">
        <f ca="1">IF($Y65&gt;0,CHOOSE(MATCH(RegimeExecucao,{"Unitário","Global"},0),IF($A65="S",ROUND($H65,ORÇAMENTO!$AF$10),""),ROUND($I65,ORÇAMENTO!$AF$11)),"")</f>
        <v/>
      </c>
      <c r="Y65" s="429">
        <f t="shared" ca="1" si="7"/>
        <v>0</v>
      </c>
      <c r="Z65" s="656"/>
      <c r="AB65" s="427"/>
      <c r="AC65" s="594"/>
      <c r="AD65" s="594"/>
      <c r="AE65" s="594"/>
      <c r="AF65" s="594"/>
      <c r="AG65" s="594"/>
      <c r="AH65" s="594"/>
      <c r="AI65" s="594"/>
      <c r="AJ65" s="594"/>
      <c r="AK65" s="594"/>
      <c r="AL65" s="594"/>
      <c r="AM65" s="428"/>
      <c r="AO65">
        <f ca="1">IF($A65="S",IF(BM!$I65=0,0,CHOOSE(MATCH(RegimeExecucao,{"Global","Unitário"},0),ROUND(ROUND(BM.MEDAcumulado,15-13*BM!$A$9)/100*BM!$I65,15-13*ORÇAMENTO!$AF$11),ROUND(ROUND(BM.MEDAcumulado,15-13*BM!$A$9)*ROUND(BM!$H65,15-13*ORÇAMENTO!$AF$10),15-13*ORÇAMENTO!$AF$11))),IF($A65=0,0,ROUND(SomaAgrupBM,15-13*ORÇAMENTO!$AF$11)))</f>
        <v>0</v>
      </c>
    </row>
    <row r="66" spans="1:41" ht="13.8">
      <c r="A66" t="str">
        <f ca="1">ORÇAMENTO!C66</f>
        <v>S</v>
      </c>
      <c r="B66">
        <f ca="1">ORÇAMENTO!D66</f>
        <v>0</v>
      </c>
      <c r="C66" s="139" t="str">
        <f t="shared" ca="1" si="1"/>
        <v/>
      </c>
      <c r="D66" s="142" t="str">
        <f ca="1">ORÇAMENTO!O66</f>
        <v>-</v>
      </c>
      <c r="E66" s="202" t="str">
        <f t="shared" ca="1" si="2"/>
        <v>(abra o arquivo 'Referência 11-2024.xlsm)</v>
      </c>
      <c r="F66" s="203" t="str">
        <f ca="1">IF(RegimeExecucao="Global","",ORÇAMENTO.Unidade)</f>
        <v/>
      </c>
      <c r="G66" s="147" t="str">
        <f ca="1">IF(RegimeExecucao="Global","",ORÇAMENTO!T66)</f>
        <v/>
      </c>
      <c r="H66" s="147" t="str">
        <f ca="1">IF(RegimeExecucao="Global","",ORÇAMENTO!W66)</f>
        <v/>
      </c>
      <c r="I66" s="150">
        <f ca="1">ORÇAMENTO!X66</f>
        <v>0</v>
      </c>
      <c r="J66" s="423">
        <f ca="1">IF($A66="S",IF(CAIXA.Modo,BM.AFAnterior,BM.MEDAnterior),IF(AND(RegimeExecucao="Global",$I66&gt;0,COUNTIF($AB$13:$AM$13,BM.medicao-1)&gt;0),M66/$I66*100,0))</f>
        <v>0</v>
      </c>
      <c r="K66" s="147">
        <f t="shared" ca="1" si="3"/>
        <v>0</v>
      </c>
      <c r="L66" s="424">
        <f ca="1">IF($A66="S",IF(CAIXA.Modo,BM.AFAcumulado,BM.MEDAcumulado),IF(AND(RegimeExecucao="Global",$I66&gt;0,COUNTIF($AB$13:$AM$13,BM.medicao)&gt;0),O66/$I66*100,0))</f>
        <v>0</v>
      </c>
      <c r="M66" s="425">
        <f ca="1">IF($A66="S",VTOTALBM,IF($A66=0,0,ROUND(SomaAgrupBM,15-13*ORÇAMENTO!$AF$11)))</f>
        <v>0</v>
      </c>
      <c r="N66" s="426">
        <f t="shared" ca="1" si="4"/>
        <v>0</v>
      </c>
      <c r="O66" s="150">
        <f ca="1">IF($A66="S",VTOTALBM,IF($A66=0,0,ROUND(SomaAgrupBM,15-13*ORÇAMENTO!$AF$11)))</f>
        <v>0</v>
      </c>
      <c r="Q66" s="427"/>
      <c r="R66" s="428"/>
      <c r="T66" s="142" t="str">
        <f t="shared" ca="1" si="5"/>
        <v/>
      </c>
      <c r="U66" s="202" t="str">
        <f t="shared" ca="1" si="6"/>
        <v/>
      </c>
      <c r="V66" s="203" t="str">
        <f ca="1">IF(AND($W66&gt;0,RegimeExecucao="Unitário"),$F66,"")</f>
        <v/>
      </c>
      <c r="W66" s="629">
        <f ca="1">IF($Y66&gt;0,CHOOSE(MATCH(RegimeExecucao,{"Unitário","Global"},0),IF($A66="S",$Y66/$X66,""),($Y66/$X66)*100),0)</f>
        <v>0</v>
      </c>
      <c r="X66" s="429" t="str">
        <f ca="1">IF($Y66&gt;0,CHOOSE(MATCH(RegimeExecucao,{"Unitário","Global"},0),IF($A66="S",ROUND($H66,ORÇAMENTO!$AF$10),""),ROUND($I66,ORÇAMENTO!$AF$11)),"")</f>
        <v/>
      </c>
      <c r="Y66" s="429">
        <f t="shared" ca="1" si="7"/>
        <v>0</v>
      </c>
      <c r="Z66" s="656"/>
      <c r="AB66" s="427"/>
      <c r="AC66" s="594"/>
      <c r="AD66" s="594"/>
      <c r="AE66" s="594"/>
      <c r="AF66" s="594"/>
      <c r="AG66" s="594"/>
      <c r="AH66" s="594"/>
      <c r="AI66" s="594"/>
      <c r="AJ66" s="594"/>
      <c r="AK66" s="594"/>
      <c r="AL66" s="594"/>
      <c r="AM66" s="428"/>
      <c r="AO66">
        <f ca="1">IF($A66="S",IF(BM!$I66=0,0,CHOOSE(MATCH(RegimeExecucao,{"Global","Unitário"},0),ROUND(ROUND(BM.MEDAcumulado,15-13*BM!$A$9)/100*BM!$I66,15-13*ORÇAMENTO!$AF$11),ROUND(ROUND(BM.MEDAcumulado,15-13*BM!$A$9)*ROUND(BM!$H66,15-13*ORÇAMENTO!$AF$10),15-13*ORÇAMENTO!$AF$11))),IF($A66=0,0,ROUND(SomaAgrupBM,15-13*ORÇAMENTO!$AF$11)))</f>
        <v>0</v>
      </c>
    </row>
    <row r="67" spans="1:41" ht="13.8">
      <c r="A67" t="str">
        <f ca="1">ORÇAMENTO!C67</f>
        <v>S</v>
      </c>
      <c r="B67">
        <f ca="1">ORÇAMENTO!D67</f>
        <v>0</v>
      </c>
      <c r="C67" s="139" t="str">
        <f t="shared" ca="1" si="1"/>
        <v/>
      </c>
      <c r="D67" s="142" t="str">
        <f ca="1">ORÇAMENTO!O67</f>
        <v>-</v>
      </c>
      <c r="E67" s="202" t="str">
        <f t="shared" ca="1" si="2"/>
        <v>(abra o arquivo 'Referência 11-2024.xlsm)</v>
      </c>
      <c r="F67" s="203" t="str">
        <f ca="1">IF(RegimeExecucao="Global","",ORÇAMENTO.Unidade)</f>
        <v/>
      </c>
      <c r="G67" s="147" t="str">
        <f ca="1">IF(RegimeExecucao="Global","",ORÇAMENTO!T67)</f>
        <v/>
      </c>
      <c r="H67" s="147" t="str">
        <f ca="1">IF(RegimeExecucao="Global","",ORÇAMENTO!W67)</f>
        <v/>
      </c>
      <c r="I67" s="150">
        <f ca="1">ORÇAMENTO!X67</f>
        <v>0</v>
      </c>
      <c r="J67" s="423">
        <f ca="1">IF($A67="S",IF(CAIXA.Modo,BM.AFAnterior,BM.MEDAnterior),IF(AND(RegimeExecucao="Global",$I67&gt;0,COUNTIF($AB$13:$AM$13,BM.medicao-1)&gt;0),M67/$I67*100,0))</f>
        <v>0</v>
      </c>
      <c r="K67" s="147">
        <f t="shared" ca="1" si="3"/>
        <v>0</v>
      </c>
      <c r="L67" s="424">
        <f ca="1">IF($A67="S",IF(CAIXA.Modo,BM.AFAcumulado,BM.MEDAcumulado),IF(AND(RegimeExecucao="Global",$I67&gt;0,COUNTIF($AB$13:$AM$13,BM.medicao)&gt;0),O67/$I67*100,0))</f>
        <v>0</v>
      </c>
      <c r="M67" s="425">
        <f ca="1">IF($A67="S",VTOTALBM,IF($A67=0,0,ROUND(SomaAgrupBM,15-13*ORÇAMENTO!$AF$11)))</f>
        <v>0</v>
      </c>
      <c r="N67" s="426">
        <f t="shared" ca="1" si="4"/>
        <v>0</v>
      </c>
      <c r="O67" s="150">
        <f ca="1">IF($A67="S",VTOTALBM,IF($A67=0,0,ROUND(SomaAgrupBM,15-13*ORÇAMENTO!$AF$11)))</f>
        <v>0</v>
      </c>
      <c r="Q67" s="427"/>
      <c r="R67" s="428"/>
      <c r="T67" s="142" t="str">
        <f t="shared" ca="1" si="5"/>
        <v/>
      </c>
      <c r="U67" s="202" t="str">
        <f t="shared" ca="1" si="6"/>
        <v/>
      </c>
      <c r="V67" s="203" t="str">
        <f ca="1">IF(AND($W67&gt;0,RegimeExecucao="Unitário"),$F67,"")</f>
        <v/>
      </c>
      <c r="W67" s="629">
        <f ca="1">IF($Y67&gt;0,CHOOSE(MATCH(RegimeExecucao,{"Unitário","Global"},0),IF($A67="S",$Y67/$X67,""),($Y67/$X67)*100),0)</f>
        <v>0</v>
      </c>
      <c r="X67" s="429" t="str">
        <f ca="1">IF($Y67&gt;0,CHOOSE(MATCH(RegimeExecucao,{"Unitário","Global"},0),IF($A67="S",ROUND($H67,ORÇAMENTO!$AF$10),""),ROUND($I67,ORÇAMENTO!$AF$11)),"")</f>
        <v/>
      </c>
      <c r="Y67" s="429">
        <f t="shared" ca="1" si="7"/>
        <v>0</v>
      </c>
      <c r="Z67" s="656"/>
      <c r="AB67" s="427"/>
      <c r="AC67" s="594"/>
      <c r="AD67" s="594"/>
      <c r="AE67" s="594"/>
      <c r="AF67" s="594"/>
      <c r="AG67" s="594"/>
      <c r="AH67" s="594"/>
      <c r="AI67" s="594"/>
      <c r="AJ67" s="594"/>
      <c r="AK67" s="594"/>
      <c r="AL67" s="594"/>
      <c r="AM67" s="428"/>
      <c r="AO67">
        <f ca="1">IF($A67="S",IF(BM!$I67=0,0,CHOOSE(MATCH(RegimeExecucao,{"Global","Unitário"},0),ROUND(ROUND(BM.MEDAcumulado,15-13*BM!$A$9)/100*BM!$I67,15-13*ORÇAMENTO!$AF$11),ROUND(ROUND(BM.MEDAcumulado,15-13*BM!$A$9)*ROUND(BM!$H67,15-13*ORÇAMENTO!$AF$10),15-13*ORÇAMENTO!$AF$11))),IF($A67=0,0,ROUND(SomaAgrupBM,15-13*ORÇAMENTO!$AF$11)))</f>
        <v>0</v>
      </c>
    </row>
    <row r="68" spans="1:41" ht="13.8">
      <c r="A68" t="str">
        <f ca="1">ORÇAMENTO!C68</f>
        <v>S</v>
      </c>
      <c r="B68">
        <f ca="1">ORÇAMENTO!D68</f>
        <v>0</v>
      </c>
      <c r="C68" s="139" t="str">
        <f t="shared" ca="1" si="1"/>
        <v/>
      </c>
      <c r="D68" s="142" t="str">
        <f ca="1">ORÇAMENTO!O68</f>
        <v>-</v>
      </c>
      <c r="E68" s="202" t="str">
        <f t="shared" ca="1" si="2"/>
        <v>(abra o arquivo 'Referência 11-2024.xlsm)</v>
      </c>
      <c r="F68" s="203" t="str">
        <f ca="1">IF(RegimeExecucao="Global","",ORÇAMENTO.Unidade)</f>
        <v/>
      </c>
      <c r="G68" s="147" t="str">
        <f ca="1">IF(RegimeExecucao="Global","",ORÇAMENTO!T68)</f>
        <v/>
      </c>
      <c r="H68" s="147" t="str">
        <f ca="1">IF(RegimeExecucao="Global","",ORÇAMENTO!W68)</f>
        <v/>
      </c>
      <c r="I68" s="150">
        <f ca="1">ORÇAMENTO!X68</f>
        <v>0</v>
      </c>
      <c r="J68" s="423">
        <f ca="1">IF($A68="S",IF(CAIXA.Modo,BM.AFAnterior,BM.MEDAnterior),IF(AND(RegimeExecucao="Global",$I68&gt;0,COUNTIF($AB$13:$AM$13,BM.medicao-1)&gt;0),M68/$I68*100,0))</f>
        <v>0</v>
      </c>
      <c r="K68" s="147">
        <f t="shared" ca="1" si="3"/>
        <v>0</v>
      </c>
      <c r="L68" s="424">
        <f ca="1">IF($A68="S",IF(CAIXA.Modo,BM.AFAcumulado,BM.MEDAcumulado),IF(AND(RegimeExecucao="Global",$I68&gt;0,COUNTIF($AB$13:$AM$13,BM.medicao)&gt;0),O68/$I68*100,0))</f>
        <v>0</v>
      </c>
      <c r="M68" s="425">
        <f ca="1">IF($A68="S",VTOTALBM,IF($A68=0,0,ROUND(SomaAgrupBM,15-13*ORÇAMENTO!$AF$11)))</f>
        <v>0</v>
      </c>
      <c r="N68" s="426">
        <f t="shared" ca="1" si="4"/>
        <v>0</v>
      </c>
      <c r="O68" s="150">
        <f ca="1">IF($A68="S",VTOTALBM,IF($A68=0,0,ROUND(SomaAgrupBM,15-13*ORÇAMENTO!$AF$11)))</f>
        <v>0</v>
      </c>
      <c r="Q68" s="427"/>
      <c r="R68" s="428"/>
      <c r="T68" s="142" t="str">
        <f t="shared" ca="1" si="5"/>
        <v/>
      </c>
      <c r="U68" s="202" t="str">
        <f t="shared" ca="1" si="6"/>
        <v/>
      </c>
      <c r="V68" s="203" t="str">
        <f ca="1">IF(AND($W68&gt;0,RegimeExecucao="Unitário"),$F68,"")</f>
        <v/>
      </c>
      <c r="W68" s="629">
        <f ca="1">IF($Y68&gt;0,CHOOSE(MATCH(RegimeExecucao,{"Unitário","Global"},0),IF($A68="S",$Y68/$X68,""),($Y68/$X68)*100),0)</f>
        <v>0</v>
      </c>
      <c r="X68" s="429" t="str">
        <f ca="1">IF($Y68&gt;0,CHOOSE(MATCH(RegimeExecucao,{"Unitário","Global"},0),IF($A68="S",ROUND($H68,ORÇAMENTO!$AF$10),""),ROUND($I68,ORÇAMENTO!$AF$11)),"")</f>
        <v/>
      </c>
      <c r="Y68" s="429">
        <f t="shared" ca="1" si="7"/>
        <v>0</v>
      </c>
      <c r="Z68" s="656"/>
      <c r="AB68" s="427"/>
      <c r="AC68" s="594"/>
      <c r="AD68" s="594"/>
      <c r="AE68" s="594"/>
      <c r="AF68" s="594"/>
      <c r="AG68" s="594"/>
      <c r="AH68" s="594"/>
      <c r="AI68" s="594"/>
      <c r="AJ68" s="594"/>
      <c r="AK68" s="594"/>
      <c r="AL68" s="594"/>
      <c r="AM68" s="428"/>
      <c r="AO68">
        <f ca="1">IF($A68="S",IF(BM!$I68=0,0,CHOOSE(MATCH(RegimeExecucao,{"Global","Unitário"},0),ROUND(ROUND(BM.MEDAcumulado,15-13*BM!$A$9)/100*BM!$I68,15-13*ORÇAMENTO!$AF$11),ROUND(ROUND(BM.MEDAcumulado,15-13*BM!$A$9)*ROUND(BM!$H68,15-13*ORÇAMENTO!$AF$10),15-13*ORÇAMENTO!$AF$11))),IF($A68=0,0,ROUND(SomaAgrupBM,15-13*ORÇAMENTO!$AF$11)))</f>
        <v>0</v>
      </c>
    </row>
    <row r="69" spans="1:41" ht="13.8">
      <c r="A69" t="str">
        <f ca="1">ORÇAMENTO!C69</f>
        <v>S</v>
      </c>
      <c r="B69">
        <f ca="1">ORÇAMENTO!D69</f>
        <v>0</v>
      </c>
      <c r="C69" s="139" t="str">
        <f t="shared" ca="1" si="1"/>
        <v/>
      </c>
      <c r="D69" s="142" t="str">
        <f ca="1">ORÇAMENTO!O69</f>
        <v>-</v>
      </c>
      <c r="E69" s="202" t="str">
        <f t="shared" ca="1" si="2"/>
        <v>(abra o arquivo 'Referência 11-2024.xlsm)</v>
      </c>
      <c r="F69" s="203" t="str">
        <f ca="1">IF(RegimeExecucao="Global","",ORÇAMENTO.Unidade)</f>
        <v/>
      </c>
      <c r="G69" s="147" t="str">
        <f ca="1">IF(RegimeExecucao="Global","",ORÇAMENTO!T69)</f>
        <v/>
      </c>
      <c r="H69" s="147" t="str">
        <f ca="1">IF(RegimeExecucao="Global","",ORÇAMENTO!W69)</f>
        <v/>
      </c>
      <c r="I69" s="150">
        <f ca="1">ORÇAMENTO!X69</f>
        <v>0</v>
      </c>
      <c r="J69" s="423">
        <f ca="1">IF($A69="S",IF(CAIXA.Modo,BM.AFAnterior,BM.MEDAnterior),IF(AND(RegimeExecucao="Global",$I69&gt;0,COUNTIF($AB$13:$AM$13,BM.medicao-1)&gt;0),M69/$I69*100,0))</f>
        <v>0</v>
      </c>
      <c r="K69" s="147">
        <f t="shared" ca="1" si="3"/>
        <v>0</v>
      </c>
      <c r="L69" s="424">
        <f ca="1">IF($A69="S",IF(CAIXA.Modo,BM.AFAcumulado,BM.MEDAcumulado),IF(AND(RegimeExecucao="Global",$I69&gt;0,COUNTIF($AB$13:$AM$13,BM.medicao)&gt;0),O69/$I69*100,0))</f>
        <v>0</v>
      </c>
      <c r="M69" s="425">
        <f ca="1">IF($A69="S",VTOTALBM,IF($A69=0,0,ROUND(SomaAgrupBM,15-13*ORÇAMENTO!$AF$11)))</f>
        <v>0</v>
      </c>
      <c r="N69" s="426">
        <f t="shared" ca="1" si="4"/>
        <v>0</v>
      </c>
      <c r="O69" s="150">
        <f ca="1">IF($A69="S",VTOTALBM,IF($A69=0,0,ROUND(SomaAgrupBM,15-13*ORÇAMENTO!$AF$11)))</f>
        <v>0</v>
      </c>
      <c r="Q69" s="427"/>
      <c r="R69" s="428"/>
      <c r="T69" s="142" t="str">
        <f t="shared" ca="1" si="5"/>
        <v/>
      </c>
      <c r="U69" s="202" t="str">
        <f t="shared" ca="1" si="6"/>
        <v/>
      </c>
      <c r="V69" s="203" t="str">
        <f ca="1">IF(AND($W69&gt;0,RegimeExecucao="Unitário"),$F69,"")</f>
        <v/>
      </c>
      <c r="W69" s="629">
        <f ca="1">IF($Y69&gt;0,CHOOSE(MATCH(RegimeExecucao,{"Unitário","Global"},0),IF($A69="S",$Y69/$X69,""),($Y69/$X69)*100),0)</f>
        <v>0</v>
      </c>
      <c r="X69" s="429" t="str">
        <f ca="1">IF($Y69&gt;0,CHOOSE(MATCH(RegimeExecucao,{"Unitário","Global"},0),IF($A69="S",ROUND($H69,ORÇAMENTO!$AF$10),""),ROUND($I69,ORÇAMENTO!$AF$11)),"")</f>
        <v/>
      </c>
      <c r="Y69" s="429">
        <f t="shared" ca="1" si="7"/>
        <v>0</v>
      </c>
      <c r="Z69" s="656"/>
      <c r="AB69" s="427"/>
      <c r="AC69" s="594"/>
      <c r="AD69" s="594"/>
      <c r="AE69" s="594"/>
      <c r="AF69" s="594"/>
      <c r="AG69" s="594"/>
      <c r="AH69" s="594"/>
      <c r="AI69" s="594"/>
      <c r="AJ69" s="594"/>
      <c r="AK69" s="594"/>
      <c r="AL69" s="594"/>
      <c r="AM69" s="428"/>
      <c r="AO69">
        <f ca="1">IF($A69="S",IF(BM!$I69=0,0,CHOOSE(MATCH(RegimeExecucao,{"Global","Unitário"},0),ROUND(ROUND(BM.MEDAcumulado,15-13*BM!$A$9)/100*BM!$I69,15-13*ORÇAMENTO!$AF$11),ROUND(ROUND(BM.MEDAcumulado,15-13*BM!$A$9)*ROUND(BM!$H69,15-13*ORÇAMENTO!$AF$10),15-13*ORÇAMENTO!$AF$11))),IF($A69=0,0,ROUND(SomaAgrupBM,15-13*ORÇAMENTO!$AF$11)))</f>
        <v>0</v>
      </c>
    </row>
    <row r="70" spans="1:41" ht="13.8">
      <c r="A70" t="str">
        <f ca="1">ORÇAMENTO!C70</f>
        <v>S</v>
      </c>
      <c r="B70">
        <f ca="1">ORÇAMENTO!D70</f>
        <v>0</v>
      </c>
      <c r="C70" s="139" t="str">
        <f t="shared" ca="1" si="1"/>
        <v/>
      </c>
      <c r="D70" s="142" t="str">
        <f ca="1">ORÇAMENTO!O70</f>
        <v>-</v>
      </c>
      <c r="E70" s="202" t="str">
        <f t="shared" ca="1" si="2"/>
        <v>(abra o arquivo 'Referência 11-2024.xlsm)</v>
      </c>
      <c r="F70" s="203" t="str">
        <f ca="1">IF(RegimeExecucao="Global","",ORÇAMENTO.Unidade)</f>
        <v/>
      </c>
      <c r="G70" s="147" t="str">
        <f ca="1">IF(RegimeExecucao="Global","",ORÇAMENTO!T70)</f>
        <v/>
      </c>
      <c r="H70" s="147" t="str">
        <f ca="1">IF(RegimeExecucao="Global","",ORÇAMENTO!W70)</f>
        <v/>
      </c>
      <c r="I70" s="150">
        <f ca="1">ORÇAMENTO!X70</f>
        <v>0</v>
      </c>
      <c r="J70" s="423">
        <f ca="1">IF($A70="S",IF(CAIXA.Modo,BM.AFAnterior,BM.MEDAnterior),IF(AND(RegimeExecucao="Global",$I70&gt;0,COUNTIF($AB$13:$AM$13,BM.medicao-1)&gt;0),M70/$I70*100,0))</f>
        <v>0</v>
      </c>
      <c r="K70" s="147">
        <f t="shared" ca="1" si="3"/>
        <v>0</v>
      </c>
      <c r="L70" s="424">
        <f ca="1">IF($A70="S",IF(CAIXA.Modo,BM.AFAcumulado,BM.MEDAcumulado),IF(AND(RegimeExecucao="Global",$I70&gt;0,COUNTIF($AB$13:$AM$13,BM.medicao)&gt;0),O70/$I70*100,0))</f>
        <v>0</v>
      </c>
      <c r="M70" s="425">
        <f ca="1">IF($A70="S",VTOTALBM,IF($A70=0,0,ROUND(SomaAgrupBM,15-13*ORÇAMENTO!$AF$11)))</f>
        <v>0</v>
      </c>
      <c r="N70" s="426">
        <f t="shared" ca="1" si="4"/>
        <v>0</v>
      </c>
      <c r="O70" s="150">
        <f ca="1">IF($A70="S",VTOTALBM,IF($A70=0,0,ROUND(SomaAgrupBM,15-13*ORÇAMENTO!$AF$11)))</f>
        <v>0</v>
      </c>
      <c r="Q70" s="427"/>
      <c r="R70" s="428"/>
      <c r="T70" s="142" t="str">
        <f t="shared" ca="1" si="5"/>
        <v/>
      </c>
      <c r="U70" s="202" t="str">
        <f t="shared" ca="1" si="6"/>
        <v/>
      </c>
      <c r="V70" s="203" t="str">
        <f ca="1">IF(AND($W70&gt;0,RegimeExecucao="Unitário"),$F70,"")</f>
        <v/>
      </c>
      <c r="W70" s="629">
        <f ca="1">IF($Y70&gt;0,CHOOSE(MATCH(RegimeExecucao,{"Unitário","Global"},0),IF($A70="S",$Y70/$X70,""),($Y70/$X70)*100),0)</f>
        <v>0</v>
      </c>
      <c r="X70" s="429" t="str">
        <f ca="1">IF($Y70&gt;0,CHOOSE(MATCH(RegimeExecucao,{"Unitário","Global"},0),IF($A70="S",ROUND($H70,ORÇAMENTO!$AF$10),""),ROUND($I70,ORÇAMENTO!$AF$11)),"")</f>
        <v/>
      </c>
      <c r="Y70" s="429">
        <f t="shared" ca="1" si="7"/>
        <v>0</v>
      </c>
      <c r="Z70" s="656"/>
      <c r="AB70" s="427"/>
      <c r="AC70" s="594"/>
      <c r="AD70" s="594"/>
      <c r="AE70" s="594"/>
      <c r="AF70" s="594"/>
      <c r="AG70" s="594"/>
      <c r="AH70" s="594"/>
      <c r="AI70" s="594"/>
      <c r="AJ70" s="594"/>
      <c r="AK70" s="594"/>
      <c r="AL70" s="594"/>
      <c r="AM70" s="428"/>
      <c r="AO70">
        <f ca="1">IF($A70="S",IF(BM!$I70=0,0,CHOOSE(MATCH(RegimeExecucao,{"Global","Unitário"},0),ROUND(ROUND(BM.MEDAcumulado,15-13*BM!$A$9)/100*BM!$I70,15-13*ORÇAMENTO!$AF$11),ROUND(ROUND(BM.MEDAcumulado,15-13*BM!$A$9)*ROUND(BM!$H70,15-13*ORÇAMENTO!$AF$10),15-13*ORÇAMENTO!$AF$11))),IF($A70=0,0,ROUND(SomaAgrupBM,15-13*ORÇAMENTO!$AF$11)))</f>
        <v>0</v>
      </c>
    </row>
    <row r="71" spans="1:41" ht="13.8">
      <c r="A71" t="str">
        <f ca="1">ORÇAMENTO!C71</f>
        <v>S</v>
      </c>
      <c r="B71">
        <f ca="1">ORÇAMENTO!D71</f>
        <v>0</v>
      </c>
      <c r="C71" s="139" t="str">
        <f t="shared" ca="1" si="1"/>
        <v/>
      </c>
      <c r="D71" s="142" t="str">
        <f ca="1">ORÇAMENTO!O71</f>
        <v>-</v>
      </c>
      <c r="E71" s="202" t="str">
        <f t="shared" ca="1" si="2"/>
        <v>(abra o arquivo 'Referência 11-2024.xlsm)</v>
      </c>
      <c r="F71" s="203" t="str">
        <f ca="1">IF(RegimeExecucao="Global","",ORÇAMENTO.Unidade)</f>
        <v/>
      </c>
      <c r="G71" s="147" t="str">
        <f ca="1">IF(RegimeExecucao="Global","",ORÇAMENTO!T71)</f>
        <v/>
      </c>
      <c r="H71" s="147" t="str">
        <f ca="1">IF(RegimeExecucao="Global","",ORÇAMENTO!W71)</f>
        <v/>
      </c>
      <c r="I71" s="150">
        <f ca="1">ORÇAMENTO!X71</f>
        <v>0</v>
      </c>
      <c r="J71" s="423">
        <f ca="1">IF($A71="S",IF(CAIXA.Modo,BM.AFAnterior,BM.MEDAnterior),IF(AND(RegimeExecucao="Global",$I71&gt;0,COUNTIF($AB$13:$AM$13,BM.medicao-1)&gt;0),M71/$I71*100,0))</f>
        <v>0</v>
      </c>
      <c r="K71" s="147">
        <f t="shared" ca="1" si="3"/>
        <v>0</v>
      </c>
      <c r="L71" s="424">
        <f ca="1">IF($A71="S",IF(CAIXA.Modo,BM.AFAcumulado,BM.MEDAcumulado),IF(AND(RegimeExecucao="Global",$I71&gt;0,COUNTIF($AB$13:$AM$13,BM.medicao)&gt;0),O71/$I71*100,0))</f>
        <v>0</v>
      </c>
      <c r="M71" s="425">
        <f ca="1">IF($A71="S",VTOTALBM,IF($A71=0,0,ROUND(SomaAgrupBM,15-13*ORÇAMENTO!$AF$11)))</f>
        <v>0</v>
      </c>
      <c r="N71" s="426">
        <f t="shared" ca="1" si="4"/>
        <v>0</v>
      </c>
      <c r="O71" s="150">
        <f ca="1">IF($A71="S",VTOTALBM,IF($A71=0,0,ROUND(SomaAgrupBM,15-13*ORÇAMENTO!$AF$11)))</f>
        <v>0</v>
      </c>
      <c r="Q71" s="427"/>
      <c r="R71" s="428"/>
      <c r="T71" s="142" t="str">
        <f t="shared" ca="1" si="5"/>
        <v/>
      </c>
      <c r="U71" s="202" t="str">
        <f t="shared" ca="1" si="6"/>
        <v/>
      </c>
      <c r="V71" s="203" t="str">
        <f ca="1">IF(AND($W71&gt;0,RegimeExecucao="Unitário"),$F71,"")</f>
        <v/>
      </c>
      <c r="W71" s="629">
        <f ca="1">IF($Y71&gt;0,CHOOSE(MATCH(RegimeExecucao,{"Unitário","Global"},0),IF($A71="S",$Y71/$X71,""),($Y71/$X71)*100),0)</f>
        <v>0</v>
      </c>
      <c r="X71" s="429" t="str">
        <f ca="1">IF($Y71&gt;0,CHOOSE(MATCH(RegimeExecucao,{"Unitário","Global"},0),IF($A71="S",ROUND($H71,ORÇAMENTO!$AF$10),""),ROUND($I71,ORÇAMENTO!$AF$11)),"")</f>
        <v/>
      </c>
      <c r="Y71" s="429">
        <f t="shared" ca="1" si="7"/>
        <v>0</v>
      </c>
      <c r="Z71" s="656"/>
      <c r="AB71" s="427"/>
      <c r="AC71" s="594"/>
      <c r="AD71" s="594"/>
      <c r="AE71" s="594"/>
      <c r="AF71" s="594"/>
      <c r="AG71" s="594"/>
      <c r="AH71" s="594"/>
      <c r="AI71" s="594"/>
      <c r="AJ71" s="594"/>
      <c r="AK71" s="594"/>
      <c r="AL71" s="594"/>
      <c r="AM71" s="428"/>
      <c r="AO71">
        <f ca="1">IF($A71="S",IF(BM!$I71=0,0,CHOOSE(MATCH(RegimeExecucao,{"Global","Unitário"},0),ROUND(ROUND(BM.MEDAcumulado,15-13*BM!$A$9)/100*BM!$I71,15-13*ORÇAMENTO!$AF$11),ROUND(ROUND(BM.MEDAcumulado,15-13*BM!$A$9)*ROUND(BM!$H71,15-13*ORÇAMENTO!$AF$10),15-13*ORÇAMENTO!$AF$11))),IF($A71=0,0,ROUND(SomaAgrupBM,15-13*ORÇAMENTO!$AF$11)))</f>
        <v>0</v>
      </c>
    </row>
    <row r="72" spans="1:41" ht="13.8">
      <c r="A72" t="str">
        <f ca="1">ORÇAMENTO!C72</f>
        <v>S</v>
      </c>
      <c r="B72">
        <f ca="1">ORÇAMENTO!D72</f>
        <v>0</v>
      </c>
      <c r="C72" s="139" t="str">
        <f t="shared" ca="1" si="1"/>
        <v/>
      </c>
      <c r="D72" s="142" t="str">
        <f ca="1">ORÇAMENTO!O72</f>
        <v>-</v>
      </c>
      <c r="E72" s="202" t="str">
        <f t="shared" ca="1" si="2"/>
        <v>(abra o arquivo 'Referência 11-2024.xlsm)</v>
      </c>
      <c r="F72" s="203" t="str">
        <f ca="1">IF(RegimeExecucao="Global","",ORÇAMENTO.Unidade)</f>
        <v/>
      </c>
      <c r="G72" s="147" t="str">
        <f ca="1">IF(RegimeExecucao="Global","",ORÇAMENTO!T72)</f>
        <v/>
      </c>
      <c r="H72" s="147" t="str">
        <f ca="1">IF(RegimeExecucao="Global","",ORÇAMENTO!W72)</f>
        <v/>
      </c>
      <c r="I72" s="150">
        <f ca="1">ORÇAMENTO!X72</f>
        <v>0</v>
      </c>
      <c r="J72" s="423">
        <f ca="1">IF($A72="S",IF(CAIXA.Modo,BM.AFAnterior,BM.MEDAnterior),IF(AND(RegimeExecucao="Global",$I72&gt;0,COUNTIF($AB$13:$AM$13,BM.medicao-1)&gt;0),M72/$I72*100,0))</f>
        <v>0</v>
      </c>
      <c r="K72" s="147">
        <f t="shared" ca="1" si="3"/>
        <v>0</v>
      </c>
      <c r="L72" s="424">
        <f ca="1">IF($A72="S",IF(CAIXA.Modo,BM.AFAcumulado,BM.MEDAcumulado),IF(AND(RegimeExecucao="Global",$I72&gt;0,COUNTIF($AB$13:$AM$13,BM.medicao)&gt;0),O72/$I72*100,0))</f>
        <v>0</v>
      </c>
      <c r="M72" s="425">
        <f ca="1">IF($A72="S",VTOTALBM,IF($A72=0,0,ROUND(SomaAgrupBM,15-13*ORÇAMENTO!$AF$11)))</f>
        <v>0</v>
      </c>
      <c r="N72" s="426">
        <f t="shared" ca="1" si="4"/>
        <v>0</v>
      </c>
      <c r="O72" s="150">
        <f ca="1">IF($A72="S",VTOTALBM,IF($A72=0,0,ROUND(SomaAgrupBM,15-13*ORÇAMENTO!$AF$11)))</f>
        <v>0</v>
      </c>
      <c r="Q72" s="427"/>
      <c r="R72" s="428"/>
      <c r="T72" s="142" t="str">
        <f t="shared" ca="1" si="5"/>
        <v/>
      </c>
      <c r="U72" s="202" t="str">
        <f t="shared" ca="1" si="6"/>
        <v/>
      </c>
      <c r="V72" s="203" t="str">
        <f ca="1">IF(AND($W72&gt;0,RegimeExecucao="Unitário"),$F72,"")</f>
        <v/>
      </c>
      <c r="W72" s="629">
        <f ca="1">IF($Y72&gt;0,CHOOSE(MATCH(RegimeExecucao,{"Unitário","Global"},0),IF($A72="S",$Y72/$X72,""),($Y72/$X72)*100),0)</f>
        <v>0</v>
      </c>
      <c r="X72" s="429" t="str">
        <f ca="1">IF($Y72&gt;0,CHOOSE(MATCH(RegimeExecucao,{"Unitário","Global"},0),IF($A72="S",ROUND($H72,ORÇAMENTO!$AF$10),""),ROUND($I72,ORÇAMENTO!$AF$11)),"")</f>
        <v/>
      </c>
      <c r="Y72" s="429">
        <f t="shared" ca="1" si="7"/>
        <v>0</v>
      </c>
      <c r="Z72" s="656"/>
      <c r="AB72" s="427"/>
      <c r="AC72" s="594"/>
      <c r="AD72" s="594"/>
      <c r="AE72" s="594"/>
      <c r="AF72" s="594"/>
      <c r="AG72" s="594"/>
      <c r="AH72" s="594"/>
      <c r="AI72" s="594"/>
      <c r="AJ72" s="594"/>
      <c r="AK72" s="594"/>
      <c r="AL72" s="594"/>
      <c r="AM72" s="428"/>
      <c r="AO72">
        <f ca="1">IF($A72="S",IF(BM!$I72=0,0,CHOOSE(MATCH(RegimeExecucao,{"Global","Unitário"},0),ROUND(ROUND(BM.MEDAcumulado,15-13*BM!$A$9)/100*BM!$I72,15-13*ORÇAMENTO!$AF$11),ROUND(ROUND(BM.MEDAcumulado,15-13*BM!$A$9)*ROUND(BM!$H72,15-13*ORÇAMENTO!$AF$10),15-13*ORÇAMENTO!$AF$11))),IF($A72=0,0,ROUND(SomaAgrupBM,15-13*ORÇAMENTO!$AF$11)))</f>
        <v>0</v>
      </c>
    </row>
    <row r="73" spans="1:41" ht="13.8">
      <c r="A73" t="str">
        <f ca="1">ORÇAMENTO!C73</f>
        <v>S</v>
      </c>
      <c r="B73">
        <f ca="1">ORÇAMENTO!D73</f>
        <v>0</v>
      </c>
      <c r="C73" s="139" t="str">
        <f t="shared" ca="1" si="1"/>
        <v/>
      </c>
      <c r="D73" s="142" t="str">
        <f ca="1">ORÇAMENTO!O73</f>
        <v>-</v>
      </c>
      <c r="E73" s="202" t="str">
        <f t="shared" ca="1" si="2"/>
        <v>(abra o arquivo 'Referência 11-2024.xlsm)</v>
      </c>
      <c r="F73" s="203" t="str">
        <f ca="1">IF(RegimeExecucao="Global","",ORÇAMENTO.Unidade)</f>
        <v/>
      </c>
      <c r="G73" s="147" t="str">
        <f ca="1">IF(RegimeExecucao="Global","",ORÇAMENTO!T73)</f>
        <v/>
      </c>
      <c r="H73" s="147" t="str">
        <f ca="1">IF(RegimeExecucao="Global","",ORÇAMENTO!W73)</f>
        <v/>
      </c>
      <c r="I73" s="150">
        <f ca="1">ORÇAMENTO!X73</f>
        <v>0</v>
      </c>
      <c r="J73" s="423">
        <f ca="1">IF($A73="S",IF(CAIXA.Modo,BM.AFAnterior,BM.MEDAnterior),IF(AND(RegimeExecucao="Global",$I73&gt;0,COUNTIF($AB$13:$AM$13,BM.medicao-1)&gt;0),M73/$I73*100,0))</f>
        <v>0</v>
      </c>
      <c r="K73" s="147">
        <f t="shared" ca="1" si="3"/>
        <v>0</v>
      </c>
      <c r="L73" s="424">
        <f ca="1">IF($A73="S",IF(CAIXA.Modo,BM.AFAcumulado,BM.MEDAcumulado),IF(AND(RegimeExecucao="Global",$I73&gt;0,COUNTIF($AB$13:$AM$13,BM.medicao)&gt;0),O73/$I73*100,0))</f>
        <v>0</v>
      </c>
      <c r="M73" s="425">
        <f ca="1">IF($A73="S",VTOTALBM,IF($A73=0,0,ROUND(SomaAgrupBM,15-13*ORÇAMENTO!$AF$11)))</f>
        <v>0</v>
      </c>
      <c r="N73" s="426">
        <f t="shared" ca="1" si="4"/>
        <v>0</v>
      </c>
      <c r="O73" s="150">
        <f ca="1">IF($A73="S",VTOTALBM,IF($A73=0,0,ROUND(SomaAgrupBM,15-13*ORÇAMENTO!$AF$11)))</f>
        <v>0</v>
      </c>
      <c r="Q73" s="427"/>
      <c r="R73" s="428"/>
      <c r="T73" s="142" t="str">
        <f t="shared" ca="1" si="5"/>
        <v/>
      </c>
      <c r="U73" s="202" t="str">
        <f t="shared" ca="1" si="6"/>
        <v/>
      </c>
      <c r="V73" s="203" t="str">
        <f ca="1">IF(AND($W73&gt;0,RegimeExecucao="Unitário"),$F73,"")</f>
        <v/>
      </c>
      <c r="W73" s="629">
        <f ca="1">IF($Y73&gt;0,CHOOSE(MATCH(RegimeExecucao,{"Unitário","Global"},0),IF($A73="S",$Y73/$X73,""),($Y73/$X73)*100),0)</f>
        <v>0</v>
      </c>
      <c r="X73" s="429" t="str">
        <f ca="1">IF($Y73&gt;0,CHOOSE(MATCH(RegimeExecucao,{"Unitário","Global"},0),IF($A73="S",ROUND($H73,ORÇAMENTO!$AF$10),""),ROUND($I73,ORÇAMENTO!$AF$11)),"")</f>
        <v/>
      </c>
      <c r="Y73" s="429">
        <f t="shared" ca="1" si="7"/>
        <v>0</v>
      </c>
      <c r="Z73" s="656"/>
      <c r="AB73" s="427"/>
      <c r="AC73" s="594"/>
      <c r="AD73" s="594"/>
      <c r="AE73" s="594"/>
      <c r="AF73" s="594"/>
      <c r="AG73" s="594"/>
      <c r="AH73" s="594"/>
      <c r="AI73" s="594"/>
      <c r="AJ73" s="594"/>
      <c r="AK73" s="594"/>
      <c r="AL73" s="594"/>
      <c r="AM73" s="428"/>
      <c r="AO73">
        <f ca="1">IF($A73="S",IF(BM!$I73=0,0,CHOOSE(MATCH(RegimeExecucao,{"Global","Unitário"},0),ROUND(ROUND(BM.MEDAcumulado,15-13*BM!$A$9)/100*BM!$I73,15-13*ORÇAMENTO!$AF$11),ROUND(ROUND(BM.MEDAcumulado,15-13*BM!$A$9)*ROUND(BM!$H73,15-13*ORÇAMENTO!$AF$10),15-13*ORÇAMENTO!$AF$11))),IF($A73=0,0,ROUND(SomaAgrupBM,15-13*ORÇAMENTO!$AF$11)))</f>
        <v>0</v>
      </c>
    </row>
    <row r="74" spans="1:41" ht="13.8">
      <c r="A74" t="str">
        <f ca="1">ORÇAMENTO!C74</f>
        <v>S</v>
      </c>
      <c r="B74">
        <f ca="1">ORÇAMENTO!D74</f>
        <v>0</v>
      </c>
      <c r="C74" s="139" t="str">
        <f t="shared" ca="1" si="1"/>
        <v/>
      </c>
      <c r="D74" s="142" t="str">
        <f ca="1">ORÇAMENTO!O74</f>
        <v>-</v>
      </c>
      <c r="E74" s="202" t="str">
        <f t="shared" ca="1" si="2"/>
        <v>(abra o arquivo 'Referência 11-2024.xlsm)</v>
      </c>
      <c r="F74" s="203" t="str">
        <f ca="1">IF(RegimeExecucao="Global","",ORÇAMENTO.Unidade)</f>
        <v/>
      </c>
      <c r="G74" s="147" t="str">
        <f ca="1">IF(RegimeExecucao="Global","",ORÇAMENTO!T74)</f>
        <v/>
      </c>
      <c r="H74" s="147" t="str">
        <f ca="1">IF(RegimeExecucao="Global","",ORÇAMENTO!W74)</f>
        <v/>
      </c>
      <c r="I74" s="150">
        <f ca="1">ORÇAMENTO!X74</f>
        <v>0</v>
      </c>
      <c r="J74" s="423">
        <f ca="1">IF($A74="S",IF(CAIXA.Modo,BM.AFAnterior,BM.MEDAnterior),IF(AND(RegimeExecucao="Global",$I74&gt;0,COUNTIF($AB$13:$AM$13,BM.medicao-1)&gt;0),M74/$I74*100,0))</f>
        <v>0</v>
      </c>
      <c r="K74" s="147">
        <f t="shared" ca="1" si="3"/>
        <v>0</v>
      </c>
      <c r="L74" s="424">
        <f ca="1">IF($A74="S",IF(CAIXA.Modo,BM.AFAcumulado,BM.MEDAcumulado),IF(AND(RegimeExecucao="Global",$I74&gt;0,COUNTIF($AB$13:$AM$13,BM.medicao)&gt;0),O74/$I74*100,0))</f>
        <v>0</v>
      </c>
      <c r="M74" s="425">
        <f ca="1">IF($A74="S",VTOTALBM,IF($A74=0,0,ROUND(SomaAgrupBM,15-13*ORÇAMENTO!$AF$11)))</f>
        <v>0</v>
      </c>
      <c r="N74" s="426">
        <f t="shared" ca="1" si="4"/>
        <v>0</v>
      </c>
      <c r="O74" s="150">
        <f ca="1">IF($A74="S",VTOTALBM,IF($A74=0,0,ROUND(SomaAgrupBM,15-13*ORÇAMENTO!$AF$11)))</f>
        <v>0</v>
      </c>
      <c r="Q74" s="427"/>
      <c r="R74" s="428"/>
      <c r="T74" s="142" t="str">
        <f t="shared" ca="1" si="5"/>
        <v/>
      </c>
      <c r="U74" s="202" t="str">
        <f t="shared" ca="1" si="6"/>
        <v/>
      </c>
      <c r="V74" s="203" t="str">
        <f ca="1">IF(AND($W74&gt;0,RegimeExecucao="Unitário"),$F74,"")</f>
        <v/>
      </c>
      <c r="W74" s="629">
        <f ca="1">IF($Y74&gt;0,CHOOSE(MATCH(RegimeExecucao,{"Unitário","Global"},0),IF($A74="S",$Y74/$X74,""),($Y74/$X74)*100),0)</f>
        <v>0</v>
      </c>
      <c r="X74" s="429" t="str">
        <f ca="1">IF($Y74&gt;0,CHOOSE(MATCH(RegimeExecucao,{"Unitário","Global"},0),IF($A74="S",ROUND($H74,ORÇAMENTO!$AF$10),""),ROUND($I74,ORÇAMENTO!$AF$11)),"")</f>
        <v/>
      </c>
      <c r="Y74" s="429">
        <f t="shared" ca="1" si="7"/>
        <v>0</v>
      </c>
      <c r="Z74" s="656"/>
      <c r="AB74" s="427"/>
      <c r="AC74" s="594"/>
      <c r="AD74" s="594"/>
      <c r="AE74" s="594"/>
      <c r="AF74" s="594"/>
      <c r="AG74" s="594"/>
      <c r="AH74" s="594"/>
      <c r="AI74" s="594"/>
      <c r="AJ74" s="594"/>
      <c r="AK74" s="594"/>
      <c r="AL74" s="594"/>
      <c r="AM74" s="428"/>
      <c r="AO74">
        <f ca="1">IF($A74="S",IF(BM!$I74=0,0,CHOOSE(MATCH(RegimeExecucao,{"Global","Unitário"},0),ROUND(ROUND(BM.MEDAcumulado,15-13*BM!$A$9)/100*BM!$I74,15-13*ORÇAMENTO!$AF$11),ROUND(ROUND(BM.MEDAcumulado,15-13*BM!$A$9)*ROUND(BM!$H74,15-13*ORÇAMENTO!$AF$10),15-13*ORÇAMENTO!$AF$11))),IF($A74=0,0,ROUND(SomaAgrupBM,15-13*ORÇAMENTO!$AF$11)))</f>
        <v>0</v>
      </c>
    </row>
    <row r="75" spans="1:41" ht="13.8">
      <c r="A75" t="str">
        <f ca="1">ORÇAMENTO!C75</f>
        <v>S</v>
      </c>
      <c r="B75">
        <f ca="1">ORÇAMENTO!D75</f>
        <v>0</v>
      </c>
      <c r="C75" s="139" t="str">
        <f t="shared" ca="1" si="1"/>
        <v/>
      </c>
      <c r="D75" s="142" t="str">
        <f ca="1">ORÇAMENTO!O75</f>
        <v>-</v>
      </c>
      <c r="E75" s="202" t="str">
        <f t="shared" ca="1" si="2"/>
        <v>(abra o arquivo 'Referência 11-2024.xlsm)</v>
      </c>
      <c r="F75" s="203" t="str">
        <f ca="1">IF(RegimeExecucao="Global","",ORÇAMENTO.Unidade)</f>
        <v/>
      </c>
      <c r="G75" s="147" t="str">
        <f ca="1">IF(RegimeExecucao="Global","",ORÇAMENTO!T75)</f>
        <v/>
      </c>
      <c r="H75" s="147" t="str">
        <f ca="1">IF(RegimeExecucao="Global","",ORÇAMENTO!W75)</f>
        <v/>
      </c>
      <c r="I75" s="150">
        <f ca="1">ORÇAMENTO!X75</f>
        <v>0</v>
      </c>
      <c r="J75" s="423">
        <f ca="1">IF($A75="S",IF(CAIXA.Modo,BM.AFAnterior,BM.MEDAnterior),IF(AND(RegimeExecucao="Global",$I75&gt;0,COUNTIF($AB$13:$AM$13,BM.medicao-1)&gt;0),M75/$I75*100,0))</f>
        <v>0</v>
      </c>
      <c r="K75" s="147">
        <f t="shared" ca="1" si="3"/>
        <v>0</v>
      </c>
      <c r="L75" s="424">
        <f ca="1">IF($A75="S",IF(CAIXA.Modo,BM.AFAcumulado,BM.MEDAcumulado),IF(AND(RegimeExecucao="Global",$I75&gt;0,COUNTIF($AB$13:$AM$13,BM.medicao)&gt;0),O75/$I75*100,0))</f>
        <v>0</v>
      </c>
      <c r="M75" s="425">
        <f ca="1">IF($A75="S",VTOTALBM,IF($A75=0,0,ROUND(SomaAgrupBM,15-13*ORÇAMENTO!$AF$11)))</f>
        <v>0</v>
      </c>
      <c r="N75" s="426">
        <f t="shared" ca="1" si="4"/>
        <v>0</v>
      </c>
      <c r="O75" s="150">
        <f ca="1">IF($A75="S",VTOTALBM,IF($A75=0,0,ROUND(SomaAgrupBM,15-13*ORÇAMENTO!$AF$11)))</f>
        <v>0</v>
      </c>
      <c r="Q75" s="427"/>
      <c r="R75" s="428"/>
      <c r="T75" s="142" t="str">
        <f t="shared" ca="1" si="5"/>
        <v/>
      </c>
      <c r="U75" s="202" t="str">
        <f t="shared" ca="1" si="6"/>
        <v/>
      </c>
      <c r="V75" s="203" t="str">
        <f ca="1">IF(AND($W75&gt;0,RegimeExecucao="Unitário"),$F75,"")</f>
        <v/>
      </c>
      <c r="W75" s="629">
        <f ca="1">IF($Y75&gt;0,CHOOSE(MATCH(RegimeExecucao,{"Unitário","Global"},0),IF($A75="S",$Y75/$X75,""),($Y75/$X75)*100),0)</f>
        <v>0</v>
      </c>
      <c r="X75" s="429" t="str">
        <f ca="1">IF($Y75&gt;0,CHOOSE(MATCH(RegimeExecucao,{"Unitário","Global"},0),IF($A75="S",ROUND($H75,ORÇAMENTO!$AF$10),""),ROUND($I75,ORÇAMENTO!$AF$11)),"")</f>
        <v/>
      </c>
      <c r="Y75" s="429">
        <f t="shared" ca="1" si="7"/>
        <v>0</v>
      </c>
      <c r="Z75" s="656"/>
      <c r="AB75" s="427"/>
      <c r="AC75" s="594"/>
      <c r="AD75" s="594"/>
      <c r="AE75" s="594"/>
      <c r="AF75" s="594"/>
      <c r="AG75" s="594"/>
      <c r="AH75" s="594"/>
      <c r="AI75" s="594"/>
      <c r="AJ75" s="594"/>
      <c r="AK75" s="594"/>
      <c r="AL75" s="594"/>
      <c r="AM75" s="428"/>
      <c r="AO75">
        <f ca="1">IF($A75="S",IF(BM!$I75=0,0,CHOOSE(MATCH(RegimeExecucao,{"Global","Unitário"},0),ROUND(ROUND(BM.MEDAcumulado,15-13*BM!$A$9)/100*BM!$I75,15-13*ORÇAMENTO!$AF$11),ROUND(ROUND(BM.MEDAcumulado,15-13*BM!$A$9)*ROUND(BM!$H75,15-13*ORÇAMENTO!$AF$10),15-13*ORÇAMENTO!$AF$11))),IF($A75=0,0,ROUND(SomaAgrupBM,15-13*ORÇAMENTO!$AF$11)))</f>
        <v>0</v>
      </c>
    </row>
    <row r="76" spans="1:41" ht="13.8">
      <c r="A76" t="str">
        <f ca="1">ORÇAMENTO!C76</f>
        <v>S</v>
      </c>
      <c r="B76">
        <f ca="1">ORÇAMENTO!D76</f>
        <v>0</v>
      </c>
      <c r="C76" s="139" t="str">
        <f t="shared" ca="1" si="1"/>
        <v/>
      </c>
      <c r="D76" s="142" t="str">
        <f ca="1">ORÇAMENTO!O76</f>
        <v>-</v>
      </c>
      <c r="E76" s="202" t="str">
        <f t="shared" ca="1" si="2"/>
        <v>(abra o arquivo 'Referência 11-2024.xlsm)</v>
      </c>
      <c r="F76" s="203" t="str">
        <f ca="1">IF(RegimeExecucao="Global","",ORÇAMENTO.Unidade)</f>
        <v/>
      </c>
      <c r="G76" s="147" t="str">
        <f ca="1">IF(RegimeExecucao="Global","",ORÇAMENTO!T76)</f>
        <v/>
      </c>
      <c r="H76" s="147" t="str">
        <f ca="1">IF(RegimeExecucao="Global","",ORÇAMENTO!W76)</f>
        <v/>
      </c>
      <c r="I76" s="150">
        <f ca="1">ORÇAMENTO!X76</f>
        <v>0</v>
      </c>
      <c r="J76" s="423">
        <f ca="1">IF($A76="S",IF(CAIXA.Modo,BM.AFAnterior,BM.MEDAnterior),IF(AND(RegimeExecucao="Global",$I76&gt;0,COUNTIF($AB$13:$AM$13,BM.medicao-1)&gt;0),M76/$I76*100,0))</f>
        <v>0</v>
      </c>
      <c r="K76" s="147">
        <f t="shared" ca="1" si="3"/>
        <v>0</v>
      </c>
      <c r="L76" s="424">
        <f ca="1">IF($A76="S",IF(CAIXA.Modo,BM.AFAcumulado,BM.MEDAcumulado),IF(AND(RegimeExecucao="Global",$I76&gt;0,COUNTIF($AB$13:$AM$13,BM.medicao)&gt;0),O76/$I76*100,0))</f>
        <v>0</v>
      </c>
      <c r="M76" s="425">
        <f ca="1">IF($A76="S",VTOTALBM,IF($A76=0,0,ROUND(SomaAgrupBM,15-13*ORÇAMENTO!$AF$11)))</f>
        <v>0</v>
      </c>
      <c r="N76" s="426">
        <f t="shared" ca="1" si="4"/>
        <v>0</v>
      </c>
      <c r="O76" s="150">
        <f ca="1">IF($A76="S",VTOTALBM,IF($A76=0,0,ROUND(SomaAgrupBM,15-13*ORÇAMENTO!$AF$11)))</f>
        <v>0</v>
      </c>
      <c r="Q76" s="427"/>
      <c r="R76" s="428"/>
      <c r="T76" s="142" t="str">
        <f t="shared" ca="1" si="5"/>
        <v/>
      </c>
      <c r="U76" s="202" t="str">
        <f t="shared" ca="1" si="6"/>
        <v/>
      </c>
      <c r="V76" s="203" t="str">
        <f ca="1">IF(AND($W76&gt;0,RegimeExecucao="Unitário"),$F76,"")</f>
        <v/>
      </c>
      <c r="W76" s="629">
        <f ca="1">IF($Y76&gt;0,CHOOSE(MATCH(RegimeExecucao,{"Unitário","Global"},0),IF($A76="S",$Y76/$X76,""),($Y76/$X76)*100),0)</f>
        <v>0</v>
      </c>
      <c r="X76" s="429" t="str">
        <f ca="1">IF($Y76&gt;0,CHOOSE(MATCH(RegimeExecucao,{"Unitário","Global"},0),IF($A76="S",ROUND($H76,ORÇAMENTO!$AF$10),""),ROUND($I76,ORÇAMENTO!$AF$11)),"")</f>
        <v/>
      </c>
      <c r="Y76" s="429">
        <f t="shared" ca="1" si="7"/>
        <v>0</v>
      </c>
      <c r="Z76" s="656"/>
      <c r="AB76" s="427"/>
      <c r="AC76" s="594"/>
      <c r="AD76" s="594"/>
      <c r="AE76" s="594"/>
      <c r="AF76" s="594"/>
      <c r="AG76" s="594"/>
      <c r="AH76" s="594"/>
      <c r="AI76" s="594"/>
      <c r="AJ76" s="594"/>
      <c r="AK76" s="594"/>
      <c r="AL76" s="594"/>
      <c r="AM76" s="428"/>
      <c r="AO76">
        <f ca="1">IF($A76="S",IF(BM!$I76=0,0,CHOOSE(MATCH(RegimeExecucao,{"Global","Unitário"},0),ROUND(ROUND(BM.MEDAcumulado,15-13*BM!$A$9)/100*BM!$I76,15-13*ORÇAMENTO!$AF$11),ROUND(ROUND(BM.MEDAcumulado,15-13*BM!$A$9)*ROUND(BM!$H76,15-13*ORÇAMENTO!$AF$10),15-13*ORÇAMENTO!$AF$11))),IF($A76=0,0,ROUND(SomaAgrupBM,15-13*ORÇAMENTO!$AF$11)))</f>
        <v>0</v>
      </c>
    </row>
    <row r="77" spans="1:41" ht="13.8">
      <c r="A77" t="str">
        <f ca="1">ORÇAMENTO!C77</f>
        <v>S</v>
      </c>
      <c r="B77">
        <f ca="1">ORÇAMENTO!D77</f>
        <v>0</v>
      </c>
      <c r="C77" s="139" t="str">
        <f t="shared" ca="1" si="1"/>
        <v/>
      </c>
      <c r="D77" s="142" t="str">
        <f ca="1">ORÇAMENTO!O77</f>
        <v>-</v>
      </c>
      <c r="E77" s="202" t="str">
        <f t="shared" ca="1" si="2"/>
        <v>(abra o arquivo 'Referência 11-2024.xlsm)</v>
      </c>
      <c r="F77" s="203" t="str">
        <f ca="1">IF(RegimeExecucao="Global","",ORÇAMENTO.Unidade)</f>
        <v/>
      </c>
      <c r="G77" s="147" t="str">
        <f ca="1">IF(RegimeExecucao="Global","",ORÇAMENTO!T77)</f>
        <v/>
      </c>
      <c r="H77" s="147" t="str">
        <f ca="1">IF(RegimeExecucao="Global","",ORÇAMENTO!W77)</f>
        <v/>
      </c>
      <c r="I77" s="150">
        <f ca="1">ORÇAMENTO!X77</f>
        <v>0</v>
      </c>
      <c r="J77" s="423">
        <f ca="1">IF($A77="S",IF(CAIXA.Modo,BM.AFAnterior,BM.MEDAnterior),IF(AND(RegimeExecucao="Global",$I77&gt;0,COUNTIF($AB$13:$AM$13,BM.medicao-1)&gt;0),M77/$I77*100,0))</f>
        <v>0</v>
      </c>
      <c r="K77" s="147">
        <f t="shared" ca="1" si="3"/>
        <v>0</v>
      </c>
      <c r="L77" s="424">
        <f ca="1">IF($A77="S",IF(CAIXA.Modo,BM.AFAcumulado,BM.MEDAcumulado),IF(AND(RegimeExecucao="Global",$I77&gt;0,COUNTIF($AB$13:$AM$13,BM.medicao)&gt;0),O77/$I77*100,0))</f>
        <v>0</v>
      </c>
      <c r="M77" s="425">
        <f ca="1">IF($A77="S",VTOTALBM,IF($A77=0,0,ROUND(SomaAgrupBM,15-13*ORÇAMENTO!$AF$11)))</f>
        <v>0</v>
      </c>
      <c r="N77" s="426">
        <f t="shared" ca="1" si="4"/>
        <v>0</v>
      </c>
      <c r="O77" s="150">
        <f ca="1">IF($A77="S",VTOTALBM,IF($A77=0,0,ROUND(SomaAgrupBM,15-13*ORÇAMENTO!$AF$11)))</f>
        <v>0</v>
      </c>
      <c r="Q77" s="427"/>
      <c r="R77" s="428"/>
      <c r="T77" s="142" t="str">
        <f t="shared" ca="1" si="5"/>
        <v/>
      </c>
      <c r="U77" s="202" t="str">
        <f t="shared" ca="1" si="6"/>
        <v/>
      </c>
      <c r="V77" s="203" t="str">
        <f ca="1">IF(AND($W77&gt;0,RegimeExecucao="Unitário"),$F77,"")</f>
        <v/>
      </c>
      <c r="W77" s="629">
        <f ca="1">IF($Y77&gt;0,CHOOSE(MATCH(RegimeExecucao,{"Unitário","Global"},0),IF($A77="S",$Y77/$X77,""),($Y77/$X77)*100),0)</f>
        <v>0</v>
      </c>
      <c r="X77" s="429" t="str">
        <f ca="1">IF($Y77&gt;0,CHOOSE(MATCH(RegimeExecucao,{"Unitário","Global"},0),IF($A77="S",ROUND($H77,ORÇAMENTO!$AF$10),""),ROUND($I77,ORÇAMENTO!$AF$11)),"")</f>
        <v/>
      </c>
      <c r="Y77" s="429">
        <f t="shared" ca="1" si="7"/>
        <v>0</v>
      </c>
      <c r="Z77" s="656"/>
      <c r="AB77" s="427"/>
      <c r="AC77" s="594"/>
      <c r="AD77" s="594"/>
      <c r="AE77" s="594"/>
      <c r="AF77" s="594"/>
      <c r="AG77" s="594"/>
      <c r="AH77" s="594"/>
      <c r="AI77" s="594"/>
      <c r="AJ77" s="594"/>
      <c r="AK77" s="594"/>
      <c r="AL77" s="594"/>
      <c r="AM77" s="428"/>
      <c r="AO77">
        <f ca="1">IF($A77="S",IF(BM!$I77=0,0,CHOOSE(MATCH(RegimeExecucao,{"Global","Unitário"},0),ROUND(ROUND(BM.MEDAcumulado,15-13*BM!$A$9)/100*BM!$I77,15-13*ORÇAMENTO!$AF$11),ROUND(ROUND(BM.MEDAcumulado,15-13*BM!$A$9)*ROUND(BM!$H77,15-13*ORÇAMENTO!$AF$10),15-13*ORÇAMENTO!$AF$11))),IF($A77=0,0,ROUND(SomaAgrupBM,15-13*ORÇAMENTO!$AF$11)))</f>
        <v>0</v>
      </c>
    </row>
    <row r="78" spans="1:41" ht="13.8">
      <c r="A78" t="str">
        <f ca="1">ORÇAMENTO!C78</f>
        <v>S</v>
      </c>
      <c r="B78">
        <f ca="1">ORÇAMENTO!D78</f>
        <v>0</v>
      </c>
      <c r="C78" s="139" t="str">
        <f t="shared" ref="C78:C141" ca="1" si="15">IF(OR($I78&gt;0,$A78=1,$A78=2,$A78=3,$A78=4),"F","")</f>
        <v/>
      </c>
      <c r="D78" s="142" t="str">
        <f ca="1">ORÇAMENTO!O78</f>
        <v>-</v>
      </c>
      <c r="E78" s="202" t="str">
        <f t="shared" ref="E78:E141" ca="1" si="16">ORÇAMENTO.Descricao</f>
        <v>(abra o arquivo 'Referência 11-2024.xlsm)</v>
      </c>
      <c r="F78" s="203" t="str">
        <f ca="1">IF(RegimeExecucao="Global","",ORÇAMENTO.Unidade)</f>
        <v/>
      </c>
      <c r="G78" s="147" t="str">
        <f ca="1">IF(RegimeExecucao="Global","",ORÇAMENTO!T78)</f>
        <v/>
      </c>
      <c r="H78" s="147" t="str">
        <f ca="1">IF(RegimeExecucao="Global","",ORÇAMENTO!W78)</f>
        <v/>
      </c>
      <c r="I78" s="150">
        <f ca="1">ORÇAMENTO!X78</f>
        <v>0</v>
      </c>
      <c r="J78" s="423">
        <f ca="1">IF($A78="S",IF(CAIXA.Modo,BM.AFAnterior,BM.MEDAnterior),IF(AND(RegimeExecucao="Global",$I78&gt;0,COUNTIF($AB$13:$AM$13,BM.medicao-1)&gt;0),M78/$I78*100,0))</f>
        <v>0</v>
      </c>
      <c r="K78" s="147">
        <f t="shared" ref="K78:K141" ca="1" si="17">L78-J78</f>
        <v>0</v>
      </c>
      <c r="L78" s="424">
        <f ca="1">IF($A78="S",IF(CAIXA.Modo,BM.AFAcumulado,BM.MEDAcumulado),IF(AND(RegimeExecucao="Global",$I78&gt;0,COUNTIF($AB$13:$AM$13,BM.medicao)&gt;0),O78/$I78*100,0))</f>
        <v>0</v>
      </c>
      <c r="M78" s="425">
        <f ca="1">IF($A78="S",VTOTALBM,IF($A78=0,0,ROUND(SomaAgrupBM,15-13*ORÇAMENTO!$AF$11)))</f>
        <v>0</v>
      </c>
      <c r="N78" s="426">
        <f t="shared" ref="N78:N141" ca="1" si="18">O78-M78</f>
        <v>0</v>
      </c>
      <c r="O78" s="150">
        <f ca="1">IF($A78="S",VTOTALBM,IF($A78=0,0,ROUND(SomaAgrupBM,15-13*ORÇAMENTO!$AF$11)))</f>
        <v>0</v>
      </c>
      <c r="Q78" s="427"/>
      <c r="R78" s="428"/>
      <c r="T78" s="142" t="str">
        <f t="shared" ref="T78:T141" ca="1" si="19">IF($W78&gt;0,$D78,"")</f>
        <v/>
      </c>
      <c r="U78" s="202" t="str">
        <f t="shared" ref="U78:U141" ca="1" si="20">IF($W78&gt;0,$E78,"")</f>
        <v/>
      </c>
      <c r="V78" s="203" t="str">
        <f ca="1">IF(AND($W78&gt;0,RegimeExecucao="Unitário"),$F78,"")</f>
        <v/>
      </c>
      <c r="W78" s="629">
        <f ca="1">IF($Y78&gt;0,CHOOSE(MATCH(RegimeExecucao,{"Unitário","Global"},0),IF($A78="S",$Y78/$X78,""),($Y78/$X78)*100),0)</f>
        <v>0</v>
      </c>
      <c r="X78" s="429" t="str">
        <f ca="1">IF($Y78&gt;0,CHOOSE(MATCH(RegimeExecucao,{"Unitário","Global"},0),IF($A78="S",ROUND($H78,ORÇAMENTO!$AF$10),""),ROUND($I78,ORÇAMENTO!$AF$11)),"")</f>
        <v/>
      </c>
      <c r="Y78" s="429">
        <f t="shared" ref="Y78:Y141" ca="1" si="21">AO78-O78</f>
        <v>0</v>
      </c>
      <c r="Z78" s="656"/>
      <c r="AB78" s="427"/>
      <c r="AC78" s="594"/>
      <c r="AD78" s="594"/>
      <c r="AE78" s="594"/>
      <c r="AF78" s="594"/>
      <c r="AG78" s="594"/>
      <c r="AH78" s="594"/>
      <c r="AI78" s="594"/>
      <c r="AJ78" s="594"/>
      <c r="AK78" s="594"/>
      <c r="AL78" s="594"/>
      <c r="AM78" s="428"/>
      <c r="AO78">
        <f ca="1">IF($A78="S",IF(BM!$I78=0,0,CHOOSE(MATCH(RegimeExecucao,{"Global","Unitário"},0),ROUND(ROUND(BM.MEDAcumulado,15-13*BM!$A$9)/100*BM!$I78,15-13*ORÇAMENTO!$AF$11),ROUND(ROUND(BM.MEDAcumulado,15-13*BM!$A$9)*ROUND(BM!$H78,15-13*ORÇAMENTO!$AF$10),15-13*ORÇAMENTO!$AF$11))),IF($A78=0,0,ROUND(SomaAgrupBM,15-13*ORÇAMENTO!$AF$11)))</f>
        <v>0</v>
      </c>
    </row>
    <row r="79" spans="1:41" ht="13.8">
      <c r="A79" t="str">
        <f ca="1">ORÇAMENTO!C79</f>
        <v>S</v>
      </c>
      <c r="B79">
        <f ca="1">ORÇAMENTO!D79</f>
        <v>0</v>
      </c>
      <c r="C79" s="139" t="str">
        <f t="shared" ca="1" si="15"/>
        <v/>
      </c>
      <c r="D79" s="142" t="str">
        <f ca="1">ORÇAMENTO!O79</f>
        <v>-</v>
      </c>
      <c r="E79" s="202" t="str">
        <f t="shared" ca="1" si="16"/>
        <v>(abra o arquivo 'Referência 11-2024.xlsm)</v>
      </c>
      <c r="F79" s="203" t="str">
        <f ca="1">IF(RegimeExecucao="Global","",ORÇAMENTO.Unidade)</f>
        <v/>
      </c>
      <c r="G79" s="147" t="str">
        <f ca="1">IF(RegimeExecucao="Global","",ORÇAMENTO!T79)</f>
        <v/>
      </c>
      <c r="H79" s="147" t="str">
        <f ca="1">IF(RegimeExecucao="Global","",ORÇAMENTO!W79)</f>
        <v/>
      </c>
      <c r="I79" s="150">
        <f ca="1">ORÇAMENTO!X79</f>
        <v>0</v>
      </c>
      <c r="J79" s="423">
        <f ca="1">IF($A79="S",IF(CAIXA.Modo,BM.AFAnterior,BM.MEDAnterior),IF(AND(RegimeExecucao="Global",$I79&gt;0,COUNTIF($AB$13:$AM$13,BM.medicao-1)&gt;0),M79/$I79*100,0))</f>
        <v>0</v>
      </c>
      <c r="K79" s="147">
        <f t="shared" ca="1" si="17"/>
        <v>0</v>
      </c>
      <c r="L79" s="424">
        <f ca="1">IF($A79="S",IF(CAIXA.Modo,BM.AFAcumulado,BM.MEDAcumulado),IF(AND(RegimeExecucao="Global",$I79&gt;0,COUNTIF($AB$13:$AM$13,BM.medicao)&gt;0),O79/$I79*100,0))</f>
        <v>0</v>
      </c>
      <c r="M79" s="425">
        <f ca="1">IF($A79="S",VTOTALBM,IF($A79=0,0,ROUND(SomaAgrupBM,15-13*ORÇAMENTO!$AF$11)))</f>
        <v>0</v>
      </c>
      <c r="N79" s="426">
        <f t="shared" ca="1" si="18"/>
        <v>0</v>
      </c>
      <c r="O79" s="150">
        <f ca="1">IF($A79="S",VTOTALBM,IF($A79=0,0,ROUND(SomaAgrupBM,15-13*ORÇAMENTO!$AF$11)))</f>
        <v>0</v>
      </c>
      <c r="Q79" s="427"/>
      <c r="R79" s="428"/>
      <c r="T79" s="142" t="str">
        <f t="shared" ca="1" si="19"/>
        <v/>
      </c>
      <c r="U79" s="202" t="str">
        <f t="shared" ca="1" si="20"/>
        <v/>
      </c>
      <c r="V79" s="203" t="str">
        <f ca="1">IF(AND($W79&gt;0,RegimeExecucao="Unitário"),$F79,"")</f>
        <v/>
      </c>
      <c r="W79" s="629">
        <f ca="1">IF($Y79&gt;0,CHOOSE(MATCH(RegimeExecucao,{"Unitário","Global"},0),IF($A79="S",$Y79/$X79,""),($Y79/$X79)*100),0)</f>
        <v>0</v>
      </c>
      <c r="X79" s="429" t="str">
        <f ca="1">IF($Y79&gt;0,CHOOSE(MATCH(RegimeExecucao,{"Unitário","Global"},0),IF($A79="S",ROUND($H79,ORÇAMENTO!$AF$10),""),ROUND($I79,ORÇAMENTO!$AF$11)),"")</f>
        <v/>
      </c>
      <c r="Y79" s="429">
        <f t="shared" ca="1" si="21"/>
        <v>0</v>
      </c>
      <c r="Z79" s="656"/>
      <c r="AB79" s="427"/>
      <c r="AC79" s="594"/>
      <c r="AD79" s="594"/>
      <c r="AE79" s="594"/>
      <c r="AF79" s="594"/>
      <c r="AG79" s="594"/>
      <c r="AH79" s="594"/>
      <c r="AI79" s="594"/>
      <c r="AJ79" s="594"/>
      <c r="AK79" s="594"/>
      <c r="AL79" s="594"/>
      <c r="AM79" s="428"/>
      <c r="AO79">
        <f ca="1">IF($A79="S",IF(BM!$I79=0,0,CHOOSE(MATCH(RegimeExecucao,{"Global","Unitário"},0),ROUND(ROUND(BM.MEDAcumulado,15-13*BM!$A$9)/100*BM!$I79,15-13*ORÇAMENTO!$AF$11),ROUND(ROUND(BM.MEDAcumulado,15-13*BM!$A$9)*ROUND(BM!$H79,15-13*ORÇAMENTO!$AF$10),15-13*ORÇAMENTO!$AF$11))),IF($A79=0,0,ROUND(SomaAgrupBM,15-13*ORÇAMENTO!$AF$11)))</f>
        <v>0</v>
      </c>
    </row>
    <row r="80" spans="1:41" ht="13.8">
      <c r="A80" t="str">
        <f ca="1">ORÇAMENTO!C80</f>
        <v>S</v>
      </c>
      <c r="B80">
        <f ca="1">ORÇAMENTO!D80</f>
        <v>0</v>
      </c>
      <c r="C80" s="139" t="str">
        <f t="shared" ca="1" si="15"/>
        <v/>
      </c>
      <c r="D80" s="142" t="str">
        <f ca="1">ORÇAMENTO!O80</f>
        <v>-</v>
      </c>
      <c r="E80" s="202" t="str">
        <f t="shared" ca="1" si="16"/>
        <v>(abra o arquivo 'Referência 11-2024.xlsm)</v>
      </c>
      <c r="F80" s="203" t="str">
        <f ca="1">IF(RegimeExecucao="Global","",ORÇAMENTO.Unidade)</f>
        <v/>
      </c>
      <c r="G80" s="147" t="str">
        <f ca="1">IF(RegimeExecucao="Global","",ORÇAMENTO!T80)</f>
        <v/>
      </c>
      <c r="H80" s="147" t="str">
        <f ca="1">IF(RegimeExecucao="Global","",ORÇAMENTO!W80)</f>
        <v/>
      </c>
      <c r="I80" s="150">
        <f ca="1">ORÇAMENTO!X80</f>
        <v>0</v>
      </c>
      <c r="J80" s="423">
        <f ca="1">IF($A80="S",IF(CAIXA.Modo,BM.AFAnterior,BM.MEDAnterior),IF(AND(RegimeExecucao="Global",$I80&gt;0,COUNTIF($AB$13:$AM$13,BM.medicao-1)&gt;0),M80/$I80*100,0))</f>
        <v>0</v>
      </c>
      <c r="K80" s="147">
        <f t="shared" ca="1" si="17"/>
        <v>0</v>
      </c>
      <c r="L80" s="424">
        <f ca="1">IF($A80="S",IF(CAIXA.Modo,BM.AFAcumulado,BM.MEDAcumulado),IF(AND(RegimeExecucao="Global",$I80&gt;0,COUNTIF($AB$13:$AM$13,BM.medicao)&gt;0),O80/$I80*100,0))</f>
        <v>0</v>
      </c>
      <c r="M80" s="425">
        <f ca="1">IF($A80="S",VTOTALBM,IF($A80=0,0,ROUND(SomaAgrupBM,15-13*ORÇAMENTO!$AF$11)))</f>
        <v>0</v>
      </c>
      <c r="N80" s="426">
        <f t="shared" ca="1" si="18"/>
        <v>0</v>
      </c>
      <c r="O80" s="150">
        <f ca="1">IF($A80="S",VTOTALBM,IF($A80=0,0,ROUND(SomaAgrupBM,15-13*ORÇAMENTO!$AF$11)))</f>
        <v>0</v>
      </c>
      <c r="Q80" s="427"/>
      <c r="R80" s="428"/>
      <c r="T80" s="142" t="str">
        <f t="shared" ca="1" si="19"/>
        <v/>
      </c>
      <c r="U80" s="202" t="str">
        <f t="shared" ca="1" si="20"/>
        <v/>
      </c>
      <c r="V80" s="203" t="str">
        <f ca="1">IF(AND($W80&gt;0,RegimeExecucao="Unitário"),$F80,"")</f>
        <v/>
      </c>
      <c r="W80" s="629">
        <f ca="1">IF($Y80&gt;0,CHOOSE(MATCH(RegimeExecucao,{"Unitário","Global"},0),IF($A80="S",$Y80/$X80,""),($Y80/$X80)*100),0)</f>
        <v>0</v>
      </c>
      <c r="X80" s="429" t="str">
        <f ca="1">IF($Y80&gt;0,CHOOSE(MATCH(RegimeExecucao,{"Unitário","Global"},0),IF($A80="S",ROUND($H80,ORÇAMENTO!$AF$10),""),ROUND($I80,ORÇAMENTO!$AF$11)),"")</f>
        <v/>
      </c>
      <c r="Y80" s="429">
        <f t="shared" ca="1" si="21"/>
        <v>0</v>
      </c>
      <c r="Z80" s="656"/>
      <c r="AB80" s="427"/>
      <c r="AC80" s="594"/>
      <c r="AD80" s="594"/>
      <c r="AE80" s="594"/>
      <c r="AF80" s="594"/>
      <c r="AG80" s="594"/>
      <c r="AH80" s="594"/>
      <c r="AI80" s="594"/>
      <c r="AJ80" s="594"/>
      <c r="AK80" s="594"/>
      <c r="AL80" s="594"/>
      <c r="AM80" s="428"/>
      <c r="AO80">
        <f ca="1">IF($A80="S",IF(BM!$I80=0,0,CHOOSE(MATCH(RegimeExecucao,{"Global","Unitário"},0),ROUND(ROUND(BM.MEDAcumulado,15-13*BM!$A$9)/100*BM!$I80,15-13*ORÇAMENTO!$AF$11),ROUND(ROUND(BM.MEDAcumulado,15-13*BM!$A$9)*ROUND(BM!$H80,15-13*ORÇAMENTO!$AF$10),15-13*ORÇAMENTO!$AF$11))),IF($A80=0,0,ROUND(SomaAgrupBM,15-13*ORÇAMENTO!$AF$11)))</f>
        <v>0</v>
      </c>
    </row>
    <row r="81" spans="1:41" ht="13.8">
      <c r="A81" t="str">
        <f ca="1">ORÇAMENTO!C81</f>
        <v>S</v>
      </c>
      <c r="B81">
        <f ca="1">ORÇAMENTO!D81</f>
        <v>0</v>
      </c>
      <c r="C81" s="139" t="str">
        <f t="shared" ca="1" si="15"/>
        <v/>
      </c>
      <c r="D81" s="142" t="str">
        <f ca="1">ORÇAMENTO!O81</f>
        <v>-</v>
      </c>
      <c r="E81" s="202" t="str">
        <f t="shared" ca="1" si="16"/>
        <v>(abra o arquivo 'Referência 11-2024.xlsm)</v>
      </c>
      <c r="F81" s="203" t="str">
        <f ca="1">IF(RegimeExecucao="Global","",ORÇAMENTO.Unidade)</f>
        <v/>
      </c>
      <c r="G81" s="147" t="str">
        <f ca="1">IF(RegimeExecucao="Global","",ORÇAMENTO!T81)</f>
        <v/>
      </c>
      <c r="H81" s="147" t="str">
        <f ca="1">IF(RegimeExecucao="Global","",ORÇAMENTO!W81)</f>
        <v/>
      </c>
      <c r="I81" s="150">
        <f ca="1">ORÇAMENTO!X81</f>
        <v>0</v>
      </c>
      <c r="J81" s="423">
        <f ca="1">IF($A81="S",IF(CAIXA.Modo,BM.AFAnterior,BM.MEDAnterior),IF(AND(RegimeExecucao="Global",$I81&gt;0,COUNTIF($AB$13:$AM$13,BM.medicao-1)&gt;0),M81/$I81*100,0))</f>
        <v>0</v>
      </c>
      <c r="K81" s="147">
        <f t="shared" ca="1" si="17"/>
        <v>0</v>
      </c>
      <c r="L81" s="424">
        <f ca="1">IF($A81="S",IF(CAIXA.Modo,BM.AFAcumulado,BM.MEDAcumulado),IF(AND(RegimeExecucao="Global",$I81&gt;0,COUNTIF($AB$13:$AM$13,BM.medicao)&gt;0),O81/$I81*100,0))</f>
        <v>0</v>
      </c>
      <c r="M81" s="425">
        <f ca="1">IF($A81="S",VTOTALBM,IF($A81=0,0,ROUND(SomaAgrupBM,15-13*ORÇAMENTO!$AF$11)))</f>
        <v>0</v>
      </c>
      <c r="N81" s="426">
        <f t="shared" ca="1" si="18"/>
        <v>0</v>
      </c>
      <c r="O81" s="150">
        <f ca="1">IF($A81="S",VTOTALBM,IF($A81=0,0,ROUND(SomaAgrupBM,15-13*ORÇAMENTO!$AF$11)))</f>
        <v>0</v>
      </c>
      <c r="Q81" s="427"/>
      <c r="R81" s="428"/>
      <c r="T81" s="142" t="str">
        <f t="shared" ca="1" si="19"/>
        <v/>
      </c>
      <c r="U81" s="202" t="str">
        <f t="shared" ca="1" si="20"/>
        <v/>
      </c>
      <c r="V81" s="203" t="str">
        <f ca="1">IF(AND($W81&gt;0,RegimeExecucao="Unitário"),$F81,"")</f>
        <v/>
      </c>
      <c r="W81" s="629">
        <f ca="1">IF($Y81&gt;0,CHOOSE(MATCH(RegimeExecucao,{"Unitário","Global"},0),IF($A81="S",$Y81/$X81,""),($Y81/$X81)*100),0)</f>
        <v>0</v>
      </c>
      <c r="X81" s="429" t="str">
        <f ca="1">IF($Y81&gt;0,CHOOSE(MATCH(RegimeExecucao,{"Unitário","Global"},0),IF($A81="S",ROUND($H81,ORÇAMENTO!$AF$10),""),ROUND($I81,ORÇAMENTO!$AF$11)),"")</f>
        <v/>
      </c>
      <c r="Y81" s="429">
        <f t="shared" ca="1" si="21"/>
        <v>0</v>
      </c>
      <c r="Z81" s="656"/>
      <c r="AB81" s="427"/>
      <c r="AC81" s="594"/>
      <c r="AD81" s="594"/>
      <c r="AE81" s="594"/>
      <c r="AF81" s="594"/>
      <c r="AG81" s="594"/>
      <c r="AH81" s="594"/>
      <c r="AI81" s="594"/>
      <c r="AJ81" s="594"/>
      <c r="AK81" s="594"/>
      <c r="AL81" s="594"/>
      <c r="AM81" s="428"/>
      <c r="AO81">
        <f ca="1">IF($A81="S",IF(BM!$I81=0,0,CHOOSE(MATCH(RegimeExecucao,{"Global","Unitário"},0),ROUND(ROUND(BM.MEDAcumulado,15-13*BM!$A$9)/100*BM!$I81,15-13*ORÇAMENTO!$AF$11),ROUND(ROUND(BM.MEDAcumulado,15-13*BM!$A$9)*ROUND(BM!$H81,15-13*ORÇAMENTO!$AF$10),15-13*ORÇAMENTO!$AF$11))),IF($A81=0,0,ROUND(SomaAgrupBM,15-13*ORÇAMENTO!$AF$11)))</f>
        <v>0</v>
      </c>
    </row>
    <row r="82" spans="1:41" ht="13.8">
      <c r="A82" t="str">
        <f ca="1">ORÇAMENTO!C82</f>
        <v>S</v>
      </c>
      <c r="B82">
        <f ca="1">ORÇAMENTO!D82</f>
        <v>0</v>
      </c>
      <c r="C82" s="139" t="str">
        <f t="shared" ca="1" si="15"/>
        <v/>
      </c>
      <c r="D82" s="142" t="str">
        <f ca="1">ORÇAMENTO!O82</f>
        <v>-</v>
      </c>
      <c r="E82" s="202" t="str">
        <f t="shared" ca="1" si="16"/>
        <v>(abra o arquivo 'Referência 11-2024.xlsm)</v>
      </c>
      <c r="F82" s="203" t="str">
        <f ca="1">IF(RegimeExecucao="Global","",ORÇAMENTO.Unidade)</f>
        <v/>
      </c>
      <c r="G82" s="147" t="str">
        <f ca="1">IF(RegimeExecucao="Global","",ORÇAMENTO!T82)</f>
        <v/>
      </c>
      <c r="H82" s="147" t="str">
        <f ca="1">IF(RegimeExecucao="Global","",ORÇAMENTO!W82)</f>
        <v/>
      </c>
      <c r="I82" s="150">
        <f ca="1">ORÇAMENTO!X82</f>
        <v>0</v>
      </c>
      <c r="J82" s="423">
        <f ca="1">IF($A82="S",IF(CAIXA.Modo,BM.AFAnterior,BM.MEDAnterior),IF(AND(RegimeExecucao="Global",$I82&gt;0,COUNTIF($AB$13:$AM$13,BM.medicao-1)&gt;0),M82/$I82*100,0))</f>
        <v>0</v>
      </c>
      <c r="K82" s="147">
        <f t="shared" ca="1" si="17"/>
        <v>0</v>
      </c>
      <c r="L82" s="424">
        <f ca="1">IF($A82="S",IF(CAIXA.Modo,BM.AFAcumulado,BM.MEDAcumulado),IF(AND(RegimeExecucao="Global",$I82&gt;0,COUNTIF($AB$13:$AM$13,BM.medicao)&gt;0),O82/$I82*100,0))</f>
        <v>0</v>
      </c>
      <c r="M82" s="425">
        <f ca="1">IF($A82="S",VTOTALBM,IF($A82=0,0,ROUND(SomaAgrupBM,15-13*ORÇAMENTO!$AF$11)))</f>
        <v>0</v>
      </c>
      <c r="N82" s="426">
        <f t="shared" ca="1" si="18"/>
        <v>0</v>
      </c>
      <c r="O82" s="150">
        <f ca="1">IF($A82="S",VTOTALBM,IF($A82=0,0,ROUND(SomaAgrupBM,15-13*ORÇAMENTO!$AF$11)))</f>
        <v>0</v>
      </c>
      <c r="Q82" s="427"/>
      <c r="R82" s="428"/>
      <c r="T82" s="142" t="str">
        <f t="shared" ca="1" si="19"/>
        <v/>
      </c>
      <c r="U82" s="202" t="str">
        <f t="shared" ca="1" si="20"/>
        <v/>
      </c>
      <c r="V82" s="203" t="str">
        <f ca="1">IF(AND($W82&gt;0,RegimeExecucao="Unitário"),$F82,"")</f>
        <v/>
      </c>
      <c r="W82" s="629">
        <f ca="1">IF($Y82&gt;0,CHOOSE(MATCH(RegimeExecucao,{"Unitário","Global"},0),IF($A82="S",$Y82/$X82,""),($Y82/$X82)*100),0)</f>
        <v>0</v>
      </c>
      <c r="X82" s="429" t="str">
        <f ca="1">IF($Y82&gt;0,CHOOSE(MATCH(RegimeExecucao,{"Unitário","Global"},0),IF($A82="S",ROUND($H82,ORÇAMENTO!$AF$10),""),ROUND($I82,ORÇAMENTO!$AF$11)),"")</f>
        <v/>
      </c>
      <c r="Y82" s="429">
        <f t="shared" ca="1" si="21"/>
        <v>0</v>
      </c>
      <c r="Z82" s="656"/>
      <c r="AB82" s="427"/>
      <c r="AC82" s="594"/>
      <c r="AD82" s="594"/>
      <c r="AE82" s="594"/>
      <c r="AF82" s="594"/>
      <c r="AG82" s="594"/>
      <c r="AH82" s="594"/>
      <c r="AI82" s="594"/>
      <c r="AJ82" s="594"/>
      <c r="AK82" s="594"/>
      <c r="AL82" s="594"/>
      <c r="AM82" s="428"/>
      <c r="AO82">
        <f ca="1">IF($A82="S",IF(BM!$I82=0,0,CHOOSE(MATCH(RegimeExecucao,{"Global","Unitário"},0),ROUND(ROUND(BM.MEDAcumulado,15-13*BM!$A$9)/100*BM!$I82,15-13*ORÇAMENTO!$AF$11),ROUND(ROUND(BM.MEDAcumulado,15-13*BM!$A$9)*ROUND(BM!$H82,15-13*ORÇAMENTO!$AF$10),15-13*ORÇAMENTO!$AF$11))),IF($A82=0,0,ROUND(SomaAgrupBM,15-13*ORÇAMENTO!$AF$11)))</f>
        <v>0</v>
      </c>
    </row>
    <row r="83" spans="1:41" ht="13.8">
      <c r="A83" t="str">
        <f ca="1">ORÇAMENTO!C83</f>
        <v>S</v>
      </c>
      <c r="B83">
        <f ca="1">ORÇAMENTO!D83</f>
        <v>0</v>
      </c>
      <c r="C83" s="139" t="str">
        <f t="shared" ca="1" si="15"/>
        <v/>
      </c>
      <c r="D83" s="142" t="str">
        <f ca="1">ORÇAMENTO!O83</f>
        <v>-</v>
      </c>
      <c r="E83" s="202" t="str">
        <f t="shared" ca="1" si="16"/>
        <v>(abra o arquivo 'Referência 11-2024.xlsm)</v>
      </c>
      <c r="F83" s="203" t="str">
        <f ca="1">IF(RegimeExecucao="Global","",ORÇAMENTO.Unidade)</f>
        <v/>
      </c>
      <c r="G83" s="147" t="str">
        <f ca="1">IF(RegimeExecucao="Global","",ORÇAMENTO!T83)</f>
        <v/>
      </c>
      <c r="H83" s="147" t="str">
        <f ca="1">IF(RegimeExecucao="Global","",ORÇAMENTO!W83)</f>
        <v/>
      </c>
      <c r="I83" s="150">
        <f ca="1">ORÇAMENTO!X83</f>
        <v>0</v>
      </c>
      <c r="J83" s="423">
        <f ca="1">IF($A83="S",IF(CAIXA.Modo,BM.AFAnterior,BM.MEDAnterior),IF(AND(RegimeExecucao="Global",$I83&gt;0,COUNTIF($AB$13:$AM$13,BM.medicao-1)&gt;0),M83/$I83*100,0))</f>
        <v>0</v>
      </c>
      <c r="K83" s="147">
        <f t="shared" ca="1" si="17"/>
        <v>0</v>
      </c>
      <c r="L83" s="424">
        <f ca="1">IF($A83="S",IF(CAIXA.Modo,BM.AFAcumulado,BM.MEDAcumulado),IF(AND(RegimeExecucao="Global",$I83&gt;0,COUNTIF($AB$13:$AM$13,BM.medicao)&gt;0),O83/$I83*100,0))</f>
        <v>0</v>
      </c>
      <c r="M83" s="425">
        <f ca="1">IF($A83="S",VTOTALBM,IF($A83=0,0,ROUND(SomaAgrupBM,15-13*ORÇAMENTO!$AF$11)))</f>
        <v>0</v>
      </c>
      <c r="N83" s="426">
        <f t="shared" ca="1" si="18"/>
        <v>0</v>
      </c>
      <c r="O83" s="150">
        <f ca="1">IF($A83="S",VTOTALBM,IF($A83=0,0,ROUND(SomaAgrupBM,15-13*ORÇAMENTO!$AF$11)))</f>
        <v>0</v>
      </c>
      <c r="Q83" s="427"/>
      <c r="R83" s="428"/>
      <c r="T83" s="142" t="str">
        <f t="shared" ca="1" si="19"/>
        <v/>
      </c>
      <c r="U83" s="202" t="str">
        <f t="shared" ca="1" si="20"/>
        <v/>
      </c>
      <c r="V83" s="203" t="str">
        <f ca="1">IF(AND($W83&gt;0,RegimeExecucao="Unitário"),$F83,"")</f>
        <v/>
      </c>
      <c r="W83" s="629">
        <f ca="1">IF($Y83&gt;0,CHOOSE(MATCH(RegimeExecucao,{"Unitário","Global"},0),IF($A83="S",$Y83/$X83,""),($Y83/$X83)*100),0)</f>
        <v>0</v>
      </c>
      <c r="X83" s="429" t="str">
        <f ca="1">IF($Y83&gt;0,CHOOSE(MATCH(RegimeExecucao,{"Unitário","Global"},0),IF($A83="S",ROUND($H83,ORÇAMENTO!$AF$10),""),ROUND($I83,ORÇAMENTO!$AF$11)),"")</f>
        <v/>
      </c>
      <c r="Y83" s="429">
        <f t="shared" ca="1" si="21"/>
        <v>0</v>
      </c>
      <c r="Z83" s="656"/>
      <c r="AB83" s="427"/>
      <c r="AC83" s="594"/>
      <c r="AD83" s="594"/>
      <c r="AE83" s="594"/>
      <c r="AF83" s="594"/>
      <c r="AG83" s="594"/>
      <c r="AH83" s="594"/>
      <c r="AI83" s="594"/>
      <c r="AJ83" s="594"/>
      <c r="AK83" s="594"/>
      <c r="AL83" s="594"/>
      <c r="AM83" s="428"/>
      <c r="AO83">
        <f ca="1">IF($A83="S",IF(BM!$I83=0,0,CHOOSE(MATCH(RegimeExecucao,{"Global","Unitário"},0),ROUND(ROUND(BM.MEDAcumulado,15-13*BM!$A$9)/100*BM!$I83,15-13*ORÇAMENTO!$AF$11),ROUND(ROUND(BM.MEDAcumulado,15-13*BM!$A$9)*ROUND(BM!$H83,15-13*ORÇAMENTO!$AF$10),15-13*ORÇAMENTO!$AF$11))),IF($A83=0,0,ROUND(SomaAgrupBM,15-13*ORÇAMENTO!$AF$11)))</f>
        <v>0</v>
      </c>
    </row>
    <row r="84" spans="1:41" ht="13.8">
      <c r="A84" t="str">
        <f ca="1">ORÇAMENTO!C84</f>
        <v>S</v>
      </c>
      <c r="B84">
        <f ca="1">ORÇAMENTO!D84</f>
        <v>0</v>
      </c>
      <c r="C84" s="139" t="str">
        <f t="shared" ca="1" si="15"/>
        <v/>
      </c>
      <c r="D84" s="142" t="str">
        <f ca="1">ORÇAMENTO!O84</f>
        <v>-</v>
      </c>
      <c r="E84" s="202" t="str">
        <f t="shared" ca="1" si="16"/>
        <v>(abra o arquivo 'Referência 11-2024.xlsm)</v>
      </c>
      <c r="F84" s="203" t="str">
        <f ca="1">IF(RegimeExecucao="Global","",ORÇAMENTO.Unidade)</f>
        <v/>
      </c>
      <c r="G84" s="147" t="str">
        <f ca="1">IF(RegimeExecucao="Global","",ORÇAMENTO!T84)</f>
        <v/>
      </c>
      <c r="H84" s="147" t="str">
        <f ca="1">IF(RegimeExecucao="Global","",ORÇAMENTO!W84)</f>
        <v/>
      </c>
      <c r="I84" s="150">
        <f ca="1">ORÇAMENTO!X84</f>
        <v>0</v>
      </c>
      <c r="J84" s="423">
        <f ca="1">IF($A84="S",IF(CAIXA.Modo,BM.AFAnterior,BM.MEDAnterior),IF(AND(RegimeExecucao="Global",$I84&gt;0,COUNTIF($AB$13:$AM$13,BM.medicao-1)&gt;0),M84/$I84*100,0))</f>
        <v>0</v>
      </c>
      <c r="K84" s="147">
        <f t="shared" ca="1" si="17"/>
        <v>0</v>
      </c>
      <c r="L84" s="424">
        <f ca="1">IF($A84="S",IF(CAIXA.Modo,BM.AFAcumulado,BM.MEDAcumulado),IF(AND(RegimeExecucao="Global",$I84&gt;0,COUNTIF($AB$13:$AM$13,BM.medicao)&gt;0),O84/$I84*100,0))</f>
        <v>0</v>
      </c>
      <c r="M84" s="425">
        <f ca="1">IF($A84="S",VTOTALBM,IF($A84=0,0,ROUND(SomaAgrupBM,15-13*ORÇAMENTO!$AF$11)))</f>
        <v>0</v>
      </c>
      <c r="N84" s="426">
        <f t="shared" ca="1" si="18"/>
        <v>0</v>
      </c>
      <c r="O84" s="150">
        <f ca="1">IF($A84="S",VTOTALBM,IF($A84=0,0,ROUND(SomaAgrupBM,15-13*ORÇAMENTO!$AF$11)))</f>
        <v>0</v>
      </c>
      <c r="Q84" s="427"/>
      <c r="R84" s="428"/>
      <c r="T84" s="142" t="str">
        <f t="shared" ca="1" si="19"/>
        <v/>
      </c>
      <c r="U84" s="202" t="str">
        <f t="shared" ca="1" si="20"/>
        <v/>
      </c>
      <c r="V84" s="203" t="str">
        <f ca="1">IF(AND($W84&gt;0,RegimeExecucao="Unitário"),$F84,"")</f>
        <v/>
      </c>
      <c r="W84" s="629">
        <f ca="1">IF($Y84&gt;0,CHOOSE(MATCH(RegimeExecucao,{"Unitário","Global"},0),IF($A84="S",$Y84/$X84,""),($Y84/$X84)*100),0)</f>
        <v>0</v>
      </c>
      <c r="X84" s="429" t="str">
        <f ca="1">IF($Y84&gt;0,CHOOSE(MATCH(RegimeExecucao,{"Unitário","Global"},0),IF($A84="S",ROUND($H84,ORÇAMENTO!$AF$10),""),ROUND($I84,ORÇAMENTO!$AF$11)),"")</f>
        <v/>
      </c>
      <c r="Y84" s="429">
        <f t="shared" ca="1" si="21"/>
        <v>0</v>
      </c>
      <c r="Z84" s="656"/>
      <c r="AB84" s="427"/>
      <c r="AC84" s="594"/>
      <c r="AD84" s="594"/>
      <c r="AE84" s="594"/>
      <c r="AF84" s="594"/>
      <c r="AG84" s="594"/>
      <c r="AH84" s="594"/>
      <c r="AI84" s="594"/>
      <c r="AJ84" s="594"/>
      <c r="AK84" s="594"/>
      <c r="AL84" s="594"/>
      <c r="AM84" s="428"/>
      <c r="AO84">
        <f ca="1">IF($A84="S",IF(BM!$I84=0,0,CHOOSE(MATCH(RegimeExecucao,{"Global","Unitário"},0),ROUND(ROUND(BM.MEDAcumulado,15-13*BM!$A$9)/100*BM!$I84,15-13*ORÇAMENTO!$AF$11),ROUND(ROUND(BM.MEDAcumulado,15-13*BM!$A$9)*ROUND(BM!$H84,15-13*ORÇAMENTO!$AF$10),15-13*ORÇAMENTO!$AF$11))),IF($A84=0,0,ROUND(SomaAgrupBM,15-13*ORÇAMENTO!$AF$11)))</f>
        <v>0</v>
      </c>
    </row>
    <row r="85" spans="1:41" ht="13.8">
      <c r="A85" t="str">
        <f ca="1">ORÇAMENTO!C85</f>
        <v>S</v>
      </c>
      <c r="B85">
        <f ca="1">ORÇAMENTO!D85</f>
        <v>0</v>
      </c>
      <c r="C85" s="139" t="str">
        <f t="shared" ca="1" si="15"/>
        <v/>
      </c>
      <c r="D85" s="142" t="str">
        <f ca="1">ORÇAMENTO!O85</f>
        <v>-</v>
      </c>
      <c r="E85" s="202" t="str">
        <f t="shared" ca="1" si="16"/>
        <v>(abra o arquivo 'Referência 11-2024.xlsm)</v>
      </c>
      <c r="F85" s="203" t="str">
        <f ca="1">IF(RegimeExecucao="Global","",ORÇAMENTO.Unidade)</f>
        <v/>
      </c>
      <c r="G85" s="147" t="str">
        <f ca="1">IF(RegimeExecucao="Global","",ORÇAMENTO!T85)</f>
        <v/>
      </c>
      <c r="H85" s="147" t="str">
        <f ca="1">IF(RegimeExecucao="Global","",ORÇAMENTO!W85)</f>
        <v/>
      </c>
      <c r="I85" s="150">
        <f ca="1">ORÇAMENTO!X85</f>
        <v>0</v>
      </c>
      <c r="J85" s="423">
        <f ca="1">IF($A85="S",IF(CAIXA.Modo,BM.AFAnterior,BM.MEDAnterior),IF(AND(RegimeExecucao="Global",$I85&gt;0,COUNTIF($AB$13:$AM$13,BM.medicao-1)&gt;0),M85/$I85*100,0))</f>
        <v>0</v>
      </c>
      <c r="K85" s="147">
        <f t="shared" ca="1" si="17"/>
        <v>0</v>
      </c>
      <c r="L85" s="424">
        <f ca="1">IF($A85="S",IF(CAIXA.Modo,BM.AFAcumulado,BM.MEDAcumulado),IF(AND(RegimeExecucao="Global",$I85&gt;0,COUNTIF($AB$13:$AM$13,BM.medicao)&gt;0),O85/$I85*100,0))</f>
        <v>0</v>
      </c>
      <c r="M85" s="425">
        <f ca="1">IF($A85="S",VTOTALBM,IF($A85=0,0,ROUND(SomaAgrupBM,15-13*ORÇAMENTO!$AF$11)))</f>
        <v>0</v>
      </c>
      <c r="N85" s="426">
        <f t="shared" ca="1" si="18"/>
        <v>0</v>
      </c>
      <c r="O85" s="150">
        <f ca="1">IF($A85="S",VTOTALBM,IF($A85=0,0,ROUND(SomaAgrupBM,15-13*ORÇAMENTO!$AF$11)))</f>
        <v>0</v>
      </c>
      <c r="Q85" s="427"/>
      <c r="R85" s="428"/>
      <c r="T85" s="142" t="str">
        <f t="shared" ca="1" si="19"/>
        <v/>
      </c>
      <c r="U85" s="202" t="str">
        <f t="shared" ca="1" si="20"/>
        <v/>
      </c>
      <c r="V85" s="203" t="str">
        <f ca="1">IF(AND($W85&gt;0,RegimeExecucao="Unitário"),$F85,"")</f>
        <v/>
      </c>
      <c r="W85" s="629">
        <f ca="1">IF($Y85&gt;0,CHOOSE(MATCH(RegimeExecucao,{"Unitário","Global"},0),IF($A85="S",$Y85/$X85,""),($Y85/$X85)*100),0)</f>
        <v>0</v>
      </c>
      <c r="X85" s="429" t="str">
        <f ca="1">IF($Y85&gt;0,CHOOSE(MATCH(RegimeExecucao,{"Unitário","Global"},0),IF($A85="S",ROUND($H85,ORÇAMENTO!$AF$10),""),ROUND($I85,ORÇAMENTO!$AF$11)),"")</f>
        <v/>
      </c>
      <c r="Y85" s="429">
        <f t="shared" ca="1" si="21"/>
        <v>0</v>
      </c>
      <c r="Z85" s="656"/>
      <c r="AB85" s="427"/>
      <c r="AC85" s="594"/>
      <c r="AD85" s="594"/>
      <c r="AE85" s="594"/>
      <c r="AF85" s="594"/>
      <c r="AG85" s="594"/>
      <c r="AH85" s="594"/>
      <c r="AI85" s="594"/>
      <c r="AJ85" s="594"/>
      <c r="AK85" s="594"/>
      <c r="AL85" s="594"/>
      <c r="AM85" s="428"/>
      <c r="AO85">
        <f ca="1">IF($A85="S",IF(BM!$I85=0,0,CHOOSE(MATCH(RegimeExecucao,{"Global","Unitário"},0),ROUND(ROUND(BM.MEDAcumulado,15-13*BM!$A$9)/100*BM!$I85,15-13*ORÇAMENTO!$AF$11),ROUND(ROUND(BM.MEDAcumulado,15-13*BM!$A$9)*ROUND(BM!$H85,15-13*ORÇAMENTO!$AF$10),15-13*ORÇAMENTO!$AF$11))),IF($A85=0,0,ROUND(SomaAgrupBM,15-13*ORÇAMENTO!$AF$11)))</f>
        <v>0</v>
      </c>
    </row>
    <row r="86" spans="1:41" ht="13.8">
      <c r="A86" t="str">
        <f ca="1">ORÇAMENTO!C86</f>
        <v>S</v>
      </c>
      <c r="B86">
        <f ca="1">ORÇAMENTO!D86</f>
        <v>0</v>
      </c>
      <c r="C86" s="139" t="str">
        <f t="shared" ca="1" si="15"/>
        <v/>
      </c>
      <c r="D86" s="142" t="str">
        <f ca="1">ORÇAMENTO!O86</f>
        <v>-</v>
      </c>
      <c r="E86" s="202" t="str">
        <f t="shared" ca="1" si="16"/>
        <v>(abra o arquivo 'Referência 11-2024.xlsm)</v>
      </c>
      <c r="F86" s="203" t="str">
        <f ca="1">IF(RegimeExecucao="Global","",ORÇAMENTO.Unidade)</f>
        <v/>
      </c>
      <c r="G86" s="147" t="str">
        <f ca="1">IF(RegimeExecucao="Global","",ORÇAMENTO!T86)</f>
        <v/>
      </c>
      <c r="H86" s="147" t="str">
        <f ca="1">IF(RegimeExecucao="Global","",ORÇAMENTO!W86)</f>
        <v/>
      </c>
      <c r="I86" s="150">
        <f ca="1">ORÇAMENTO!X86</f>
        <v>0</v>
      </c>
      <c r="J86" s="423">
        <f ca="1">IF($A86="S",IF(CAIXA.Modo,BM.AFAnterior,BM.MEDAnterior),IF(AND(RegimeExecucao="Global",$I86&gt;0,COUNTIF($AB$13:$AM$13,BM.medicao-1)&gt;0),M86/$I86*100,0))</f>
        <v>0</v>
      </c>
      <c r="K86" s="147">
        <f t="shared" ca="1" si="17"/>
        <v>0</v>
      </c>
      <c r="L86" s="424">
        <f ca="1">IF($A86="S",IF(CAIXA.Modo,BM.AFAcumulado,BM.MEDAcumulado),IF(AND(RegimeExecucao="Global",$I86&gt;0,COUNTIF($AB$13:$AM$13,BM.medicao)&gt;0),O86/$I86*100,0))</f>
        <v>0</v>
      </c>
      <c r="M86" s="425">
        <f ca="1">IF($A86="S",VTOTALBM,IF($A86=0,0,ROUND(SomaAgrupBM,15-13*ORÇAMENTO!$AF$11)))</f>
        <v>0</v>
      </c>
      <c r="N86" s="426">
        <f t="shared" ca="1" si="18"/>
        <v>0</v>
      </c>
      <c r="O86" s="150">
        <f ca="1">IF($A86="S",VTOTALBM,IF($A86=0,0,ROUND(SomaAgrupBM,15-13*ORÇAMENTO!$AF$11)))</f>
        <v>0</v>
      </c>
      <c r="Q86" s="427"/>
      <c r="R86" s="428"/>
      <c r="T86" s="142" t="str">
        <f t="shared" ca="1" si="19"/>
        <v/>
      </c>
      <c r="U86" s="202" t="str">
        <f t="shared" ca="1" si="20"/>
        <v/>
      </c>
      <c r="V86" s="203" t="str">
        <f ca="1">IF(AND($W86&gt;0,RegimeExecucao="Unitário"),$F86,"")</f>
        <v/>
      </c>
      <c r="W86" s="629">
        <f ca="1">IF($Y86&gt;0,CHOOSE(MATCH(RegimeExecucao,{"Unitário","Global"},0),IF($A86="S",$Y86/$X86,""),($Y86/$X86)*100),0)</f>
        <v>0</v>
      </c>
      <c r="X86" s="429" t="str">
        <f ca="1">IF($Y86&gt;0,CHOOSE(MATCH(RegimeExecucao,{"Unitário","Global"},0),IF($A86="S",ROUND($H86,ORÇAMENTO!$AF$10),""),ROUND($I86,ORÇAMENTO!$AF$11)),"")</f>
        <v/>
      </c>
      <c r="Y86" s="429">
        <f t="shared" ca="1" si="21"/>
        <v>0</v>
      </c>
      <c r="Z86" s="656"/>
      <c r="AB86" s="427"/>
      <c r="AC86" s="594"/>
      <c r="AD86" s="594"/>
      <c r="AE86" s="594"/>
      <c r="AF86" s="594"/>
      <c r="AG86" s="594"/>
      <c r="AH86" s="594"/>
      <c r="AI86" s="594"/>
      <c r="AJ86" s="594"/>
      <c r="AK86" s="594"/>
      <c r="AL86" s="594"/>
      <c r="AM86" s="428"/>
      <c r="AO86">
        <f ca="1">IF($A86="S",IF(BM!$I86=0,0,CHOOSE(MATCH(RegimeExecucao,{"Global","Unitário"},0),ROUND(ROUND(BM.MEDAcumulado,15-13*BM!$A$9)/100*BM!$I86,15-13*ORÇAMENTO!$AF$11),ROUND(ROUND(BM.MEDAcumulado,15-13*BM!$A$9)*ROUND(BM!$H86,15-13*ORÇAMENTO!$AF$10),15-13*ORÇAMENTO!$AF$11))),IF($A86=0,0,ROUND(SomaAgrupBM,15-13*ORÇAMENTO!$AF$11)))</f>
        <v>0</v>
      </c>
    </row>
    <row r="87" spans="1:41" ht="13.8">
      <c r="A87" t="str">
        <f ca="1">ORÇAMENTO!C87</f>
        <v>S</v>
      </c>
      <c r="B87">
        <f ca="1">ORÇAMENTO!D87</f>
        <v>0</v>
      </c>
      <c r="C87" s="139" t="str">
        <f t="shared" ca="1" si="15"/>
        <v/>
      </c>
      <c r="D87" s="142" t="str">
        <f ca="1">ORÇAMENTO!O87</f>
        <v>-</v>
      </c>
      <c r="E87" s="202" t="str">
        <f t="shared" ca="1" si="16"/>
        <v>(abra o arquivo 'Referência 11-2024.xlsm)</v>
      </c>
      <c r="F87" s="203" t="str">
        <f ca="1">IF(RegimeExecucao="Global","",ORÇAMENTO.Unidade)</f>
        <v/>
      </c>
      <c r="G87" s="147" t="str">
        <f ca="1">IF(RegimeExecucao="Global","",ORÇAMENTO!T87)</f>
        <v/>
      </c>
      <c r="H87" s="147" t="str">
        <f ca="1">IF(RegimeExecucao="Global","",ORÇAMENTO!W87)</f>
        <v/>
      </c>
      <c r="I87" s="150">
        <f ca="1">ORÇAMENTO!X87</f>
        <v>0</v>
      </c>
      <c r="J87" s="423">
        <f ca="1">IF($A87="S",IF(CAIXA.Modo,BM.AFAnterior,BM.MEDAnterior),IF(AND(RegimeExecucao="Global",$I87&gt;0,COUNTIF($AB$13:$AM$13,BM.medicao-1)&gt;0),M87/$I87*100,0))</f>
        <v>0</v>
      </c>
      <c r="K87" s="147">
        <f t="shared" ca="1" si="17"/>
        <v>0</v>
      </c>
      <c r="L87" s="424">
        <f ca="1">IF($A87="S",IF(CAIXA.Modo,BM.AFAcumulado,BM.MEDAcumulado),IF(AND(RegimeExecucao="Global",$I87&gt;0,COUNTIF($AB$13:$AM$13,BM.medicao)&gt;0),O87/$I87*100,0))</f>
        <v>0</v>
      </c>
      <c r="M87" s="425">
        <f ca="1">IF($A87="S",VTOTALBM,IF($A87=0,0,ROUND(SomaAgrupBM,15-13*ORÇAMENTO!$AF$11)))</f>
        <v>0</v>
      </c>
      <c r="N87" s="426">
        <f t="shared" ca="1" si="18"/>
        <v>0</v>
      </c>
      <c r="O87" s="150">
        <f ca="1">IF($A87="S",VTOTALBM,IF($A87=0,0,ROUND(SomaAgrupBM,15-13*ORÇAMENTO!$AF$11)))</f>
        <v>0</v>
      </c>
      <c r="Q87" s="427"/>
      <c r="R87" s="428"/>
      <c r="T87" s="142" t="str">
        <f t="shared" ca="1" si="19"/>
        <v/>
      </c>
      <c r="U87" s="202" t="str">
        <f t="shared" ca="1" si="20"/>
        <v/>
      </c>
      <c r="V87" s="203" t="str">
        <f ca="1">IF(AND($W87&gt;0,RegimeExecucao="Unitário"),$F87,"")</f>
        <v/>
      </c>
      <c r="W87" s="629">
        <f ca="1">IF($Y87&gt;0,CHOOSE(MATCH(RegimeExecucao,{"Unitário","Global"},0),IF($A87="S",$Y87/$X87,""),($Y87/$X87)*100),0)</f>
        <v>0</v>
      </c>
      <c r="X87" s="429" t="str">
        <f ca="1">IF($Y87&gt;0,CHOOSE(MATCH(RegimeExecucao,{"Unitário","Global"},0),IF($A87="S",ROUND($H87,ORÇAMENTO!$AF$10),""),ROUND($I87,ORÇAMENTO!$AF$11)),"")</f>
        <v/>
      </c>
      <c r="Y87" s="429">
        <f t="shared" ca="1" si="21"/>
        <v>0</v>
      </c>
      <c r="Z87" s="656"/>
      <c r="AB87" s="427"/>
      <c r="AC87" s="594"/>
      <c r="AD87" s="594"/>
      <c r="AE87" s="594"/>
      <c r="AF87" s="594"/>
      <c r="AG87" s="594"/>
      <c r="AH87" s="594"/>
      <c r="AI87" s="594"/>
      <c r="AJ87" s="594"/>
      <c r="AK87" s="594"/>
      <c r="AL87" s="594"/>
      <c r="AM87" s="428"/>
      <c r="AO87">
        <f ca="1">IF($A87="S",IF(BM!$I87=0,0,CHOOSE(MATCH(RegimeExecucao,{"Global","Unitário"},0),ROUND(ROUND(BM.MEDAcumulado,15-13*BM!$A$9)/100*BM!$I87,15-13*ORÇAMENTO!$AF$11),ROUND(ROUND(BM.MEDAcumulado,15-13*BM!$A$9)*ROUND(BM!$H87,15-13*ORÇAMENTO!$AF$10),15-13*ORÇAMENTO!$AF$11))),IF($A87=0,0,ROUND(SomaAgrupBM,15-13*ORÇAMENTO!$AF$11)))</f>
        <v>0</v>
      </c>
    </row>
    <row r="88" spans="1:41" ht="13.8">
      <c r="A88" t="str">
        <f ca="1">ORÇAMENTO!C88</f>
        <v>S</v>
      </c>
      <c r="B88">
        <f ca="1">ORÇAMENTO!D88</f>
        <v>0</v>
      </c>
      <c r="C88" s="139" t="str">
        <f t="shared" ca="1" si="15"/>
        <v/>
      </c>
      <c r="D88" s="142" t="str">
        <f ca="1">ORÇAMENTO!O88</f>
        <v>-</v>
      </c>
      <c r="E88" s="202" t="str">
        <f t="shared" ca="1" si="16"/>
        <v>(abra o arquivo 'Referência 11-2024.xlsm)</v>
      </c>
      <c r="F88" s="203" t="str">
        <f ca="1">IF(RegimeExecucao="Global","",ORÇAMENTO.Unidade)</f>
        <v/>
      </c>
      <c r="G88" s="147" t="str">
        <f ca="1">IF(RegimeExecucao="Global","",ORÇAMENTO!T88)</f>
        <v/>
      </c>
      <c r="H88" s="147" t="str">
        <f ca="1">IF(RegimeExecucao="Global","",ORÇAMENTO!W88)</f>
        <v/>
      </c>
      <c r="I88" s="150">
        <f ca="1">ORÇAMENTO!X88</f>
        <v>0</v>
      </c>
      <c r="J88" s="423">
        <f ca="1">IF($A88="S",IF(CAIXA.Modo,BM.AFAnterior,BM.MEDAnterior),IF(AND(RegimeExecucao="Global",$I88&gt;0,COUNTIF($AB$13:$AM$13,BM.medicao-1)&gt;0),M88/$I88*100,0))</f>
        <v>0</v>
      </c>
      <c r="K88" s="147">
        <f t="shared" ca="1" si="17"/>
        <v>0</v>
      </c>
      <c r="L88" s="424">
        <f ca="1">IF($A88="S",IF(CAIXA.Modo,BM.AFAcumulado,BM.MEDAcumulado),IF(AND(RegimeExecucao="Global",$I88&gt;0,COUNTIF($AB$13:$AM$13,BM.medicao)&gt;0),O88/$I88*100,0))</f>
        <v>0</v>
      </c>
      <c r="M88" s="425">
        <f ca="1">IF($A88="S",VTOTALBM,IF($A88=0,0,ROUND(SomaAgrupBM,15-13*ORÇAMENTO!$AF$11)))</f>
        <v>0</v>
      </c>
      <c r="N88" s="426">
        <f t="shared" ca="1" si="18"/>
        <v>0</v>
      </c>
      <c r="O88" s="150">
        <f ca="1">IF($A88="S",VTOTALBM,IF($A88=0,0,ROUND(SomaAgrupBM,15-13*ORÇAMENTO!$AF$11)))</f>
        <v>0</v>
      </c>
      <c r="Q88" s="427"/>
      <c r="R88" s="428"/>
      <c r="T88" s="142" t="str">
        <f t="shared" ca="1" si="19"/>
        <v/>
      </c>
      <c r="U88" s="202" t="str">
        <f t="shared" ca="1" si="20"/>
        <v/>
      </c>
      <c r="V88" s="203" t="str">
        <f ca="1">IF(AND($W88&gt;0,RegimeExecucao="Unitário"),$F88,"")</f>
        <v/>
      </c>
      <c r="W88" s="629">
        <f ca="1">IF($Y88&gt;0,CHOOSE(MATCH(RegimeExecucao,{"Unitário","Global"},0),IF($A88="S",$Y88/$X88,""),($Y88/$X88)*100),0)</f>
        <v>0</v>
      </c>
      <c r="X88" s="429" t="str">
        <f ca="1">IF($Y88&gt;0,CHOOSE(MATCH(RegimeExecucao,{"Unitário","Global"},0),IF($A88="S",ROUND($H88,ORÇAMENTO!$AF$10),""),ROUND($I88,ORÇAMENTO!$AF$11)),"")</f>
        <v/>
      </c>
      <c r="Y88" s="429">
        <f t="shared" ca="1" si="21"/>
        <v>0</v>
      </c>
      <c r="Z88" s="656"/>
      <c r="AB88" s="427"/>
      <c r="AC88" s="594"/>
      <c r="AD88" s="594"/>
      <c r="AE88" s="594"/>
      <c r="AF88" s="594"/>
      <c r="AG88" s="594"/>
      <c r="AH88" s="594"/>
      <c r="AI88" s="594"/>
      <c r="AJ88" s="594"/>
      <c r="AK88" s="594"/>
      <c r="AL88" s="594"/>
      <c r="AM88" s="428"/>
      <c r="AO88">
        <f ca="1">IF($A88="S",IF(BM!$I88=0,0,CHOOSE(MATCH(RegimeExecucao,{"Global","Unitário"},0),ROUND(ROUND(BM.MEDAcumulado,15-13*BM!$A$9)/100*BM!$I88,15-13*ORÇAMENTO!$AF$11),ROUND(ROUND(BM.MEDAcumulado,15-13*BM!$A$9)*ROUND(BM!$H88,15-13*ORÇAMENTO!$AF$10),15-13*ORÇAMENTO!$AF$11))),IF($A88=0,0,ROUND(SomaAgrupBM,15-13*ORÇAMENTO!$AF$11)))</f>
        <v>0</v>
      </c>
    </row>
    <row r="89" spans="1:41" ht="13.8">
      <c r="A89" t="str">
        <f ca="1">ORÇAMENTO!C89</f>
        <v>S</v>
      </c>
      <c r="B89">
        <f ca="1">ORÇAMENTO!D89</f>
        <v>0</v>
      </c>
      <c r="C89" s="139" t="str">
        <f t="shared" ca="1" si="15"/>
        <v/>
      </c>
      <c r="D89" s="142" t="str">
        <f ca="1">ORÇAMENTO!O89</f>
        <v>-</v>
      </c>
      <c r="E89" s="202" t="str">
        <f t="shared" ca="1" si="16"/>
        <v>(abra o arquivo 'Referência 11-2024.xlsm)</v>
      </c>
      <c r="F89" s="203" t="str">
        <f ca="1">IF(RegimeExecucao="Global","",ORÇAMENTO.Unidade)</f>
        <v/>
      </c>
      <c r="G89" s="147" t="str">
        <f ca="1">IF(RegimeExecucao="Global","",ORÇAMENTO!T89)</f>
        <v/>
      </c>
      <c r="H89" s="147" t="str">
        <f ca="1">IF(RegimeExecucao="Global","",ORÇAMENTO!W89)</f>
        <v/>
      </c>
      <c r="I89" s="150">
        <f ca="1">ORÇAMENTO!X89</f>
        <v>0</v>
      </c>
      <c r="J89" s="423">
        <f ca="1">IF($A89="S",IF(CAIXA.Modo,BM.AFAnterior,BM.MEDAnterior),IF(AND(RegimeExecucao="Global",$I89&gt;0,COUNTIF($AB$13:$AM$13,BM.medicao-1)&gt;0),M89/$I89*100,0))</f>
        <v>0</v>
      </c>
      <c r="K89" s="147">
        <f t="shared" ca="1" si="17"/>
        <v>0</v>
      </c>
      <c r="L89" s="424">
        <f ca="1">IF($A89="S",IF(CAIXA.Modo,BM.AFAcumulado,BM.MEDAcumulado),IF(AND(RegimeExecucao="Global",$I89&gt;0,COUNTIF($AB$13:$AM$13,BM.medicao)&gt;0),O89/$I89*100,0))</f>
        <v>0</v>
      </c>
      <c r="M89" s="425">
        <f ca="1">IF($A89="S",VTOTALBM,IF($A89=0,0,ROUND(SomaAgrupBM,15-13*ORÇAMENTO!$AF$11)))</f>
        <v>0</v>
      </c>
      <c r="N89" s="426">
        <f t="shared" ca="1" si="18"/>
        <v>0</v>
      </c>
      <c r="O89" s="150">
        <f ca="1">IF($A89="S",VTOTALBM,IF($A89=0,0,ROUND(SomaAgrupBM,15-13*ORÇAMENTO!$AF$11)))</f>
        <v>0</v>
      </c>
      <c r="Q89" s="427"/>
      <c r="R89" s="428"/>
      <c r="T89" s="142" t="str">
        <f t="shared" ca="1" si="19"/>
        <v/>
      </c>
      <c r="U89" s="202" t="str">
        <f t="shared" ca="1" si="20"/>
        <v/>
      </c>
      <c r="V89" s="203" t="str">
        <f ca="1">IF(AND($W89&gt;0,RegimeExecucao="Unitário"),$F89,"")</f>
        <v/>
      </c>
      <c r="W89" s="629">
        <f ca="1">IF($Y89&gt;0,CHOOSE(MATCH(RegimeExecucao,{"Unitário","Global"},0),IF($A89="S",$Y89/$X89,""),($Y89/$X89)*100),0)</f>
        <v>0</v>
      </c>
      <c r="X89" s="429" t="str">
        <f ca="1">IF($Y89&gt;0,CHOOSE(MATCH(RegimeExecucao,{"Unitário","Global"},0),IF($A89="S",ROUND($H89,ORÇAMENTO!$AF$10),""),ROUND($I89,ORÇAMENTO!$AF$11)),"")</f>
        <v/>
      </c>
      <c r="Y89" s="429">
        <f t="shared" ca="1" si="21"/>
        <v>0</v>
      </c>
      <c r="Z89" s="656"/>
      <c r="AB89" s="427"/>
      <c r="AC89" s="594"/>
      <c r="AD89" s="594"/>
      <c r="AE89" s="594"/>
      <c r="AF89" s="594"/>
      <c r="AG89" s="594"/>
      <c r="AH89" s="594"/>
      <c r="AI89" s="594"/>
      <c r="AJ89" s="594"/>
      <c r="AK89" s="594"/>
      <c r="AL89" s="594"/>
      <c r="AM89" s="428"/>
      <c r="AO89">
        <f ca="1">IF($A89="S",IF(BM!$I89=0,0,CHOOSE(MATCH(RegimeExecucao,{"Global","Unitário"},0),ROUND(ROUND(BM.MEDAcumulado,15-13*BM!$A$9)/100*BM!$I89,15-13*ORÇAMENTO!$AF$11),ROUND(ROUND(BM.MEDAcumulado,15-13*BM!$A$9)*ROUND(BM!$H89,15-13*ORÇAMENTO!$AF$10),15-13*ORÇAMENTO!$AF$11))),IF($A89=0,0,ROUND(SomaAgrupBM,15-13*ORÇAMENTO!$AF$11)))</f>
        <v>0</v>
      </c>
    </row>
    <row r="90" spans="1:41" ht="13.8">
      <c r="A90" t="str">
        <f ca="1">ORÇAMENTO!C90</f>
        <v>S</v>
      </c>
      <c r="B90">
        <f ca="1">ORÇAMENTO!D90</f>
        <v>0</v>
      </c>
      <c r="C90" s="139" t="str">
        <f t="shared" ca="1" si="15"/>
        <v/>
      </c>
      <c r="D90" s="142" t="str">
        <f ca="1">ORÇAMENTO!O90</f>
        <v>-</v>
      </c>
      <c r="E90" s="202" t="str">
        <f t="shared" ca="1" si="16"/>
        <v>(abra o arquivo 'Referência 11-2024.xlsm)</v>
      </c>
      <c r="F90" s="203" t="str">
        <f ca="1">IF(RegimeExecucao="Global","",ORÇAMENTO.Unidade)</f>
        <v/>
      </c>
      <c r="G90" s="147" t="str">
        <f ca="1">IF(RegimeExecucao="Global","",ORÇAMENTO!T90)</f>
        <v/>
      </c>
      <c r="H90" s="147" t="str">
        <f ca="1">IF(RegimeExecucao="Global","",ORÇAMENTO!W90)</f>
        <v/>
      </c>
      <c r="I90" s="150">
        <f ca="1">ORÇAMENTO!X90</f>
        <v>0</v>
      </c>
      <c r="J90" s="423">
        <f ca="1">IF($A90="S",IF(CAIXA.Modo,BM.AFAnterior,BM.MEDAnterior),IF(AND(RegimeExecucao="Global",$I90&gt;0,COUNTIF($AB$13:$AM$13,BM.medicao-1)&gt;0),M90/$I90*100,0))</f>
        <v>0</v>
      </c>
      <c r="K90" s="147">
        <f t="shared" ca="1" si="17"/>
        <v>0</v>
      </c>
      <c r="L90" s="424">
        <f ca="1">IF($A90="S",IF(CAIXA.Modo,BM.AFAcumulado,BM.MEDAcumulado),IF(AND(RegimeExecucao="Global",$I90&gt;0,COUNTIF($AB$13:$AM$13,BM.medicao)&gt;0),O90/$I90*100,0))</f>
        <v>0</v>
      </c>
      <c r="M90" s="425">
        <f ca="1">IF($A90="S",VTOTALBM,IF($A90=0,0,ROUND(SomaAgrupBM,15-13*ORÇAMENTO!$AF$11)))</f>
        <v>0</v>
      </c>
      <c r="N90" s="426">
        <f t="shared" ca="1" si="18"/>
        <v>0</v>
      </c>
      <c r="O90" s="150">
        <f ca="1">IF($A90="S",VTOTALBM,IF($A90=0,0,ROUND(SomaAgrupBM,15-13*ORÇAMENTO!$AF$11)))</f>
        <v>0</v>
      </c>
      <c r="Q90" s="427"/>
      <c r="R90" s="428"/>
      <c r="T90" s="142" t="str">
        <f t="shared" ca="1" si="19"/>
        <v/>
      </c>
      <c r="U90" s="202" t="str">
        <f t="shared" ca="1" si="20"/>
        <v/>
      </c>
      <c r="V90" s="203" t="str">
        <f ca="1">IF(AND($W90&gt;0,RegimeExecucao="Unitário"),$F90,"")</f>
        <v/>
      </c>
      <c r="W90" s="629">
        <f ca="1">IF($Y90&gt;0,CHOOSE(MATCH(RegimeExecucao,{"Unitário","Global"},0),IF($A90="S",$Y90/$X90,""),($Y90/$X90)*100),0)</f>
        <v>0</v>
      </c>
      <c r="X90" s="429" t="str">
        <f ca="1">IF($Y90&gt;0,CHOOSE(MATCH(RegimeExecucao,{"Unitário","Global"},0),IF($A90="S",ROUND($H90,ORÇAMENTO!$AF$10),""),ROUND($I90,ORÇAMENTO!$AF$11)),"")</f>
        <v/>
      </c>
      <c r="Y90" s="429">
        <f t="shared" ca="1" si="21"/>
        <v>0</v>
      </c>
      <c r="Z90" s="656"/>
      <c r="AB90" s="427"/>
      <c r="AC90" s="594"/>
      <c r="AD90" s="594"/>
      <c r="AE90" s="594"/>
      <c r="AF90" s="594"/>
      <c r="AG90" s="594"/>
      <c r="AH90" s="594"/>
      <c r="AI90" s="594"/>
      <c r="AJ90" s="594"/>
      <c r="AK90" s="594"/>
      <c r="AL90" s="594"/>
      <c r="AM90" s="428"/>
      <c r="AO90">
        <f ca="1">IF($A90="S",IF(BM!$I90=0,0,CHOOSE(MATCH(RegimeExecucao,{"Global","Unitário"},0),ROUND(ROUND(BM.MEDAcumulado,15-13*BM!$A$9)/100*BM!$I90,15-13*ORÇAMENTO!$AF$11),ROUND(ROUND(BM.MEDAcumulado,15-13*BM!$A$9)*ROUND(BM!$H90,15-13*ORÇAMENTO!$AF$10),15-13*ORÇAMENTO!$AF$11))),IF($A90=0,0,ROUND(SomaAgrupBM,15-13*ORÇAMENTO!$AF$11)))</f>
        <v>0</v>
      </c>
    </row>
    <row r="91" spans="1:41" ht="13.8">
      <c r="A91" t="str">
        <f ca="1">ORÇAMENTO!C91</f>
        <v>S</v>
      </c>
      <c r="B91">
        <f ca="1">ORÇAMENTO!D91</f>
        <v>0</v>
      </c>
      <c r="C91" s="139" t="str">
        <f t="shared" ca="1" si="15"/>
        <v/>
      </c>
      <c r="D91" s="142" t="str">
        <f ca="1">ORÇAMENTO!O91</f>
        <v>-</v>
      </c>
      <c r="E91" s="202" t="str">
        <f t="shared" ca="1" si="16"/>
        <v>(abra o arquivo 'Referência 11-2024.xlsm)</v>
      </c>
      <c r="F91" s="203" t="str">
        <f ca="1">IF(RegimeExecucao="Global","",ORÇAMENTO.Unidade)</f>
        <v/>
      </c>
      <c r="G91" s="147" t="str">
        <f ca="1">IF(RegimeExecucao="Global","",ORÇAMENTO!T91)</f>
        <v/>
      </c>
      <c r="H91" s="147" t="str">
        <f ca="1">IF(RegimeExecucao="Global","",ORÇAMENTO!W91)</f>
        <v/>
      </c>
      <c r="I91" s="150">
        <f ca="1">ORÇAMENTO!X91</f>
        <v>0</v>
      </c>
      <c r="J91" s="423">
        <f ca="1">IF($A91="S",IF(CAIXA.Modo,BM.AFAnterior,BM.MEDAnterior),IF(AND(RegimeExecucao="Global",$I91&gt;0,COUNTIF($AB$13:$AM$13,BM.medicao-1)&gt;0),M91/$I91*100,0))</f>
        <v>0</v>
      </c>
      <c r="K91" s="147">
        <f t="shared" ca="1" si="17"/>
        <v>0</v>
      </c>
      <c r="L91" s="424">
        <f ca="1">IF($A91="S",IF(CAIXA.Modo,BM.AFAcumulado,BM.MEDAcumulado),IF(AND(RegimeExecucao="Global",$I91&gt;0,COUNTIF($AB$13:$AM$13,BM.medicao)&gt;0),O91/$I91*100,0))</f>
        <v>0</v>
      </c>
      <c r="M91" s="425">
        <f ca="1">IF($A91="S",VTOTALBM,IF($A91=0,0,ROUND(SomaAgrupBM,15-13*ORÇAMENTO!$AF$11)))</f>
        <v>0</v>
      </c>
      <c r="N91" s="426">
        <f t="shared" ca="1" si="18"/>
        <v>0</v>
      </c>
      <c r="O91" s="150">
        <f ca="1">IF($A91="S",VTOTALBM,IF($A91=0,0,ROUND(SomaAgrupBM,15-13*ORÇAMENTO!$AF$11)))</f>
        <v>0</v>
      </c>
      <c r="Q91" s="427"/>
      <c r="R91" s="428"/>
      <c r="T91" s="142" t="str">
        <f t="shared" ca="1" si="19"/>
        <v/>
      </c>
      <c r="U91" s="202" t="str">
        <f t="shared" ca="1" si="20"/>
        <v/>
      </c>
      <c r="V91" s="203" t="str">
        <f ca="1">IF(AND($W91&gt;0,RegimeExecucao="Unitário"),$F91,"")</f>
        <v/>
      </c>
      <c r="W91" s="629">
        <f ca="1">IF($Y91&gt;0,CHOOSE(MATCH(RegimeExecucao,{"Unitário","Global"},0),IF($A91="S",$Y91/$X91,""),($Y91/$X91)*100),0)</f>
        <v>0</v>
      </c>
      <c r="X91" s="429" t="str">
        <f ca="1">IF($Y91&gt;0,CHOOSE(MATCH(RegimeExecucao,{"Unitário","Global"},0),IF($A91="S",ROUND($H91,ORÇAMENTO!$AF$10),""),ROUND($I91,ORÇAMENTO!$AF$11)),"")</f>
        <v/>
      </c>
      <c r="Y91" s="429">
        <f t="shared" ca="1" si="21"/>
        <v>0</v>
      </c>
      <c r="Z91" s="656"/>
      <c r="AB91" s="427"/>
      <c r="AC91" s="594"/>
      <c r="AD91" s="594"/>
      <c r="AE91" s="594"/>
      <c r="AF91" s="594"/>
      <c r="AG91" s="594"/>
      <c r="AH91" s="594"/>
      <c r="AI91" s="594"/>
      <c r="AJ91" s="594"/>
      <c r="AK91" s="594"/>
      <c r="AL91" s="594"/>
      <c r="AM91" s="428"/>
      <c r="AO91">
        <f ca="1">IF($A91="S",IF(BM!$I91=0,0,CHOOSE(MATCH(RegimeExecucao,{"Global","Unitário"},0),ROUND(ROUND(BM.MEDAcumulado,15-13*BM!$A$9)/100*BM!$I91,15-13*ORÇAMENTO!$AF$11),ROUND(ROUND(BM.MEDAcumulado,15-13*BM!$A$9)*ROUND(BM!$H91,15-13*ORÇAMENTO!$AF$10),15-13*ORÇAMENTO!$AF$11))),IF($A91=0,0,ROUND(SomaAgrupBM,15-13*ORÇAMENTO!$AF$11)))</f>
        <v>0</v>
      </c>
    </row>
    <row r="92" spans="1:41" ht="13.8">
      <c r="A92" t="str">
        <f ca="1">ORÇAMENTO!C92</f>
        <v>S</v>
      </c>
      <c r="B92">
        <f ca="1">ORÇAMENTO!D92</f>
        <v>0</v>
      </c>
      <c r="C92" s="139" t="str">
        <f t="shared" ca="1" si="15"/>
        <v/>
      </c>
      <c r="D92" s="142" t="str">
        <f ca="1">ORÇAMENTO!O92</f>
        <v>-</v>
      </c>
      <c r="E92" s="202" t="str">
        <f t="shared" ca="1" si="16"/>
        <v>(abra o arquivo 'Referência 11-2024.xlsm)</v>
      </c>
      <c r="F92" s="203" t="str">
        <f ca="1">IF(RegimeExecucao="Global","",ORÇAMENTO.Unidade)</f>
        <v/>
      </c>
      <c r="G92" s="147" t="str">
        <f ca="1">IF(RegimeExecucao="Global","",ORÇAMENTO!T92)</f>
        <v/>
      </c>
      <c r="H92" s="147" t="str">
        <f ca="1">IF(RegimeExecucao="Global","",ORÇAMENTO!W92)</f>
        <v/>
      </c>
      <c r="I92" s="150">
        <f ca="1">ORÇAMENTO!X92</f>
        <v>0</v>
      </c>
      <c r="J92" s="423">
        <f ca="1">IF($A92="S",IF(CAIXA.Modo,BM.AFAnterior,BM.MEDAnterior),IF(AND(RegimeExecucao="Global",$I92&gt;0,COUNTIF($AB$13:$AM$13,BM.medicao-1)&gt;0),M92/$I92*100,0))</f>
        <v>0</v>
      </c>
      <c r="K92" s="147">
        <f t="shared" ca="1" si="17"/>
        <v>0</v>
      </c>
      <c r="L92" s="424">
        <f ca="1">IF($A92="S",IF(CAIXA.Modo,BM.AFAcumulado,BM.MEDAcumulado),IF(AND(RegimeExecucao="Global",$I92&gt;0,COUNTIF($AB$13:$AM$13,BM.medicao)&gt;0),O92/$I92*100,0))</f>
        <v>0</v>
      </c>
      <c r="M92" s="425">
        <f ca="1">IF($A92="S",VTOTALBM,IF($A92=0,0,ROUND(SomaAgrupBM,15-13*ORÇAMENTO!$AF$11)))</f>
        <v>0</v>
      </c>
      <c r="N92" s="426">
        <f t="shared" ca="1" si="18"/>
        <v>0</v>
      </c>
      <c r="O92" s="150">
        <f ca="1">IF($A92="S",VTOTALBM,IF($A92=0,0,ROUND(SomaAgrupBM,15-13*ORÇAMENTO!$AF$11)))</f>
        <v>0</v>
      </c>
      <c r="Q92" s="427"/>
      <c r="R92" s="428"/>
      <c r="T92" s="142" t="str">
        <f t="shared" ca="1" si="19"/>
        <v/>
      </c>
      <c r="U92" s="202" t="str">
        <f t="shared" ca="1" si="20"/>
        <v/>
      </c>
      <c r="V92" s="203" t="str">
        <f ca="1">IF(AND($W92&gt;0,RegimeExecucao="Unitário"),$F92,"")</f>
        <v/>
      </c>
      <c r="W92" s="629">
        <f ca="1">IF($Y92&gt;0,CHOOSE(MATCH(RegimeExecucao,{"Unitário","Global"},0),IF($A92="S",$Y92/$X92,""),($Y92/$X92)*100),0)</f>
        <v>0</v>
      </c>
      <c r="X92" s="429" t="str">
        <f ca="1">IF($Y92&gt;0,CHOOSE(MATCH(RegimeExecucao,{"Unitário","Global"},0),IF($A92="S",ROUND($H92,ORÇAMENTO!$AF$10),""),ROUND($I92,ORÇAMENTO!$AF$11)),"")</f>
        <v/>
      </c>
      <c r="Y92" s="429">
        <f t="shared" ca="1" si="21"/>
        <v>0</v>
      </c>
      <c r="Z92" s="656"/>
      <c r="AB92" s="427"/>
      <c r="AC92" s="594"/>
      <c r="AD92" s="594"/>
      <c r="AE92" s="594"/>
      <c r="AF92" s="594"/>
      <c r="AG92" s="594"/>
      <c r="AH92" s="594"/>
      <c r="AI92" s="594"/>
      <c r="AJ92" s="594"/>
      <c r="AK92" s="594"/>
      <c r="AL92" s="594"/>
      <c r="AM92" s="428"/>
      <c r="AO92">
        <f ca="1">IF($A92="S",IF(BM!$I92=0,0,CHOOSE(MATCH(RegimeExecucao,{"Global","Unitário"},0),ROUND(ROUND(BM.MEDAcumulado,15-13*BM!$A$9)/100*BM!$I92,15-13*ORÇAMENTO!$AF$11),ROUND(ROUND(BM.MEDAcumulado,15-13*BM!$A$9)*ROUND(BM!$H92,15-13*ORÇAMENTO!$AF$10),15-13*ORÇAMENTO!$AF$11))),IF($A92=0,0,ROUND(SomaAgrupBM,15-13*ORÇAMENTO!$AF$11)))</f>
        <v>0</v>
      </c>
    </row>
    <row r="93" spans="1:41" ht="13.8">
      <c r="A93" t="str">
        <f ca="1">ORÇAMENTO!C93</f>
        <v>S</v>
      </c>
      <c r="B93">
        <f ca="1">ORÇAMENTO!D93</f>
        <v>0</v>
      </c>
      <c r="C93" s="139" t="str">
        <f t="shared" ca="1" si="15"/>
        <v/>
      </c>
      <c r="D93" s="142" t="str">
        <f ca="1">ORÇAMENTO!O93</f>
        <v>-</v>
      </c>
      <c r="E93" s="202" t="str">
        <f t="shared" ca="1" si="16"/>
        <v>(abra o arquivo 'Referência 11-2024.xlsm)</v>
      </c>
      <c r="F93" s="203" t="str">
        <f ca="1">IF(RegimeExecucao="Global","",ORÇAMENTO.Unidade)</f>
        <v/>
      </c>
      <c r="G93" s="147" t="str">
        <f ca="1">IF(RegimeExecucao="Global","",ORÇAMENTO!T93)</f>
        <v/>
      </c>
      <c r="H93" s="147" t="str">
        <f ca="1">IF(RegimeExecucao="Global","",ORÇAMENTO!W93)</f>
        <v/>
      </c>
      <c r="I93" s="150">
        <f ca="1">ORÇAMENTO!X93</f>
        <v>0</v>
      </c>
      <c r="J93" s="423">
        <f ca="1">IF($A93="S",IF(CAIXA.Modo,BM.AFAnterior,BM.MEDAnterior),IF(AND(RegimeExecucao="Global",$I93&gt;0,COUNTIF($AB$13:$AM$13,BM.medicao-1)&gt;0),M93/$I93*100,0))</f>
        <v>0</v>
      </c>
      <c r="K93" s="147">
        <f t="shared" ca="1" si="17"/>
        <v>0</v>
      </c>
      <c r="L93" s="424">
        <f ca="1">IF($A93="S",IF(CAIXA.Modo,BM.AFAcumulado,BM.MEDAcumulado),IF(AND(RegimeExecucao="Global",$I93&gt;0,COUNTIF($AB$13:$AM$13,BM.medicao)&gt;0),O93/$I93*100,0))</f>
        <v>0</v>
      </c>
      <c r="M93" s="425">
        <f ca="1">IF($A93="S",VTOTALBM,IF($A93=0,0,ROUND(SomaAgrupBM,15-13*ORÇAMENTO!$AF$11)))</f>
        <v>0</v>
      </c>
      <c r="N93" s="426">
        <f t="shared" ca="1" si="18"/>
        <v>0</v>
      </c>
      <c r="O93" s="150">
        <f ca="1">IF($A93="S",VTOTALBM,IF($A93=0,0,ROUND(SomaAgrupBM,15-13*ORÇAMENTO!$AF$11)))</f>
        <v>0</v>
      </c>
      <c r="Q93" s="427"/>
      <c r="R93" s="428"/>
      <c r="T93" s="142" t="str">
        <f t="shared" ca="1" si="19"/>
        <v/>
      </c>
      <c r="U93" s="202" t="str">
        <f t="shared" ca="1" si="20"/>
        <v/>
      </c>
      <c r="V93" s="203" t="str">
        <f ca="1">IF(AND($W93&gt;0,RegimeExecucao="Unitário"),$F93,"")</f>
        <v/>
      </c>
      <c r="W93" s="629">
        <f ca="1">IF($Y93&gt;0,CHOOSE(MATCH(RegimeExecucao,{"Unitário","Global"},0),IF($A93="S",$Y93/$X93,""),($Y93/$X93)*100),0)</f>
        <v>0</v>
      </c>
      <c r="X93" s="429" t="str">
        <f ca="1">IF($Y93&gt;0,CHOOSE(MATCH(RegimeExecucao,{"Unitário","Global"},0),IF($A93="S",ROUND($H93,ORÇAMENTO!$AF$10),""),ROUND($I93,ORÇAMENTO!$AF$11)),"")</f>
        <v/>
      </c>
      <c r="Y93" s="429">
        <f t="shared" ca="1" si="21"/>
        <v>0</v>
      </c>
      <c r="Z93" s="656"/>
      <c r="AB93" s="427"/>
      <c r="AC93" s="594"/>
      <c r="AD93" s="594"/>
      <c r="AE93" s="594"/>
      <c r="AF93" s="594"/>
      <c r="AG93" s="594"/>
      <c r="AH93" s="594"/>
      <c r="AI93" s="594"/>
      <c r="AJ93" s="594"/>
      <c r="AK93" s="594"/>
      <c r="AL93" s="594"/>
      <c r="AM93" s="428"/>
      <c r="AO93">
        <f ca="1">IF($A93="S",IF(BM!$I93=0,0,CHOOSE(MATCH(RegimeExecucao,{"Global","Unitário"},0),ROUND(ROUND(BM.MEDAcumulado,15-13*BM!$A$9)/100*BM!$I93,15-13*ORÇAMENTO!$AF$11),ROUND(ROUND(BM.MEDAcumulado,15-13*BM!$A$9)*ROUND(BM!$H93,15-13*ORÇAMENTO!$AF$10),15-13*ORÇAMENTO!$AF$11))),IF($A93=0,0,ROUND(SomaAgrupBM,15-13*ORÇAMENTO!$AF$11)))</f>
        <v>0</v>
      </c>
    </row>
    <row r="94" spans="1:41" ht="13.8">
      <c r="A94" t="str">
        <f ca="1">ORÇAMENTO!C94</f>
        <v>S</v>
      </c>
      <c r="B94">
        <f ca="1">ORÇAMENTO!D94</f>
        <v>0</v>
      </c>
      <c r="C94" s="139" t="str">
        <f t="shared" ca="1" si="15"/>
        <v/>
      </c>
      <c r="D94" s="142" t="str">
        <f ca="1">ORÇAMENTO!O94</f>
        <v>-</v>
      </c>
      <c r="E94" s="202" t="str">
        <f t="shared" ca="1" si="16"/>
        <v>(abra o arquivo 'Referência 11-2024.xlsm)</v>
      </c>
      <c r="F94" s="203" t="str">
        <f ca="1">IF(RegimeExecucao="Global","",ORÇAMENTO.Unidade)</f>
        <v/>
      </c>
      <c r="G94" s="147" t="str">
        <f ca="1">IF(RegimeExecucao="Global","",ORÇAMENTO!T94)</f>
        <v/>
      </c>
      <c r="H94" s="147" t="str">
        <f ca="1">IF(RegimeExecucao="Global","",ORÇAMENTO!W94)</f>
        <v/>
      </c>
      <c r="I94" s="150">
        <f ca="1">ORÇAMENTO!X94</f>
        <v>0</v>
      </c>
      <c r="J94" s="423">
        <f ca="1">IF($A94="S",IF(CAIXA.Modo,BM.AFAnterior,BM.MEDAnterior),IF(AND(RegimeExecucao="Global",$I94&gt;0,COUNTIF($AB$13:$AM$13,BM.medicao-1)&gt;0),M94/$I94*100,0))</f>
        <v>0</v>
      </c>
      <c r="K94" s="147">
        <f t="shared" ca="1" si="17"/>
        <v>0</v>
      </c>
      <c r="L94" s="424">
        <f ca="1">IF($A94="S",IF(CAIXA.Modo,BM.AFAcumulado,BM.MEDAcumulado),IF(AND(RegimeExecucao="Global",$I94&gt;0,COUNTIF($AB$13:$AM$13,BM.medicao)&gt;0),O94/$I94*100,0))</f>
        <v>0</v>
      </c>
      <c r="M94" s="425">
        <f ca="1">IF($A94="S",VTOTALBM,IF($A94=0,0,ROUND(SomaAgrupBM,15-13*ORÇAMENTO!$AF$11)))</f>
        <v>0</v>
      </c>
      <c r="N94" s="426">
        <f t="shared" ca="1" si="18"/>
        <v>0</v>
      </c>
      <c r="O94" s="150">
        <f ca="1">IF($A94="S",VTOTALBM,IF($A94=0,0,ROUND(SomaAgrupBM,15-13*ORÇAMENTO!$AF$11)))</f>
        <v>0</v>
      </c>
      <c r="Q94" s="427"/>
      <c r="R94" s="428"/>
      <c r="T94" s="142" t="str">
        <f t="shared" ca="1" si="19"/>
        <v/>
      </c>
      <c r="U94" s="202" t="str">
        <f t="shared" ca="1" si="20"/>
        <v/>
      </c>
      <c r="V94" s="203" t="str">
        <f ca="1">IF(AND($W94&gt;0,RegimeExecucao="Unitário"),$F94,"")</f>
        <v/>
      </c>
      <c r="W94" s="629">
        <f ca="1">IF($Y94&gt;0,CHOOSE(MATCH(RegimeExecucao,{"Unitário","Global"},0),IF($A94="S",$Y94/$X94,""),($Y94/$X94)*100),0)</f>
        <v>0</v>
      </c>
      <c r="X94" s="429" t="str">
        <f ca="1">IF($Y94&gt;0,CHOOSE(MATCH(RegimeExecucao,{"Unitário","Global"},0),IF($A94="S",ROUND($H94,ORÇAMENTO!$AF$10),""),ROUND($I94,ORÇAMENTO!$AF$11)),"")</f>
        <v/>
      </c>
      <c r="Y94" s="429">
        <f t="shared" ca="1" si="21"/>
        <v>0</v>
      </c>
      <c r="Z94" s="656"/>
      <c r="AB94" s="427"/>
      <c r="AC94" s="594"/>
      <c r="AD94" s="594"/>
      <c r="AE94" s="594"/>
      <c r="AF94" s="594"/>
      <c r="AG94" s="594"/>
      <c r="AH94" s="594"/>
      <c r="AI94" s="594"/>
      <c r="AJ94" s="594"/>
      <c r="AK94" s="594"/>
      <c r="AL94" s="594"/>
      <c r="AM94" s="428"/>
      <c r="AO94">
        <f ca="1">IF($A94="S",IF(BM!$I94=0,0,CHOOSE(MATCH(RegimeExecucao,{"Global","Unitário"},0),ROUND(ROUND(BM.MEDAcumulado,15-13*BM!$A$9)/100*BM!$I94,15-13*ORÇAMENTO!$AF$11),ROUND(ROUND(BM.MEDAcumulado,15-13*BM!$A$9)*ROUND(BM!$H94,15-13*ORÇAMENTO!$AF$10),15-13*ORÇAMENTO!$AF$11))),IF($A94=0,0,ROUND(SomaAgrupBM,15-13*ORÇAMENTO!$AF$11)))</f>
        <v>0</v>
      </c>
    </row>
    <row r="95" spans="1:41" ht="13.8">
      <c r="A95" t="str">
        <f ca="1">ORÇAMENTO!C95</f>
        <v>S</v>
      </c>
      <c r="B95">
        <f ca="1">ORÇAMENTO!D95</f>
        <v>0</v>
      </c>
      <c r="C95" s="139" t="str">
        <f t="shared" ca="1" si="15"/>
        <v/>
      </c>
      <c r="D95" s="142" t="str">
        <f ca="1">ORÇAMENTO!O95</f>
        <v>-</v>
      </c>
      <c r="E95" s="202" t="str">
        <f t="shared" ca="1" si="16"/>
        <v>(abra o arquivo 'Referência 11-2024.xlsm)</v>
      </c>
      <c r="F95" s="203" t="str">
        <f ca="1">IF(RegimeExecucao="Global","",ORÇAMENTO.Unidade)</f>
        <v/>
      </c>
      <c r="G95" s="147" t="str">
        <f ca="1">IF(RegimeExecucao="Global","",ORÇAMENTO!T95)</f>
        <v/>
      </c>
      <c r="H95" s="147" t="str">
        <f ca="1">IF(RegimeExecucao="Global","",ORÇAMENTO!W95)</f>
        <v/>
      </c>
      <c r="I95" s="150">
        <f ca="1">ORÇAMENTO!X95</f>
        <v>0</v>
      </c>
      <c r="J95" s="423">
        <f ca="1">IF($A95="S",IF(CAIXA.Modo,BM.AFAnterior,BM.MEDAnterior),IF(AND(RegimeExecucao="Global",$I95&gt;0,COUNTIF($AB$13:$AM$13,BM.medicao-1)&gt;0),M95/$I95*100,0))</f>
        <v>0</v>
      </c>
      <c r="K95" s="147">
        <f t="shared" ca="1" si="17"/>
        <v>0</v>
      </c>
      <c r="L95" s="424">
        <f ca="1">IF($A95="S",IF(CAIXA.Modo,BM.AFAcumulado,BM.MEDAcumulado),IF(AND(RegimeExecucao="Global",$I95&gt;0,COUNTIF($AB$13:$AM$13,BM.medicao)&gt;0),O95/$I95*100,0))</f>
        <v>0</v>
      </c>
      <c r="M95" s="425">
        <f ca="1">IF($A95="S",VTOTALBM,IF($A95=0,0,ROUND(SomaAgrupBM,15-13*ORÇAMENTO!$AF$11)))</f>
        <v>0</v>
      </c>
      <c r="N95" s="426">
        <f t="shared" ca="1" si="18"/>
        <v>0</v>
      </c>
      <c r="O95" s="150">
        <f ca="1">IF($A95="S",VTOTALBM,IF($A95=0,0,ROUND(SomaAgrupBM,15-13*ORÇAMENTO!$AF$11)))</f>
        <v>0</v>
      </c>
      <c r="Q95" s="427"/>
      <c r="R95" s="428"/>
      <c r="T95" s="142" t="str">
        <f t="shared" ca="1" si="19"/>
        <v/>
      </c>
      <c r="U95" s="202" t="str">
        <f t="shared" ca="1" si="20"/>
        <v/>
      </c>
      <c r="V95" s="203" t="str">
        <f ca="1">IF(AND($W95&gt;0,RegimeExecucao="Unitário"),$F95,"")</f>
        <v/>
      </c>
      <c r="W95" s="629">
        <f ca="1">IF($Y95&gt;0,CHOOSE(MATCH(RegimeExecucao,{"Unitário","Global"},0),IF($A95="S",$Y95/$X95,""),($Y95/$X95)*100),0)</f>
        <v>0</v>
      </c>
      <c r="X95" s="429" t="str">
        <f ca="1">IF($Y95&gt;0,CHOOSE(MATCH(RegimeExecucao,{"Unitário","Global"},0),IF($A95="S",ROUND($H95,ORÇAMENTO!$AF$10),""),ROUND($I95,ORÇAMENTO!$AF$11)),"")</f>
        <v/>
      </c>
      <c r="Y95" s="429">
        <f t="shared" ca="1" si="21"/>
        <v>0</v>
      </c>
      <c r="Z95" s="656"/>
      <c r="AB95" s="427"/>
      <c r="AC95" s="594"/>
      <c r="AD95" s="594"/>
      <c r="AE95" s="594"/>
      <c r="AF95" s="594"/>
      <c r="AG95" s="594"/>
      <c r="AH95" s="594"/>
      <c r="AI95" s="594"/>
      <c r="AJ95" s="594"/>
      <c r="AK95" s="594"/>
      <c r="AL95" s="594"/>
      <c r="AM95" s="428"/>
      <c r="AO95">
        <f ca="1">IF($A95="S",IF(BM!$I95=0,0,CHOOSE(MATCH(RegimeExecucao,{"Global","Unitário"},0),ROUND(ROUND(BM.MEDAcumulado,15-13*BM!$A$9)/100*BM!$I95,15-13*ORÇAMENTO!$AF$11),ROUND(ROUND(BM.MEDAcumulado,15-13*BM!$A$9)*ROUND(BM!$H95,15-13*ORÇAMENTO!$AF$10),15-13*ORÇAMENTO!$AF$11))),IF($A95=0,0,ROUND(SomaAgrupBM,15-13*ORÇAMENTO!$AF$11)))</f>
        <v>0</v>
      </c>
    </row>
    <row r="96" spans="1:41" ht="13.8">
      <c r="A96" t="str">
        <f ca="1">ORÇAMENTO!C96</f>
        <v>S</v>
      </c>
      <c r="B96">
        <f ca="1">ORÇAMENTO!D96</f>
        <v>0</v>
      </c>
      <c r="C96" s="139" t="str">
        <f t="shared" ca="1" si="15"/>
        <v/>
      </c>
      <c r="D96" s="142" t="str">
        <f ca="1">ORÇAMENTO!O96</f>
        <v>-</v>
      </c>
      <c r="E96" s="202" t="str">
        <f t="shared" ca="1" si="16"/>
        <v>(abra o arquivo 'Referência 11-2024.xlsm)</v>
      </c>
      <c r="F96" s="203" t="str">
        <f ca="1">IF(RegimeExecucao="Global","",ORÇAMENTO.Unidade)</f>
        <v/>
      </c>
      <c r="G96" s="147" t="str">
        <f ca="1">IF(RegimeExecucao="Global","",ORÇAMENTO!T96)</f>
        <v/>
      </c>
      <c r="H96" s="147" t="str">
        <f ca="1">IF(RegimeExecucao="Global","",ORÇAMENTO!W96)</f>
        <v/>
      </c>
      <c r="I96" s="150">
        <f ca="1">ORÇAMENTO!X96</f>
        <v>0</v>
      </c>
      <c r="J96" s="423">
        <f ca="1">IF($A96="S",IF(CAIXA.Modo,BM.AFAnterior,BM.MEDAnterior),IF(AND(RegimeExecucao="Global",$I96&gt;0,COUNTIF($AB$13:$AM$13,BM.medicao-1)&gt;0),M96/$I96*100,0))</f>
        <v>0</v>
      </c>
      <c r="K96" s="147">
        <f t="shared" ca="1" si="17"/>
        <v>0</v>
      </c>
      <c r="L96" s="424">
        <f ca="1">IF($A96="S",IF(CAIXA.Modo,BM.AFAcumulado,BM.MEDAcumulado),IF(AND(RegimeExecucao="Global",$I96&gt;0,COUNTIF($AB$13:$AM$13,BM.medicao)&gt;0),O96/$I96*100,0))</f>
        <v>0</v>
      </c>
      <c r="M96" s="425">
        <f ca="1">IF($A96="S",VTOTALBM,IF($A96=0,0,ROUND(SomaAgrupBM,15-13*ORÇAMENTO!$AF$11)))</f>
        <v>0</v>
      </c>
      <c r="N96" s="426">
        <f t="shared" ca="1" si="18"/>
        <v>0</v>
      </c>
      <c r="O96" s="150">
        <f ca="1">IF($A96="S",VTOTALBM,IF($A96=0,0,ROUND(SomaAgrupBM,15-13*ORÇAMENTO!$AF$11)))</f>
        <v>0</v>
      </c>
      <c r="Q96" s="427"/>
      <c r="R96" s="428"/>
      <c r="T96" s="142" t="str">
        <f t="shared" ca="1" si="19"/>
        <v/>
      </c>
      <c r="U96" s="202" t="str">
        <f t="shared" ca="1" si="20"/>
        <v/>
      </c>
      <c r="V96" s="203" t="str">
        <f ca="1">IF(AND($W96&gt;0,RegimeExecucao="Unitário"),$F96,"")</f>
        <v/>
      </c>
      <c r="W96" s="629">
        <f ca="1">IF($Y96&gt;0,CHOOSE(MATCH(RegimeExecucao,{"Unitário","Global"},0),IF($A96="S",$Y96/$X96,""),($Y96/$X96)*100),0)</f>
        <v>0</v>
      </c>
      <c r="X96" s="429" t="str">
        <f ca="1">IF($Y96&gt;0,CHOOSE(MATCH(RegimeExecucao,{"Unitário","Global"},0),IF($A96="S",ROUND($H96,ORÇAMENTO!$AF$10),""),ROUND($I96,ORÇAMENTO!$AF$11)),"")</f>
        <v/>
      </c>
      <c r="Y96" s="429">
        <f t="shared" ca="1" si="21"/>
        <v>0</v>
      </c>
      <c r="Z96" s="656"/>
      <c r="AB96" s="427"/>
      <c r="AC96" s="594"/>
      <c r="AD96" s="594"/>
      <c r="AE96" s="594"/>
      <c r="AF96" s="594"/>
      <c r="AG96" s="594"/>
      <c r="AH96" s="594"/>
      <c r="AI96" s="594"/>
      <c r="AJ96" s="594"/>
      <c r="AK96" s="594"/>
      <c r="AL96" s="594"/>
      <c r="AM96" s="428"/>
      <c r="AO96">
        <f ca="1">IF($A96="S",IF(BM!$I96=0,0,CHOOSE(MATCH(RegimeExecucao,{"Global","Unitário"},0),ROUND(ROUND(BM.MEDAcumulado,15-13*BM!$A$9)/100*BM!$I96,15-13*ORÇAMENTO!$AF$11),ROUND(ROUND(BM.MEDAcumulado,15-13*BM!$A$9)*ROUND(BM!$H96,15-13*ORÇAMENTO!$AF$10),15-13*ORÇAMENTO!$AF$11))),IF($A96=0,0,ROUND(SomaAgrupBM,15-13*ORÇAMENTO!$AF$11)))</f>
        <v>0</v>
      </c>
    </row>
    <row r="97" spans="1:41" ht="13.8">
      <c r="A97" t="str">
        <f ca="1">ORÇAMENTO!C97</f>
        <v>S</v>
      </c>
      <c r="B97">
        <f ca="1">ORÇAMENTO!D97</f>
        <v>0</v>
      </c>
      <c r="C97" s="139" t="str">
        <f t="shared" ca="1" si="15"/>
        <v/>
      </c>
      <c r="D97" s="142" t="str">
        <f ca="1">ORÇAMENTO!O97</f>
        <v>-</v>
      </c>
      <c r="E97" s="202" t="str">
        <f t="shared" ca="1" si="16"/>
        <v>(abra o arquivo 'Referência 11-2024.xlsm)</v>
      </c>
      <c r="F97" s="203" t="str">
        <f ca="1">IF(RegimeExecucao="Global","",ORÇAMENTO.Unidade)</f>
        <v/>
      </c>
      <c r="G97" s="147" t="str">
        <f ca="1">IF(RegimeExecucao="Global","",ORÇAMENTO!T97)</f>
        <v/>
      </c>
      <c r="H97" s="147" t="str">
        <f ca="1">IF(RegimeExecucao="Global","",ORÇAMENTO!W97)</f>
        <v/>
      </c>
      <c r="I97" s="150">
        <f ca="1">ORÇAMENTO!X97</f>
        <v>0</v>
      </c>
      <c r="J97" s="423">
        <f ca="1">IF($A97="S",IF(CAIXA.Modo,BM.AFAnterior,BM.MEDAnterior),IF(AND(RegimeExecucao="Global",$I97&gt;0,COUNTIF($AB$13:$AM$13,BM.medicao-1)&gt;0),M97/$I97*100,0))</f>
        <v>0</v>
      </c>
      <c r="K97" s="147">
        <f t="shared" ca="1" si="17"/>
        <v>0</v>
      </c>
      <c r="L97" s="424">
        <f ca="1">IF($A97="S",IF(CAIXA.Modo,BM.AFAcumulado,BM.MEDAcumulado),IF(AND(RegimeExecucao="Global",$I97&gt;0,COUNTIF($AB$13:$AM$13,BM.medicao)&gt;0),O97/$I97*100,0))</f>
        <v>0</v>
      </c>
      <c r="M97" s="425">
        <f ca="1">IF($A97="S",VTOTALBM,IF($A97=0,0,ROUND(SomaAgrupBM,15-13*ORÇAMENTO!$AF$11)))</f>
        <v>0</v>
      </c>
      <c r="N97" s="426">
        <f t="shared" ca="1" si="18"/>
        <v>0</v>
      </c>
      <c r="O97" s="150">
        <f ca="1">IF($A97="S",VTOTALBM,IF($A97=0,0,ROUND(SomaAgrupBM,15-13*ORÇAMENTO!$AF$11)))</f>
        <v>0</v>
      </c>
      <c r="Q97" s="427"/>
      <c r="R97" s="428"/>
      <c r="T97" s="142" t="str">
        <f t="shared" ca="1" si="19"/>
        <v/>
      </c>
      <c r="U97" s="202" t="str">
        <f t="shared" ca="1" si="20"/>
        <v/>
      </c>
      <c r="V97" s="203" t="str">
        <f ca="1">IF(AND($W97&gt;0,RegimeExecucao="Unitário"),$F97,"")</f>
        <v/>
      </c>
      <c r="W97" s="629">
        <f ca="1">IF($Y97&gt;0,CHOOSE(MATCH(RegimeExecucao,{"Unitário","Global"},0),IF($A97="S",$Y97/$X97,""),($Y97/$X97)*100),0)</f>
        <v>0</v>
      </c>
      <c r="X97" s="429" t="str">
        <f ca="1">IF($Y97&gt;0,CHOOSE(MATCH(RegimeExecucao,{"Unitário","Global"},0),IF($A97="S",ROUND($H97,ORÇAMENTO!$AF$10),""),ROUND($I97,ORÇAMENTO!$AF$11)),"")</f>
        <v/>
      </c>
      <c r="Y97" s="429">
        <f t="shared" ca="1" si="21"/>
        <v>0</v>
      </c>
      <c r="Z97" s="656"/>
      <c r="AB97" s="427"/>
      <c r="AC97" s="594"/>
      <c r="AD97" s="594"/>
      <c r="AE97" s="594"/>
      <c r="AF97" s="594"/>
      <c r="AG97" s="594"/>
      <c r="AH97" s="594"/>
      <c r="AI97" s="594"/>
      <c r="AJ97" s="594"/>
      <c r="AK97" s="594"/>
      <c r="AL97" s="594"/>
      <c r="AM97" s="428"/>
      <c r="AO97">
        <f ca="1">IF($A97="S",IF(BM!$I97=0,0,CHOOSE(MATCH(RegimeExecucao,{"Global","Unitário"},0),ROUND(ROUND(BM.MEDAcumulado,15-13*BM!$A$9)/100*BM!$I97,15-13*ORÇAMENTO!$AF$11),ROUND(ROUND(BM.MEDAcumulado,15-13*BM!$A$9)*ROUND(BM!$H97,15-13*ORÇAMENTO!$AF$10),15-13*ORÇAMENTO!$AF$11))),IF($A97=0,0,ROUND(SomaAgrupBM,15-13*ORÇAMENTO!$AF$11)))</f>
        <v>0</v>
      </c>
    </row>
    <row r="98" spans="1:41" ht="13.8">
      <c r="A98" t="str">
        <f ca="1">ORÇAMENTO!C98</f>
        <v>S</v>
      </c>
      <c r="B98">
        <f ca="1">ORÇAMENTO!D98</f>
        <v>0</v>
      </c>
      <c r="C98" s="139" t="str">
        <f t="shared" ca="1" si="15"/>
        <v/>
      </c>
      <c r="D98" s="142" t="str">
        <f ca="1">ORÇAMENTO!O98</f>
        <v>-</v>
      </c>
      <c r="E98" s="202" t="str">
        <f t="shared" ca="1" si="16"/>
        <v>(abra o arquivo 'Referência 11-2024.xlsm)</v>
      </c>
      <c r="F98" s="203" t="str">
        <f ca="1">IF(RegimeExecucao="Global","",ORÇAMENTO.Unidade)</f>
        <v/>
      </c>
      <c r="G98" s="147" t="str">
        <f ca="1">IF(RegimeExecucao="Global","",ORÇAMENTO!T98)</f>
        <v/>
      </c>
      <c r="H98" s="147" t="str">
        <f ca="1">IF(RegimeExecucao="Global","",ORÇAMENTO!W98)</f>
        <v/>
      </c>
      <c r="I98" s="150">
        <f ca="1">ORÇAMENTO!X98</f>
        <v>0</v>
      </c>
      <c r="J98" s="423">
        <f ca="1">IF($A98="S",IF(CAIXA.Modo,BM.AFAnterior,BM.MEDAnterior),IF(AND(RegimeExecucao="Global",$I98&gt;0,COUNTIF($AB$13:$AM$13,BM.medicao-1)&gt;0),M98/$I98*100,0))</f>
        <v>0</v>
      </c>
      <c r="K98" s="147">
        <f t="shared" ca="1" si="17"/>
        <v>0</v>
      </c>
      <c r="L98" s="424">
        <f ca="1">IF($A98="S",IF(CAIXA.Modo,BM.AFAcumulado,BM.MEDAcumulado),IF(AND(RegimeExecucao="Global",$I98&gt;0,COUNTIF($AB$13:$AM$13,BM.medicao)&gt;0),O98/$I98*100,0))</f>
        <v>0</v>
      </c>
      <c r="M98" s="425">
        <f ca="1">IF($A98="S",VTOTALBM,IF($A98=0,0,ROUND(SomaAgrupBM,15-13*ORÇAMENTO!$AF$11)))</f>
        <v>0</v>
      </c>
      <c r="N98" s="426">
        <f t="shared" ca="1" si="18"/>
        <v>0</v>
      </c>
      <c r="O98" s="150">
        <f ca="1">IF($A98="S",VTOTALBM,IF($A98=0,0,ROUND(SomaAgrupBM,15-13*ORÇAMENTO!$AF$11)))</f>
        <v>0</v>
      </c>
      <c r="Q98" s="427"/>
      <c r="R98" s="428"/>
      <c r="T98" s="142" t="str">
        <f t="shared" ca="1" si="19"/>
        <v/>
      </c>
      <c r="U98" s="202" t="str">
        <f t="shared" ca="1" si="20"/>
        <v/>
      </c>
      <c r="V98" s="203" t="str">
        <f ca="1">IF(AND($W98&gt;0,RegimeExecucao="Unitário"),$F98,"")</f>
        <v/>
      </c>
      <c r="W98" s="629">
        <f ca="1">IF($Y98&gt;0,CHOOSE(MATCH(RegimeExecucao,{"Unitário","Global"},0),IF($A98="S",$Y98/$X98,""),($Y98/$X98)*100),0)</f>
        <v>0</v>
      </c>
      <c r="X98" s="429" t="str">
        <f ca="1">IF($Y98&gt;0,CHOOSE(MATCH(RegimeExecucao,{"Unitário","Global"},0),IF($A98="S",ROUND($H98,ORÇAMENTO!$AF$10),""),ROUND($I98,ORÇAMENTO!$AF$11)),"")</f>
        <v/>
      </c>
      <c r="Y98" s="429">
        <f t="shared" ca="1" si="21"/>
        <v>0</v>
      </c>
      <c r="Z98" s="656"/>
      <c r="AB98" s="427"/>
      <c r="AC98" s="594"/>
      <c r="AD98" s="594"/>
      <c r="AE98" s="594"/>
      <c r="AF98" s="594"/>
      <c r="AG98" s="594"/>
      <c r="AH98" s="594"/>
      <c r="AI98" s="594"/>
      <c r="AJ98" s="594"/>
      <c r="AK98" s="594"/>
      <c r="AL98" s="594"/>
      <c r="AM98" s="428"/>
      <c r="AO98">
        <f ca="1">IF($A98="S",IF(BM!$I98=0,0,CHOOSE(MATCH(RegimeExecucao,{"Global","Unitário"},0),ROUND(ROUND(BM.MEDAcumulado,15-13*BM!$A$9)/100*BM!$I98,15-13*ORÇAMENTO!$AF$11),ROUND(ROUND(BM.MEDAcumulado,15-13*BM!$A$9)*ROUND(BM!$H98,15-13*ORÇAMENTO!$AF$10),15-13*ORÇAMENTO!$AF$11))),IF($A98=0,0,ROUND(SomaAgrupBM,15-13*ORÇAMENTO!$AF$11)))</f>
        <v>0</v>
      </c>
    </row>
    <row r="99" spans="1:41" ht="13.8">
      <c r="A99" t="str">
        <f ca="1">ORÇAMENTO!C99</f>
        <v>S</v>
      </c>
      <c r="B99">
        <f ca="1">ORÇAMENTO!D99</f>
        <v>0</v>
      </c>
      <c r="C99" s="139" t="str">
        <f t="shared" ca="1" si="15"/>
        <v/>
      </c>
      <c r="D99" s="142" t="str">
        <f ca="1">ORÇAMENTO!O99</f>
        <v>-</v>
      </c>
      <c r="E99" s="202" t="str">
        <f t="shared" ca="1" si="16"/>
        <v>(abra o arquivo 'Referência 11-2024.xlsm)</v>
      </c>
      <c r="F99" s="203" t="str">
        <f ca="1">IF(RegimeExecucao="Global","",ORÇAMENTO.Unidade)</f>
        <v/>
      </c>
      <c r="G99" s="147" t="str">
        <f ca="1">IF(RegimeExecucao="Global","",ORÇAMENTO!T99)</f>
        <v/>
      </c>
      <c r="H99" s="147" t="str">
        <f ca="1">IF(RegimeExecucao="Global","",ORÇAMENTO!W99)</f>
        <v/>
      </c>
      <c r="I99" s="150">
        <f ca="1">ORÇAMENTO!X99</f>
        <v>0</v>
      </c>
      <c r="J99" s="423">
        <f ca="1">IF($A99="S",IF(CAIXA.Modo,BM.AFAnterior,BM.MEDAnterior),IF(AND(RegimeExecucao="Global",$I99&gt;0,COUNTIF($AB$13:$AM$13,BM.medicao-1)&gt;0),M99/$I99*100,0))</f>
        <v>0</v>
      </c>
      <c r="K99" s="147">
        <f t="shared" ca="1" si="17"/>
        <v>0</v>
      </c>
      <c r="L99" s="424">
        <f ca="1">IF($A99="S",IF(CAIXA.Modo,BM.AFAcumulado,BM.MEDAcumulado),IF(AND(RegimeExecucao="Global",$I99&gt;0,COUNTIF($AB$13:$AM$13,BM.medicao)&gt;0),O99/$I99*100,0))</f>
        <v>0</v>
      </c>
      <c r="M99" s="425">
        <f ca="1">IF($A99="S",VTOTALBM,IF($A99=0,0,ROUND(SomaAgrupBM,15-13*ORÇAMENTO!$AF$11)))</f>
        <v>0</v>
      </c>
      <c r="N99" s="426">
        <f t="shared" ca="1" si="18"/>
        <v>0</v>
      </c>
      <c r="O99" s="150">
        <f ca="1">IF($A99="S",VTOTALBM,IF($A99=0,0,ROUND(SomaAgrupBM,15-13*ORÇAMENTO!$AF$11)))</f>
        <v>0</v>
      </c>
      <c r="Q99" s="427"/>
      <c r="R99" s="428"/>
      <c r="T99" s="142" t="str">
        <f t="shared" ca="1" si="19"/>
        <v/>
      </c>
      <c r="U99" s="202" t="str">
        <f t="shared" ca="1" si="20"/>
        <v/>
      </c>
      <c r="V99" s="203" t="str">
        <f ca="1">IF(AND($W99&gt;0,RegimeExecucao="Unitário"),$F99,"")</f>
        <v/>
      </c>
      <c r="W99" s="629">
        <f ca="1">IF($Y99&gt;0,CHOOSE(MATCH(RegimeExecucao,{"Unitário","Global"},0),IF($A99="S",$Y99/$X99,""),($Y99/$X99)*100),0)</f>
        <v>0</v>
      </c>
      <c r="X99" s="429" t="str">
        <f ca="1">IF($Y99&gt;0,CHOOSE(MATCH(RegimeExecucao,{"Unitário","Global"},0),IF($A99="S",ROUND($H99,ORÇAMENTO!$AF$10),""),ROUND($I99,ORÇAMENTO!$AF$11)),"")</f>
        <v/>
      </c>
      <c r="Y99" s="429">
        <f t="shared" ca="1" si="21"/>
        <v>0</v>
      </c>
      <c r="Z99" s="656"/>
      <c r="AB99" s="427"/>
      <c r="AC99" s="594"/>
      <c r="AD99" s="594"/>
      <c r="AE99" s="594"/>
      <c r="AF99" s="594"/>
      <c r="AG99" s="594"/>
      <c r="AH99" s="594"/>
      <c r="AI99" s="594"/>
      <c r="AJ99" s="594"/>
      <c r="AK99" s="594"/>
      <c r="AL99" s="594"/>
      <c r="AM99" s="428"/>
      <c r="AO99">
        <f ca="1">IF($A99="S",IF(BM!$I99=0,0,CHOOSE(MATCH(RegimeExecucao,{"Global","Unitário"},0),ROUND(ROUND(BM.MEDAcumulado,15-13*BM!$A$9)/100*BM!$I99,15-13*ORÇAMENTO!$AF$11),ROUND(ROUND(BM.MEDAcumulado,15-13*BM!$A$9)*ROUND(BM!$H99,15-13*ORÇAMENTO!$AF$10),15-13*ORÇAMENTO!$AF$11))),IF($A99=0,0,ROUND(SomaAgrupBM,15-13*ORÇAMENTO!$AF$11)))</f>
        <v>0</v>
      </c>
    </row>
    <row r="100" spans="1:41" ht="13.8">
      <c r="A100" t="str">
        <f ca="1">ORÇAMENTO!C100</f>
        <v>S</v>
      </c>
      <c r="B100">
        <f ca="1">ORÇAMENTO!D100</f>
        <v>0</v>
      </c>
      <c r="C100" s="139" t="str">
        <f t="shared" ca="1" si="15"/>
        <v/>
      </c>
      <c r="D100" s="142" t="str">
        <f ca="1">ORÇAMENTO!O100</f>
        <v>-</v>
      </c>
      <c r="E100" s="202" t="str">
        <f t="shared" ca="1" si="16"/>
        <v>(abra o arquivo 'Referência 11-2024.xlsm)</v>
      </c>
      <c r="F100" s="203" t="str">
        <f ca="1">IF(RegimeExecucao="Global","",ORÇAMENTO.Unidade)</f>
        <v/>
      </c>
      <c r="G100" s="147" t="str">
        <f ca="1">IF(RegimeExecucao="Global","",ORÇAMENTO!T100)</f>
        <v/>
      </c>
      <c r="H100" s="147" t="str">
        <f ca="1">IF(RegimeExecucao="Global","",ORÇAMENTO!W100)</f>
        <v/>
      </c>
      <c r="I100" s="150">
        <f ca="1">ORÇAMENTO!X100</f>
        <v>0</v>
      </c>
      <c r="J100" s="423">
        <f ca="1">IF($A100="S",IF(CAIXA.Modo,BM.AFAnterior,BM.MEDAnterior),IF(AND(RegimeExecucao="Global",$I100&gt;0,COUNTIF($AB$13:$AM$13,BM.medicao-1)&gt;0),M100/$I100*100,0))</f>
        <v>0</v>
      </c>
      <c r="K100" s="147">
        <f t="shared" ca="1" si="17"/>
        <v>0</v>
      </c>
      <c r="L100" s="424">
        <f ca="1">IF($A100="S",IF(CAIXA.Modo,BM.AFAcumulado,BM.MEDAcumulado),IF(AND(RegimeExecucao="Global",$I100&gt;0,COUNTIF($AB$13:$AM$13,BM.medicao)&gt;0),O100/$I100*100,0))</f>
        <v>0</v>
      </c>
      <c r="M100" s="425">
        <f ca="1">IF($A100="S",VTOTALBM,IF($A100=0,0,ROUND(SomaAgrupBM,15-13*ORÇAMENTO!$AF$11)))</f>
        <v>0</v>
      </c>
      <c r="N100" s="426">
        <f t="shared" ca="1" si="18"/>
        <v>0</v>
      </c>
      <c r="O100" s="150">
        <f ca="1">IF($A100="S",VTOTALBM,IF($A100=0,0,ROUND(SomaAgrupBM,15-13*ORÇAMENTO!$AF$11)))</f>
        <v>0</v>
      </c>
      <c r="Q100" s="427"/>
      <c r="R100" s="428"/>
      <c r="T100" s="142" t="str">
        <f t="shared" ca="1" si="19"/>
        <v/>
      </c>
      <c r="U100" s="202" t="str">
        <f t="shared" ca="1" si="20"/>
        <v/>
      </c>
      <c r="V100" s="203" t="str">
        <f ca="1">IF(AND($W100&gt;0,RegimeExecucao="Unitário"),$F100,"")</f>
        <v/>
      </c>
      <c r="W100" s="629">
        <f ca="1">IF($Y100&gt;0,CHOOSE(MATCH(RegimeExecucao,{"Unitário","Global"},0),IF($A100="S",$Y100/$X100,""),($Y100/$X100)*100),0)</f>
        <v>0</v>
      </c>
      <c r="X100" s="429" t="str">
        <f ca="1">IF($Y100&gt;0,CHOOSE(MATCH(RegimeExecucao,{"Unitário","Global"},0),IF($A100="S",ROUND($H100,ORÇAMENTO!$AF$10),""),ROUND($I100,ORÇAMENTO!$AF$11)),"")</f>
        <v/>
      </c>
      <c r="Y100" s="429">
        <f t="shared" ca="1" si="21"/>
        <v>0</v>
      </c>
      <c r="Z100" s="656"/>
      <c r="AB100" s="427"/>
      <c r="AC100" s="594"/>
      <c r="AD100" s="594"/>
      <c r="AE100" s="594"/>
      <c r="AF100" s="594"/>
      <c r="AG100" s="594"/>
      <c r="AH100" s="594"/>
      <c r="AI100" s="594"/>
      <c r="AJ100" s="594"/>
      <c r="AK100" s="594"/>
      <c r="AL100" s="594"/>
      <c r="AM100" s="428"/>
      <c r="AO100">
        <f ca="1">IF($A100="S",IF(BM!$I100=0,0,CHOOSE(MATCH(RegimeExecucao,{"Global","Unitário"},0),ROUND(ROUND(BM.MEDAcumulado,15-13*BM!$A$9)/100*BM!$I100,15-13*ORÇAMENTO!$AF$11),ROUND(ROUND(BM.MEDAcumulado,15-13*BM!$A$9)*ROUND(BM!$H100,15-13*ORÇAMENTO!$AF$10),15-13*ORÇAMENTO!$AF$11))),IF($A100=0,0,ROUND(SomaAgrupBM,15-13*ORÇAMENTO!$AF$11)))</f>
        <v>0</v>
      </c>
    </row>
    <row r="101" spans="1:41" ht="13.8">
      <c r="A101" t="str">
        <f ca="1">ORÇAMENTO!C101</f>
        <v>S</v>
      </c>
      <c r="B101">
        <f ca="1">ORÇAMENTO!D101</f>
        <v>0</v>
      </c>
      <c r="C101" s="139" t="str">
        <f t="shared" ca="1" si="15"/>
        <v/>
      </c>
      <c r="D101" s="142" t="str">
        <f ca="1">ORÇAMENTO!O101</f>
        <v>-</v>
      </c>
      <c r="E101" s="202" t="str">
        <f t="shared" ca="1" si="16"/>
        <v>(abra o arquivo 'Referência 11-2024.xlsm)</v>
      </c>
      <c r="F101" s="203" t="str">
        <f ca="1">IF(RegimeExecucao="Global","",ORÇAMENTO.Unidade)</f>
        <v/>
      </c>
      <c r="G101" s="147" t="str">
        <f ca="1">IF(RegimeExecucao="Global","",ORÇAMENTO!T101)</f>
        <v/>
      </c>
      <c r="H101" s="147" t="str">
        <f ca="1">IF(RegimeExecucao="Global","",ORÇAMENTO!W101)</f>
        <v/>
      </c>
      <c r="I101" s="150">
        <f ca="1">ORÇAMENTO!X101</f>
        <v>0</v>
      </c>
      <c r="J101" s="423">
        <f ca="1">IF($A101="S",IF(CAIXA.Modo,BM.AFAnterior,BM.MEDAnterior),IF(AND(RegimeExecucao="Global",$I101&gt;0,COUNTIF($AB$13:$AM$13,BM.medicao-1)&gt;0),M101/$I101*100,0))</f>
        <v>0</v>
      </c>
      <c r="K101" s="147">
        <f t="shared" ca="1" si="17"/>
        <v>0</v>
      </c>
      <c r="L101" s="424">
        <f ca="1">IF($A101="S",IF(CAIXA.Modo,BM.AFAcumulado,BM.MEDAcumulado),IF(AND(RegimeExecucao="Global",$I101&gt;0,COUNTIF($AB$13:$AM$13,BM.medicao)&gt;0),O101/$I101*100,0))</f>
        <v>0</v>
      </c>
      <c r="M101" s="425">
        <f ca="1">IF($A101="S",VTOTALBM,IF($A101=0,0,ROUND(SomaAgrupBM,15-13*ORÇAMENTO!$AF$11)))</f>
        <v>0</v>
      </c>
      <c r="N101" s="426">
        <f t="shared" ca="1" si="18"/>
        <v>0</v>
      </c>
      <c r="O101" s="150">
        <f ca="1">IF($A101="S",VTOTALBM,IF($A101=0,0,ROUND(SomaAgrupBM,15-13*ORÇAMENTO!$AF$11)))</f>
        <v>0</v>
      </c>
      <c r="Q101" s="427"/>
      <c r="R101" s="428"/>
      <c r="T101" s="142" t="str">
        <f t="shared" ca="1" si="19"/>
        <v/>
      </c>
      <c r="U101" s="202" t="str">
        <f t="shared" ca="1" si="20"/>
        <v/>
      </c>
      <c r="V101" s="203" t="str">
        <f ca="1">IF(AND($W101&gt;0,RegimeExecucao="Unitário"),$F101,"")</f>
        <v/>
      </c>
      <c r="W101" s="629">
        <f ca="1">IF($Y101&gt;0,CHOOSE(MATCH(RegimeExecucao,{"Unitário","Global"},0),IF($A101="S",$Y101/$X101,""),($Y101/$X101)*100),0)</f>
        <v>0</v>
      </c>
      <c r="X101" s="429" t="str">
        <f ca="1">IF($Y101&gt;0,CHOOSE(MATCH(RegimeExecucao,{"Unitário","Global"},0),IF($A101="S",ROUND($H101,ORÇAMENTO!$AF$10),""),ROUND($I101,ORÇAMENTO!$AF$11)),"")</f>
        <v/>
      </c>
      <c r="Y101" s="429">
        <f t="shared" ca="1" si="21"/>
        <v>0</v>
      </c>
      <c r="Z101" s="656"/>
      <c r="AB101" s="427"/>
      <c r="AC101" s="594"/>
      <c r="AD101" s="594"/>
      <c r="AE101" s="594"/>
      <c r="AF101" s="594"/>
      <c r="AG101" s="594"/>
      <c r="AH101" s="594"/>
      <c r="AI101" s="594"/>
      <c r="AJ101" s="594"/>
      <c r="AK101" s="594"/>
      <c r="AL101" s="594"/>
      <c r="AM101" s="428"/>
      <c r="AO101">
        <f ca="1">IF($A101="S",IF(BM!$I101=0,0,CHOOSE(MATCH(RegimeExecucao,{"Global","Unitário"},0),ROUND(ROUND(BM.MEDAcumulado,15-13*BM!$A$9)/100*BM!$I101,15-13*ORÇAMENTO!$AF$11),ROUND(ROUND(BM.MEDAcumulado,15-13*BM!$A$9)*ROUND(BM!$H101,15-13*ORÇAMENTO!$AF$10),15-13*ORÇAMENTO!$AF$11))),IF($A101=0,0,ROUND(SomaAgrupBM,15-13*ORÇAMENTO!$AF$11)))</f>
        <v>0</v>
      </c>
    </row>
    <row r="102" spans="1:41" ht="13.8">
      <c r="A102" t="str">
        <f ca="1">ORÇAMENTO!C102</f>
        <v>S</v>
      </c>
      <c r="B102">
        <f ca="1">ORÇAMENTO!D102</f>
        <v>0</v>
      </c>
      <c r="C102" s="139" t="str">
        <f t="shared" ca="1" si="15"/>
        <v/>
      </c>
      <c r="D102" s="142" t="str">
        <f ca="1">ORÇAMENTO!O102</f>
        <v>-</v>
      </c>
      <c r="E102" s="202" t="str">
        <f t="shared" ca="1" si="16"/>
        <v>(abra o arquivo 'Referência 11-2024.xlsm)</v>
      </c>
      <c r="F102" s="203" t="str">
        <f ca="1">IF(RegimeExecucao="Global","",ORÇAMENTO.Unidade)</f>
        <v/>
      </c>
      <c r="G102" s="147" t="str">
        <f ca="1">IF(RegimeExecucao="Global","",ORÇAMENTO!T102)</f>
        <v/>
      </c>
      <c r="H102" s="147" t="str">
        <f ca="1">IF(RegimeExecucao="Global","",ORÇAMENTO!W102)</f>
        <v/>
      </c>
      <c r="I102" s="150">
        <f ca="1">ORÇAMENTO!X102</f>
        <v>0</v>
      </c>
      <c r="J102" s="423">
        <f ca="1">IF($A102="S",IF(CAIXA.Modo,BM.AFAnterior,BM.MEDAnterior),IF(AND(RegimeExecucao="Global",$I102&gt;0,COUNTIF($AB$13:$AM$13,BM.medicao-1)&gt;0),M102/$I102*100,0))</f>
        <v>0</v>
      </c>
      <c r="K102" s="147">
        <f t="shared" ca="1" si="17"/>
        <v>0</v>
      </c>
      <c r="L102" s="424">
        <f ca="1">IF($A102="S",IF(CAIXA.Modo,BM.AFAcumulado,BM.MEDAcumulado),IF(AND(RegimeExecucao="Global",$I102&gt;0,COUNTIF($AB$13:$AM$13,BM.medicao)&gt;0),O102/$I102*100,0))</f>
        <v>0</v>
      </c>
      <c r="M102" s="425">
        <f ca="1">IF($A102="S",VTOTALBM,IF($A102=0,0,ROUND(SomaAgrupBM,15-13*ORÇAMENTO!$AF$11)))</f>
        <v>0</v>
      </c>
      <c r="N102" s="426">
        <f t="shared" ca="1" si="18"/>
        <v>0</v>
      </c>
      <c r="O102" s="150">
        <f ca="1">IF($A102="S",VTOTALBM,IF($A102=0,0,ROUND(SomaAgrupBM,15-13*ORÇAMENTO!$AF$11)))</f>
        <v>0</v>
      </c>
      <c r="Q102" s="427"/>
      <c r="R102" s="428"/>
      <c r="T102" s="142" t="str">
        <f t="shared" ca="1" si="19"/>
        <v/>
      </c>
      <c r="U102" s="202" t="str">
        <f t="shared" ca="1" si="20"/>
        <v/>
      </c>
      <c r="V102" s="203" t="str">
        <f ca="1">IF(AND($W102&gt;0,RegimeExecucao="Unitário"),$F102,"")</f>
        <v/>
      </c>
      <c r="W102" s="629">
        <f ca="1">IF($Y102&gt;0,CHOOSE(MATCH(RegimeExecucao,{"Unitário","Global"},0),IF($A102="S",$Y102/$X102,""),($Y102/$X102)*100),0)</f>
        <v>0</v>
      </c>
      <c r="X102" s="429" t="str">
        <f ca="1">IF($Y102&gt;0,CHOOSE(MATCH(RegimeExecucao,{"Unitário","Global"},0),IF($A102="S",ROUND($H102,ORÇAMENTO!$AF$10),""),ROUND($I102,ORÇAMENTO!$AF$11)),"")</f>
        <v/>
      </c>
      <c r="Y102" s="429">
        <f t="shared" ca="1" si="21"/>
        <v>0</v>
      </c>
      <c r="Z102" s="656"/>
      <c r="AB102" s="427"/>
      <c r="AC102" s="594"/>
      <c r="AD102" s="594"/>
      <c r="AE102" s="594"/>
      <c r="AF102" s="594"/>
      <c r="AG102" s="594"/>
      <c r="AH102" s="594"/>
      <c r="AI102" s="594"/>
      <c r="AJ102" s="594"/>
      <c r="AK102" s="594"/>
      <c r="AL102" s="594"/>
      <c r="AM102" s="428"/>
      <c r="AO102">
        <f ca="1">IF($A102="S",IF(BM!$I102=0,0,CHOOSE(MATCH(RegimeExecucao,{"Global","Unitário"},0),ROUND(ROUND(BM.MEDAcumulado,15-13*BM!$A$9)/100*BM!$I102,15-13*ORÇAMENTO!$AF$11),ROUND(ROUND(BM.MEDAcumulado,15-13*BM!$A$9)*ROUND(BM!$H102,15-13*ORÇAMENTO!$AF$10),15-13*ORÇAMENTO!$AF$11))),IF($A102=0,0,ROUND(SomaAgrupBM,15-13*ORÇAMENTO!$AF$11)))</f>
        <v>0</v>
      </c>
    </row>
    <row r="103" spans="1:41" ht="13.8">
      <c r="A103" t="str">
        <f ca="1">ORÇAMENTO!C103</f>
        <v>S</v>
      </c>
      <c r="B103">
        <f ca="1">ORÇAMENTO!D103</f>
        <v>0</v>
      </c>
      <c r="C103" s="139" t="str">
        <f t="shared" ca="1" si="15"/>
        <v/>
      </c>
      <c r="D103" s="142" t="str">
        <f ca="1">ORÇAMENTO!O103</f>
        <v>-</v>
      </c>
      <c r="E103" s="202" t="str">
        <f t="shared" ca="1" si="16"/>
        <v>(abra o arquivo 'Referência 11-2024.xlsm)</v>
      </c>
      <c r="F103" s="203" t="str">
        <f ca="1">IF(RegimeExecucao="Global","",ORÇAMENTO.Unidade)</f>
        <v/>
      </c>
      <c r="G103" s="147" t="str">
        <f ca="1">IF(RegimeExecucao="Global","",ORÇAMENTO!T103)</f>
        <v/>
      </c>
      <c r="H103" s="147" t="str">
        <f ca="1">IF(RegimeExecucao="Global","",ORÇAMENTO!W103)</f>
        <v/>
      </c>
      <c r="I103" s="150">
        <f ca="1">ORÇAMENTO!X103</f>
        <v>0</v>
      </c>
      <c r="J103" s="423">
        <f ca="1">IF($A103="S",IF(CAIXA.Modo,BM.AFAnterior,BM.MEDAnterior),IF(AND(RegimeExecucao="Global",$I103&gt;0,COUNTIF($AB$13:$AM$13,BM.medicao-1)&gt;0),M103/$I103*100,0))</f>
        <v>0</v>
      </c>
      <c r="K103" s="147">
        <f t="shared" ca="1" si="17"/>
        <v>0</v>
      </c>
      <c r="L103" s="424">
        <f ca="1">IF($A103="S",IF(CAIXA.Modo,BM.AFAcumulado,BM.MEDAcumulado),IF(AND(RegimeExecucao="Global",$I103&gt;0,COUNTIF($AB$13:$AM$13,BM.medicao)&gt;0),O103/$I103*100,0))</f>
        <v>0</v>
      </c>
      <c r="M103" s="425">
        <f ca="1">IF($A103="S",VTOTALBM,IF($A103=0,0,ROUND(SomaAgrupBM,15-13*ORÇAMENTO!$AF$11)))</f>
        <v>0</v>
      </c>
      <c r="N103" s="426">
        <f t="shared" ca="1" si="18"/>
        <v>0</v>
      </c>
      <c r="O103" s="150">
        <f ca="1">IF($A103="S",VTOTALBM,IF($A103=0,0,ROUND(SomaAgrupBM,15-13*ORÇAMENTO!$AF$11)))</f>
        <v>0</v>
      </c>
      <c r="Q103" s="427"/>
      <c r="R103" s="428"/>
      <c r="T103" s="142" t="str">
        <f t="shared" ca="1" si="19"/>
        <v/>
      </c>
      <c r="U103" s="202" t="str">
        <f t="shared" ca="1" si="20"/>
        <v/>
      </c>
      <c r="V103" s="203" t="str">
        <f ca="1">IF(AND($W103&gt;0,RegimeExecucao="Unitário"),$F103,"")</f>
        <v/>
      </c>
      <c r="W103" s="629">
        <f ca="1">IF($Y103&gt;0,CHOOSE(MATCH(RegimeExecucao,{"Unitário","Global"},0),IF($A103="S",$Y103/$X103,""),($Y103/$X103)*100),0)</f>
        <v>0</v>
      </c>
      <c r="X103" s="429" t="str">
        <f ca="1">IF($Y103&gt;0,CHOOSE(MATCH(RegimeExecucao,{"Unitário","Global"},0),IF($A103="S",ROUND($H103,ORÇAMENTO!$AF$10),""),ROUND($I103,ORÇAMENTO!$AF$11)),"")</f>
        <v/>
      </c>
      <c r="Y103" s="429">
        <f t="shared" ca="1" si="21"/>
        <v>0</v>
      </c>
      <c r="Z103" s="656"/>
      <c r="AB103" s="427"/>
      <c r="AC103" s="594"/>
      <c r="AD103" s="594"/>
      <c r="AE103" s="594"/>
      <c r="AF103" s="594"/>
      <c r="AG103" s="594"/>
      <c r="AH103" s="594"/>
      <c r="AI103" s="594"/>
      <c r="AJ103" s="594"/>
      <c r="AK103" s="594"/>
      <c r="AL103" s="594"/>
      <c r="AM103" s="428"/>
      <c r="AO103">
        <f ca="1">IF($A103="S",IF(BM!$I103=0,0,CHOOSE(MATCH(RegimeExecucao,{"Global","Unitário"},0),ROUND(ROUND(BM.MEDAcumulado,15-13*BM!$A$9)/100*BM!$I103,15-13*ORÇAMENTO!$AF$11),ROUND(ROUND(BM.MEDAcumulado,15-13*BM!$A$9)*ROUND(BM!$H103,15-13*ORÇAMENTO!$AF$10),15-13*ORÇAMENTO!$AF$11))),IF($A103=0,0,ROUND(SomaAgrupBM,15-13*ORÇAMENTO!$AF$11)))</f>
        <v>0</v>
      </c>
    </row>
    <row r="104" spans="1:41" ht="13.8">
      <c r="A104" t="str">
        <f ca="1">ORÇAMENTO!C104</f>
        <v>S</v>
      </c>
      <c r="B104">
        <f ca="1">ORÇAMENTO!D104</f>
        <v>0</v>
      </c>
      <c r="C104" s="139" t="str">
        <f t="shared" ca="1" si="15"/>
        <v/>
      </c>
      <c r="D104" s="142" t="str">
        <f ca="1">ORÇAMENTO!O104</f>
        <v>-</v>
      </c>
      <c r="E104" s="202" t="str">
        <f t="shared" ca="1" si="16"/>
        <v>(abra o arquivo 'Referência 11-2024.xlsm)</v>
      </c>
      <c r="F104" s="203" t="str">
        <f ca="1">IF(RegimeExecucao="Global","",ORÇAMENTO.Unidade)</f>
        <v/>
      </c>
      <c r="G104" s="147" t="str">
        <f ca="1">IF(RegimeExecucao="Global","",ORÇAMENTO!T104)</f>
        <v/>
      </c>
      <c r="H104" s="147" t="str">
        <f ca="1">IF(RegimeExecucao="Global","",ORÇAMENTO!W104)</f>
        <v/>
      </c>
      <c r="I104" s="150">
        <f ca="1">ORÇAMENTO!X104</f>
        <v>0</v>
      </c>
      <c r="J104" s="423">
        <f ca="1">IF($A104="S",IF(CAIXA.Modo,BM.AFAnterior,BM.MEDAnterior),IF(AND(RegimeExecucao="Global",$I104&gt;0,COUNTIF($AB$13:$AM$13,BM.medicao-1)&gt;0),M104/$I104*100,0))</f>
        <v>0</v>
      </c>
      <c r="K104" s="147">
        <f t="shared" ca="1" si="17"/>
        <v>0</v>
      </c>
      <c r="L104" s="424">
        <f ca="1">IF($A104="S",IF(CAIXA.Modo,BM.AFAcumulado,BM.MEDAcumulado),IF(AND(RegimeExecucao="Global",$I104&gt;0,COUNTIF($AB$13:$AM$13,BM.medicao)&gt;0),O104/$I104*100,0))</f>
        <v>0</v>
      </c>
      <c r="M104" s="425">
        <f ca="1">IF($A104="S",VTOTALBM,IF($A104=0,0,ROUND(SomaAgrupBM,15-13*ORÇAMENTO!$AF$11)))</f>
        <v>0</v>
      </c>
      <c r="N104" s="426">
        <f t="shared" ca="1" si="18"/>
        <v>0</v>
      </c>
      <c r="O104" s="150">
        <f ca="1">IF($A104="S",VTOTALBM,IF($A104=0,0,ROUND(SomaAgrupBM,15-13*ORÇAMENTO!$AF$11)))</f>
        <v>0</v>
      </c>
      <c r="Q104" s="427"/>
      <c r="R104" s="428"/>
      <c r="T104" s="142" t="str">
        <f t="shared" ca="1" si="19"/>
        <v/>
      </c>
      <c r="U104" s="202" t="str">
        <f t="shared" ca="1" si="20"/>
        <v/>
      </c>
      <c r="V104" s="203" t="str">
        <f ca="1">IF(AND($W104&gt;0,RegimeExecucao="Unitário"),$F104,"")</f>
        <v/>
      </c>
      <c r="W104" s="629">
        <f ca="1">IF($Y104&gt;0,CHOOSE(MATCH(RegimeExecucao,{"Unitário","Global"},0),IF($A104="S",$Y104/$X104,""),($Y104/$X104)*100),0)</f>
        <v>0</v>
      </c>
      <c r="X104" s="429" t="str">
        <f ca="1">IF($Y104&gt;0,CHOOSE(MATCH(RegimeExecucao,{"Unitário","Global"},0),IF($A104="S",ROUND($H104,ORÇAMENTO!$AF$10),""),ROUND($I104,ORÇAMENTO!$AF$11)),"")</f>
        <v/>
      </c>
      <c r="Y104" s="429">
        <f t="shared" ca="1" si="21"/>
        <v>0</v>
      </c>
      <c r="Z104" s="656"/>
      <c r="AB104" s="427"/>
      <c r="AC104" s="594"/>
      <c r="AD104" s="594"/>
      <c r="AE104" s="594"/>
      <c r="AF104" s="594"/>
      <c r="AG104" s="594"/>
      <c r="AH104" s="594"/>
      <c r="AI104" s="594"/>
      <c r="AJ104" s="594"/>
      <c r="AK104" s="594"/>
      <c r="AL104" s="594"/>
      <c r="AM104" s="428"/>
      <c r="AO104">
        <f ca="1">IF($A104="S",IF(BM!$I104=0,0,CHOOSE(MATCH(RegimeExecucao,{"Global","Unitário"},0),ROUND(ROUND(BM.MEDAcumulado,15-13*BM!$A$9)/100*BM!$I104,15-13*ORÇAMENTO!$AF$11),ROUND(ROUND(BM.MEDAcumulado,15-13*BM!$A$9)*ROUND(BM!$H104,15-13*ORÇAMENTO!$AF$10),15-13*ORÇAMENTO!$AF$11))),IF($A104=0,0,ROUND(SomaAgrupBM,15-13*ORÇAMENTO!$AF$11)))</f>
        <v>0</v>
      </c>
    </row>
    <row r="105" spans="1:41" ht="13.8">
      <c r="A105" t="str">
        <f ca="1">ORÇAMENTO!C105</f>
        <v>S</v>
      </c>
      <c r="B105">
        <f ca="1">ORÇAMENTO!D105</f>
        <v>0</v>
      </c>
      <c r="C105" s="139" t="str">
        <f t="shared" ca="1" si="15"/>
        <v/>
      </c>
      <c r="D105" s="142" t="str">
        <f ca="1">ORÇAMENTO!O105</f>
        <v>-</v>
      </c>
      <c r="E105" s="202" t="str">
        <f t="shared" ca="1" si="16"/>
        <v>(abra o arquivo 'Referência 11-2024.xlsm)</v>
      </c>
      <c r="F105" s="203" t="str">
        <f ca="1">IF(RegimeExecucao="Global","",ORÇAMENTO.Unidade)</f>
        <v/>
      </c>
      <c r="G105" s="147" t="str">
        <f ca="1">IF(RegimeExecucao="Global","",ORÇAMENTO!T105)</f>
        <v/>
      </c>
      <c r="H105" s="147" t="str">
        <f ca="1">IF(RegimeExecucao="Global","",ORÇAMENTO!W105)</f>
        <v/>
      </c>
      <c r="I105" s="150">
        <f ca="1">ORÇAMENTO!X105</f>
        <v>0</v>
      </c>
      <c r="J105" s="423">
        <f ca="1">IF($A105="S",IF(CAIXA.Modo,BM.AFAnterior,BM.MEDAnterior),IF(AND(RegimeExecucao="Global",$I105&gt;0,COUNTIF($AB$13:$AM$13,BM.medicao-1)&gt;0),M105/$I105*100,0))</f>
        <v>0</v>
      </c>
      <c r="K105" s="147">
        <f t="shared" ca="1" si="17"/>
        <v>0</v>
      </c>
      <c r="L105" s="424">
        <f ca="1">IF($A105="S",IF(CAIXA.Modo,BM.AFAcumulado,BM.MEDAcumulado),IF(AND(RegimeExecucao="Global",$I105&gt;0,COUNTIF($AB$13:$AM$13,BM.medicao)&gt;0),O105/$I105*100,0))</f>
        <v>0</v>
      </c>
      <c r="M105" s="425">
        <f ca="1">IF($A105="S",VTOTALBM,IF($A105=0,0,ROUND(SomaAgrupBM,15-13*ORÇAMENTO!$AF$11)))</f>
        <v>0</v>
      </c>
      <c r="N105" s="426">
        <f t="shared" ca="1" si="18"/>
        <v>0</v>
      </c>
      <c r="O105" s="150">
        <f ca="1">IF($A105="S",VTOTALBM,IF($A105=0,0,ROUND(SomaAgrupBM,15-13*ORÇAMENTO!$AF$11)))</f>
        <v>0</v>
      </c>
      <c r="Q105" s="427"/>
      <c r="R105" s="428"/>
      <c r="T105" s="142" t="str">
        <f t="shared" ca="1" si="19"/>
        <v/>
      </c>
      <c r="U105" s="202" t="str">
        <f t="shared" ca="1" si="20"/>
        <v/>
      </c>
      <c r="V105" s="203" t="str">
        <f ca="1">IF(AND($W105&gt;0,RegimeExecucao="Unitário"),$F105,"")</f>
        <v/>
      </c>
      <c r="W105" s="629">
        <f ca="1">IF($Y105&gt;0,CHOOSE(MATCH(RegimeExecucao,{"Unitário","Global"},0),IF($A105="S",$Y105/$X105,""),($Y105/$X105)*100),0)</f>
        <v>0</v>
      </c>
      <c r="X105" s="429" t="str">
        <f ca="1">IF($Y105&gt;0,CHOOSE(MATCH(RegimeExecucao,{"Unitário","Global"},0),IF($A105="S",ROUND($H105,ORÇAMENTO!$AF$10),""),ROUND($I105,ORÇAMENTO!$AF$11)),"")</f>
        <v/>
      </c>
      <c r="Y105" s="429">
        <f t="shared" ca="1" si="21"/>
        <v>0</v>
      </c>
      <c r="Z105" s="656"/>
      <c r="AB105" s="427"/>
      <c r="AC105" s="594"/>
      <c r="AD105" s="594"/>
      <c r="AE105" s="594"/>
      <c r="AF105" s="594"/>
      <c r="AG105" s="594"/>
      <c r="AH105" s="594"/>
      <c r="AI105" s="594"/>
      <c r="AJ105" s="594"/>
      <c r="AK105" s="594"/>
      <c r="AL105" s="594"/>
      <c r="AM105" s="428"/>
      <c r="AO105">
        <f ca="1">IF($A105="S",IF(BM!$I105=0,0,CHOOSE(MATCH(RegimeExecucao,{"Global","Unitário"},0),ROUND(ROUND(BM.MEDAcumulado,15-13*BM!$A$9)/100*BM!$I105,15-13*ORÇAMENTO!$AF$11),ROUND(ROUND(BM.MEDAcumulado,15-13*BM!$A$9)*ROUND(BM!$H105,15-13*ORÇAMENTO!$AF$10),15-13*ORÇAMENTO!$AF$11))),IF($A105=0,0,ROUND(SomaAgrupBM,15-13*ORÇAMENTO!$AF$11)))</f>
        <v>0</v>
      </c>
    </row>
    <row r="106" spans="1:41" ht="13.8">
      <c r="A106" t="str">
        <f ca="1">ORÇAMENTO!C106</f>
        <v>S</v>
      </c>
      <c r="B106">
        <f ca="1">ORÇAMENTO!D106</f>
        <v>0</v>
      </c>
      <c r="C106" s="139" t="str">
        <f t="shared" ca="1" si="15"/>
        <v/>
      </c>
      <c r="D106" s="142" t="str">
        <f ca="1">ORÇAMENTO!O106</f>
        <v>-</v>
      </c>
      <c r="E106" s="202" t="str">
        <f t="shared" ca="1" si="16"/>
        <v>(abra o arquivo 'Referência 11-2024.xlsm)</v>
      </c>
      <c r="F106" s="203" t="str">
        <f ca="1">IF(RegimeExecucao="Global","",ORÇAMENTO.Unidade)</f>
        <v/>
      </c>
      <c r="G106" s="147" t="str">
        <f ca="1">IF(RegimeExecucao="Global","",ORÇAMENTO!T106)</f>
        <v/>
      </c>
      <c r="H106" s="147" t="str">
        <f ca="1">IF(RegimeExecucao="Global","",ORÇAMENTO!W106)</f>
        <v/>
      </c>
      <c r="I106" s="150">
        <f ca="1">ORÇAMENTO!X106</f>
        <v>0</v>
      </c>
      <c r="J106" s="423">
        <f ca="1">IF($A106="S",IF(CAIXA.Modo,BM.AFAnterior,BM.MEDAnterior),IF(AND(RegimeExecucao="Global",$I106&gt;0,COUNTIF($AB$13:$AM$13,BM.medicao-1)&gt;0),M106/$I106*100,0))</f>
        <v>0</v>
      </c>
      <c r="K106" s="147">
        <f t="shared" ca="1" si="17"/>
        <v>0</v>
      </c>
      <c r="L106" s="424">
        <f ca="1">IF($A106="S",IF(CAIXA.Modo,BM.AFAcumulado,BM.MEDAcumulado),IF(AND(RegimeExecucao="Global",$I106&gt;0,COUNTIF($AB$13:$AM$13,BM.medicao)&gt;0),O106/$I106*100,0))</f>
        <v>0</v>
      </c>
      <c r="M106" s="425">
        <f ca="1">IF($A106="S",VTOTALBM,IF($A106=0,0,ROUND(SomaAgrupBM,15-13*ORÇAMENTO!$AF$11)))</f>
        <v>0</v>
      </c>
      <c r="N106" s="426">
        <f t="shared" ca="1" si="18"/>
        <v>0</v>
      </c>
      <c r="O106" s="150">
        <f ca="1">IF($A106="S",VTOTALBM,IF($A106=0,0,ROUND(SomaAgrupBM,15-13*ORÇAMENTO!$AF$11)))</f>
        <v>0</v>
      </c>
      <c r="Q106" s="427"/>
      <c r="R106" s="428"/>
      <c r="T106" s="142" t="str">
        <f t="shared" ca="1" si="19"/>
        <v/>
      </c>
      <c r="U106" s="202" t="str">
        <f t="shared" ca="1" si="20"/>
        <v/>
      </c>
      <c r="V106" s="203" t="str">
        <f ca="1">IF(AND($W106&gt;0,RegimeExecucao="Unitário"),$F106,"")</f>
        <v/>
      </c>
      <c r="W106" s="629">
        <f ca="1">IF($Y106&gt;0,CHOOSE(MATCH(RegimeExecucao,{"Unitário","Global"},0),IF($A106="S",$Y106/$X106,""),($Y106/$X106)*100),0)</f>
        <v>0</v>
      </c>
      <c r="X106" s="429" t="str">
        <f ca="1">IF($Y106&gt;0,CHOOSE(MATCH(RegimeExecucao,{"Unitário","Global"},0),IF($A106="S",ROUND($H106,ORÇAMENTO!$AF$10),""),ROUND($I106,ORÇAMENTO!$AF$11)),"")</f>
        <v/>
      </c>
      <c r="Y106" s="429">
        <f t="shared" ca="1" si="21"/>
        <v>0</v>
      </c>
      <c r="Z106" s="656"/>
      <c r="AB106" s="427"/>
      <c r="AC106" s="594"/>
      <c r="AD106" s="594"/>
      <c r="AE106" s="594"/>
      <c r="AF106" s="594"/>
      <c r="AG106" s="594"/>
      <c r="AH106" s="594"/>
      <c r="AI106" s="594"/>
      <c r="AJ106" s="594"/>
      <c r="AK106" s="594"/>
      <c r="AL106" s="594"/>
      <c r="AM106" s="428"/>
      <c r="AO106">
        <f ca="1">IF($A106="S",IF(BM!$I106=0,0,CHOOSE(MATCH(RegimeExecucao,{"Global","Unitário"},0),ROUND(ROUND(BM.MEDAcumulado,15-13*BM!$A$9)/100*BM!$I106,15-13*ORÇAMENTO!$AF$11),ROUND(ROUND(BM.MEDAcumulado,15-13*BM!$A$9)*ROUND(BM!$H106,15-13*ORÇAMENTO!$AF$10),15-13*ORÇAMENTO!$AF$11))),IF($A106=0,0,ROUND(SomaAgrupBM,15-13*ORÇAMENTO!$AF$11)))</f>
        <v>0</v>
      </c>
    </row>
    <row r="107" spans="1:41" ht="13.8">
      <c r="A107" t="str">
        <f ca="1">ORÇAMENTO!C107</f>
        <v>S</v>
      </c>
      <c r="B107">
        <f ca="1">ORÇAMENTO!D107</f>
        <v>0</v>
      </c>
      <c r="C107" s="139" t="str">
        <f t="shared" ca="1" si="15"/>
        <v/>
      </c>
      <c r="D107" s="142" t="str">
        <f ca="1">ORÇAMENTO!O107</f>
        <v>-</v>
      </c>
      <c r="E107" s="202" t="str">
        <f t="shared" ca="1" si="16"/>
        <v>(abra o arquivo 'Referência 11-2024.xlsm)</v>
      </c>
      <c r="F107" s="203" t="str">
        <f ca="1">IF(RegimeExecucao="Global","",ORÇAMENTO.Unidade)</f>
        <v/>
      </c>
      <c r="G107" s="147" t="str">
        <f ca="1">IF(RegimeExecucao="Global","",ORÇAMENTO!T107)</f>
        <v/>
      </c>
      <c r="H107" s="147" t="str">
        <f ca="1">IF(RegimeExecucao="Global","",ORÇAMENTO!W107)</f>
        <v/>
      </c>
      <c r="I107" s="150">
        <f ca="1">ORÇAMENTO!X107</f>
        <v>0</v>
      </c>
      <c r="J107" s="423">
        <f ca="1">IF($A107="S",IF(CAIXA.Modo,BM.AFAnterior,BM.MEDAnterior),IF(AND(RegimeExecucao="Global",$I107&gt;0,COUNTIF($AB$13:$AM$13,BM.medicao-1)&gt;0),M107/$I107*100,0))</f>
        <v>0</v>
      </c>
      <c r="K107" s="147">
        <f t="shared" ca="1" si="17"/>
        <v>0</v>
      </c>
      <c r="L107" s="424">
        <f ca="1">IF($A107="S",IF(CAIXA.Modo,BM.AFAcumulado,BM.MEDAcumulado),IF(AND(RegimeExecucao="Global",$I107&gt;0,COUNTIF($AB$13:$AM$13,BM.medicao)&gt;0),O107/$I107*100,0))</f>
        <v>0</v>
      </c>
      <c r="M107" s="425">
        <f ca="1">IF($A107="S",VTOTALBM,IF($A107=0,0,ROUND(SomaAgrupBM,15-13*ORÇAMENTO!$AF$11)))</f>
        <v>0</v>
      </c>
      <c r="N107" s="426">
        <f t="shared" ca="1" si="18"/>
        <v>0</v>
      </c>
      <c r="O107" s="150">
        <f ca="1">IF($A107="S",VTOTALBM,IF($A107=0,0,ROUND(SomaAgrupBM,15-13*ORÇAMENTO!$AF$11)))</f>
        <v>0</v>
      </c>
      <c r="Q107" s="427"/>
      <c r="R107" s="428"/>
      <c r="T107" s="142" t="str">
        <f t="shared" ca="1" si="19"/>
        <v/>
      </c>
      <c r="U107" s="202" t="str">
        <f t="shared" ca="1" si="20"/>
        <v/>
      </c>
      <c r="V107" s="203" t="str">
        <f ca="1">IF(AND($W107&gt;0,RegimeExecucao="Unitário"),$F107,"")</f>
        <v/>
      </c>
      <c r="W107" s="629">
        <f ca="1">IF($Y107&gt;0,CHOOSE(MATCH(RegimeExecucao,{"Unitário","Global"},0),IF($A107="S",$Y107/$X107,""),($Y107/$X107)*100),0)</f>
        <v>0</v>
      </c>
      <c r="X107" s="429" t="str">
        <f ca="1">IF($Y107&gt;0,CHOOSE(MATCH(RegimeExecucao,{"Unitário","Global"},0),IF($A107="S",ROUND($H107,ORÇAMENTO!$AF$10),""),ROUND($I107,ORÇAMENTO!$AF$11)),"")</f>
        <v/>
      </c>
      <c r="Y107" s="429">
        <f t="shared" ca="1" si="21"/>
        <v>0</v>
      </c>
      <c r="Z107" s="656"/>
      <c r="AB107" s="427"/>
      <c r="AC107" s="594"/>
      <c r="AD107" s="594"/>
      <c r="AE107" s="594"/>
      <c r="AF107" s="594"/>
      <c r="AG107" s="594"/>
      <c r="AH107" s="594"/>
      <c r="AI107" s="594"/>
      <c r="AJ107" s="594"/>
      <c r="AK107" s="594"/>
      <c r="AL107" s="594"/>
      <c r="AM107" s="428"/>
      <c r="AO107">
        <f ca="1">IF($A107="S",IF(BM!$I107=0,0,CHOOSE(MATCH(RegimeExecucao,{"Global","Unitário"},0),ROUND(ROUND(BM.MEDAcumulado,15-13*BM!$A$9)/100*BM!$I107,15-13*ORÇAMENTO!$AF$11),ROUND(ROUND(BM.MEDAcumulado,15-13*BM!$A$9)*ROUND(BM!$H107,15-13*ORÇAMENTO!$AF$10),15-13*ORÇAMENTO!$AF$11))),IF($A107=0,0,ROUND(SomaAgrupBM,15-13*ORÇAMENTO!$AF$11)))</f>
        <v>0</v>
      </c>
    </row>
    <row r="108" spans="1:41" ht="13.8">
      <c r="A108" t="str">
        <f ca="1">ORÇAMENTO!C108</f>
        <v>S</v>
      </c>
      <c r="B108">
        <f ca="1">ORÇAMENTO!D108</f>
        <v>0</v>
      </c>
      <c r="C108" s="139" t="str">
        <f t="shared" ca="1" si="15"/>
        <v/>
      </c>
      <c r="D108" s="142" t="str">
        <f ca="1">ORÇAMENTO!O108</f>
        <v>-</v>
      </c>
      <c r="E108" s="202" t="str">
        <f t="shared" ca="1" si="16"/>
        <v>(abra o arquivo 'Referência 11-2024.xlsm)</v>
      </c>
      <c r="F108" s="203" t="str">
        <f ca="1">IF(RegimeExecucao="Global","",ORÇAMENTO.Unidade)</f>
        <v/>
      </c>
      <c r="G108" s="147" t="str">
        <f ca="1">IF(RegimeExecucao="Global","",ORÇAMENTO!T108)</f>
        <v/>
      </c>
      <c r="H108" s="147" t="str">
        <f ca="1">IF(RegimeExecucao="Global","",ORÇAMENTO!W108)</f>
        <v/>
      </c>
      <c r="I108" s="150">
        <f ca="1">ORÇAMENTO!X108</f>
        <v>0</v>
      </c>
      <c r="J108" s="423">
        <f ca="1">IF($A108="S",IF(CAIXA.Modo,BM.AFAnterior,BM.MEDAnterior),IF(AND(RegimeExecucao="Global",$I108&gt;0,COUNTIF($AB$13:$AM$13,BM.medicao-1)&gt;0),M108/$I108*100,0))</f>
        <v>0</v>
      </c>
      <c r="K108" s="147">
        <f t="shared" ca="1" si="17"/>
        <v>0</v>
      </c>
      <c r="L108" s="424">
        <f ca="1">IF($A108="S",IF(CAIXA.Modo,BM.AFAcumulado,BM.MEDAcumulado),IF(AND(RegimeExecucao="Global",$I108&gt;0,COUNTIF($AB$13:$AM$13,BM.medicao)&gt;0),O108/$I108*100,0))</f>
        <v>0</v>
      </c>
      <c r="M108" s="425">
        <f ca="1">IF($A108="S",VTOTALBM,IF($A108=0,0,ROUND(SomaAgrupBM,15-13*ORÇAMENTO!$AF$11)))</f>
        <v>0</v>
      </c>
      <c r="N108" s="426">
        <f t="shared" ca="1" si="18"/>
        <v>0</v>
      </c>
      <c r="O108" s="150">
        <f ca="1">IF($A108="S",VTOTALBM,IF($A108=0,0,ROUND(SomaAgrupBM,15-13*ORÇAMENTO!$AF$11)))</f>
        <v>0</v>
      </c>
      <c r="Q108" s="427"/>
      <c r="R108" s="428"/>
      <c r="T108" s="142" t="str">
        <f t="shared" ca="1" si="19"/>
        <v/>
      </c>
      <c r="U108" s="202" t="str">
        <f t="shared" ca="1" si="20"/>
        <v/>
      </c>
      <c r="V108" s="203" t="str">
        <f ca="1">IF(AND($W108&gt;0,RegimeExecucao="Unitário"),$F108,"")</f>
        <v/>
      </c>
      <c r="W108" s="629">
        <f ca="1">IF($Y108&gt;0,CHOOSE(MATCH(RegimeExecucao,{"Unitário","Global"},0),IF($A108="S",$Y108/$X108,""),($Y108/$X108)*100),0)</f>
        <v>0</v>
      </c>
      <c r="X108" s="429" t="str">
        <f ca="1">IF($Y108&gt;0,CHOOSE(MATCH(RegimeExecucao,{"Unitário","Global"},0),IF($A108="S",ROUND($H108,ORÇAMENTO!$AF$10),""),ROUND($I108,ORÇAMENTO!$AF$11)),"")</f>
        <v/>
      </c>
      <c r="Y108" s="429">
        <f t="shared" ca="1" si="21"/>
        <v>0</v>
      </c>
      <c r="Z108" s="656"/>
      <c r="AB108" s="427"/>
      <c r="AC108" s="594"/>
      <c r="AD108" s="594"/>
      <c r="AE108" s="594"/>
      <c r="AF108" s="594"/>
      <c r="AG108" s="594"/>
      <c r="AH108" s="594"/>
      <c r="AI108" s="594"/>
      <c r="AJ108" s="594"/>
      <c r="AK108" s="594"/>
      <c r="AL108" s="594"/>
      <c r="AM108" s="428"/>
      <c r="AO108">
        <f ca="1">IF($A108="S",IF(BM!$I108=0,0,CHOOSE(MATCH(RegimeExecucao,{"Global","Unitário"},0),ROUND(ROUND(BM.MEDAcumulado,15-13*BM!$A$9)/100*BM!$I108,15-13*ORÇAMENTO!$AF$11),ROUND(ROUND(BM.MEDAcumulado,15-13*BM!$A$9)*ROUND(BM!$H108,15-13*ORÇAMENTO!$AF$10),15-13*ORÇAMENTO!$AF$11))),IF($A108=0,0,ROUND(SomaAgrupBM,15-13*ORÇAMENTO!$AF$11)))</f>
        <v>0</v>
      </c>
    </row>
    <row r="109" spans="1:41" ht="13.8">
      <c r="A109" t="str">
        <f ca="1">ORÇAMENTO!C109</f>
        <v>S</v>
      </c>
      <c r="B109">
        <f ca="1">ORÇAMENTO!D109</f>
        <v>0</v>
      </c>
      <c r="C109" s="139" t="str">
        <f t="shared" ca="1" si="15"/>
        <v/>
      </c>
      <c r="D109" s="142" t="str">
        <f ca="1">ORÇAMENTO!O109</f>
        <v>-</v>
      </c>
      <c r="E109" s="202" t="str">
        <f t="shared" ca="1" si="16"/>
        <v>(abra o arquivo 'Referência 11-2024.xlsm)</v>
      </c>
      <c r="F109" s="203" t="str">
        <f ca="1">IF(RegimeExecucao="Global","",ORÇAMENTO.Unidade)</f>
        <v/>
      </c>
      <c r="G109" s="147" t="str">
        <f ca="1">IF(RegimeExecucao="Global","",ORÇAMENTO!T109)</f>
        <v/>
      </c>
      <c r="H109" s="147" t="str">
        <f ca="1">IF(RegimeExecucao="Global","",ORÇAMENTO!W109)</f>
        <v/>
      </c>
      <c r="I109" s="150">
        <f ca="1">ORÇAMENTO!X109</f>
        <v>0</v>
      </c>
      <c r="J109" s="423">
        <f ca="1">IF($A109="S",IF(CAIXA.Modo,BM.AFAnterior,BM.MEDAnterior),IF(AND(RegimeExecucao="Global",$I109&gt;0,COUNTIF($AB$13:$AM$13,BM.medicao-1)&gt;0),M109/$I109*100,0))</f>
        <v>0</v>
      </c>
      <c r="K109" s="147">
        <f t="shared" ca="1" si="17"/>
        <v>0</v>
      </c>
      <c r="L109" s="424">
        <f ca="1">IF($A109="S",IF(CAIXA.Modo,BM.AFAcumulado,BM.MEDAcumulado),IF(AND(RegimeExecucao="Global",$I109&gt;0,COUNTIF($AB$13:$AM$13,BM.medicao)&gt;0),O109/$I109*100,0))</f>
        <v>0</v>
      </c>
      <c r="M109" s="425">
        <f ca="1">IF($A109="S",VTOTALBM,IF($A109=0,0,ROUND(SomaAgrupBM,15-13*ORÇAMENTO!$AF$11)))</f>
        <v>0</v>
      </c>
      <c r="N109" s="426">
        <f t="shared" ca="1" si="18"/>
        <v>0</v>
      </c>
      <c r="O109" s="150">
        <f ca="1">IF($A109="S",VTOTALBM,IF($A109=0,0,ROUND(SomaAgrupBM,15-13*ORÇAMENTO!$AF$11)))</f>
        <v>0</v>
      </c>
      <c r="Q109" s="427"/>
      <c r="R109" s="428"/>
      <c r="T109" s="142" t="str">
        <f t="shared" ca="1" si="19"/>
        <v/>
      </c>
      <c r="U109" s="202" t="str">
        <f t="shared" ca="1" si="20"/>
        <v/>
      </c>
      <c r="V109" s="203" t="str">
        <f ca="1">IF(AND($W109&gt;0,RegimeExecucao="Unitário"),$F109,"")</f>
        <v/>
      </c>
      <c r="W109" s="629">
        <f ca="1">IF($Y109&gt;0,CHOOSE(MATCH(RegimeExecucao,{"Unitário","Global"},0),IF($A109="S",$Y109/$X109,""),($Y109/$X109)*100),0)</f>
        <v>0</v>
      </c>
      <c r="X109" s="429" t="str">
        <f ca="1">IF($Y109&gt;0,CHOOSE(MATCH(RegimeExecucao,{"Unitário","Global"},0),IF($A109="S",ROUND($H109,ORÇAMENTO!$AF$10),""),ROUND($I109,ORÇAMENTO!$AF$11)),"")</f>
        <v/>
      </c>
      <c r="Y109" s="429">
        <f t="shared" ca="1" si="21"/>
        <v>0</v>
      </c>
      <c r="Z109" s="656"/>
      <c r="AB109" s="427"/>
      <c r="AC109" s="594"/>
      <c r="AD109" s="594"/>
      <c r="AE109" s="594"/>
      <c r="AF109" s="594"/>
      <c r="AG109" s="594"/>
      <c r="AH109" s="594"/>
      <c r="AI109" s="594"/>
      <c r="AJ109" s="594"/>
      <c r="AK109" s="594"/>
      <c r="AL109" s="594"/>
      <c r="AM109" s="428"/>
      <c r="AO109">
        <f ca="1">IF($A109="S",IF(BM!$I109=0,0,CHOOSE(MATCH(RegimeExecucao,{"Global","Unitário"},0),ROUND(ROUND(BM.MEDAcumulado,15-13*BM!$A$9)/100*BM!$I109,15-13*ORÇAMENTO!$AF$11),ROUND(ROUND(BM.MEDAcumulado,15-13*BM!$A$9)*ROUND(BM!$H109,15-13*ORÇAMENTO!$AF$10),15-13*ORÇAMENTO!$AF$11))),IF($A109=0,0,ROUND(SomaAgrupBM,15-13*ORÇAMENTO!$AF$11)))</f>
        <v>0</v>
      </c>
    </row>
    <row r="110" spans="1:41" ht="13.8">
      <c r="A110" t="str">
        <f ca="1">ORÇAMENTO!C110</f>
        <v>S</v>
      </c>
      <c r="B110">
        <f ca="1">ORÇAMENTO!D110</f>
        <v>0</v>
      </c>
      <c r="C110" s="139" t="str">
        <f t="shared" ca="1" si="15"/>
        <v/>
      </c>
      <c r="D110" s="142" t="str">
        <f ca="1">ORÇAMENTO!O110</f>
        <v>-</v>
      </c>
      <c r="E110" s="202" t="str">
        <f t="shared" ca="1" si="16"/>
        <v>(abra o arquivo 'Referência 11-2024.xlsm)</v>
      </c>
      <c r="F110" s="203" t="str">
        <f ca="1">IF(RegimeExecucao="Global","",ORÇAMENTO.Unidade)</f>
        <v/>
      </c>
      <c r="G110" s="147" t="str">
        <f ca="1">IF(RegimeExecucao="Global","",ORÇAMENTO!T110)</f>
        <v/>
      </c>
      <c r="H110" s="147" t="str">
        <f ca="1">IF(RegimeExecucao="Global","",ORÇAMENTO!W110)</f>
        <v/>
      </c>
      <c r="I110" s="150">
        <f ca="1">ORÇAMENTO!X110</f>
        <v>0</v>
      </c>
      <c r="J110" s="423">
        <f ca="1">IF($A110="S",IF(CAIXA.Modo,BM.AFAnterior,BM.MEDAnterior),IF(AND(RegimeExecucao="Global",$I110&gt;0,COUNTIF($AB$13:$AM$13,BM.medicao-1)&gt;0),M110/$I110*100,0))</f>
        <v>0</v>
      </c>
      <c r="K110" s="147">
        <f t="shared" ca="1" si="17"/>
        <v>0</v>
      </c>
      <c r="L110" s="424">
        <f ca="1">IF($A110="S",IF(CAIXA.Modo,BM.AFAcumulado,BM.MEDAcumulado),IF(AND(RegimeExecucao="Global",$I110&gt;0,COUNTIF($AB$13:$AM$13,BM.medicao)&gt;0),O110/$I110*100,0))</f>
        <v>0</v>
      </c>
      <c r="M110" s="425">
        <f ca="1">IF($A110="S",VTOTALBM,IF($A110=0,0,ROUND(SomaAgrupBM,15-13*ORÇAMENTO!$AF$11)))</f>
        <v>0</v>
      </c>
      <c r="N110" s="426">
        <f t="shared" ca="1" si="18"/>
        <v>0</v>
      </c>
      <c r="O110" s="150">
        <f ca="1">IF($A110="S",VTOTALBM,IF($A110=0,0,ROUND(SomaAgrupBM,15-13*ORÇAMENTO!$AF$11)))</f>
        <v>0</v>
      </c>
      <c r="Q110" s="427"/>
      <c r="R110" s="428"/>
      <c r="T110" s="142" t="str">
        <f t="shared" ca="1" si="19"/>
        <v/>
      </c>
      <c r="U110" s="202" t="str">
        <f t="shared" ca="1" si="20"/>
        <v/>
      </c>
      <c r="V110" s="203" t="str">
        <f ca="1">IF(AND($W110&gt;0,RegimeExecucao="Unitário"),$F110,"")</f>
        <v/>
      </c>
      <c r="W110" s="629">
        <f ca="1">IF($Y110&gt;0,CHOOSE(MATCH(RegimeExecucao,{"Unitário","Global"},0),IF($A110="S",$Y110/$X110,""),($Y110/$X110)*100),0)</f>
        <v>0</v>
      </c>
      <c r="X110" s="429" t="str">
        <f ca="1">IF($Y110&gt;0,CHOOSE(MATCH(RegimeExecucao,{"Unitário","Global"},0),IF($A110="S",ROUND($H110,ORÇAMENTO!$AF$10),""),ROUND($I110,ORÇAMENTO!$AF$11)),"")</f>
        <v/>
      </c>
      <c r="Y110" s="429">
        <f t="shared" ca="1" si="21"/>
        <v>0</v>
      </c>
      <c r="Z110" s="656"/>
      <c r="AB110" s="427"/>
      <c r="AC110" s="594"/>
      <c r="AD110" s="594"/>
      <c r="AE110" s="594"/>
      <c r="AF110" s="594"/>
      <c r="AG110" s="594"/>
      <c r="AH110" s="594"/>
      <c r="AI110" s="594"/>
      <c r="AJ110" s="594"/>
      <c r="AK110" s="594"/>
      <c r="AL110" s="594"/>
      <c r="AM110" s="428"/>
      <c r="AO110">
        <f ca="1">IF($A110="S",IF(BM!$I110=0,0,CHOOSE(MATCH(RegimeExecucao,{"Global","Unitário"},0),ROUND(ROUND(BM.MEDAcumulado,15-13*BM!$A$9)/100*BM!$I110,15-13*ORÇAMENTO!$AF$11),ROUND(ROUND(BM.MEDAcumulado,15-13*BM!$A$9)*ROUND(BM!$H110,15-13*ORÇAMENTO!$AF$10),15-13*ORÇAMENTO!$AF$11))),IF($A110=0,0,ROUND(SomaAgrupBM,15-13*ORÇAMENTO!$AF$11)))</f>
        <v>0</v>
      </c>
    </row>
    <row r="111" spans="1:41" ht="13.8">
      <c r="A111" t="str">
        <f ca="1">ORÇAMENTO!C111</f>
        <v>S</v>
      </c>
      <c r="B111">
        <f ca="1">ORÇAMENTO!D111</f>
        <v>0</v>
      </c>
      <c r="C111" s="139" t="str">
        <f t="shared" ca="1" si="15"/>
        <v/>
      </c>
      <c r="D111" s="142" t="str">
        <f ca="1">ORÇAMENTO!O111</f>
        <v>-</v>
      </c>
      <c r="E111" s="202" t="str">
        <f t="shared" ca="1" si="16"/>
        <v>(abra o arquivo 'Referência 11-2024.xlsm)</v>
      </c>
      <c r="F111" s="203" t="str">
        <f ca="1">IF(RegimeExecucao="Global","",ORÇAMENTO.Unidade)</f>
        <v/>
      </c>
      <c r="G111" s="147" t="str">
        <f ca="1">IF(RegimeExecucao="Global","",ORÇAMENTO!T111)</f>
        <v/>
      </c>
      <c r="H111" s="147" t="str">
        <f ca="1">IF(RegimeExecucao="Global","",ORÇAMENTO!W111)</f>
        <v/>
      </c>
      <c r="I111" s="150">
        <f ca="1">ORÇAMENTO!X111</f>
        <v>0</v>
      </c>
      <c r="J111" s="423">
        <f ca="1">IF($A111="S",IF(CAIXA.Modo,BM.AFAnterior,BM.MEDAnterior),IF(AND(RegimeExecucao="Global",$I111&gt;0,COUNTIF($AB$13:$AM$13,BM.medicao-1)&gt;0),M111/$I111*100,0))</f>
        <v>0</v>
      </c>
      <c r="K111" s="147">
        <f t="shared" ca="1" si="17"/>
        <v>0</v>
      </c>
      <c r="L111" s="424">
        <f ca="1">IF($A111="S",IF(CAIXA.Modo,BM.AFAcumulado,BM.MEDAcumulado),IF(AND(RegimeExecucao="Global",$I111&gt;0,COUNTIF($AB$13:$AM$13,BM.medicao)&gt;0),O111/$I111*100,0))</f>
        <v>0</v>
      </c>
      <c r="M111" s="425">
        <f ca="1">IF($A111="S",VTOTALBM,IF($A111=0,0,ROUND(SomaAgrupBM,15-13*ORÇAMENTO!$AF$11)))</f>
        <v>0</v>
      </c>
      <c r="N111" s="426">
        <f t="shared" ca="1" si="18"/>
        <v>0</v>
      </c>
      <c r="O111" s="150">
        <f ca="1">IF($A111="S",VTOTALBM,IF($A111=0,0,ROUND(SomaAgrupBM,15-13*ORÇAMENTO!$AF$11)))</f>
        <v>0</v>
      </c>
      <c r="Q111" s="427"/>
      <c r="R111" s="428"/>
      <c r="T111" s="142" t="str">
        <f t="shared" ca="1" si="19"/>
        <v/>
      </c>
      <c r="U111" s="202" t="str">
        <f t="shared" ca="1" si="20"/>
        <v/>
      </c>
      <c r="V111" s="203" t="str">
        <f ca="1">IF(AND($W111&gt;0,RegimeExecucao="Unitário"),$F111,"")</f>
        <v/>
      </c>
      <c r="W111" s="629">
        <f ca="1">IF($Y111&gt;0,CHOOSE(MATCH(RegimeExecucao,{"Unitário","Global"},0),IF($A111="S",$Y111/$X111,""),($Y111/$X111)*100),0)</f>
        <v>0</v>
      </c>
      <c r="X111" s="429" t="str">
        <f ca="1">IF($Y111&gt;0,CHOOSE(MATCH(RegimeExecucao,{"Unitário","Global"},0),IF($A111="S",ROUND($H111,ORÇAMENTO!$AF$10),""),ROUND($I111,ORÇAMENTO!$AF$11)),"")</f>
        <v/>
      </c>
      <c r="Y111" s="429">
        <f t="shared" ca="1" si="21"/>
        <v>0</v>
      </c>
      <c r="Z111" s="656"/>
      <c r="AB111" s="427"/>
      <c r="AC111" s="594"/>
      <c r="AD111" s="594"/>
      <c r="AE111" s="594"/>
      <c r="AF111" s="594"/>
      <c r="AG111" s="594"/>
      <c r="AH111" s="594"/>
      <c r="AI111" s="594"/>
      <c r="AJ111" s="594"/>
      <c r="AK111" s="594"/>
      <c r="AL111" s="594"/>
      <c r="AM111" s="428"/>
      <c r="AO111">
        <f ca="1">IF($A111="S",IF(BM!$I111=0,0,CHOOSE(MATCH(RegimeExecucao,{"Global","Unitário"},0),ROUND(ROUND(BM.MEDAcumulado,15-13*BM!$A$9)/100*BM!$I111,15-13*ORÇAMENTO!$AF$11),ROUND(ROUND(BM.MEDAcumulado,15-13*BM!$A$9)*ROUND(BM!$H111,15-13*ORÇAMENTO!$AF$10),15-13*ORÇAMENTO!$AF$11))),IF($A111=0,0,ROUND(SomaAgrupBM,15-13*ORÇAMENTO!$AF$11)))</f>
        <v>0</v>
      </c>
    </row>
    <row r="112" spans="1:41" ht="13.8">
      <c r="A112" t="str">
        <f ca="1">ORÇAMENTO!C112</f>
        <v>S</v>
      </c>
      <c r="B112">
        <f ca="1">ORÇAMENTO!D112</f>
        <v>0</v>
      </c>
      <c r="C112" s="139" t="str">
        <f t="shared" ca="1" si="15"/>
        <v/>
      </c>
      <c r="D112" s="142" t="str">
        <f ca="1">ORÇAMENTO!O112</f>
        <v>-</v>
      </c>
      <c r="E112" s="202" t="str">
        <f t="shared" ca="1" si="16"/>
        <v>(abra o arquivo 'Referência 11-2024.xlsm)</v>
      </c>
      <c r="F112" s="203" t="str">
        <f ca="1">IF(RegimeExecucao="Global","",ORÇAMENTO.Unidade)</f>
        <v/>
      </c>
      <c r="G112" s="147" t="str">
        <f ca="1">IF(RegimeExecucao="Global","",ORÇAMENTO!T112)</f>
        <v/>
      </c>
      <c r="H112" s="147" t="str">
        <f ca="1">IF(RegimeExecucao="Global","",ORÇAMENTO!W112)</f>
        <v/>
      </c>
      <c r="I112" s="150">
        <f ca="1">ORÇAMENTO!X112</f>
        <v>0</v>
      </c>
      <c r="J112" s="423">
        <f ca="1">IF($A112="S",IF(CAIXA.Modo,BM.AFAnterior,BM.MEDAnterior),IF(AND(RegimeExecucao="Global",$I112&gt;0,COUNTIF($AB$13:$AM$13,BM.medicao-1)&gt;0),M112/$I112*100,0))</f>
        <v>0</v>
      </c>
      <c r="K112" s="147">
        <f t="shared" ca="1" si="17"/>
        <v>0</v>
      </c>
      <c r="L112" s="424">
        <f ca="1">IF($A112="S",IF(CAIXA.Modo,BM.AFAcumulado,BM.MEDAcumulado),IF(AND(RegimeExecucao="Global",$I112&gt;0,COUNTIF($AB$13:$AM$13,BM.medicao)&gt;0),O112/$I112*100,0))</f>
        <v>0</v>
      </c>
      <c r="M112" s="425">
        <f ca="1">IF($A112="S",VTOTALBM,IF($A112=0,0,ROUND(SomaAgrupBM,15-13*ORÇAMENTO!$AF$11)))</f>
        <v>0</v>
      </c>
      <c r="N112" s="426">
        <f t="shared" ca="1" si="18"/>
        <v>0</v>
      </c>
      <c r="O112" s="150">
        <f ca="1">IF($A112="S",VTOTALBM,IF($A112=0,0,ROUND(SomaAgrupBM,15-13*ORÇAMENTO!$AF$11)))</f>
        <v>0</v>
      </c>
      <c r="Q112" s="427"/>
      <c r="R112" s="428"/>
      <c r="T112" s="142" t="str">
        <f t="shared" ca="1" si="19"/>
        <v/>
      </c>
      <c r="U112" s="202" t="str">
        <f t="shared" ca="1" si="20"/>
        <v/>
      </c>
      <c r="V112" s="203" t="str">
        <f ca="1">IF(AND($W112&gt;0,RegimeExecucao="Unitário"),$F112,"")</f>
        <v/>
      </c>
      <c r="W112" s="629">
        <f ca="1">IF($Y112&gt;0,CHOOSE(MATCH(RegimeExecucao,{"Unitário","Global"},0),IF($A112="S",$Y112/$X112,""),($Y112/$X112)*100),0)</f>
        <v>0</v>
      </c>
      <c r="X112" s="429" t="str">
        <f ca="1">IF($Y112&gt;0,CHOOSE(MATCH(RegimeExecucao,{"Unitário","Global"},0),IF($A112="S",ROUND($H112,ORÇAMENTO!$AF$10),""),ROUND($I112,ORÇAMENTO!$AF$11)),"")</f>
        <v/>
      </c>
      <c r="Y112" s="429">
        <f t="shared" ca="1" si="21"/>
        <v>0</v>
      </c>
      <c r="Z112" s="656"/>
      <c r="AB112" s="427"/>
      <c r="AC112" s="594"/>
      <c r="AD112" s="594"/>
      <c r="AE112" s="594"/>
      <c r="AF112" s="594"/>
      <c r="AG112" s="594"/>
      <c r="AH112" s="594"/>
      <c r="AI112" s="594"/>
      <c r="AJ112" s="594"/>
      <c r="AK112" s="594"/>
      <c r="AL112" s="594"/>
      <c r="AM112" s="428"/>
      <c r="AO112">
        <f ca="1">IF($A112="S",IF(BM!$I112=0,0,CHOOSE(MATCH(RegimeExecucao,{"Global","Unitário"},0),ROUND(ROUND(BM.MEDAcumulado,15-13*BM!$A$9)/100*BM!$I112,15-13*ORÇAMENTO!$AF$11),ROUND(ROUND(BM.MEDAcumulado,15-13*BM!$A$9)*ROUND(BM!$H112,15-13*ORÇAMENTO!$AF$10),15-13*ORÇAMENTO!$AF$11))),IF($A112=0,0,ROUND(SomaAgrupBM,15-13*ORÇAMENTO!$AF$11)))</f>
        <v>0</v>
      </c>
    </row>
    <row r="113" spans="1:41" ht="13.8">
      <c r="A113" t="str">
        <f ca="1">ORÇAMENTO!C113</f>
        <v>S</v>
      </c>
      <c r="B113">
        <f ca="1">ORÇAMENTO!D113</f>
        <v>0</v>
      </c>
      <c r="C113" s="139" t="str">
        <f t="shared" ca="1" si="15"/>
        <v/>
      </c>
      <c r="D113" s="142" t="str">
        <f ca="1">ORÇAMENTO!O113</f>
        <v>-</v>
      </c>
      <c r="E113" s="202" t="str">
        <f t="shared" ca="1" si="16"/>
        <v>(abra o arquivo 'Referência 11-2024.xlsm)</v>
      </c>
      <c r="F113" s="203" t="str">
        <f ca="1">IF(RegimeExecucao="Global","",ORÇAMENTO.Unidade)</f>
        <v/>
      </c>
      <c r="G113" s="147" t="str">
        <f ca="1">IF(RegimeExecucao="Global","",ORÇAMENTO!T113)</f>
        <v/>
      </c>
      <c r="H113" s="147" t="str">
        <f ca="1">IF(RegimeExecucao="Global","",ORÇAMENTO!W113)</f>
        <v/>
      </c>
      <c r="I113" s="150">
        <f ca="1">ORÇAMENTO!X113</f>
        <v>0</v>
      </c>
      <c r="J113" s="423">
        <f ca="1">IF($A113="S",IF(CAIXA.Modo,BM.AFAnterior,BM.MEDAnterior),IF(AND(RegimeExecucao="Global",$I113&gt;0,COUNTIF($AB$13:$AM$13,BM.medicao-1)&gt;0),M113/$I113*100,0))</f>
        <v>0</v>
      </c>
      <c r="K113" s="147">
        <f t="shared" ca="1" si="17"/>
        <v>0</v>
      </c>
      <c r="L113" s="424">
        <f ca="1">IF($A113="S",IF(CAIXA.Modo,BM.AFAcumulado,BM.MEDAcumulado),IF(AND(RegimeExecucao="Global",$I113&gt;0,COUNTIF($AB$13:$AM$13,BM.medicao)&gt;0),O113/$I113*100,0))</f>
        <v>0</v>
      </c>
      <c r="M113" s="425">
        <f ca="1">IF($A113="S",VTOTALBM,IF($A113=0,0,ROUND(SomaAgrupBM,15-13*ORÇAMENTO!$AF$11)))</f>
        <v>0</v>
      </c>
      <c r="N113" s="426">
        <f t="shared" ca="1" si="18"/>
        <v>0</v>
      </c>
      <c r="O113" s="150">
        <f ca="1">IF($A113="S",VTOTALBM,IF($A113=0,0,ROUND(SomaAgrupBM,15-13*ORÇAMENTO!$AF$11)))</f>
        <v>0</v>
      </c>
      <c r="Q113" s="427"/>
      <c r="R113" s="428"/>
      <c r="T113" s="142" t="str">
        <f t="shared" ca="1" si="19"/>
        <v/>
      </c>
      <c r="U113" s="202" t="str">
        <f t="shared" ca="1" si="20"/>
        <v/>
      </c>
      <c r="V113" s="203" t="str">
        <f ca="1">IF(AND($W113&gt;0,RegimeExecucao="Unitário"),$F113,"")</f>
        <v/>
      </c>
      <c r="W113" s="629">
        <f ca="1">IF($Y113&gt;0,CHOOSE(MATCH(RegimeExecucao,{"Unitário","Global"},0),IF($A113="S",$Y113/$X113,""),($Y113/$X113)*100),0)</f>
        <v>0</v>
      </c>
      <c r="X113" s="429" t="str">
        <f ca="1">IF($Y113&gt;0,CHOOSE(MATCH(RegimeExecucao,{"Unitário","Global"},0),IF($A113="S",ROUND($H113,ORÇAMENTO!$AF$10),""),ROUND($I113,ORÇAMENTO!$AF$11)),"")</f>
        <v/>
      </c>
      <c r="Y113" s="429">
        <f t="shared" ca="1" si="21"/>
        <v>0</v>
      </c>
      <c r="Z113" s="656"/>
      <c r="AB113" s="427"/>
      <c r="AC113" s="594"/>
      <c r="AD113" s="594"/>
      <c r="AE113" s="594"/>
      <c r="AF113" s="594"/>
      <c r="AG113" s="594"/>
      <c r="AH113" s="594"/>
      <c r="AI113" s="594"/>
      <c r="AJ113" s="594"/>
      <c r="AK113" s="594"/>
      <c r="AL113" s="594"/>
      <c r="AM113" s="428"/>
      <c r="AO113">
        <f ca="1">IF($A113="S",IF(BM!$I113=0,0,CHOOSE(MATCH(RegimeExecucao,{"Global","Unitário"},0),ROUND(ROUND(BM.MEDAcumulado,15-13*BM!$A$9)/100*BM!$I113,15-13*ORÇAMENTO!$AF$11),ROUND(ROUND(BM.MEDAcumulado,15-13*BM!$A$9)*ROUND(BM!$H113,15-13*ORÇAMENTO!$AF$10),15-13*ORÇAMENTO!$AF$11))),IF($A113=0,0,ROUND(SomaAgrupBM,15-13*ORÇAMENTO!$AF$11)))</f>
        <v>0</v>
      </c>
    </row>
    <row r="114" spans="1:41" ht="13.8">
      <c r="A114" t="str">
        <f ca="1">ORÇAMENTO!C114</f>
        <v>S</v>
      </c>
      <c r="B114">
        <f ca="1">ORÇAMENTO!D114</f>
        <v>0</v>
      </c>
      <c r="C114" s="139" t="str">
        <f t="shared" ca="1" si="15"/>
        <v/>
      </c>
      <c r="D114" s="142" t="str">
        <f ca="1">ORÇAMENTO!O114</f>
        <v>-</v>
      </c>
      <c r="E114" s="202" t="str">
        <f t="shared" ca="1" si="16"/>
        <v>(abra o arquivo 'Referência 11-2024.xlsm)</v>
      </c>
      <c r="F114" s="203" t="str">
        <f ca="1">IF(RegimeExecucao="Global","",ORÇAMENTO.Unidade)</f>
        <v/>
      </c>
      <c r="G114" s="147" t="str">
        <f ca="1">IF(RegimeExecucao="Global","",ORÇAMENTO!T114)</f>
        <v/>
      </c>
      <c r="H114" s="147" t="str">
        <f ca="1">IF(RegimeExecucao="Global","",ORÇAMENTO!W114)</f>
        <v/>
      </c>
      <c r="I114" s="150">
        <f ca="1">ORÇAMENTO!X114</f>
        <v>0</v>
      </c>
      <c r="J114" s="423">
        <f ca="1">IF($A114="S",IF(CAIXA.Modo,BM.AFAnterior,BM.MEDAnterior),IF(AND(RegimeExecucao="Global",$I114&gt;0,COUNTIF($AB$13:$AM$13,BM.medicao-1)&gt;0),M114/$I114*100,0))</f>
        <v>0</v>
      </c>
      <c r="K114" s="147">
        <f t="shared" ca="1" si="17"/>
        <v>0</v>
      </c>
      <c r="L114" s="424">
        <f ca="1">IF($A114="S",IF(CAIXA.Modo,BM.AFAcumulado,BM.MEDAcumulado),IF(AND(RegimeExecucao="Global",$I114&gt;0,COUNTIF($AB$13:$AM$13,BM.medicao)&gt;0),O114/$I114*100,0))</f>
        <v>0</v>
      </c>
      <c r="M114" s="425">
        <f ca="1">IF($A114="S",VTOTALBM,IF($A114=0,0,ROUND(SomaAgrupBM,15-13*ORÇAMENTO!$AF$11)))</f>
        <v>0</v>
      </c>
      <c r="N114" s="426">
        <f t="shared" ca="1" si="18"/>
        <v>0</v>
      </c>
      <c r="O114" s="150">
        <f ca="1">IF($A114="S",VTOTALBM,IF($A114=0,0,ROUND(SomaAgrupBM,15-13*ORÇAMENTO!$AF$11)))</f>
        <v>0</v>
      </c>
      <c r="Q114" s="427"/>
      <c r="R114" s="428"/>
      <c r="T114" s="142" t="str">
        <f t="shared" ca="1" si="19"/>
        <v/>
      </c>
      <c r="U114" s="202" t="str">
        <f t="shared" ca="1" si="20"/>
        <v/>
      </c>
      <c r="V114" s="203" t="str">
        <f ca="1">IF(AND($W114&gt;0,RegimeExecucao="Unitário"),$F114,"")</f>
        <v/>
      </c>
      <c r="W114" s="629">
        <f ca="1">IF($Y114&gt;0,CHOOSE(MATCH(RegimeExecucao,{"Unitário","Global"},0),IF($A114="S",$Y114/$X114,""),($Y114/$X114)*100),0)</f>
        <v>0</v>
      </c>
      <c r="X114" s="429" t="str">
        <f ca="1">IF($Y114&gt;0,CHOOSE(MATCH(RegimeExecucao,{"Unitário","Global"},0),IF($A114="S",ROUND($H114,ORÇAMENTO!$AF$10),""),ROUND($I114,ORÇAMENTO!$AF$11)),"")</f>
        <v/>
      </c>
      <c r="Y114" s="429">
        <f t="shared" ca="1" si="21"/>
        <v>0</v>
      </c>
      <c r="Z114" s="656"/>
      <c r="AB114" s="427"/>
      <c r="AC114" s="594"/>
      <c r="AD114" s="594"/>
      <c r="AE114" s="594"/>
      <c r="AF114" s="594"/>
      <c r="AG114" s="594"/>
      <c r="AH114" s="594"/>
      <c r="AI114" s="594"/>
      <c r="AJ114" s="594"/>
      <c r="AK114" s="594"/>
      <c r="AL114" s="594"/>
      <c r="AM114" s="428"/>
      <c r="AO114">
        <f ca="1">IF($A114="S",IF(BM!$I114=0,0,CHOOSE(MATCH(RegimeExecucao,{"Global","Unitário"},0),ROUND(ROUND(BM.MEDAcumulado,15-13*BM!$A$9)/100*BM!$I114,15-13*ORÇAMENTO!$AF$11),ROUND(ROUND(BM.MEDAcumulado,15-13*BM!$A$9)*ROUND(BM!$H114,15-13*ORÇAMENTO!$AF$10),15-13*ORÇAMENTO!$AF$11))),IF($A114=0,0,ROUND(SomaAgrupBM,15-13*ORÇAMENTO!$AF$11)))</f>
        <v>0</v>
      </c>
    </row>
    <row r="115" spans="1:41" ht="13.8">
      <c r="A115" t="str">
        <f ca="1">ORÇAMENTO!C115</f>
        <v>S</v>
      </c>
      <c r="B115">
        <f ca="1">ORÇAMENTO!D115</f>
        <v>0</v>
      </c>
      <c r="C115" s="139" t="str">
        <f t="shared" ca="1" si="15"/>
        <v/>
      </c>
      <c r="D115" s="142" t="str">
        <f ca="1">ORÇAMENTO!O115</f>
        <v>-</v>
      </c>
      <c r="E115" s="202" t="str">
        <f t="shared" ca="1" si="16"/>
        <v>(abra o arquivo 'Referência 11-2024.xlsm)</v>
      </c>
      <c r="F115" s="203" t="str">
        <f ca="1">IF(RegimeExecucao="Global","",ORÇAMENTO.Unidade)</f>
        <v/>
      </c>
      <c r="G115" s="147" t="str">
        <f ca="1">IF(RegimeExecucao="Global","",ORÇAMENTO!T115)</f>
        <v/>
      </c>
      <c r="H115" s="147" t="str">
        <f ca="1">IF(RegimeExecucao="Global","",ORÇAMENTO!W115)</f>
        <v/>
      </c>
      <c r="I115" s="150">
        <f ca="1">ORÇAMENTO!X115</f>
        <v>0</v>
      </c>
      <c r="J115" s="423">
        <f ca="1">IF($A115="S",IF(CAIXA.Modo,BM.AFAnterior,BM.MEDAnterior),IF(AND(RegimeExecucao="Global",$I115&gt;0,COUNTIF($AB$13:$AM$13,BM.medicao-1)&gt;0),M115/$I115*100,0))</f>
        <v>0</v>
      </c>
      <c r="K115" s="147">
        <f t="shared" ca="1" si="17"/>
        <v>0</v>
      </c>
      <c r="L115" s="424">
        <f ca="1">IF($A115="S",IF(CAIXA.Modo,BM.AFAcumulado,BM.MEDAcumulado),IF(AND(RegimeExecucao="Global",$I115&gt;0,COUNTIF($AB$13:$AM$13,BM.medicao)&gt;0),O115/$I115*100,0))</f>
        <v>0</v>
      </c>
      <c r="M115" s="425">
        <f ca="1">IF($A115="S",VTOTALBM,IF($A115=0,0,ROUND(SomaAgrupBM,15-13*ORÇAMENTO!$AF$11)))</f>
        <v>0</v>
      </c>
      <c r="N115" s="426">
        <f t="shared" ca="1" si="18"/>
        <v>0</v>
      </c>
      <c r="O115" s="150">
        <f ca="1">IF($A115="S",VTOTALBM,IF($A115=0,0,ROUND(SomaAgrupBM,15-13*ORÇAMENTO!$AF$11)))</f>
        <v>0</v>
      </c>
      <c r="Q115" s="427"/>
      <c r="R115" s="428"/>
      <c r="T115" s="142" t="str">
        <f t="shared" ca="1" si="19"/>
        <v/>
      </c>
      <c r="U115" s="202" t="str">
        <f t="shared" ca="1" si="20"/>
        <v/>
      </c>
      <c r="V115" s="203" t="str">
        <f ca="1">IF(AND($W115&gt;0,RegimeExecucao="Unitário"),$F115,"")</f>
        <v/>
      </c>
      <c r="W115" s="629">
        <f ca="1">IF($Y115&gt;0,CHOOSE(MATCH(RegimeExecucao,{"Unitário","Global"},0),IF($A115="S",$Y115/$X115,""),($Y115/$X115)*100),0)</f>
        <v>0</v>
      </c>
      <c r="X115" s="429" t="str">
        <f ca="1">IF($Y115&gt;0,CHOOSE(MATCH(RegimeExecucao,{"Unitário","Global"},0),IF($A115="S",ROUND($H115,ORÇAMENTO!$AF$10),""),ROUND($I115,ORÇAMENTO!$AF$11)),"")</f>
        <v/>
      </c>
      <c r="Y115" s="429">
        <f t="shared" ca="1" si="21"/>
        <v>0</v>
      </c>
      <c r="Z115" s="656"/>
      <c r="AB115" s="427"/>
      <c r="AC115" s="594"/>
      <c r="AD115" s="594"/>
      <c r="AE115" s="594"/>
      <c r="AF115" s="594"/>
      <c r="AG115" s="594"/>
      <c r="AH115" s="594"/>
      <c r="AI115" s="594"/>
      <c r="AJ115" s="594"/>
      <c r="AK115" s="594"/>
      <c r="AL115" s="594"/>
      <c r="AM115" s="428"/>
      <c r="AO115">
        <f ca="1">IF($A115="S",IF(BM!$I115=0,0,CHOOSE(MATCH(RegimeExecucao,{"Global","Unitário"},0),ROUND(ROUND(BM.MEDAcumulado,15-13*BM!$A$9)/100*BM!$I115,15-13*ORÇAMENTO!$AF$11),ROUND(ROUND(BM.MEDAcumulado,15-13*BM!$A$9)*ROUND(BM!$H115,15-13*ORÇAMENTO!$AF$10),15-13*ORÇAMENTO!$AF$11))),IF($A115=0,0,ROUND(SomaAgrupBM,15-13*ORÇAMENTO!$AF$11)))</f>
        <v>0</v>
      </c>
    </row>
    <row r="116" spans="1:41" ht="13.8">
      <c r="A116" t="str">
        <f ca="1">ORÇAMENTO!C116</f>
        <v>S</v>
      </c>
      <c r="B116">
        <f ca="1">ORÇAMENTO!D116</f>
        <v>0</v>
      </c>
      <c r="C116" s="139" t="str">
        <f t="shared" ca="1" si="15"/>
        <v/>
      </c>
      <c r="D116" s="142" t="str">
        <f ca="1">ORÇAMENTO!O116</f>
        <v>-</v>
      </c>
      <c r="E116" s="202" t="str">
        <f t="shared" ca="1" si="16"/>
        <v>(abra o arquivo 'Referência 11-2024.xlsm)</v>
      </c>
      <c r="F116" s="203" t="str">
        <f ca="1">IF(RegimeExecucao="Global","",ORÇAMENTO.Unidade)</f>
        <v/>
      </c>
      <c r="G116" s="147" t="str">
        <f ca="1">IF(RegimeExecucao="Global","",ORÇAMENTO!T116)</f>
        <v/>
      </c>
      <c r="H116" s="147" t="str">
        <f ca="1">IF(RegimeExecucao="Global","",ORÇAMENTO!W116)</f>
        <v/>
      </c>
      <c r="I116" s="150">
        <f ca="1">ORÇAMENTO!X116</f>
        <v>0</v>
      </c>
      <c r="J116" s="423">
        <f ca="1">IF($A116="S",IF(CAIXA.Modo,BM.AFAnterior,BM.MEDAnterior),IF(AND(RegimeExecucao="Global",$I116&gt;0,COUNTIF($AB$13:$AM$13,BM.medicao-1)&gt;0),M116/$I116*100,0))</f>
        <v>0</v>
      </c>
      <c r="K116" s="147">
        <f t="shared" ca="1" si="17"/>
        <v>0</v>
      </c>
      <c r="L116" s="424">
        <f ca="1">IF($A116="S",IF(CAIXA.Modo,BM.AFAcumulado,BM.MEDAcumulado),IF(AND(RegimeExecucao="Global",$I116&gt;0,COUNTIF($AB$13:$AM$13,BM.medicao)&gt;0),O116/$I116*100,0))</f>
        <v>0</v>
      </c>
      <c r="M116" s="425">
        <f ca="1">IF($A116="S",VTOTALBM,IF($A116=0,0,ROUND(SomaAgrupBM,15-13*ORÇAMENTO!$AF$11)))</f>
        <v>0</v>
      </c>
      <c r="N116" s="426">
        <f t="shared" ca="1" si="18"/>
        <v>0</v>
      </c>
      <c r="O116" s="150">
        <f ca="1">IF($A116="S",VTOTALBM,IF($A116=0,0,ROUND(SomaAgrupBM,15-13*ORÇAMENTO!$AF$11)))</f>
        <v>0</v>
      </c>
      <c r="Q116" s="427"/>
      <c r="R116" s="428"/>
      <c r="T116" s="142" t="str">
        <f t="shared" ca="1" si="19"/>
        <v/>
      </c>
      <c r="U116" s="202" t="str">
        <f t="shared" ca="1" si="20"/>
        <v/>
      </c>
      <c r="V116" s="203" t="str">
        <f ca="1">IF(AND($W116&gt;0,RegimeExecucao="Unitário"),$F116,"")</f>
        <v/>
      </c>
      <c r="W116" s="629">
        <f ca="1">IF($Y116&gt;0,CHOOSE(MATCH(RegimeExecucao,{"Unitário","Global"},0),IF($A116="S",$Y116/$X116,""),($Y116/$X116)*100),0)</f>
        <v>0</v>
      </c>
      <c r="X116" s="429" t="str">
        <f ca="1">IF($Y116&gt;0,CHOOSE(MATCH(RegimeExecucao,{"Unitário","Global"},0),IF($A116="S",ROUND($H116,ORÇAMENTO!$AF$10),""),ROUND($I116,ORÇAMENTO!$AF$11)),"")</f>
        <v/>
      </c>
      <c r="Y116" s="429">
        <f t="shared" ca="1" si="21"/>
        <v>0</v>
      </c>
      <c r="Z116" s="656"/>
      <c r="AB116" s="427"/>
      <c r="AC116" s="594"/>
      <c r="AD116" s="594"/>
      <c r="AE116" s="594"/>
      <c r="AF116" s="594"/>
      <c r="AG116" s="594"/>
      <c r="AH116" s="594"/>
      <c r="AI116" s="594"/>
      <c r="AJ116" s="594"/>
      <c r="AK116" s="594"/>
      <c r="AL116" s="594"/>
      <c r="AM116" s="428"/>
      <c r="AO116">
        <f ca="1">IF($A116="S",IF(BM!$I116=0,0,CHOOSE(MATCH(RegimeExecucao,{"Global","Unitário"},0),ROUND(ROUND(BM.MEDAcumulado,15-13*BM!$A$9)/100*BM!$I116,15-13*ORÇAMENTO!$AF$11),ROUND(ROUND(BM.MEDAcumulado,15-13*BM!$A$9)*ROUND(BM!$H116,15-13*ORÇAMENTO!$AF$10),15-13*ORÇAMENTO!$AF$11))),IF($A116=0,0,ROUND(SomaAgrupBM,15-13*ORÇAMENTO!$AF$11)))</f>
        <v>0</v>
      </c>
    </row>
    <row r="117" spans="1:41" ht="13.8">
      <c r="A117" t="str">
        <f ca="1">ORÇAMENTO!C117</f>
        <v>S</v>
      </c>
      <c r="B117">
        <f ca="1">ORÇAMENTO!D117</f>
        <v>0</v>
      </c>
      <c r="C117" s="139" t="str">
        <f t="shared" ca="1" si="15"/>
        <v/>
      </c>
      <c r="D117" s="142" t="str">
        <f ca="1">ORÇAMENTO!O117</f>
        <v>-</v>
      </c>
      <c r="E117" s="202" t="str">
        <f t="shared" ca="1" si="16"/>
        <v>(abra o arquivo 'Referência 11-2024.xlsm)</v>
      </c>
      <c r="F117" s="203" t="str">
        <f ca="1">IF(RegimeExecucao="Global","",ORÇAMENTO.Unidade)</f>
        <v/>
      </c>
      <c r="G117" s="147" t="str">
        <f ca="1">IF(RegimeExecucao="Global","",ORÇAMENTO!T117)</f>
        <v/>
      </c>
      <c r="H117" s="147" t="str">
        <f ca="1">IF(RegimeExecucao="Global","",ORÇAMENTO!W117)</f>
        <v/>
      </c>
      <c r="I117" s="150">
        <f ca="1">ORÇAMENTO!X117</f>
        <v>0</v>
      </c>
      <c r="J117" s="423">
        <f ca="1">IF($A117="S",IF(CAIXA.Modo,BM.AFAnterior,BM.MEDAnterior),IF(AND(RegimeExecucao="Global",$I117&gt;0,COUNTIF($AB$13:$AM$13,BM.medicao-1)&gt;0),M117/$I117*100,0))</f>
        <v>0</v>
      </c>
      <c r="K117" s="147">
        <f t="shared" ca="1" si="17"/>
        <v>0</v>
      </c>
      <c r="L117" s="424">
        <f ca="1">IF($A117="S",IF(CAIXA.Modo,BM.AFAcumulado,BM.MEDAcumulado),IF(AND(RegimeExecucao="Global",$I117&gt;0,COUNTIF($AB$13:$AM$13,BM.medicao)&gt;0),O117/$I117*100,0))</f>
        <v>0</v>
      </c>
      <c r="M117" s="425">
        <f ca="1">IF($A117="S",VTOTALBM,IF($A117=0,0,ROUND(SomaAgrupBM,15-13*ORÇAMENTO!$AF$11)))</f>
        <v>0</v>
      </c>
      <c r="N117" s="426">
        <f t="shared" ca="1" si="18"/>
        <v>0</v>
      </c>
      <c r="O117" s="150">
        <f ca="1">IF($A117="S",VTOTALBM,IF($A117=0,0,ROUND(SomaAgrupBM,15-13*ORÇAMENTO!$AF$11)))</f>
        <v>0</v>
      </c>
      <c r="Q117" s="427"/>
      <c r="R117" s="428"/>
      <c r="T117" s="142" t="str">
        <f t="shared" ca="1" si="19"/>
        <v/>
      </c>
      <c r="U117" s="202" t="str">
        <f t="shared" ca="1" si="20"/>
        <v/>
      </c>
      <c r="V117" s="203" t="str">
        <f ca="1">IF(AND($W117&gt;0,RegimeExecucao="Unitário"),$F117,"")</f>
        <v/>
      </c>
      <c r="W117" s="629">
        <f ca="1">IF($Y117&gt;0,CHOOSE(MATCH(RegimeExecucao,{"Unitário","Global"},0),IF($A117="S",$Y117/$X117,""),($Y117/$X117)*100),0)</f>
        <v>0</v>
      </c>
      <c r="X117" s="429" t="str">
        <f ca="1">IF($Y117&gt;0,CHOOSE(MATCH(RegimeExecucao,{"Unitário","Global"},0),IF($A117="S",ROUND($H117,ORÇAMENTO!$AF$10),""),ROUND($I117,ORÇAMENTO!$AF$11)),"")</f>
        <v/>
      </c>
      <c r="Y117" s="429">
        <f t="shared" ca="1" si="21"/>
        <v>0</v>
      </c>
      <c r="Z117" s="656"/>
      <c r="AB117" s="427"/>
      <c r="AC117" s="594"/>
      <c r="AD117" s="594"/>
      <c r="AE117" s="594"/>
      <c r="AF117" s="594"/>
      <c r="AG117" s="594"/>
      <c r="AH117" s="594"/>
      <c r="AI117" s="594"/>
      <c r="AJ117" s="594"/>
      <c r="AK117" s="594"/>
      <c r="AL117" s="594"/>
      <c r="AM117" s="428"/>
      <c r="AO117">
        <f ca="1">IF($A117="S",IF(BM!$I117=0,0,CHOOSE(MATCH(RegimeExecucao,{"Global","Unitário"},0),ROUND(ROUND(BM.MEDAcumulado,15-13*BM!$A$9)/100*BM!$I117,15-13*ORÇAMENTO!$AF$11),ROUND(ROUND(BM.MEDAcumulado,15-13*BM!$A$9)*ROUND(BM!$H117,15-13*ORÇAMENTO!$AF$10),15-13*ORÇAMENTO!$AF$11))),IF($A117=0,0,ROUND(SomaAgrupBM,15-13*ORÇAMENTO!$AF$11)))</f>
        <v>0</v>
      </c>
    </row>
    <row r="118" spans="1:41" ht="13.8">
      <c r="A118" t="str">
        <f ca="1">ORÇAMENTO!C118</f>
        <v>S</v>
      </c>
      <c r="B118">
        <f ca="1">ORÇAMENTO!D118</f>
        <v>0</v>
      </c>
      <c r="C118" s="139" t="str">
        <f t="shared" ca="1" si="15"/>
        <v/>
      </c>
      <c r="D118" s="142" t="str">
        <f ca="1">ORÇAMENTO!O118</f>
        <v>-</v>
      </c>
      <c r="E118" s="202" t="str">
        <f t="shared" ca="1" si="16"/>
        <v>(abra o arquivo 'Referência 11-2024.xlsm)</v>
      </c>
      <c r="F118" s="203" t="str">
        <f ca="1">IF(RegimeExecucao="Global","",ORÇAMENTO.Unidade)</f>
        <v/>
      </c>
      <c r="G118" s="147" t="str">
        <f ca="1">IF(RegimeExecucao="Global","",ORÇAMENTO!T118)</f>
        <v/>
      </c>
      <c r="H118" s="147" t="str">
        <f ca="1">IF(RegimeExecucao="Global","",ORÇAMENTO!W118)</f>
        <v/>
      </c>
      <c r="I118" s="150">
        <f ca="1">ORÇAMENTO!X118</f>
        <v>0</v>
      </c>
      <c r="J118" s="423">
        <f ca="1">IF($A118="S",IF(CAIXA.Modo,BM.AFAnterior,BM.MEDAnterior),IF(AND(RegimeExecucao="Global",$I118&gt;0,COUNTIF($AB$13:$AM$13,BM.medicao-1)&gt;0),M118/$I118*100,0))</f>
        <v>0</v>
      </c>
      <c r="K118" s="147">
        <f t="shared" ca="1" si="17"/>
        <v>0</v>
      </c>
      <c r="L118" s="424">
        <f ca="1">IF($A118="S",IF(CAIXA.Modo,BM.AFAcumulado,BM.MEDAcumulado),IF(AND(RegimeExecucao="Global",$I118&gt;0,COUNTIF($AB$13:$AM$13,BM.medicao)&gt;0),O118/$I118*100,0))</f>
        <v>0</v>
      </c>
      <c r="M118" s="425">
        <f ca="1">IF($A118="S",VTOTALBM,IF($A118=0,0,ROUND(SomaAgrupBM,15-13*ORÇAMENTO!$AF$11)))</f>
        <v>0</v>
      </c>
      <c r="N118" s="426">
        <f t="shared" ca="1" si="18"/>
        <v>0</v>
      </c>
      <c r="O118" s="150">
        <f ca="1">IF($A118="S",VTOTALBM,IF($A118=0,0,ROUND(SomaAgrupBM,15-13*ORÇAMENTO!$AF$11)))</f>
        <v>0</v>
      </c>
      <c r="Q118" s="427"/>
      <c r="R118" s="428"/>
      <c r="T118" s="142" t="str">
        <f t="shared" ca="1" si="19"/>
        <v/>
      </c>
      <c r="U118" s="202" t="str">
        <f t="shared" ca="1" si="20"/>
        <v/>
      </c>
      <c r="V118" s="203" t="str">
        <f ca="1">IF(AND($W118&gt;0,RegimeExecucao="Unitário"),$F118,"")</f>
        <v/>
      </c>
      <c r="W118" s="629">
        <f ca="1">IF($Y118&gt;0,CHOOSE(MATCH(RegimeExecucao,{"Unitário","Global"},0),IF($A118="S",$Y118/$X118,""),($Y118/$X118)*100),0)</f>
        <v>0</v>
      </c>
      <c r="X118" s="429" t="str">
        <f ca="1">IF($Y118&gt;0,CHOOSE(MATCH(RegimeExecucao,{"Unitário","Global"},0),IF($A118="S",ROUND($H118,ORÇAMENTO!$AF$10),""),ROUND($I118,ORÇAMENTO!$AF$11)),"")</f>
        <v/>
      </c>
      <c r="Y118" s="429">
        <f t="shared" ca="1" si="21"/>
        <v>0</v>
      </c>
      <c r="Z118" s="656"/>
      <c r="AB118" s="427"/>
      <c r="AC118" s="594"/>
      <c r="AD118" s="594"/>
      <c r="AE118" s="594"/>
      <c r="AF118" s="594"/>
      <c r="AG118" s="594"/>
      <c r="AH118" s="594"/>
      <c r="AI118" s="594"/>
      <c r="AJ118" s="594"/>
      <c r="AK118" s="594"/>
      <c r="AL118" s="594"/>
      <c r="AM118" s="428"/>
      <c r="AO118">
        <f ca="1">IF($A118="S",IF(BM!$I118=0,0,CHOOSE(MATCH(RegimeExecucao,{"Global","Unitário"},0),ROUND(ROUND(BM.MEDAcumulado,15-13*BM!$A$9)/100*BM!$I118,15-13*ORÇAMENTO!$AF$11),ROUND(ROUND(BM.MEDAcumulado,15-13*BM!$A$9)*ROUND(BM!$H118,15-13*ORÇAMENTO!$AF$10),15-13*ORÇAMENTO!$AF$11))),IF($A118=0,0,ROUND(SomaAgrupBM,15-13*ORÇAMENTO!$AF$11)))</f>
        <v>0</v>
      </c>
    </row>
    <row r="119" spans="1:41" ht="13.8">
      <c r="A119" t="str">
        <f ca="1">ORÇAMENTO!C119</f>
        <v>S</v>
      </c>
      <c r="B119">
        <f ca="1">ORÇAMENTO!D119</f>
        <v>0</v>
      </c>
      <c r="C119" s="139" t="str">
        <f t="shared" ca="1" si="15"/>
        <v/>
      </c>
      <c r="D119" s="142" t="str">
        <f ca="1">ORÇAMENTO!O119</f>
        <v>-</v>
      </c>
      <c r="E119" s="202" t="str">
        <f t="shared" ca="1" si="16"/>
        <v>(abra o arquivo 'Referência 11-2024.xlsm)</v>
      </c>
      <c r="F119" s="203" t="str">
        <f ca="1">IF(RegimeExecucao="Global","",ORÇAMENTO.Unidade)</f>
        <v/>
      </c>
      <c r="G119" s="147" t="str">
        <f ca="1">IF(RegimeExecucao="Global","",ORÇAMENTO!T119)</f>
        <v/>
      </c>
      <c r="H119" s="147" t="str">
        <f ca="1">IF(RegimeExecucao="Global","",ORÇAMENTO!W119)</f>
        <v/>
      </c>
      <c r="I119" s="150">
        <f ca="1">ORÇAMENTO!X119</f>
        <v>0</v>
      </c>
      <c r="J119" s="423">
        <f ca="1">IF($A119="S",IF(CAIXA.Modo,BM.AFAnterior,BM.MEDAnterior),IF(AND(RegimeExecucao="Global",$I119&gt;0,COUNTIF($AB$13:$AM$13,BM.medicao-1)&gt;0),M119/$I119*100,0))</f>
        <v>0</v>
      </c>
      <c r="K119" s="147">
        <f t="shared" ca="1" si="17"/>
        <v>0</v>
      </c>
      <c r="L119" s="424">
        <f ca="1">IF($A119="S",IF(CAIXA.Modo,BM.AFAcumulado,BM.MEDAcumulado),IF(AND(RegimeExecucao="Global",$I119&gt;0,COUNTIF($AB$13:$AM$13,BM.medicao)&gt;0),O119/$I119*100,0))</f>
        <v>0</v>
      </c>
      <c r="M119" s="425">
        <f ca="1">IF($A119="S",VTOTALBM,IF($A119=0,0,ROUND(SomaAgrupBM,15-13*ORÇAMENTO!$AF$11)))</f>
        <v>0</v>
      </c>
      <c r="N119" s="426">
        <f t="shared" ca="1" si="18"/>
        <v>0</v>
      </c>
      <c r="O119" s="150">
        <f ca="1">IF($A119="S",VTOTALBM,IF($A119=0,0,ROUND(SomaAgrupBM,15-13*ORÇAMENTO!$AF$11)))</f>
        <v>0</v>
      </c>
      <c r="Q119" s="427"/>
      <c r="R119" s="428"/>
      <c r="T119" s="142" t="str">
        <f t="shared" ca="1" si="19"/>
        <v/>
      </c>
      <c r="U119" s="202" t="str">
        <f t="shared" ca="1" si="20"/>
        <v/>
      </c>
      <c r="V119" s="203" t="str">
        <f ca="1">IF(AND($W119&gt;0,RegimeExecucao="Unitário"),$F119,"")</f>
        <v/>
      </c>
      <c r="W119" s="629">
        <f ca="1">IF($Y119&gt;0,CHOOSE(MATCH(RegimeExecucao,{"Unitário","Global"},0),IF($A119="S",$Y119/$X119,""),($Y119/$X119)*100),0)</f>
        <v>0</v>
      </c>
      <c r="X119" s="429" t="str">
        <f ca="1">IF($Y119&gt;0,CHOOSE(MATCH(RegimeExecucao,{"Unitário","Global"},0),IF($A119="S",ROUND($H119,ORÇAMENTO!$AF$10),""),ROUND($I119,ORÇAMENTO!$AF$11)),"")</f>
        <v/>
      </c>
      <c r="Y119" s="429">
        <f t="shared" ca="1" si="21"/>
        <v>0</v>
      </c>
      <c r="Z119" s="656"/>
      <c r="AB119" s="427"/>
      <c r="AC119" s="594"/>
      <c r="AD119" s="594"/>
      <c r="AE119" s="594"/>
      <c r="AF119" s="594"/>
      <c r="AG119" s="594"/>
      <c r="AH119" s="594"/>
      <c r="AI119" s="594"/>
      <c r="AJ119" s="594"/>
      <c r="AK119" s="594"/>
      <c r="AL119" s="594"/>
      <c r="AM119" s="428"/>
      <c r="AO119">
        <f ca="1">IF($A119="S",IF(BM!$I119=0,0,CHOOSE(MATCH(RegimeExecucao,{"Global","Unitário"},0),ROUND(ROUND(BM.MEDAcumulado,15-13*BM!$A$9)/100*BM!$I119,15-13*ORÇAMENTO!$AF$11),ROUND(ROUND(BM.MEDAcumulado,15-13*BM!$A$9)*ROUND(BM!$H119,15-13*ORÇAMENTO!$AF$10),15-13*ORÇAMENTO!$AF$11))),IF($A119=0,0,ROUND(SomaAgrupBM,15-13*ORÇAMENTO!$AF$11)))</f>
        <v>0</v>
      </c>
    </row>
    <row r="120" spans="1:41" ht="13.8">
      <c r="A120" t="str">
        <f ca="1">ORÇAMENTO!C120</f>
        <v>S</v>
      </c>
      <c r="B120">
        <f ca="1">ORÇAMENTO!D120</f>
        <v>0</v>
      </c>
      <c r="C120" s="139" t="str">
        <f t="shared" ca="1" si="15"/>
        <v/>
      </c>
      <c r="D120" s="142" t="str">
        <f ca="1">ORÇAMENTO!O120</f>
        <v>-</v>
      </c>
      <c r="E120" s="202" t="str">
        <f t="shared" ca="1" si="16"/>
        <v>(abra o arquivo 'Referência 11-2024.xlsm)</v>
      </c>
      <c r="F120" s="203" t="str">
        <f ca="1">IF(RegimeExecucao="Global","",ORÇAMENTO.Unidade)</f>
        <v/>
      </c>
      <c r="G120" s="147" t="str">
        <f ca="1">IF(RegimeExecucao="Global","",ORÇAMENTO!T120)</f>
        <v/>
      </c>
      <c r="H120" s="147" t="str">
        <f ca="1">IF(RegimeExecucao="Global","",ORÇAMENTO!W120)</f>
        <v/>
      </c>
      <c r="I120" s="150">
        <f ca="1">ORÇAMENTO!X120</f>
        <v>0</v>
      </c>
      <c r="J120" s="423">
        <f ca="1">IF($A120="S",IF(CAIXA.Modo,BM.AFAnterior,BM.MEDAnterior),IF(AND(RegimeExecucao="Global",$I120&gt;0,COUNTIF($AB$13:$AM$13,BM.medicao-1)&gt;0),M120/$I120*100,0))</f>
        <v>0</v>
      </c>
      <c r="K120" s="147">
        <f t="shared" ca="1" si="17"/>
        <v>0</v>
      </c>
      <c r="L120" s="424">
        <f ca="1">IF($A120="S",IF(CAIXA.Modo,BM.AFAcumulado,BM.MEDAcumulado),IF(AND(RegimeExecucao="Global",$I120&gt;0,COUNTIF($AB$13:$AM$13,BM.medicao)&gt;0),O120/$I120*100,0))</f>
        <v>0</v>
      </c>
      <c r="M120" s="425">
        <f ca="1">IF($A120="S",VTOTALBM,IF($A120=0,0,ROUND(SomaAgrupBM,15-13*ORÇAMENTO!$AF$11)))</f>
        <v>0</v>
      </c>
      <c r="N120" s="426">
        <f t="shared" ca="1" si="18"/>
        <v>0</v>
      </c>
      <c r="O120" s="150">
        <f ca="1">IF($A120="S",VTOTALBM,IF($A120=0,0,ROUND(SomaAgrupBM,15-13*ORÇAMENTO!$AF$11)))</f>
        <v>0</v>
      </c>
      <c r="Q120" s="427"/>
      <c r="R120" s="428"/>
      <c r="T120" s="142" t="str">
        <f t="shared" ca="1" si="19"/>
        <v/>
      </c>
      <c r="U120" s="202" t="str">
        <f t="shared" ca="1" si="20"/>
        <v/>
      </c>
      <c r="V120" s="203" t="str">
        <f ca="1">IF(AND($W120&gt;0,RegimeExecucao="Unitário"),$F120,"")</f>
        <v/>
      </c>
      <c r="W120" s="629">
        <f ca="1">IF($Y120&gt;0,CHOOSE(MATCH(RegimeExecucao,{"Unitário","Global"},0),IF($A120="S",$Y120/$X120,""),($Y120/$X120)*100),0)</f>
        <v>0</v>
      </c>
      <c r="X120" s="429" t="str">
        <f ca="1">IF($Y120&gt;0,CHOOSE(MATCH(RegimeExecucao,{"Unitário","Global"},0),IF($A120="S",ROUND($H120,ORÇAMENTO!$AF$10),""),ROUND($I120,ORÇAMENTO!$AF$11)),"")</f>
        <v/>
      </c>
      <c r="Y120" s="429">
        <f t="shared" ca="1" si="21"/>
        <v>0</v>
      </c>
      <c r="Z120" s="656"/>
      <c r="AB120" s="427"/>
      <c r="AC120" s="594"/>
      <c r="AD120" s="594"/>
      <c r="AE120" s="594"/>
      <c r="AF120" s="594"/>
      <c r="AG120" s="594"/>
      <c r="AH120" s="594"/>
      <c r="AI120" s="594"/>
      <c r="AJ120" s="594"/>
      <c r="AK120" s="594"/>
      <c r="AL120" s="594"/>
      <c r="AM120" s="428"/>
      <c r="AO120">
        <f ca="1">IF($A120="S",IF(BM!$I120=0,0,CHOOSE(MATCH(RegimeExecucao,{"Global","Unitário"},0),ROUND(ROUND(BM.MEDAcumulado,15-13*BM!$A$9)/100*BM!$I120,15-13*ORÇAMENTO!$AF$11),ROUND(ROUND(BM.MEDAcumulado,15-13*BM!$A$9)*ROUND(BM!$H120,15-13*ORÇAMENTO!$AF$10),15-13*ORÇAMENTO!$AF$11))),IF($A120=0,0,ROUND(SomaAgrupBM,15-13*ORÇAMENTO!$AF$11)))</f>
        <v>0</v>
      </c>
    </row>
    <row r="121" spans="1:41" ht="13.8">
      <c r="A121" t="str">
        <f ca="1">ORÇAMENTO!C121</f>
        <v>S</v>
      </c>
      <c r="B121">
        <f ca="1">ORÇAMENTO!D121</f>
        <v>0</v>
      </c>
      <c r="C121" s="139" t="str">
        <f t="shared" ca="1" si="15"/>
        <v/>
      </c>
      <c r="D121" s="142" t="str">
        <f ca="1">ORÇAMENTO!O121</f>
        <v>-</v>
      </c>
      <c r="E121" s="202" t="str">
        <f t="shared" ca="1" si="16"/>
        <v>(abra o arquivo 'Referência 11-2024.xlsm)</v>
      </c>
      <c r="F121" s="203" t="str">
        <f ca="1">IF(RegimeExecucao="Global","",ORÇAMENTO.Unidade)</f>
        <v/>
      </c>
      <c r="G121" s="147" t="str">
        <f ca="1">IF(RegimeExecucao="Global","",ORÇAMENTO!T121)</f>
        <v/>
      </c>
      <c r="H121" s="147" t="str">
        <f ca="1">IF(RegimeExecucao="Global","",ORÇAMENTO!W121)</f>
        <v/>
      </c>
      <c r="I121" s="150">
        <f ca="1">ORÇAMENTO!X121</f>
        <v>0</v>
      </c>
      <c r="J121" s="423">
        <f ca="1">IF($A121="S",IF(CAIXA.Modo,BM.AFAnterior,BM.MEDAnterior),IF(AND(RegimeExecucao="Global",$I121&gt;0,COUNTIF($AB$13:$AM$13,BM.medicao-1)&gt;0),M121/$I121*100,0))</f>
        <v>0</v>
      </c>
      <c r="K121" s="147">
        <f t="shared" ca="1" si="17"/>
        <v>0</v>
      </c>
      <c r="L121" s="424">
        <f ca="1">IF($A121="S",IF(CAIXA.Modo,BM.AFAcumulado,BM.MEDAcumulado),IF(AND(RegimeExecucao="Global",$I121&gt;0,COUNTIF($AB$13:$AM$13,BM.medicao)&gt;0),O121/$I121*100,0))</f>
        <v>0</v>
      </c>
      <c r="M121" s="425">
        <f ca="1">IF($A121="S",VTOTALBM,IF($A121=0,0,ROUND(SomaAgrupBM,15-13*ORÇAMENTO!$AF$11)))</f>
        <v>0</v>
      </c>
      <c r="N121" s="426">
        <f t="shared" ca="1" si="18"/>
        <v>0</v>
      </c>
      <c r="O121" s="150">
        <f ca="1">IF($A121="S",VTOTALBM,IF($A121=0,0,ROUND(SomaAgrupBM,15-13*ORÇAMENTO!$AF$11)))</f>
        <v>0</v>
      </c>
      <c r="Q121" s="427"/>
      <c r="R121" s="428"/>
      <c r="T121" s="142" t="str">
        <f t="shared" ca="1" si="19"/>
        <v/>
      </c>
      <c r="U121" s="202" t="str">
        <f t="shared" ca="1" si="20"/>
        <v/>
      </c>
      <c r="V121" s="203" t="str">
        <f ca="1">IF(AND($W121&gt;0,RegimeExecucao="Unitário"),$F121,"")</f>
        <v/>
      </c>
      <c r="W121" s="629">
        <f ca="1">IF($Y121&gt;0,CHOOSE(MATCH(RegimeExecucao,{"Unitário","Global"},0),IF($A121="S",$Y121/$X121,""),($Y121/$X121)*100),0)</f>
        <v>0</v>
      </c>
      <c r="X121" s="429" t="str">
        <f ca="1">IF($Y121&gt;0,CHOOSE(MATCH(RegimeExecucao,{"Unitário","Global"},0),IF($A121="S",ROUND($H121,ORÇAMENTO!$AF$10),""),ROUND($I121,ORÇAMENTO!$AF$11)),"")</f>
        <v/>
      </c>
      <c r="Y121" s="429">
        <f t="shared" ca="1" si="21"/>
        <v>0</v>
      </c>
      <c r="Z121" s="656"/>
      <c r="AB121" s="427"/>
      <c r="AC121" s="594"/>
      <c r="AD121" s="594"/>
      <c r="AE121" s="594"/>
      <c r="AF121" s="594"/>
      <c r="AG121" s="594"/>
      <c r="AH121" s="594"/>
      <c r="AI121" s="594"/>
      <c r="AJ121" s="594"/>
      <c r="AK121" s="594"/>
      <c r="AL121" s="594"/>
      <c r="AM121" s="428"/>
      <c r="AO121">
        <f ca="1">IF($A121="S",IF(BM!$I121=0,0,CHOOSE(MATCH(RegimeExecucao,{"Global","Unitário"},0),ROUND(ROUND(BM.MEDAcumulado,15-13*BM!$A$9)/100*BM!$I121,15-13*ORÇAMENTO!$AF$11),ROUND(ROUND(BM.MEDAcumulado,15-13*BM!$A$9)*ROUND(BM!$H121,15-13*ORÇAMENTO!$AF$10),15-13*ORÇAMENTO!$AF$11))),IF($A121=0,0,ROUND(SomaAgrupBM,15-13*ORÇAMENTO!$AF$11)))</f>
        <v>0</v>
      </c>
    </row>
    <row r="122" spans="1:41" ht="13.8">
      <c r="A122" t="str">
        <f ca="1">ORÇAMENTO!C122</f>
        <v>S</v>
      </c>
      <c r="B122">
        <f ca="1">ORÇAMENTO!D122</f>
        <v>0</v>
      </c>
      <c r="C122" s="139" t="str">
        <f t="shared" ca="1" si="15"/>
        <v/>
      </c>
      <c r="D122" s="142" t="str">
        <f ca="1">ORÇAMENTO!O122</f>
        <v>-</v>
      </c>
      <c r="E122" s="202" t="str">
        <f t="shared" ca="1" si="16"/>
        <v>(abra o arquivo 'Referência 11-2024.xlsm)</v>
      </c>
      <c r="F122" s="203" t="str">
        <f ca="1">IF(RegimeExecucao="Global","",ORÇAMENTO.Unidade)</f>
        <v/>
      </c>
      <c r="G122" s="147" t="str">
        <f ca="1">IF(RegimeExecucao="Global","",ORÇAMENTO!T122)</f>
        <v/>
      </c>
      <c r="H122" s="147" t="str">
        <f ca="1">IF(RegimeExecucao="Global","",ORÇAMENTO!W122)</f>
        <v/>
      </c>
      <c r="I122" s="150">
        <f ca="1">ORÇAMENTO!X122</f>
        <v>0</v>
      </c>
      <c r="J122" s="423">
        <f ca="1">IF($A122="S",IF(CAIXA.Modo,BM.AFAnterior,BM.MEDAnterior),IF(AND(RegimeExecucao="Global",$I122&gt;0,COUNTIF($AB$13:$AM$13,BM.medicao-1)&gt;0),M122/$I122*100,0))</f>
        <v>0</v>
      </c>
      <c r="K122" s="147">
        <f t="shared" ca="1" si="17"/>
        <v>0</v>
      </c>
      <c r="L122" s="424">
        <f ca="1">IF($A122="S",IF(CAIXA.Modo,BM.AFAcumulado,BM.MEDAcumulado),IF(AND(RegimeExecucao="Global",$I122&gt;0,COUNTIF($AB$13:$AM$13,BM.medicao)&gt;0),O122/$I122*100,0))</f>
        <v>0</v>
      </c>
      <c r="M122" s="425">
        <f ca="1">IF($A122="S",VTOTALBM,IF($A122=0,0,ROUND(SomaAgrupBM,15-13*ORÇAMENTO!$AF$11)))</f>
        <v>0</v>
      </c>
      <c r="N122" s="426">
        <f t="shared" ca="1" si="18"/>
        <v>0</v>
      </c>
      <c r="O122" s="150">
        <f ca="1">IF($A122="S",VTOTALBM,IF($A122=0,0,ROUND(SomaAgrupBM,15-13*ORÇAMENTO!$AF$11)))</f>
        <v>0</v>
      </c>
      <c r="Q122" s="427"/>
      <c r="R122" s="428"/>
      <c r="T122" s="142" t="str">
        <f t="shared" ca="1" si="19"/>
        <v/>
      </c>
      <c r="U122" s="202" t="str">
        <f t="shared" ca="1" si="20"/>
        <v/>
      </c>
      <c r="V122" s="203" t="str">
        <f ca="1">IF(AND($W122&gt;0,RegimeExecucao="Unitário"),$F122,"")</f>
        <v/>
      </c>
      <c r="W122" s="629">
        <f ca="1">IF($Y122&gt;0,CHOOSE(MATCH(RegimeExecucao,{"Unitário","Global"},0),IF($A122="S",$Y122/$X122,""),($Y122/$X122)*100),0)</f>
        <v>0</v>
      </c>
      <c r="X122" s="429" t="str">
        <f ca="1">IF($Y122&gt;0,CHOOSE(MATCH(RegimeExecucao,{"Unitário","Global"},0),IF($A122="S",ROUND($H122,ORÇAMENTO!$AF$10),""),ROUND($I122,ORÇAMENTO!$AF$11)),"")</f>
        <v/>
      </c>
      <c r="Y122" s="429">
        <f t="shared" ca="1" si="21"/>
        <v>0</v>
      </c>
      <c r="Z122" s="656"/>
      <c r="AB122" s="427"/>
      <c r="AC122" s="594"/>
      <c r="AD122" s="594"/>
      <c r="AE122" s="594"/>
      <c r="AF122" s="594"/>
      <c r="AG122" s="594"/>
      <c r="AH122" s="594"/>
      <c r="AI122" s="594"/>
      <c r="AJ122" s="594"/>
      <c r="AK122" s="594"/>
      <c r="AL122" s="594"/>
      <c r="AM122" s="428"/>
      <c r="AO122">
        <f ca="1">IF($A122="S",IF(BM!$I122=0,0,CHOOSE(MATCH(RegimeExecucao,{"Global","Unitário"},0),ROUND(ROUND(BM.MEDAcumulado,15-13*BM!$A$9)/100*BM!$I122,15-13*ORÇAMENTO!$AF$11),ROUND(ROUND(BM.MEDAcumulado,15-13*BM!$A$9)*ROUND(BM!$H122,15-13*ORÇAMENTO!$AF$10),15-13*ORÇAMENTO!$AF$11))),IF($A122=0,0,ROUND(SomaAgrupBM,15-13*ORÇAMENTO!$AF$11)))</f>
        <v>0</v>
      </c>
    </row>
    <row r="123" spans="1:41" ht="13.8">
      <c r="A123" t="str">
        <f ca="1">ORÇAMENTO!C123</f>
        <v>S</v>
      </c>
      <c r="B123">
        <f ca="1">ORÇAMENTO!D123</f>
        <v>0</v>
      </c>
      <c r="C123" s="139" t="str">
        <f t="shared" ca="1" si="15"/>
        <v/>
      </c>
      <c r="D123" s="142" t="str">
        <f ca="1">ORÇAMENTO!O123</f>
        <v>-</v>
      </c>
      <c r="E123" s="202" t="str">
        <f t="shared" ca="1" si="16"/>
        <v>(abra o arquivo 'Referência 11-2024.xlsm)</v>
      </c>
      <c r="F123" s="203" t="str">
        <f ca="1">IF(RegimeExecucao="Global","",ORÇAMENTO.Unidade)</f>
        <v/>
      </c>
      <c r="G123" s="147" t="str">
        <f ca="1">IF(RegimeExecucao="Global","",ORÇAMENTO!T123)</f>
        <v/>
      </c>
      <c r="H123" s="147" t="str">
        <f ca="1">IF(RegimeExecucao="Global","",ORÇAMENTO!W123)</f>
        <v/>
      </c>
      <c r="I123" s="150">
        <f ca="1">ORÇAMENTO!X123</f>
        <v>0</v>
      </c>
      <c r="J123" s="423">
        <f ca="1">IF($A123="S",IF(CAIXA.Modo,BM.AFAnterior,BM.MEDAnterior),IF(AND(RegimeExecucao="Global",$I123&gt;0,COUNTIF($AB$13:$AM$13,BM.medicao-1)&gt;0),M123/$I123*100,0))</f>
        <v>0</v>
      </c>
      <c r="K123" s="147">
        <f t="shared" ca="1" si="17"/>
        <v>0</v>
      </c>
      <c r="L123" s="424">
        <f ca="1">IF($A123="S",IF(CAIXA.Modo,BM.AFAcumulado,BM.MEDAcumulado),IF(AND(RegimeExecucao="Global",$I123&gt;0,COUNTIF($AB$13:$AM$13,BM.medicao)&gt;0),O123/$I123*100,0))</f>
        <v>0</v>
      </c>
      <c r="M123" s="425">
        <f ca="1">IF($A123="S",VTOTALBM,IF($A123=0,0,ROUND(SomaAgrupBM,15-13*ORÇAMENTO!$AF$11)))</f>
        <v>0</v>
      </c>
      <c r="N123" s="426">
        <f t="shared" ca="1" si="18"/>
        <v>0</v>
      </c>
      <c r="O123" s="150">
        <f ca="1">IF($A123="S",VTOTALBM,IF($A123=0,0,ROUND(SomaAgrupBM,15-13*ORÇAMENTO!$AF$11)))</f>
        <v>0</v>
      </c>
      <c r="Q123" s="427"/>
      <c r="R123" s="428"/>
      <c r="T123" s="142" t="str">
        <f t="shared" ca="1" si="19"/>
        <v/>
      </c>
      <c r="U123" s="202" t="str">
        <f t="shared" ca="1" si="20"/>
        <v/>
      </c>
      <c r="V123" s="203" t="str">
        <f ca="1">IF(AND($W123&gt;0,RegimeExecucao="Unitário"),$F123,"")</f>
        <v/>
      </c>
      <c r="W123" s="629">
        <f ca="1">IF($Y123&gt;0,CHOOSE(MATCH(RegimeExecucao,{"Unitário","Global"},0),IF($A123="S",$Y123/$X123,""),($Y123/$X123)*100),0)</f>
        <v>0</v>
      </c>
      <c r="X123" s="429" t="str">
        <f ca="1">IF($Y123&gt;0,CHOOSE(MATCH(RegimeExecucao,{"Unitário","Global"},0),IF($A123="S",ROUND($H123,ORÇAMENTO!$AF$10),""),ROUND($I123,ORÇAMENTO!$AF$11)),"")</f>
        <v/>
      </c>
      <c r="Y123" s="429">
        <f t="shared" ca="1" si="21"/>
        <v>0</v>
      </c>
      <c r="Z123" s="656"/>
      <c r="AB123" s="427"/>
      <c r="AC123" s="594"/>
      <c r="AD123" s="594"/>
      <c r="AE123" s="594"/>
      <c r="AF123" s="594"/>
      <c r="AG123" s="594"/>
      <c r="AH123" s="594"/>
      <c r="AI123" s="594"/>
      <c r="AJ123" s="594"/>
      <c r="AK123" s="594"/>
      <c r="AL123" s="594"/>
      <c r="AM123" s="428"/>
      <c r="AO123">
        <f ca="1">IF($A123="S",IF(BM!$I123=0,0,CHOOSE(MATCH(RegimeExecucao,{"Global","Unitário"},0),ROUND(ROUND(BM.MEDAcumulado,15-13*BM!$A$9)/100*BM!$I123,15-13*ORÇAMENTO!$AF$11),ROUND(ROUND(BM.MEDAcumulado,15-13*BM!$A$9)*ROUND(BM!$H123,15-13*ORÇAMENTO!$AF$10),15-13*ORÇAMENTO!$AF$11))),IF($A123=0,0,ROUND(SomaAgrupBM,15-13*ORÇAMENTO!$AF$11)))</f>
        <v>0</v>
      </c>
    </row>
    <row r="124" spans="1:41" ht="13.8">
      <c r="A124" t="str">
        <f ca="1">ORÇAMENTO!C124</f>
        <v>S</v>
      </c>
      <c r="B124">
        <f ca="1">ORÇAMENTO!D124</f>
        <v>0</v>
      </c>
      <c r="C124" s="139" t="str">
        <f t="shared" ca="1" si="15"/>
        <v/>
      </c>
      <c r="D124" s="142" t="str">
        <f ca="1">ORÇAMENTO!O124</f>
        <v>-</v>
      </c>
      <c r="E124" s="202" t="str">
        <f t="shared" ca="1" si="16"/>
        <v>(abra o arquivo 'Referência 11-2024.xlsm)</v>
      </c>
      <c r="F124" s="203" t="str">
        <f ca="1">IF(RegimeExecucao="Global","",ORÇAMENTO.Unidade)</f>
        <v/>
      </c>
      <c r="G124" s="147" t="str">
        <f ca="1">IF(RegimeExecucao="Global","",ORÇAMENTO!T124)</f>
        <v/>
      </c>
      <c r="H124" s="147" t="str">
        <f ca="1">IF(RegimeExecucao="Global","",ORÇAMENTO!W124)</f>
        <v/>
      </c>
      <c r="I124" s="150">
        <f ca="1">ORÇAMENTO!X124</f>
        <v>0</v>
      </c>
      <c r="J124" s="423">
        <f ca="1">IF($A124="S",IF(CAIXA.Modo,BM.AFAnterior,BM.MEDAnterior),IF(AND(RegimeExecucao="Global",$I124&gt;0,COUNTIF($AB$13:$AM$13,BM.medicao-1)&gt;0),M124/$I124*100,0))</f>
        <v>0</v>
      </c>
      <c r="K124" s="147">
        <f t="shared" ca="1" si="17"/>
        <v>0</v>
      </c>
      <c r="L124" s="424">
        <f ca="1">IF($A124="S",IF(CAIXA.Modo,BM.AFAcumulado,BM.MEDAcumulado),IF(AND(RegimeExecucao="Global",$I124&gt;0,COUNTIF($AB$13:$AM$13,BM.medicao)&gt;0),O124/$I124*100,0))</f>
        <v>0</v>
      </c>
      <c r="M124" s="425">
        <f ca="1">IF($A124="S",VTOTALBM,IF($A124=0,0,ROUND(SomaAgrupBM,15-13*ORÇAMENTO!$AF$11)))</f>
        <v>0</v>
      </c>
      <c r="N124" s="426">
        <f t="shared" ca="1" si="18"/>
        <v>0</v>
      </c>
      <c r="O124" s="150">
        <f ca="1">IF($A124="S",VTOTALBM,IF($A124=0,0,ROUND(SomaAgrupBM,15-13*ORÇAMENTO!$AF$11)))</f>
        <v>0</v>
      </c>
      <c r="Q124" s="427"/>
      <c r="R124" s="428"/>
      <c r="T124" s="142" t="str">
        <f t="shared" ca="1" si="19"/>
        <v/>
      </c>
      <c r="U124" s="202" t="str">
        <f t="shared" ca="1" si="20"/>
        <v/>
      </c>
      <c r="V124" s="203" t="str">
        <f ca="1">IF(AND($W124&gt;0,RegimeExecucao="Unitário"),$F124,"")</f>
        <v/>
      </c>
      <c r="W124" s="629">
        <f ca="1">IF($Y124&gt;0,CHOOSE(MATCH(RegimeExecucao,{"Unitário","Global"},0),IF($A124="S",$Y124/$X124,""),($Y124/$X124)*100),0)</f>
        <v>0</v>
      </c>
      <c r="X124" s="429" t="str">
        <f ca="1">IF($Y124&gt;0,CHOOSE(MATCH(RegimeExecucao,{"Unitário","Global"},0),IF($A124="S",ROUND($H124,ORÇAMENTO!$AF$10),""),ROUND($I124,ORÇAMENTO!$AF$11)),"")</f>
        <v/>
      </c>
      <c r="Y124" s="429">
        <f t="shared" ca="1" si="21"/>
        <v>0</v>
      </c>
      <c r="Z124" s="656"/>
      <c r="AB124" s="427"/>
      <c r="AC124" s="594"/>
      <c r="AD124" s="594"/>
      <c r="AE124" s="594"/>
      <c r="AF124" s="594"/>
      <c r="AG124" s="594"/>
      <c r="AH124" s="594"/>
      <c r="AI124" s="594"/>
      <c r="AJ124" s="594"/>
      <c r="AK124" s="594"/>
      <c r="AL124" s="594"/>
      <c r="AM124" s="428"/>
      <c r="AO124">
        <f ca="1">IF($A124="S",IF(BM!$I124=0,0,CHOOSE(MATCH(RegimeExecucao,{"Global","Unitário"},0),ROUND(ROUND(BM.MEDAcumulado,15-13*BM!$A$9)/100*BM!$I124,15-13*ORÇAMENTO!$AF$11),ROUND(ROUND(BM.MEDAcumulado,15-13*BM!$A$9)*ROUND(BM!$H124,15-13*ORÇAMENTO!$AF$10),15-13*ORÇAMENTO!$AF$11))),IF($A124=0,0,ROUND(SomaAgrupBM,15-13*ORÇAMENTO!$AF$11)))</f>
        <v>0</v>
      </c>
    </row>
    <row r="125" spans="1:41" ht="13.8">
      <c r="A125" t="str">
        <f ca="1">ORÇAMENTO!C125</f>
        <v>S</v>
      </c>
      <c r="B125">
        <f ca="1">ORÇAMENTO!D125</f>
        <v>0</v>
      </c>
      <c r="C125" s="139" t="str">
        <f t="shared" ca="1" si="15"/>
        <v/>
      </c>
      <c r="D125" s="142" t="str">
        <f ca="1">ORÇAMENTO!O125</f>
        <v>-</v>
      </c>
      <c r="E125" s="202" t="str">
        <f t="shared" ca="1" si="16"/>
        <v>(abra o arquivo 'Referência 11-2024.xlsm)</v>
      </c>
      <c r="F125" s="203" t="str">
        <f ca="1">IF(RegimeExecucao="Global","",ORÇAMENTO.Unidade)</f>
        <v/>
      </c>
      <c r="G125" s="147" t="str">
        <f ca="1">IF(RegimeExecucao="Global","",ORÇAMENTO!T125)</f>
        <v/>
      </c>
      <c r="H125" s="147" t="str">
        <f ca="1">IF(RegimeExecucao="Global","",ORÇAMENTO!W125)</f>
        <v/>
      </c>
      <c r="I125" s="150">
        <f ca="1">ORÇAMENTO!X125</f>
        <v>0</v>
      </c>
      <c r="J125" s="423">
        <f ca="1">IF($A125="S",IF(CAIXA.Modo,BM.AFAnterior,BM.MEDAnterior),IF(AND(RegimeExecucao="Global",$I125&gt;0,COUNTIF($AB$13:$AM$13,BM.medicao-1)&gt;0),M125/$I125*100,0))</f>
        <v>0</v>
      </c>
      <c r="K125" s="147">
        <f t="shared" ca="1" si="17"/>
        <v>0</v>
      </c>
      <c r="L125" s="424">
        <f ca="1">IF($A125="S",IF(CAIXA.Modo,BM.AFAcumulado,BM.MEDAcumulado),IF(AND(RegimeExecucao="Global",$I125&gt;0,COUNTIF($AB$13:$AM$13,BM.medicao)&gt;0),O125/$I125*100,0))</f>
        <v>0</v>
      </c>
      <c r="M125" s="425">
        <f ca="1">IF($A125="S",VTOTALBM,IF($A125=0,0,ROUND(SomaAgrupBM,15-13*ORÇAMENTO!$AF$11)))</f>
        <v>0</v>
      </c>
      <c r="N125" s="426">
        <f t="shared" ca="1" si="18"/>
        <v>0</v>
      </c>
      <c r="O125" s="150">
        <f ca="1">IF($A125="S",VTOTALBM,IF($A125=0,0,ROUND(SomaAgrupBM,15-13*ORÇAMENTO!$AF$11)))</f>
        <v>0</v>
      </c>
      <c r="Q125" s="427"/>
      <c r="R125" s="428"/>
      <c r="T125" s="142" t="str">
        <f t="shared" ca="1" si="19"/>
        <v/>
      </c>
      <c r="U125" s="202" t="str">
        <f t="shared" ca="1" si="20"/>
        <v/>
      </c>
      <c r="V125" s="203" t="str">
        <f ca="1">IF(AND($W125&gt;0,RegimeExecucao="Unitário"),$F125,"")</f>
        <v/>
      </c>
      <c r="W125" s="629">
        <f ca="1">IF($Y125&gt;0,CHOOSE(MATCH(RegimeExecucao,{"Unitário","Global"},0),IF($A125="S",$Y125/$X125,""),($Y125/$X125)*100),0)</f>
        <v>0</v>
      </c>
      <c r="X125" s="429" t="str">
        <f ca="1">IF($Y125&gt;0,CHOOSE(MATCH(RegimeExecucao,{"Unitário","Global"},0),IF($A125="S",ROUND($H125,ORÇAMENTO!$AF$10),""),ROUND($I125,ORÇAMENTO!$AF$11)),"")</f>
        <v/>
      </c>
      <c r="Y125" s="429">
        <f t="shared" ca="1" si="21"/>
        <v>0</v>
      </c>
      <c r="Z125" s="656"/>
      <c r="AB125" s="427"/>
      <c r="AC125" s="594"/>
      <c r="AD125" s="594"/>
      <c r="AE125" s="594"/>
      <c r="AF125" s="594"/>
      <c r="AG125" s="594"/>
      <c r="AH125" s="594"/>
      <c r="AI125" s="594"/>
      <c r="AJ125" s="594"/>
      <c r="AK125" s="594"/>
      <c r="AL125" s="594"/>
      <c r="AM125" s="428"/>
      <c r="AO125">
        <f ca="1">IF($A125="S",IF(BM!$I125=0,0,CHOOSE(MATCH(RegimeExecucao,{"Global","Unitário"},0),ROUND(ROUND(BM.MEDAcumulado,15-13*BM!$A$9)/100*BM!$I125,15-13*ORÇAMENTO!$AF$11),ROUND(ROUND(BM.MEDAcumulado,15-13*BM!$A$9)*ROUND(BM!$H125,15-13*ORÇAMENTO!$AF$10),15-13*ORÇAMENTO!$AF$11))),IF($A125=0,0,ROUND(SomaAgrupBM,15-13*ORÇAMENTO!$AF$11)))</f>
        <v>0</v>
      </c>
    </row>
    <row r="126" spans="1:41" ht="13.8">
      <c r="A126" t="str">
        <f ca="1">ORÇAMENTO!C126</f>
        <v>S</v>
      </c>
      <c r="B126">
        <f ca="1">ORÇAMENTO!D126</f>
        <v>0</v>
      </c>
      <c r="C126" s="139" t="str">
        <f t="shared" ca="1" si="15"/>
        <v/>
      </c>
      <c r="D126" s="142" t="str">
        <f ca="1">ORÇAMENTO!O126</f>
        <v>-</v>
      </c>
      <c r="E126" s="202" t="str">
        <f t="shared" ca="1" si="16"/>
        <v>(abra o arquivo 'Referência 11-2024.xlsm)</v>
      </c>
      <c r="F126" s="203" t="str">
        <f ca="1">IF(RegimeExecucao="Global","",ORÇAMENTO.Unidade)</f>
        <v/>
      </c>
      <c r="G126" s="147" t="str">
        <f ca="1">IF(RegimeExecucao="Global","",ORÇAMENTO!T126)</f>
        <v/>
      </c>
      <c r="H126" s="147" t="str">
        <f ca="1">IF(RegimeExecucao="Global","",ORÇAMENTO!W126)</f>
        <v/>
      </c>
      <c r="I126" s="150">
        <f ca="1">ORÇAMENTO!X126</f>
        <v>0</v>
      </c>
      <c r="J126" s="423">
        <f ca="1">IF($A126="S",IF(CAIXA.Modo,BM.AFAnterior,BM.MEDAnterior),IF(AND(RegimeExecucao="Global",$I126&gt;0,COUNTIF($AB$13:$AM$13,BM.medicao-1)&gt;0),M126/$I126*100,0))</f>
        <v>0</v>
      </c>
      <c r="K126" s="147">
        <f t="shared" ca="1" si="17"/>
        <v>0</v>
      </c>
      <c r="L126" s="424">
        <f ca="1">IF($A126="S",IF(CAIXA.Modo,BM.AFAcumulado,BM.MEDAcumulado),IF(AND(RegimeExecucao="Global",$I126&gt;0,COUNTIF($AB$13:$AM$13,BM.medicao)&gt;0),O126/$I126*100,0))</f>
        <v>0</v>
      </c>
      <c r="M126" s="425">
        <f ca="1">IF($A126="S",VTOTALBM,IF($A126=0,0,ROUND(SomaAgrupBM,15-13*ORÇAMENTO!$AF$11)))</f>
        <v>0</v>
      </c>
      <c r="N126" s="426">
        <f t="shared" ca="1" si="18"/>
        <v>0</v>
      </c>
      <c r="O126" s="150">
        <f ca="1">IF($A126="S",VTOTALBM,IF($A126=0,0,ROUND(SomaAgrupBM,15-13*ORÇAMENTO!$AF$11)))</f>
        <v>0</v>
      </c>
      <c r="Q126" s="427"/>
      <c r="R126" s="428"/>
      <c r="T126" s="142" t="str">
        <f t="shared" ca="1" si="19"/>
        <v/>
      </c>
      <c r="U126" s="202" t="str">
        <f t="shared" ca="1" si="20"/>
        <v/>
      </c>
      <c r="V126" s="203" t="str">
        <f ca="1">IF(AND($W126&gt;0,RegimeExecucao="Unitário"),$F126,"")</f>
        <v/>
      </c>
      <c r="W126" s="629">
        <f ca="1">IF($Y126&gt;0,CHOOSE(MATCH(RegimeExecucao,{"Unitário","Global"},0),IF($A126="S",$Y126/$X126,""),($Y126/$X126)*100),0)</f>
        <v>0</v>
      </c>
      <c r="X126" s="429" t="str">
        <f ca="1">IF($Y126&gt;0,CHOOSE(MATCH(RegimeExecucao,{"Unitário","Global"},0),IF($A126="S",ROUND($H126,ORÇAMENTO!$AF$10),""),ROUND($I126,ORÇAMENTO!$AF$11)),"")</f>
        <v/>
      </c>
      <c r="Y126" s="429">
        <f t="shared" ca="1" si="21"/>
        <v>0</v>
      </c>
      <c r="Z126" s="656"/>
      <c r="AB126" s="427"/>
      <c r="AC126" s="594"/>
      <c r="AD126" s="594"/>
      <c r="AE126" s="594"/>
      <c r="AF126" s="594"/>
      <c r="AG126" s="594"/>
      <c r="AH126" s="594"/>
      <c r="AI126" s="594"/>
      <c r="AJ126" s="594"/>
      <c r="AK126" s="594"/>
      <c r="AL126" s="594"/>
      <c r="AM126" s="428"/>
      <c r="AO126">
        <f ca="1">IF($A126="S",IF(BM!$I126=0,0,CHOOSE(MATCH(RegimeExecucao,{"Global","Unitário"},0),ROUND(ROUND(BM.MEDAcumulado,15-13*BM!$A$9)/100*BM!$I126,15-13*ORÇAMENTO!$AF$11),ROUND(ROUND(BM.MEDAcumulado,15-13*BM!$A$9)*ROUND(BM!$H126,15-13*ORÇAMENTO!$AF$10),15-13*ORÇAMENTO!$AF$11))),IF($A126=0,0,ROUND(SomaAgrupBM,15-13*ORÇAMENTO!$AF$11)))</f>
        <v>0</v>
      </c>
    </row>
    <row r="127" spans="1:41" ht="13.8">
      <c r="A127" t="str">
        <f ca="1">ORÇAMENTO!C127</f>
        <v>S</v>
      </c>
      <c r="B127">
        <f ca="1">ORÇAMENTO!D127</f>
        <v>0</v>
      </c>
      <c r="C127" s="139" t="str">
        <f t="shared" ca="1" si="15"/>
        <v/>
      </c>
      <c r="D127" s="142" t="str">
        <f ca="1">ORÇAMENTO!O127</f>
        <v>-</v>
      </c>
      <c r="E127" s="202" t="str">
        <f t="shared" ca="1" si="16"/>
        <v>(abra o arquivo 'Referência 11-2024.xlsm)</v>
      </c>
      <c r="F127" s="203" t="str">
        <f ca="1">IF(RegimeExecucao="Global","",ORÇAMENTO.Unidade)</f>
        <v/>
      </c>
      <c r="G127" s="147" t="str">
        <f ca="1">IF(RegimeExecucao="Global","",ORÇAMENTO!T127)</f>
        <v/>
      </c>
      <c r="H127" s="147" t="str">
        <f ca="1">IF(RegimeExecucao="Global","",ORÇAMENTO!W127)</f>
        <v/>
      </c>
      <c r="I127" s="150">
        <f ca="1">ORÇAMENTO!X127</f>
        <v>0</v>
      </c>
      <c r="J127" s="423">
        <f ca="1">IF($A127="S",IF(CAIXA.Modo,BM.AFAnterior,BM.MEDAnterior),IF(AND(RegimeExecucao="Global",$I127&gt;0,COUNTIF($AB$13:$AM$13,BM.medicao-1)&gt;0),M127/$I127*100,0))</f>
        <v>0</v>
      </c>
      <c r="K127" s="147">
        <f t="shared" ca="1" si="17"/>
        <v>0</v>
      </c>
      <c r="L127" s="424">
        <f ca="1">IF($A127="S",IF(CAIXA.Modo,BM.AFAcumulado,BM.MEDAcumulado),IF(AND(RegimeExecucao="Global",$I127&gt;0,COUNTIF($AB$13:$AM$13,BM.medicao)&gt;0),O127/$I127*100,0))</f>
        <v>0</v>
      </c>
      <c r="M127" s="425">
        <f ca="1">IF($A127="S",VTOTALBM,IF($A127=0,0,ROUND(SomaAgrupBM,15-13*ORÇAMENTO!$AF$11)))</f>
        <v>0</v>
      </c>
      <c r="N127" s="426">
        <f t="shared" ca="1" si="18"/>
        <v>0</v>
      </c>
      <c r="O127" s="150">
        <f ca="1">IF($A127="S",VTOTALBM,IF($A127=0,0,ROUND(SomaAgrupBM,15-13*ORÇAMENTO!$AF$11)))</f>
        <v>0</v>
      </c>
      <c r="Q127" s="427"/>
      <c r="R127" s="428"/>
      <c r="T127" s="142" t="str">
        <f t="shared" ca="1" si="19"/>
        <v/>
      </c>
      <c r="U127" s="202" t="str">
        <f t="shared" ca="1" si="20"/>
        <v/>
      </c>
      <c r="V127" s="203" t="str">
        <f ca="1">IF(AND($W127&gt;0,RegimeExecucao="Unitário"),$F127,"")</f>
        <v/>
      </c>
      <c r="W127" s="629">
        <f ca="1">IF($Y127&gt;0,CHOOSE(MATCH(RegimeExecucao,{"Unitário","Global"},0),IF($A127="S",$Y127/$X127,""),($Y127/$X127)*100),0)</f>
        <v>0</v>
      </c>
      <c r="X127" s="429" t="str">
        <f ca="1">IF($Y127&gt;0,CHOOSE(MATCH(RegimeExecucao,{"Unitário","Global"},0),IF($A127="S",ROUND($H127,ORÇAMENTO!$AF$10),""),ROUND($I127,ORÇAMENTO!$AF$11)),"")</f>
        <v/>
      </c>
      <c r="Y127" s="429">
        <f t="shared" ca="1" si="21"/>
        <v>0</v>
      </c>
      <c r="Z127" s="656"/>
      <c r="AB127" s="427"/>
      <c r="AC127" s="594"/>
      <c r="AD127" s="594"/>
      <c r="AE127" s="594"/>
      <c r="AF127" s="594"/>
      <c r="AG127" s="594"/>
      <c r="AH127" s="594"/>
      <c r="AI127" s="594"/>
      <c r="AJ127" s="594"/>
      <c r="AK127" s="594"/>
      <c r="AL127" s="594"/>
      <c r="AM127" s="428"/>
      <c r="AO127">
        <f ca="1">IF($A127="S",IF(BM!$I127=0,0,CHOOSE(MATCH(RegimeExecucao,{"Global","Unitário"},0),ROUND(ROUND(BM.MEDAcumulado,15-13*BM!$A$9)/100*BM!$I127,15-13*ORÇAMENTO!$AF$11),ROUND(ROUND(BM.MEDAcumulado,15-13*BM!$A$9)*ROUND(BM!$H127,15-13*ORÇAMENTO!$AF$10),15-13*ORÇAMENTO!$AF$11))),IF($A127=0,0,ROUND(SomaAgrupBM,15-13*ORÇAMENTO!$AF$11)))</f>
        <v>0</v>
      </c>
    </row>
    <row r="128" spans="1:41" ht="13.8">
      <c r="A128" t="str">
        <f ca="1">ORÇAMENTO!C128</f>
        <v>S</v>
      </c>
      <c r="B128">
        <f ca="1">ORÇAMENTO!D128</f>
        <v>0</v>
      </c>
      <c r="C128" s="139" t="str">
        <f t="shared" ca="1" si="15"/>
        <v/>
      </c>
      <c r="D128" s="142" t="str">
        <f ca="1">ORÇAMENTO!O128</f>
        <v>-</v>
      </c>
      <c r="E128" s="202" t="str">
        <f t="shared" ca="1" si="16"/>
        <v>(abra o arquivo 'Referência 11-2024.xlsm)</v>
      </c>
      <c r="F128" s="203" t="str">
        <f ca="1">IF(RegimeExecucao="Global","",ORÇAMENTO.Unidade)</f>
        <v/>
      </c>
      <c r="G128" s="147" t="str">
        <f ca="1">IF(RegimeExecucao="Global","",ORÇAMENTO!T128)</f>
        <v/>
      </c>
      <c r="H128" s="147" t="str">
        <f ca="1">IF(RegimeExecucao="Global","",ORÇAMENTO!W128)</f>
        <v/>
      </c>
      <c r="I128" s="150">
        <f ca="1">ORÇAMENTO!X128</f>
        <v>0</v>
      </c>
      <c r="J128" s="423">
        <f ca="1">IF($A128="S",IF(CAIXA.Modo,BM.AFAnterior,BM.MEDAnterior),IF(AND(RegimeExecucao="Global",$I128&gt;0,COUNTIF($AB$13:$AM$13,BM.medicao-1)&gt;0),M128/$I128*100,0))</f>
        <v>0</v>
      </c>
      <c r="K128" s="147">
        <f t="shared" ca="1" si="17"/>
        <v>0</v>
      </c>
      <c r="L128" s="424">
        <f ca="1">IF($A128="S",IF(CAIXA.Modo,BM.AFAcumulado,BM.MEDAcumulado),IF(AND(RegimeExecucao="Global",$I128&gt;0,COUNTIF($AB$13:$AM$13,BM.medicao)&gt;0),O128/$I128*100,0))</f>
        <v>0</v>
      </c>
      <c r="M128" s="425">
        <f ca="1">IF($A128="S",VTOTALBM,IF($A128=0,0,ROUND(SomaAgrupBM,15-13*ORÇAMENTO!$AF$11)))</f>
        <v>0</v>
      </c>
      <c r="N128" s="426">
        <f t="shared" ca="1" si="18"/>
        <v>0</v>
      </c>
      <c r="O128" s="150">
        <f ca="1">IF($A128="S",VTOTALBM,IF($A128=0,0,ROUND(SomaAgrupBM,15-13*ORÇAMENTO!$AF$11)))</f>
        <v>0</v>
      </c>
      <c r="Q128" s="427"/>
      <c r="R128" s="428"/>
      <c r="T128" s="142" t="str">
        <f t="shared" ca="1" si="19"/>
        <v/>
      </c>
      <c r="U128" s="202" t="str">
        <f t="shared" ca="1" si="20"/>
        <v/>
      </c>
      <c r="V128" s="203" t="str">
        <f ca="1">IF(AND($W128&gt;0,RegimeExecucao="Unitário"),$F128,"")</f>
        <v/>
      </c>
      <c r="W128" s="629">
        <f ca="1">IF($Y128&gt;0,CHOOSE(MATCH(RegimeExecucao,{"Unitário","Global"},0),IF($A128="S",$Y128/$X128,""),($Y128/$X128)*100),0)</f>
        <v>0</v>
      </c>
      <c r="X128" s="429" t="str">
        <f ca="1">IF($Y128&gt;0,CHOOSE(MATCH(RegimeExecucao,{"Unitário","Global"},0),IF($A128="S",ROUND($H128,ORÇAMENTO!$AF$10),""),ROUND($I128,ORÇAMENTO!$AF$11)),"")</f>
        <v/>
      </c>
      <c r="Y128" s="429">
        <f t="shared" ca="1" si="21"/>
        <v>0</v>
      </c>
      <c r="Z128" s="656"/>
      <c r="AB128" s="427"/>
      <c r="AC128" s="594"/>
      <c r="AD128" s="594"/>
      <c r="AE128" s="594"/>
      <c r="AF128" s="594"/>
      <c r="AG128" s="594"/>
      <c r="AH128" s="594"/>
      <c r="AI128" s="594"/>
      <c r="AJ128" s="594"/>
      <c r="AK128" s="594"/>
      <c r="AL128" s="594"/>
      <c r="AM128" s="428"/>
      <c r="AO128">
        <f ca="1">IF($A128="S",IF(BM!$I128=0,0,CHOOSE(MATCH(RegimeExecucao,{"Global","Unitário"},0),ROUND(ROUND(BM.MEDAcumulado,15-13*BM!$A$9)/100*BM!$I128,15-13*ORÇAMENTO!$AF$11),ROUND(ROUND(BM.MEDAcumulado,15-13*BM!$A$9)*ROUND(BM!$H128,15-13*ORÇAMENTO!$AF$10),15-13*ORÇAMENTO!$AF$11))),IF($A128=0,0,ROUND(SomaAgrupBM,15-13*ORÇAMENTO!$AF$11)))</f>
        <v>0</v>
      </c>
    </row>
    <row r="129" spans="1:41" ht="13.8">
      <c r="A129" t="str">
        <f ca="1">ORÇAMENTO!C129</f>
        <v>S</v>
      </c>
      <c r="B129">
        <f ca="1">ORÇAMENTO!D129</f>
        <v>0</v>
      </c>
      <c r="C129" s="139" t="str">
        <f t="shared" ca="1" si="15"/>
        <v/>
      </c>
      <c r="D129" s="142" t="str">
        <f ca="1">ORÇAMENTO!O129</f>
        <v>-</v>
      </c>
      <c r="E129" s="202" t="str">
        <f t="shared" ca="1" si="16"/>
        <v>(abra o arquivo 'Referência 11-2024.xlsm)</v>
      </c>
      <c r="F129" s="203" t="str">
        <f ca="1">IF(RegimeExecucao="Global","",ORÇAMENTO.Unidade)</f>
        <v/>
      </c>
      <c r="G129" s="147" t="str">
        <f ca="1">IF(RegimeExecucao="Global","",ORÇAMENTO!T129)</f>
        <v/>
      </c>
      <c r="H129" s="147" t="str">
        <f ca="1">IF(RegimeExecucao="Global","",ORÇAMENTO!W129)</f>
        <v/>
      </c>
      <c r="I129" s="150">
        <f ca="1">ORÇAMENTO!X129</f>
        <v>0</v>
      </c>
      <c r="J129" s="423">
        <f ca="1">IF($A129="S",IF(CAIXA.Modo,BM.AFAnterior,BM.MEDAnterior),IF(AND(RegimeExecucao="Global",$I129&gt;0,COUNTIF($AB$13:$AM$13,BM.medicao-1)&gt;0),M129/$I129*100,0))</f>
        <v>0</v>
      </c>
      <c r="K129" s="147">
        <f t="shared" ca="1" si="17"/>
        <v>0</v>
      </c>
      <c r="L129" s="424">
        <f ca="1">IF($A129="S",IF(CAIXA.Modo,BM.AFAcumulado,BM.MEDAcumulado),IF(AND(RegimeExecucao="Global",$I129&gt;0,COUNTIF($AB$13:$AM$13,BM.medicao)&gt;0),O129/$I129*100,0))</f>
        <v>0</v>
      </c>
      <c r="M129" s="425">
        <f ca="1">IF($A129="S",VTOTALBM,IF($A129=0,0,ROUND(SomaAgrupBM,15-13*ORÇAMENTO!$AF$11)))</f>
        <v>0</v>
      </c>
      <c r="N129" s="426">
        <f t="shared" ca="1" si="18"/>
        <v>0</v>
      </c>
      <c r="O129" s="150">
        <f ca="1">IF($A129="S",VTOTALBM,IF($A129=0,0,ROUND(SomaAgrupBM,15-13*ORÇAMENTO!$AF$11)))</f>
        <v>0</v>
      </c>
      <c r="Q129" s="427"/>
      <c r="R129" s="428"/>
      <c r="T129" s="142" t="str">
        <f t="shared" ca="1" si="19"/>
        <v/>
      </c>
      <c r="U129" s="202" t="str">
        <f t="shared" ca="1" si="20"/>
        <v/>
      </c>
      <c r="V129" s="203" t="str">
        <f ca="1">IF(AND($W129&gt;0,RegimeExecucao="Unitário"),$F129,"")</f>
        <v/>
      </c>
      <c r="W129" s="629">
        <f ca="1">IF($Y129&gt;0,CHOOSE(MATCH(RegimeExecucao,{"Unitário","Global"},0),IF($A129="S",$Y129/$X129,""),($Y129/$X129)*100),0)</f>
        <v>0</v>
      </c>
      <c r="X129" s="429" t="str">
        <f ca="1">IF($Y129&gt;0,CHOOSE(MATCH(RegimeExecucao,{"Unitário","Global"},0),IF($A129="S",ROUND($H129,ORÇAMENTO!$AF$10),""),ROUND($I129,ORÇAMENTO!$AF$11)),"")</f>
        <v/>
      </c>
      <c r="Y129" s="429">
        <f t="shared" ca="1" si="21"/>
        <v>0</v>
      </c>
      <c r="Z129" s="656"/>
      <c r="AB129" s="427"/>
      <c r="AC129" s="594"/>
      <c r="AD129" s="594"/>
      <c r="AE129" s="594"/>
      <c r="AF129" s="594"/>
      <c r="AG129" s="594"/>
      <c r="AH129" s="594"/>
      <c r="AI129" s="594"/>
      <c r="AJ129" s="594"/>
      <c r="AK129" s="594"/>
      <c r="AL129" s="594"/>
      <c r="AM129" s="428"/>
      <c r="AO129">
        <f ca="1">IF($A129="S",IF(BM!$I129=0,0,CHOOSE(MATCH(RegimeExecucao,{"Global","Unitário"},0),ROUND(ROUND(BM.MEDAcumulado,15-13*BM!$A$9)/100*BM!$I129,15-13*ORÇAMENTO!$AF$11),ROUND(ROUND(BM.MEDAcumulado,15-13*BM!$A$9)*ROUND(BM!$H129,15-13*ORÇAMENTO!$AF$10),15-13*ORÇAMENTO!$AF$11))),IF($A129=0,0,ROUND(SomaAgrupBM,15-13*ORÇAMENTO!$AF$11)))</f>
        <v>0</v>
      </c>
    </row>
    <row r="130" spans="1:41" ht="13.8">
      <c r="A130" t="str">
        <f ca="1">ORÇAMENTO!C130</f>
        <v>S</v>
      </c>
      <c r="B130">
        <f ca="1">ORÇAMENTO!D130</f>
        <v>0</v>
      </c>
      <c r="C130" s="139" t="str">
        <f t="shared" ca="1" si="15"/>
        <v/>
      </c>
      <c r="D130" s="142" t="str">
        <f ca="1">ORÇAMENTO!O130</f>
        <v>-</v>
      </c>
      <c r="E130" s="202" t="str">
        <f t="shared" ca="1" si="16"/>
        <v>(abra o arquivo 'Referência 11-2024.xlsm)</v>
      </c>
      <c r="F130" s="203" t="str">
        <f ca="1">IF(RegimeExecucao="Global","",ORÇAMENTO.Unidade)</f>
        <v/>
      </c>
      <c r="G130" s="147" t="str">
        <f ca="1">IF(RegimeExecucao="Global","",ORÇAMENTO!T130)</f>
        <v/>
      </c>
      <c r="H130" s="147" t="str">
        <f ca="1">IF(RegimeExecucao="Global","",ORÇAMENTO!W130)</f>
        <v/>
      </c>
      <c r="I130" s="150">
        <f ca="1">ORÇAMENTO!X130</f>
        <v>0</v>
      </c>
      <c r="J130" s="423">
        <f ca="1">IF($A130="S",IF(CAIXA.Modo,BM.AFAnterior,BM.MEDAnterior),IF(AND(RegimeExecucao="Global",$I130&gt;0,COUNTIF($AB$13:$AM$13,BM.medicao-1)&gt;0),M130/$I130*100,0))</f>
        <v>0</v>
      </c>
      <c r="K130" s="147">
        <f t="shared" ca="1" si="17"/>
        <v>0</v>
      </c>
      <c r="L130" s="424">
        <f ca="1">IF($A130="S",IF(CAIXA.Modo,BM.AFAcumulado,BM.MEDAcumulado),IF(AND(RegimeExecucao="Global",$I130&gt;0,COUNTIF($AB$13:$AM$13,BM.medicao)&gt;0),O130/$I130*100,0))</f>
        <v>0</v>
      </c>
      <c r="M130" s="425">
        <f ca="1">IF($A130="S",VTOTALBM,IF($A130=0,0,ROUND(SomaAgrupBM,15-13*ORÇAMENTO!$AF$11)))</f>
        <v>0</v>
      </c>
      <c r="N130" s="426">
        <f t="shared" ca="1" si="18"/>
        <v>0</v>
      </c>
      <c r="O130" s="150">
        <f ca="1">IF($A130="S",VTOTALBM,IF($A130=0,0,ROUND(SomaAgrupBM,15-13*ORÇAMENTO!$AF$11)))</f>
        <v>0</v>
      </c>
      <c r="Q130" s="427"/>
      <c r="R130" s="428"/>
      <c r="T130" s="142" t="str">
        <f t="shared" ca="1" si="19"/>
        <v/>
      </c>
      <c r="U130" s="202" t="str">
        <f t="shared" ca="1" si="20"/>
        <v/>
      </c>
      <c r="V130" s="203" t="str">
        <f ca="1">IF(AND($W130&gt;0,RegimeExecucao="Unitário"),$F130,"")</f>
        <v/>
      </c>
      <c r="W130" s="629">
        <f ca="1">IF($Y130&gt;0,CHOOSE(MATCH(RegimeExecucao,{"Unitário","Global"},0),IF($A130="S",$Y130/$X130,""),($Y130/$X130)*100),0)</f>
        <v>0</v>
      </c>
      <c r="X130" s="429" t="str">
        <f ca="1">IF($Y130&gt;0,CHOOSE(MATCH(RegimeExecucao,{"Unitário","Global"},0),IF($A130="S",ROUND($H130,ORÇAMENTO!$AF$10),""),ROUND($I130,ORÇAMENTO!$AF$11)),"")</f>
        <v/>
      </c>
      <c r="Y130" s="429">
        <f t="shared" ca="1" si="21"/>
        <v>0</v>
      </c>
      <c r="Z130" s="656"/>
      <c r="AB130" s="427"/>
      <c r="AC130" s="594"/>
      <c r="AD130" s="594"/>
      <c r="AE130" s="594"/>
      <c r="AF130" s="594"/>
      <c r="AG130" s="594"/>
      <c r="AH130" s="594"/>
      <c r="AI130" s="594"/>
      <c r="AJ130" s="594"/>
      <c r="AK130" s="594"/>
      <c r="AL130" s="594"/>
      <c r="AM130" s="428"/>
      <c r="AO130">
        <f ca="1">IF($A130="S",IF(BM!$I130=0,0,CHOOSE(MATCH(RegimeExecucao,{"Global","Unitário"},0),ROUND(ROUND(BM.MEDAcumulado,15-13*BM!$A$9)/100*BM!$I130,15-13*ORÇAMENTO!$AF$11),ROUND(ROUND(BM.MEDAcumulado,15-13*BM!$A$9)*ROUND(BM!$H130,15-13*ORÇAMENTO!$AF$10),15-13*ORÇAMENTO!$AF$11))),IF($A130=0,0,ROUND(SomaAgrupBM,15-13*ORÇAMENTO!$AF$11)))</f>
        <v>0</v>
      </c>
    </row>
    <row r="131" spans="1:41" ht="13.8">
      <c r="A131" t="str">
        <f ca="1">ORÇAMENTO!C131</f>
        <v>S</v>
      </c>
      <c r="B131">
        <f ca="1">ORÇAMENTO!D131</f>
        <v>0</v>
      </c>
      <c r="C131" s="139" t="str">
        <f t="shared" ca="1" si="15"/>
        <v/>
      </c>
      <c r="D131" s="142" t="str">
        <f ca="1">ORÇAMENTO!O131</f>
        <v>-</v>
      </c>
      <c r="E131" s="202" t="str">
        <f t="shared" ca="1" si="16"/>
        <v>(abra o arquivo 'Referência 11-2024.xlsm)</v>
      </c>
      <c r="F131" s="203" t="str">
        <f ca="1">IF(RegimeExecucao="Global","",ORÇAMENTO.Unidade)</f>
        <v/>
      </c>
      <c r="G131" s="147" t="str">
        <f ca="1">IF(RegimeExecucao="Global","",ORÇAMENTO!T131)</f>
        <v/>
      </c>
      <c r="H131" s="147" t="str">
        <f ca="1">IF(RegimeExecucao="Global","",ORÇAMENTO!W131)</f>
        <v/>
      </c>
      <c r="I131" s="150">
        <f ca="1">ORÇAMENTO!X131</f>
        <v>0</v>
      </c>
      <c r="J131" s="423">
        <f ca="1">IF($A131="S",IF(CAIXA.Modo,BM.AFAnterior,BM.MEDAnterior),IF(AND(RegimeExecucao="Global",$I131&gt;0,COUNTIF($AB$13:$AM$13,BM.medicao-1)&gt;0),M131/$I131*100,0))</f>
        <v>0</v>
      </c>
      <c r="K131" s="147">
        <f t="shared" ca="1" si="17"/>
        <v>0</v>
      </c>
      <c r="L131" s="424">
        <f ca="1">IF($A131="S",IF(CAIXA.Modo,BM.AFAcumulado,BM.MEDAcumulado),IF(AND(RegimeExecucao="Global",$I131&gt;0,COUNTIF($AB$13:$AM$13,BM.medicao)&gt;0),O131/$I131*100,0))</f>
        <v>0</v>
      </c>
      <c r="M131" s="425">
        <f ca="1">IF($A131="S",VTOTALBM,IF($A131=0,0,ROUND(SomaAgrupBM,15-13*ORÇAMENTO!$AF$11)))</f>
        <v>0</v>
      </c>
      <c r="N131" s="426">
        <f t="shared" ca="1" si="18"/>
        <v>0</v>
      </c>
      <c r="O131" s="150">
        <f ca="1">IF($A131="S",VTOTALBM,IF($A131=0,0,ROUND(SomaAgrupBM,15-13*ORÇAMENTO!$AF$11)))</f>
        <v>0</v>
      </c>
      <c r="Q131" s="427"/>
      <c r="R131" s="428"/>
      <c r="T131" s="142" t="str">
        <f t="shared" ca="1" si="19"/>
        <v/>
      </c>
      <c r="U131" s="202" t="str">
        <f t="shared" ca="1" si="20"/>
        <v/>
      </c>
      <c r="V131" s="203" t="str">
        <f ca="1">IF(AND($W131&gt;0,RegimeExecucao="Unitário"),$F131,"")</f>
        <v/>
      </c>
      <c r="W131" s="629">
        <f ca="1">IF($Y131&gt;0,CHOOSE(MATCH(RegimeExecucao,{"Unitário","Global"},0),IF($A131="S",$Y131/$X131,""),($Y131/$X131)*100),0)</f>
        <v>0</v>
      </c>
      <c r="X131" s="429" t="str">
        <f ca="1">IF($Y131&gt;0,CHOOSE(MATCH(RegimeExecucao,{"Unitário","Global"},0),IF($A131="S",ROUND($H131,ORÇAMENTO!$AF$10),""),ROUND($I131,ORÇAMENTO!$AF$11)),"")</f>
        <v/>
      </c>
      <c r="Y131" s="429">
        <f t="shared" ca="1" si="21"/>
        <v>0</v>
      </c>
      <c r="Z131" s="656"/>
      <c r="AB131" s="427"/>
      <c r="AC131" s="594"/>
      <c r="AD131" s="594"/>
      <c r="AE131" s="594"/>
      <c r="AF131" s="594"/>
      <c r="AG131" s="594"/>
      <c r="AH131" s="594"/>
      <c r="AI131" s="594"/>
      <c r="AJ131" s="594"/>
      <c r="AK131" s="594"/>
      <c r="AL131" s="594"/>
      <c r="AM131" s="428"/>
      <c r="AO131">
        <f ca="1">IF($A131="S",IF(BM!$I131=0,0,CHOOSE(MATCH(RegimeExecucao,{"Global","Unitário"},0),ROUND(ROUND(BM.MEDAcumulado,15-13*BM!$A$9)/100*BM!$I131,15-13*ORÇAMENTO!$AF$11),ROUND(ROUND(BM.MEDAcumulado,15-13*BM!$A$9)*ROUND(BM!$H131,15-13*ORÇAMENTO!$AF$10),15-13*ORÇAMENTO!$AF$11))),IF($A131=0,0,ROUND(SomaAgrupBM,15-13*ORÇAMENTO!$AF$11)))</f>
        <v>0</v>
      </c>
    </row>
    <row r="132" spans="1:41" ht="13.8">
      <c r="A132" t="str">
        <f ca="1">ORÇAMENTO!C132</f>
        <v>S</v>
      </c>
      <c r="B132">
        <f ca="1">ORÇAMENTO!D132</f>
        <v>0</v>
      </c>
      <c r="C132" s="139" t="str">
        <f t="shared" ca="1" si="15"/>
        <v/>
      </c>
      <c r="D132" s="142" t="str">
        <f ca="1">ORÇAMENTO!O132</f>
        <v>-</v>
      </c>
      <c r="E132" s="202" t="str">
        <f t="shared" ca="1" si="16"/>
        <v>(abra o arquivo 'Referência 11-2024.xlsm)</v>
      </c>
      <c r="F132" s="203" t="str">
        <f ca="1">IF(RegimeExecucao="Global","",ORÇAMENTO.Unidade)</f>
        <v/>
      </c>
      <c r="G132" s="147" t="str">
        <f ca="1">IF(RegimeExecucao="Global","",ORÇAMENTO!T132)</f>
        <v/>
      </c>
      <c r="H132" s="147" t="str">
        <f ca="1">IF(RegimeExecucao="Global","",ORÇAMENTO!W132)</f>
        <v/>
      </c>
      <c r="I132" s="150">
        <f ca="1">ORÇAMENTO!X132</f>
        <v>0</v>
      </c>
      <c r="J132" s="423">
        <f ca="1">IF($A132="S",IF(CAIXA.Modo,BM.AFAnterior,BM.MEDAnterior),IF(AND(RegimeExecucao="Global",$I132&gt;0,COUNTIF($AB$13:$AM$13,BM.medicao-1)&gt;0),M132/$I132*100,0))</f>
        <v>0</v>
      </c>
      <c r="K132" s="147">
        <f t="shared" ca="1" si="17"/>
        <v>0</v>
      </c>
      <c r="L132" s="424">
        <f ca="1">IF($A132="S",IF(CAIXA.Modo,BM.AFAcumulado,BM.MEDAcumulado),IF(AND(RegimeExecucao="Global",$I132&gt;0,COUNTIF($AB$13:$AM$13,BM.medicao)&gt;0),O132/$I132*100,0))</f>
        <v>0</v>
      </c>
      <c r="M132" s="425">
        <f ca="1">IF($A132="S",VTOTALBM,IF($A132=0,0,ROUND(SomaAgrupBM,15-13*ORÇAMENTO!$AF$11)))</f>
        <v>0</v>
      </c>
      <c r="N132" s="426">
        <f t="shared" ca="1" si="18"/>
        <v>0</v>
      </c>
      <c r="O132" s="150">
        <f ca="1">IF($A132="S",VTOTALBM,IF($A132=0,0,ROUND(SomaAgrupBM,15-13*ORÇAMENTO!$AF$11)))</f>
        <v>0</v>
      </c>
      <c r="Q132" s="427"/>
      <c r="R132" s="428"/>
      <c r="T132" s="142" t="str">
        <f t="shared" ca="1" si="19"/>
        <v/>
      </c>
      <c r="U132" s="202" t="str">
        <f t="shared" ca="1" si="20"/>
        <v/>
      </c>
      <c r="V132" s="203" t="str">
        <f ca="1">IF(AND($W132&gt;0,RegimeExecucao="Unitário"),$F132,"")</f>
        <v/>
      </c>
      <c r="W132" s="629">
        <f ca="1">IF($Y132&gt;0,CHOOSE(MATCH(RegimeExecucao,{"Unitário","Global"},0),IF($A132="S",$Y132/$X132,""),($Y132/$X132)*100),0)</f>
        <v>0</v>
      </c>
      <c r="X132" s="429" t="str">
        <f ca="1">IF($Y132&gt;0,CHOOSE(MATCH(RegimeExecucao,{"Unitário","Global"},0),IF($A132="S",ROUND($H132,ORÇAMENTO!$AF$10),""),ROUND($I132,ORÇAMENTO!$AF$11)),"")</f>
        <v/>
      </c>
      <c r="Y132" s="429">
        <f t="shared" ca="1" si="21"/>
        <v>0</v>
      </c>
      <c r="Z132" s="656"/>
      <c r="AB132" s="427"/>
      <c r="AC132" s="594"/>
      <c r="AD132" s="594"/>
      <c r="AE132" s="594"/>
      <c r="AF132" s="594"/>
      <c r="AG132" s="594"/>
      <c r="AH132" s="594"/>
      <c r="AI132" s="594"/>
      <c r="AJ132" s="594"/>
      <c r="AK132" s="594"/>
      <c r="AL132" s="594"/>
      <c r="AM132" s="428"/>
      <c r="AO132">
        <f ca="1">IF($A132="S",IF(BM!$I132=0,0,CHOOSE(MATCH(RegimeExecucao,{"Global","Unitário"},0),ROUND(ROUND(BM.MEDAcumulado,15-13*BM!$A$9)/100*BM!$I132,15-13*ORÇAMENTO!$AF$11),ROUND(ROUND(BM.MEDAcumulado,15-13*BM!$A$9)*ROUND(BM!$H132,15-13*ORÇAMENTO!$AF$10),15-13*ORÇAMENTO!$AF$11))),IF($A132=0,0,ROUND(SomaAgrupBM,15-13*ORÇAMENTO!$AF$11)))</f>
        <v>0</v>
      </c>
    </row>
    <row r="133" spans="1:41" ht="13.8">
      <c r="A133" t="str">
        <f ca="1">ORÇAMENTO!C133</f>
        <v>S</v>
      </c>
      <c r="B133">
        <f ca="1">ORÇAMENTO!D133</f>
        <v>0</v>
      </c>
      <c r="C133" s="139" t="str">
        <f t="shared" ca="1" si="15"/>
        <v/>
      </c>
      <c r="D133" s="142" t="str">
        <f ca="1">ORÇAMENTO!O133</f>
        <v>-</v>
      </c>
      <c r="E133" s="202" t="str">
        <f t="shared" ca="1" si="16"/>
        <v>(abra o arquivo 'Referência 11-2024.xlsm)</v>
      </c>
      <c r="F133" s="203" t="str">
        <f ca="1">IF(RegimeExecucao="Global","",ORÇAMENTO.Unidade)</f>
        <v/>
      </c>
      <c r="G133" s="147" t="str">
        <f ca="1">IF(RegimeExecucao="Global","",ORÇAMENTO!T133)</f>
        <v/>
      </c>
      <c r="H133" s="147" t="str">
        <f ca="1">IF(RegimeExecucao="Global","",ORÇAMENTO!W133)</f>
        <v/>
      </c>
      <c r="I133" s="150">
        <f ca="1">ORÇAMENTO!X133</f>
        <v>0</v>
      </c>
      <c r="J133" s="423">
        <f ca="1">IF($A133="S",IF(CAIXA.Modo,BM.AFAnterior,BM.MEDAnterior),IF(AND(RegimeExecucao="Global",$I133&gt;0,COUNTIF($AB$13:$AM$13,BM.medicao-1)&gt;0),M133/$I133*100,0))</f>
        <v>0</v>
      </c>
      <c r="K133" s="147">
        <f t="shared" ca="1" si="17"/>
        <v>0</v>
      </c>
      <c r="L133" s="424">
        <f ca="1">IF($A133="S",IF(CAIXA.Modo,BM.AFAcumulado,BM.MEDAcumulado),IF(AND(RegimeExecucao="Global",$I133&gt;0,COUNTIF($AB$13:$AM$13,BM.medicao)&gt;0),O133/$I133*100,0))</f>
        <v>0</v>
      </c>
      <c r="M133" s="425">
        <f ca="1">IF($A133="S",VTOTALBM,IF($A133=0,0,ROUND(SomaAgrupBM,15-13*ORÇAMENTO!$AF$11)))</f>
        <v>0</v>
      </c>
      <c r="N133" s="426">
        <f t="shared" ca="1" si="18"/>
        <v>0</v>
      </c>
      <c r="O133" s="150">
        <f ca="1">IF($A133="S",VTOTALBM,IF($A133=0,0,ROUND(SomaAgrupBM,15-13*ORÇAMENTO!$AF$11)))</f>
        <v>0</v>
      </c>
      <c r="Q133" s="427"/>
      <c r="R133" s="428"/>
      <c r="T133" s="142" t="str">
        <f t="shared" ca="1" si="19"/>
        <v/>
      </c>
      <c r="U133" s="202" t="str">
        <f t="shared" ca="1" si="20"/>
        <v/>
      </c>
      <c r="V133" s="203" t="str">
        <f ca="1">IF(AND($W133&gt;0,RegimeExecucao="Unitário"),$F133,"")</f>
        <v/>
      </c>
      <c r="W133" s="629">
        <f ca="1">IF($Y133&gt;0,CHOOSE(MATCH(RegimeExecucao,{"Unitário","Global"},0),IF($A133="S",$Y133/$X133,""),($Y133/$X133)*100),0)</f>
        <v>0</v>
      </c>
      <c r="X133" s="429" t="str">
        <f ca="1">IF($Y133&gt;0,CHOOSE(MATCH(RegimeExecucao,{"Unitário","Global"},0),IF($A133="S",ROUND($H133,ORÇAMENTO!$AF$10),""),ROUND($I133,ORÇAMENTO!$AF$11)),"")</f>
        <v/>
      </c>
      <c r="Y133" s="429">
        <f t="shared" ca="1" si="21"/>
        <v>0</v>
      </c>
      <c r="Z133" s="656"/>
      <c r="AB133" s="427"/>
      <c r="AC133" s="594"/>
      <c r="AD133" s="594"/>
      <c r="AE133" s="594"/>
      <c r="AF133" s="594"/>
      <c r="AG133" s="594"/>
      <c r="AH133" s="594"/>
      <c r="AI133" s="594"/>
      <c r="AJ133" s="594"/>
      <c r="AK133" s="594"/>
      <c r="AL133" s="594"/>
      <c r="AM133" s="428"/>
      <c r="AO133">
        <f ca="1">IF($A133="S",IF(BM!$I133=0,0,CHOOSE(MATCH(RegimeExecucao,{"Global","Unitário"},0),ROUND(ROUND(BM.MEDAcumulado,15-13*BM!$A$9)/100*BM!$I133,15-13*ORÇAMENTO!$AF$11),ROUND(ROUND(BM.MEDAcumulado,15-13*BM!$A$9)*ROUND(BM!$H133,15-13*ORÇAMENTO!$AF$10),15-13*ORÇAMENTO!$AF$11))),IF($A133=0,0,ROUND(SomaAgrupBM,15-13*ORÇAMENTO!$AF$11)))</f>
        <v>0</v>
      </c>
    </row>
    <row r="134" spans="1:41" ht="13.8">
      <c r="A134" t="str">
        <f ca="1">ORÇAMENTO!C134</f>
        <v>S</v>
      </c>
      <c r="B134">
        <f ca="1">ORÇAMENTO!D134</f>
        <v>0</v>
      </c>
      <c r="C134" s="139" t="str">
        <f t="shared" ca="1" si="15"/>
        <v/>
      </c>
      <c r="D134" s="142" t="str">
        <f ca="1">ORÇAMENTO!O134</f>
        <v>-</v>
      </c>
      <c r="E134" s="202" t="str">
        <f t="shared" ca="1" si="16"/>
        <v>(abra o arquivo 'Referência 11-2024.xlsm)</v>
      </c>
      <c r="F134" s="203" t="str">
        <f ca="1">IF(RegimeExecucao="Global","",ORÇAMENTO.Unidade)</f>
        <v/>
      </c>
      <c r="G134" s="147" t="str">
        <f ca="1">IF(RegimeExecucao="Global","",ORÇAMENTO!T134)</f>
        <v/>
      </c>
      <c r="H134" s="147" t="str">
        <f ca="1">IF(RegimeExecucao="Global","",ORÇAMENTO!W134)</f>
        <v/>
      </c>
      <c r="I134" s="150">
        <f ca="1">ORÇAMENTO!X134</f>
        <v>0</v>
      </c>
      <c r="J134" s="423">
        <f ca="1">IF($A134="S",IF(CAIXA.Modo,BM.AFAnterior,BM.MEDAnterior),IF(AND(RegimeExecucao="Global",$I134&gt;0,COUNTIF($AB$13:$AM$13,BM.medicao-1)&gt;0),M134/$I134*100,0))</f>
        <v>0</v>
      </c>
      <c r="K134" s="147">
        <f t="shared" ca="1" si="17"/>
        <v>0</v>
      </c>
      <c r="L134" s="424">
        <f ca="1">IF($A134="S",IF(CAIXA.Modo,BM.AFAcumulado,BM.MEDAcumulado),IF(AND(RegimeExecucao="Global",$I134&gt;0,COUNTIF($AB$13:$AM$13,BM.medicao)&gt;0),O134/$I134*100,0))</f>
        <v>0</v>
      </c>
      <c r="M134" s="425">
        <f ca="1">IF($A134="S",VTOTALBM,IF($A134=0,0,ROUND(SomaAgrupBM,15-13*ORÇAMENTO!$AF$11)))</f>
        <v>0</v>
      </c>
      <c r="N134" s="426">
        <f t="shared" ca="1" si="18"/>
        <v>0</v>
      </c>
      <c r="O134" s="150">
        <f ca="1">IF($A134="S",VTOTALBM,IF($A134=0,0,ROUND(SomaAgrupBM,15-13*ORÇAMENTO!$AF$11)))</f>
        <v>0</v>
      </c>
      <c r="Q134" s="427"/>
      <c r="R134" s="428"/>
      <c r="T134" s="142" t="str">
        <f t="shared" ca="1" si="19"/>
        <v/>
      </c>
      <c r="U134" s="202" t="str">
        <f t="shared" ca="1" si="20"/>
        <v/>
      </c>
      <c r="V134" s="203" t="str">
        <f ca="1">IF(AND($W134&gt;0,RegimeExecucao="Unitário"),$F134,"")</f>
        <v/>
      </c>
      <c r="W134" s="629">
        <f ca="1">IF($Y134&gt;0,CHOOSE(MATCH(RegimeExecucao,{"Unitário","Global"},0),IF($A134="S",$Y134/$X134,""),($Y134/$X134)*100),0)</f>
        <v>0</v>
      </c>
      <c r="X134" s="429" t="str">
        <f ca="1">IF($Y134&gt;0,CHOOSE(MATCH(RegimeExecucao,{"Unitário","Global"},0),IF($A134="S",ROUND($H134,ORÇAMENTO!$AF$10),""),ROUND($I134,ORÇAMENTO!$AF$11)),"")</f>
        <v/>
      </c>
      <c r="Y134" s="429">
        <f t="shared" ca="1" si="21"/>
        <v>0</v>
      </c>
      <c r="Z134" s="656"/>
      <c r="AB134" s="427"/>
      <c r="AC134" s="594"/>
      <c r="AD134" s="594"/>
      <c r="AE134" s="594"/>
      <c r="AF134" s="594"/>
      <c r="AG134" s="594"/>
      <c r="AH134" s="594"/>
      <c r="AI134" s="594"/>
      <c r="AJ134" s="594"/>
      <c r="AK134" s="594"/>
      <c r="AL134" s="594"/>
      <c r="AM134" s="428"/>
      <c r="AO134">
        <f ca="1">IF($A134="S",IF(BM!$I134=0,0,CHOOSE(MATCH(RegimeExecucao,{"Global","Unitário"},0),ROUND(ROUND(BM.MEDAcumulado,15-13*BM!$A$9)/100*BM!$I134,15-13*ORÇAMENTO!$AF$11),ROUND(ROUND(BM.MEDAcumulado,15-13*BM!$A$9)*ROUND(BM!$H134,15-13*ORÇAMENTO!$AF$10),15-13*ORÇAMENTO!$AF$11))),IF($A134=0,0,ROUND(SomaAgrupBM,15-13*ORÇAMENTO!$AF$11)))</f>
        <v>0</v>
      </c>
    </row>
    <row r="135" spans="1:41" ht="13.8">
      <c r="A135" t="str">
        <f ca="1">ORÇAMENTO!C135</f>
        <v>S</v>
      </c>
      <c r="B135">
        <f ca="1">ORÇAMENTO!D135</f>
        <v>0</v>
      </c>
      <c r="C135" s="139" t="str">
        <f t="shared" ca="1" si="15"/>
        <v/>
      </c>
      <c r="D135" s="142" t="str">
        <f ca="1">ORÇAMENTO!O135</f>
        <v>-</v>
      </c>
      <c r="E135" s="202" t="str">
        <f t="shared" ca="1" si="16"/>
        <v>(abra o arquivo 'Referência 11-2024.xlsm)</v>
      </c>
      <c r="F135" s="203" t="str">
        <f ca="1">IF(RegimeExecucao="Global","",ORÇAMENTO.Unidade)</f>
        <v/>
      </c>
      <c r="G135" s="147" t="str">
        <f ca="1">IF(RegimeExecucao="Global","",ORÇAMENTO!T135)</f>
        <v/>
      </c>
      <c r="H135" s="147" t="str">
        <f ca="1">IF(RegimeExecucao="Global","",ORÇAMENTO!W135)</f>
        <v/>
      </c>
      <c r="I135" s="150">
        <f ca="1">ORÇAMENTO!X135</f>
        <v>0</v>
      </c>
      <c r="J135" s="423">
        <f ca="1">IF($A135="S",IF(CAIXA.Modo,BM.AFAnterior,BM.MEDAnterior),IF(AND(RegimeExecucao="Global",$I135&gt;0,COUNTIF($AB$13:$AM$13,BM.medicao-1)&gt;0),M135/$I135*100,0))</f>
        <v>0</v>
      </c>
      <c r="K135" s="147">
        <f t="shared" ca="1" si="17"/>
        <v>0</v>
      </c>
      <c r="L135" s="424">
        <f ca="1">IF($A135="S",IF(CAIXA.Modo,BM.AFAcumulado,BM.MEDAcumulado),IF(AND(RegimeExecucao="Global",$I135&gt;0,COUNTIF($AB$13:$AM$13,BM.medicao)&gt;0),O135/$I135*100,0))</f>
        <v>0</v>
      </c>
      <c r="M135" s="425">
        <f ca="1">IF($A135="S",VTOTALBM,IF($A135=0,0,ROUND(SomaAgrupBM,15-13*ORÇAMENTO!$AF$11)))</f>
        <v>0</v>
      </c>
      <c r="N135" s="426">
        <f t="shared" ca="1" si="18"/>
        <v>0</v>
      </c>
      <c r="O135" s="150">
        <f ca="1">IF($A135="S",VTOTALBM,IF($A135=0,0,ROUND(SomaAgrupBM,15-13*ORÇAMENTO!$AF$11)))</f>
        <v>0</v>
      </c>
      <c r="Q135" s="427"/>
      <c r="R135" s="428"/>
      <c r="T135" s="142" t="str">
        <f t="shared" ca="1" si="19"/>
        <v/>
      </c>
      <c r="U135" s="202" t="str">
        <f t="shared" ca="1" si="20"/>
        <v/>
      </c>
      <c r="V135" s="203" t="str">
        <f ca="1">IF(AND($W135&gt;0,RegimeExecucao="Unitário"),$F135,"")</f>
        <v/>
      </c>
      <c r="W135" s="629">
        <f ca="1">IF($Y135&gt;0,CHOOSE(MATCH(RegimeExecucao,{"Unitário","Global"},0),IF($A135="S",$Y135/$X135,""),($Y135/$X135)*100),0)</f>
        <v>0</v>
      </c>
      <c r="X135" s="429" t="str">
        <f ca="1">IF($Y135&gt;0,CHOOSE(MATCH(RegimeExecucao,{"Unitário","Global"},0),IF($A135="S",ROUND($H135,ORÇAMENTO!$AF$10),""),ROUND($I135,ORÇAMENTO!$AF$11)),"")</f>
        <v/>
      </c>
      <c r="Y135" s="429">
        <f t="shared" ca="1" si="21"/>
        <v>0</v>
      </c>
      <c r="Z135" s="656"/>
      <c r="AB135" s="427"/>
      <c r="AC135" s="594"/>
      <c r="AD135" s="594"/>
      <c r="AE135" s="594"/>
      <c r="AF135" s="594"/>
      <c r="AG135" s="594"/>
      <c r="AH135" s="594"/>
      <c r="AI135" s="594"/>
      <c r="AJ135" s="594"/>
      <c r="AK135" s="594"/>
      <c r="AL135" s="594"/>
      <c r="AM135" s="428"/>
      <c r="AO135">
        <f ca="1">IF($A135="S",IF(BM!$I135=0,0,CHOOSE(MATCH(RegimeExecucao,{"Global","Unitário"},0),ROUND(ROUND(BM.MEDAcumulado,15-13*BM!$A$9)/100*BM!$I135,15-13*ORÇAMENTO!$AF$11),ROUND(ROUND(BM.MEDAcumulado,15-13*BM!$A$9)*ROUND(BM!$H135,15-13*ORÇAMENTO!$AF$10),15-13*ORÇAMENTO!$AF$11))),IF($A135=0,0,ROUND(SomaAgrupBM,15-13*ORÇAMENTO!$AF$11)))</f>
        <v>0</v>
      </c>
    </row>
    <row r="136" spans="1:41" ht="13.8">
      <c r="A136" t="str">
        <f ca="1">ORÇAMENTO!C136</f>
        <v>S</v>
      </c>
      <c r="B136">
        <f ca="1">ORÇAMENTO!D136</f>
        <v>0</v>
      </c>
      <c r="C136" s="139" t="str">
        <f t="shared" ca="1" si="15"/>
        <v/>
      </c>
      <c r="D136" s="142" t="str">
        <f ca="1">ORÇAMENTO!O136</f>
        <v>-</v>
      </c>
      <c r="E136" s="202" t="str">
        <f t="shared" ca="1" si="16"/>
        <v>(abra o arquivo 'Referência 11-2024.xlsm)</v>
      </c>
      <c r="F136" s="203" t="str">
        <f ca="1">IF(RegimeExecucao="Global","",ORÇAMENTO.Unidade)</f>
        <v/>
      </c>
      <c r="G136" s="147" t="str">
        <f ca="1">IF(RegimeExecucao="Global","",ORÇAMENTO!T136)</f>
        <v/>
      </c>
      <c r="H136" s="147" t="str">
        <f ca="1">IF(RegimeExecucao="Global","",ORÇAMENTO!W136)</f>
        <v/>
      </c>
      <c r="I136" s="150">
        <f ca="1">ORÇAMENTO!X136</f>
        <v>0</v>
      </c>
      <c r="J136" s="423">
        <f ca="1">IF($A136="S",IF(CAIXA.Modo,BM.AFAnterior,BM.MEDAnterior),IF(AND(RegimeExecucao="Global",$I136&gt;0,COUNTIF($AB$13:$AM$13,BM.medicao-1)&gt;0),M136/$I136*100,0))</f>
        <v>0</v>
      </c>
      <c r="K136" s="147">
        <f t="shared" ca="1" si="17"/>
        <v>0</v>
      </c>
      <c r="L136" s="424">
        <f ca="1">IF($A136="S",IF(CAIXA.Modo,BM.AFAcumulado,BM.MEDAcumulado),IF(AND(RegimeExecucao="Global",$I136&gt;0,COUNTIF($AB$13:$AM$13,BM.medicao)&gt;0),O136/$I136*100,0))</f>
        <v>0</v>
      </c>
      <c r="M136" s="425">
        <f ca="1">IF($A136="S",VTOTALBM,IF($A136=0,0,ROUND(SomaAgrupBM,15-13*ORÇAMENTO!$AF$11)))</f>
        <v>0</v>
      </c>
      <c r="N136" s="426">
        <f t="shared" ca="1" si="18"/>
        <v>0</v>
      </c>
      <c r="O136" s="150">
        <f ca="1">IF($A136="S",VTOTALBM,IF($A136=0,0,ROUND(SomaAgrupBM,15-13*ORÇAMENTO!$AF$11)))</f>
        <v>0</v>
      </c>
      <c r="Q136" s="427"/>
      <c r="R136" s="428"/>
      <c r="T136" s="142" t="str">
        <f t="shared" ca="1" si="19"/>
        <v/>
      </c>
      <c r="U136" s="202" t="str">
        <f t="shared" ca="1" si="20"/>
        <v/>
      </c>
      <c r="V136" s="203" t="str">
        <f ca="1">IF(AND($W136&gt;0,RegimeExecucao="Unitário"),$F136,"")</f>
        <v/>
      </c>
      <c r="W136" s="629">
        <f ca="1">IF($Y136&gt;0,CHOOSE(MATCH(RegimeExecucao,{"Unitário","Global"},0),IF($A136="S",$Y136/$X136,""),($Y136/$X136)*100),0)</f>
        <v>0</v>
      </c>
      <c r="X136" s="429" t="str">
        <f ca="1">IF($Y136&gt;0,CHOOSE(MATCH(RegimeExecucao,{"Unitário","Global"},0),IF($A136="S",ROUND($H136,ORÇAMENTO!$AF$10),""),ROUND($I136,ORÇAMENTO!$AF$11)),"")</f>
        <v/>
      </c>
      <c r="Y136" s="429">
        <f t="shared" ca="1" si="21"/>
        <v>0</v>
      </c>
      <c r="Z136" s="656"/>
      <c r="AB136" s="427"/>
      <c r="AC136" s="594"/>
      <c r="AD136" s="594"/>
      <c r="AE136" s="594"/>
      <c r="AF136" s="594"/>
      <c r="AG136" s="594"/>
      <c r="AH136" s="594"/>
      <c r="AI136" s="594"/>
      <c r="AJ136" s="594"/>
      <c r="AK136" s="594"/>
      <c r="AL136" s="594"/>
      <c r="AM136" s="428"/>
      <c r="AO136">
        <f ca="1">IF($A136="S",IF(BM!$I136=0,0,CHOOSE(MATCH(RegimeExecucao,{"Global","Unitário"},0),ROUND(ROUND(BM.MEDAcumulado,15-13*BM!$A$9)/100*BM!$I136,15-13*ORÇAMENTO!$AF$11),ROUND(ROUND(BM.MEDAcumulado,15-13*BM!$A$9)*ROUND(BM!$H136,15-13*ORÇAMENTO!$AF$10),15-13*ORÇAMENTO!$AF$11))),IF($A136=0,0,ROUND(SomaAgrupBM,15-13*ORÇAMENTO!$AF$11)))</f>
        <v>0</v>
      </c>
    </row>
    <row r="137" spans="1:41" ht="13.8">
      <c r="A137" t="str">
        <f ca="1">ORÇAMENTO!C137</f>
        <v>S</v>
      </c>
      <c r="B137">
        <f ca="1">ORÇAMENTO!D137</f>
        <v>0</v>
      </c>
      <c r="C137" s="139" t="str">
        <f t="shared" ca="1" si="15"/>
        <v/>
      </c>
      <c r="D137" s="142" t="str">
        <f ca="1">ORÇAMENTO!O137</f>
        <v>-</v>
      </c>
      <c r="E137" s="202" t="str">
        <f t="shared" ca="1" si="16"/>
        <v>(abra o arquivo 'Referência 11-2024.xlsm)</v>
      </c>
      <c r="F137" s="203" t="str">
        <f ca="1">IF(RegimeExecucao="Global","",ORÇAMENTO.Unidade)</f>
        <v/>
      </c>
      <c r="G137" s="147" t="str">
        <f ca="1">IF(RegimeExecucao="Global","",ORÇAMENTO!T137)</f>
        <v/>
      </c>
      <c r="H137" s="147" t="str">
        <f ca="1">IF(RegimeExecucao="Global","",ORÇAMENTO!W137)</f>
        <v/>
      </c>
      <c r="I137" s="150">
        <f ca="1">ORÇAMENTO!X137</f>
        <v>0</v>
      </c>
      <c r="J137" s="423">
        <f ca="1">IF($A137="S",IF(CAIXA.Modo,BM.AFAnterior,BM.MEDAnterior),IF(AND(RegimeExecucao="Global",$I137&gt;0,COUNTIF($AB$13:$AM$13,BM.medicao-1)&gt;0),M137/$I137*100,0))</f>
        <v>0</v>
      </c>
      <c r="K137" s="147">
        <f t="shared" ca="1" si="17"/>
        <v>0</v>
      </c>
      <c r="L137" s="424">
        <f ca="1">IF($A137="S",IF(CAIXA.Modo,BM.AFAcumulado,BM.MEDAcumulado),IF(AND(RegimeExecucao="Global",$I137&gt;0,COUNTIF($AB$13:$AM$13,BM.medicao)&gt;0),O137/$I137*100,0))</f>
        <v>0</v>
      </c>
      <c r="M137" s="425">
        <f ca="1">IF($A137="S",VTOTALBM,IF($A137=0,0,ROUND(SomaAgrupBM,15-13*ORÇAMENTO!$AF$11)))</f>
        <v>0</v>
      </c>
      <c r="N137" s="426">
        <f t="shared" ca="1" si="18"/>
        <v>0</v>
      </c>
      <c r="O137" s="150">
        <f ca="1">IF($A137="S",VTOTALBM,IF($A137=0,0,ROUND(SomaAgrupBM,15-13*ORÇAMENTO!$AF$11)))</f>
        <v>0</v>
      </c>
      <c r="Q137" s="427"/>
      <c r="R137" s="428"/>
      <c r="T137" s="142" t="str">
        <f t="shared" ca="1" si="19"/>
        <v/>
      </c>
      <c r="U137" s="202" t="str">
        <f t="shared" ca="1" si="20"/>
        <v/>
      </c>
      <c r="V137" s="203" t="str">
        <f ca="1">IF(AND($W137&gt;0,RegimeExecucao="Unitário"),$F137,"")</f>
        <v/>
      </c>
      <c r="W137" s="629">
        <f ca="1">IF($Y137&gt;0,CHOOSE(MATCH(RegimeExecucao,{"Unitário","Global"},0),IF($A137="S",$Y137/$X137,""),($Y137/$X137)*100),0)</f>
        <v>0</v>
      </c>
      <c r="X137" s="429" t="str">
        <f ca="1">IF($Y137&gt;0,CHOOSE(MATCH(RegimeExecucao,{"Unitário","Global"},0),IF($A137="S",ROUND($H137,ORÇAMENTO!$AF$10),""),ROUND($I137,ORÇAMENTO!$AF$11)),"")</f>
        <v/>
      </c>
      <c r="Y137" s="429">
        <f t="shared" ca="1" si="21"/>
        <v>0</v>
      </c>
      <c r="Z137" s="656"/>
      <c r="AB137" s="427"/>
      <c r="AC137" s="594"/>
      <c r="AD137" s="594"/>
      <c r="AE137" s="594"/>
      <c r="AF137" s="594"/>
      <c r="AG137" s="594"/>
      <c r="AH137" s="594"/>
      <c r="AI137" s="594"/>
      <c r="AJ137" s="594"/>
      <c r="AK137" s="594"/>
      <c r="AL137" s="594"/>
      <c r="AM137" s="428"/>
      <c r="AO137">
        <f ca="1">IF($A137="S",IF(BM!$I137=0,0,CHOOSE(MATCH(RegimeExecucao,{"Global","Unitário"},0),ROUND(ROUND(BM.MEDAcumulado,15-13*BM!$A$9)/100*BM!$I137,15-13*ORÇAMENTO!$AF$11),ROUND(ROUND(BM.MEDAcumulado,15-13*BM!$A$9)*ROUND(BM!$H137,15-13*ORÇAMENTO!$AF$10),15-13*ORÇAMENTO!$AF$11))),IF($A137=0,0,ROUND(SomaAgrupBM,15-13*ORÇAMENTO!$AF$11)))</f>
        <v>0</v>
      </c>
    </row>
    <row r="138" spans="1:41" ht="13.8">
      <c r="A138" t="str">
        <f ca="1">ORÇAMENTO!C138</f>
        <v>S</v>
      </c>
      <c r="B138">
        <f ca="1">ORÇAMENTO!D138</f>
        <v>0</v>
      </c>
      <c r="C138" s="139" t="str">
        <f t="shared" ca="1" si="15"/>
        <v/>
      </c>
      <c r="D138" s="142" t="str">
        <f ca="1">ORÇAMENTO!O138</f>
        <v>-</v>
      </c>
      <c r="E138" s="202" t="str">
        <f t="shared" ca="1" si="16"/>
        <v>(abra o arquivo 'Referência 11-2024.xlsm)</v>
      </c>
      <c r="F138" s="203" t="str">
        <f ca="1">IF(RegimeExecucao="Global","",ORÇAMENTO.Unidade)</f>
        <v/>
      </c>
      <c r="G138" s="147" t="str">
        <f ca="1">IF(RegimeExecucao="Global","",ORÇAMENTO!T138)</f>
        <v/>
      </c>
      <c r="H138" s="147" t="str">
        <f ca="1">IF(RegimeExecucao="Global","",ORÇAMENTO!W138)</f>
        <v/>
      </c>
      <c r="I138" s="150">
        <f ca="1">ORÇAMENTO!X138</f>
        <v>0</v>
      </c>
      <c r="J138" s="423">
        <f ca="1">IF($A138="S",IF(CAIXA.Modo,BM.AFAnterior,BM.MEDAnterior),IF(AND(RegimeExecucao="Global",$I138&gt;0,COUNTIF($AB$13:$AM$13,BM.medicao-1)&gt;0),M138/$I138*100,0))</f>
        <v>0</v>
      </c>
      <c r="K138" s="147">
        <f t="shared" ca="1" si="17"/>
        <v>0</v>
      </c>
      <c r="L138" s="424">
        <f ca="1">IF($A138="S",IF(CAIXA.Modo,BM.AFAcumulado,BM.MEDAcumulado),IF(AND(RegimeExecucao="Global",$I138&gt;0,COUNTIF($AB$13:$AM$13,BM.medicao)&gt;0),O138/$I138*100,0))</f>
        <v>0</v>
      </c>
      <c r="M138" s="425">
        <f ca="1">IF($A138="S",VTOTALBM,IF($A138=0,0,ROUND(SomaAgrupBM,15-13*ORÇAMENTO!$AF$11)))</f>
        <v>0</v>
      </c>
      <c r="N138" s="426">
        <f t="shared" ca="1" si="18"/>
        <v>0</v>
      </c>
      <c r="O138" s="150">
        <f ca="1">IF($A138="S",VTOTALBM,IF($A138=0,0,ROUND(SomaAgrupBM,15-13*ORÇAMENTO!$AF$11)))</f>
        <v>0</v>
      </c>
      <c r="Q138" s="427"/>
      <c r="R138" s="428"/>
      <c r="T138" s="142" t="str">
        <f t="shared" ca="1" si="19"/>
        <v/>
      </c>
      <c r="U138" s="202" t="str">
        <f t="shared" ca="1" si="20"/>
        <v/>
      </c>
      <c r="V138" s="203" t="str">
        <f ca="1">IF(AND($W138&gt;0,RegimeExecucao="Unitário"),$F138,"")</f>
        <v/>
      </c>
      <c r="W138" s="629">
        <f ca="1">IF($Y138&gt;0,CHOOSE(MATCH(RegimeExecucao,{"Unitário","Global"},0),IF($A138="S",$Y138/$X138,""),($Y138/$X138)*100),0)</f>
        <v>0</v>
      </c>
      <c r="X138" s="429" t="str">
        <f ca="1">IF($Y138&gt;0,CHOOSE(MATCH(RegimeExecucao,{"Unitário","Global"},0),IF($A138="S",ROUND($H138,ORÇAMENTO!$AF$10),""),ROUND($I138,ORÇAMENTO!$AF$11)),"")</f>
        <v/>
      </c>
      <c r="Y138" s="429">
        <f t="shared" ca="1" si="21"/>
        <v>0</v>
      </c>
      <c r="Z138" s="656"/>
      <c r="AB138" s="427"/>
      <c r="AC138" s="594"/>
      <c r="AD138" s="594"/>
      <c r="AE138" s="594"/>
      <c r="AF138" s="594"/>
      <c r="AG138" s="594"/>
      <c r="AH138" s="594"/>
      <c r="AI138" s="594"/>
      <c r="AJ138" s="594"/>
      <c r="AK138" s="594"/>
      <c r="AL138" s="594"/>
      <c r="AM138" s="428"/>
      <c r="AO138">
        <f ca="1">IF($A138="S",IF(BM!$I138=0,0,CHOOSE(MATCH(RegimeExecucao,{"Global","Unitário"},0),ROUND(ROUND(BM.MEDAcumulado,15-13*BM!$A$9)/100*BM!$I138,15-13*ORÇAMENTO!$AF$11),ROUND(ROUND(BM.MEDAcumulado,15-13*BM!$A$9)*ROUND(BM!$H138,15-13*ORÇAMENTO!$AF$10),15-13*ORÇAMENTO!$AF$11))),IF($A138=0,0,ROUND(SomaAgrupBM,15-13*ORÇAMENTO!$AF$11)))</f>
        <v>0</v>
      </c>
    </row>
    <row r="139" spans="1:41" ht="13.8">
      <c r="A139" t="str">
        <f ca="1">ORÇAMENTO!C139</f>
        <v>S</v>
      </c>
      <c r="B139">
        <f ca="1">ORÇAMENTO!D139</f>
        <v>0</v>
      </c>
      <c r="C139" s="139" t="str">
        <f t="shared" ca="1" si="15"/>
        <v/>
      </c>
      <c r="D139" s="142" t="str">
        <f ca="1">ORÇAMENTO!O139</f>
        <v>-</v>
      </c>
      <c r="E139" s="202" t="str">
        <f t="shared" ca="1" si="16"/>
        <v>(abra o arquivo 'Referência 11-2024.xlsm)</v>
      </c>
      <c r="F139" s="203" t="str">
        <f ca="1">IF(RegimeExecucao="Global","",ORÇAMENTO.Unidade)</f>
        <v/>
      </c>
      <c r="G139" s="147" t="str">
        <f ca="1">IF(RegimeExecucao="Global","",ORÇAMENTO!T139)</f>
        <v/>
      </c>
      <c r="H139" s="147" t="str">
        <f ca="1">IF(RegimeExecucao="Global","",ORÇAMENTO!W139)</f>
        <v/>
      </c>
      <c r="I139" s="150">
        <f ca="1">ORÇAMENTO!X139</f>
        <v>0</v>
      </c>
      <c r="J139" s="423">
        <f ca="1">IF($A139="S",IF(CAIXA.Modo,BM.AFAnterior,BM.MEDAnterior),IF(AND(RegimeExecucao="Global",$I139&gt;0,COUNTIF($AB$13:$AM$13,BM.medicao-1)&gt;0),M139/$I139*100,0))</f>
        <v>0</v>
      </c>
      <c r="K139" s="147">
        <f t="shared" ca="1" si="17"/>
        <v>0</v>
      </c>
      <c r="L139" s="424">
        <f ca="1">IF($A139="S",IF(CAIXA.Modo,BM.AFAcumulado,BM.MEDAcumulado),IF(AND(RegimeExecucao="Global",$I139&gt;0,COUNTIF($AB$13:$AM$13,BM.medicao)&gt;0),O139/$I139*100,0))</f>
        <v>0</v>
      </c>
      <c r="M139" s="425">
        <f ca="1">IF($A139="S",VTOTALBM,IF($A139=0,0,ROUND(SomaAgrupBM,15-13*ORÇAMENTO!$AF$11)))</f>
        <v>0</v>
      </c>
      <c r="N139" s="426">
        <f t="shared" ca="1" si="18"/>
        <v>0</v>
      </c>
      <c r="O139" s="150">
        <f ca="1">IF($A139="S",VTOTALBM,IF($A139=0,0,ROUND(SomaAgrupBM,15-13*ORÇAMENTO!$AF$11)))</f>
        <v>0</v>
      </c>
      <c r="Q139" s="427"/>
      <c r="R139" s="428"/>
      <c r="T139" s="142" t="str">
        <f t="shared" ca="1" si="19"/>
        <v/>
      </c>
      <c r="U139" s="202" t="str">
        <f t="shared" ca="1" si="20"/>
        <v/>
      </c>
      <c r="V139" s="203" t="str">
        <f ca="1">IF(AND($W139&gt;0,RegimeExecucao="Unitário"),$F139,"")</f>
        <v/>
      </c>
      <c r="W139" s="629">
        <f ca="1">IF($Y139&gt;0,CHOOSE(MATCH(RegimeExecucao,{"Unitário","Global"},0),IF($A139="S",$Y139/$X139,""),($Y139/$X139)*100),0)</f>
        <v>0</v>
      </c>
      <c r="X139" s="429" t="str">
        <f ca="1">IF($Y139&gt;0,CHOOSE(MATCH(RegimeExecucao,{"Unitário","Global"},0),IF($A139="S",ROUND($H139,ORÇAMENTO!$AF$10),""),ROUND($I139,ORÇAMENTO!$AF$11)),"")</f>
        <v/>
      </c>
      <c r="Y139" s="429">
        <f t="shared" ca="1" si="21"/>
        <v>0</v>
      </c>
      <c r="Z139" s="656"/>
      <c r="AB139" s="427"/>
      <c r="AC139" s="594"/>
      <c r="AD139" s="594"/>
      <c r="AE139" s="594"/>
      <c r="AF139" s="594"/>
      <c r="AG139" s="594"/>
      <c r="AH139" s="594"/>
      <c r="AI139" s="594"/>
      <c r="AJ139" s="594"/>
      <c r="AK139" s="594"/>
      <c r="AL139" s="594"/>
      <c r="AM139" s="428"/>
      <c r="AO139">
        <f ca="1">IF($A139="S",IF(BM!$I139=0,0,CHOOSE(MATCH(RegimeExecucao,{"Global","Unitário"},0),ROUND(ROUND(BM.MEDAcumulado,15-13*BM!$A$9)/100*BM!$I139,15-13*ORÇAMENTO!$AF$11),ROUND(ROUND(BM.MEDAcumulado,15-13*BM!$A$9)*ROUND(BM!$H139,15-13*ORÇAMENTO!$AF$10),15-13*ORÇAMENTO!$AF$11))),IF($A139=0,0,ROUND(SomaAgrupBM,15-13*ORÇAMENTO!$AF$11)))</f>
        <v>0</v>
      </c>
    </row>
    <row r="140" spans="1:41" ht="13.8">
      <c r="A140" t="str">
        <f ca="1">ORÇAMENTO!C140</f>
        <v>S</v>
      </c>
      <c r="B140">
        <f ca="1">ORÇAMENTO!D140</f>
        <v>0</v>
      </c>
      <c r="C140" s="139" t="str">
        <f t="shared" ca="1" si="15"/>
        <v/>
      </c>
      <c r="D140" s="142" t="str">
        <f ca="1">ORÇAMENTO!O140</f>
        <v>-</v>
      </c>
      <c r="E140" s="202" t="str">
        <f t="shared" ca="1" si="16"/>
        <v>(abra o arquivo 'Referência 11-2024.xlsm)</v>
      </c>
      <c r="F140" s="203" t="str">
        <f ca="1">IF(RegimeExecucao="Global","",ORÇAMENTO.Unidade)</f>
        <v/>
      </c>
      <c r="G140" s="147" t="str">
        <f ca="1">IF(RegimeExecucao="Global","",ORÇAMENTO!T140)</f>
        <v/>
      </c>
      <c r="H140" s="147" t="str">
        <f ca="1">IF(RegimeExecucao="Global","",ORÇAMENTO!W140)</f>
        <v/>
      </c>
      <c r="I140" s="150">
        <f ca="1">ORÇAMENTO!X140</f>
        <v>0</v>
      </c>
      <c r="J140" s="423">
        <f ca="1">IF($A140="S",IF(CAIXA.Modo,BM.AFAnterior,BM.MEDAnterior),IF(AND(RegimeExecucao="Global",$I140&gt;0,COUNTIF($AB$13:$AM$13,BM.medicao-1)&gt;0),M140/$I140*100,0))</f>
        <v>0</v>
      </c>
      <c r="K140" s="147">
        <f t="shared" ca="1" si="17"/>
        <v>0</v>
      </c>
      <c r="L140" s="424">
        <f ca="1">IF($A140="S",IF(CAIXA.Modo,BM.AFAcumulado,BM.MEDAcumulado),IF(AND(RegimeExecucao="Global",$I140&gt;0,COUNTIF($AB$13:$AM$13,BM.medicao)&gt;0),O140/$I140*100,0))</f>
        <v>0</v>
      </c>
      <c r="M140" s="425">
        <f ca="1">IF($A140="S",VTOTALBM,IF($A140=0,0,ROUND(SomaAgrupBM,15-13*ORÇAMENTO!$AF$11)))</f>
        <v>0</v>
      </c>
      <c r="N140" s="426">
        <f t="shared" ca="1" si="18"/>
        <v>0</v>
      </c>
      <c r="O140" s="150">
        <f ca="1">IF($A140="S",VTOTALBM,IF($A140=0,0,ROUND(SomaAgrupBM,15-13*ORÇAMENTO!$AF$11)))</f>
        <v>0</v>
      </c>
      <c r="Q140" s="427"/>
      <c r="R140" s="428"/>
      <c r="T140" s="142" t="str">
        <f t="shared" ca="1" si="19"/>
        <v/>
      </c>
      <c r="U140" s="202" t="str">
        <f t="shared" ca="1" si="20"/>
        <v/>
      </c>
      <c r="V140" s="203" t="str">
        <f ca="1">IF(AND($W140&gt;0,RegimeExecucao="Unitário"),$F140,"")</f>
        <v/>
      </c>
      <c r="W140" s="629">
        <f ca="1">IF($Y140&gt;0,CHOOSE(MATCH(RegimeExecucao,{"Unitário","Global"},0),IF($A140="S",$Y140/$X140,""),($Y140/$X140)*100),0)</f>
        <v>0</v>
      </c>
      <c r="X140" s="429" t="str">
        <f ca="1">IF($Y140&gt;0,CHOOSE(MATCH(RegimeExecucao,{"Unitário","Global"},0),IF($A140="S",ROUND($H140,ORÇAMENTO!$AF$10),""),ROUND($I140,ORÇAMENTO!$AF$11)),"")</f>
        <v/>
      </c>
      <c r="Y140" s="429">
        <f t="shared" ca="1" si="21"/>
        <v>0</v>
      </c>
      <c r="Z140" s="656"/>
      <c r="AB140" s="427"/>
      <c r="AC140" s="594"/>
      <c r="AD140" s="594"/>
      <c r="AE140" s="594"/>
      <c r="AF140" s="594"/>
      <c r="AG140" s="594"/>
      <c r="AH140" s="594"/>
      <c r="AI140" s="594"/>
      <c r="AJ140" s="594"/>
      <c r="AK140" s="594"/>
      <c r="AL140" s="594"/>
      <c r="AM140" s="428"/>
      <c r="AO140">
        <f ca="1">IF($A140="S",IF(BM!$I140=0,0,CHOOSE(MATCH(RegimeExecucao,{"Global","Unitário"},0),ROUND(ROUND(BM.MEDAcumulado,15-13*BM!$A$9)/100*BM!$I140,15-13*ORÇAMENTO!$AF$11),ROUND(ROUND(BM.MEDAcumulado,15-13*BM!$A$9)*ROUND(BM!$H140,15-13*ORÇAMENTO!$AF$10),15-13*ORÇAMENTO!$AF$11))),IF($A140=0,0,ROUND(SomaAgrupBM,15-13*ORÇAMENTO!$AF$11)))</f>
        <v>0</v>
      </c>
    </row>
    <row r="141" spans="1:41" ht="13.8">
      <c r="A141" t="str">
        <f ca="1">ORÇAMENTO!C141</f>
        <v>S</v>
      </c>
      <c r="B141">
        <f ca="1">ORÇAMENTO!D141</f>
        <v>0</v>
      </c>
      <c r="C141" s="139" t="str">
        <f t="shared" ca="1" si="15"/>
        <v/>
      </c>
      <c r="D141" s="142" t="str">
        <f ca="1">ORÇAMENTO!O141</f>
        <v>-</v>
      </c>
      <c r="E141" s="202" t="str">
        <f t="shared" ca="1" si="16"/>
        <v>(abra o arquivo 'Referência 11-2024.xlsm)</v>
      </c>
      <c r="F141" s="203" t="str">
        <f ca="1">IF(RegimeExecucao="Global","",ORÇAMENTO.Unidade)</f>
        <v/>
      </c>
      <c r="G141" s="147" t="str">
        <f ca="1">IF(RegimeExecucao="Global","",ORÇAMENTO!T141)</f>
        <v/>
      </c>
      <c r="H141" s="147" t="str">
        <f ca="1">IF(RegimeExecucao="Global","",ORÇAMENTO!W141)</f>
        <v/>
      </c>
      <c r="I141" s="150">
        <f ca="1">ORÇAMENTO!X141</f>
        <v>0</v>
      </c>
      <c r="J141" s="423">
        <f ca="1">IF($A141="S",IF(CAIXA.Modo,BM.AFAnterior,BM.MEDAnterior),IF(AND(RegimeExecucao="Global",$I141&gt;0,COUNTIF($AB$13:$AM$13,BM.medicao-1)&gt;0),M141/$I141*100,0))</f>
        <v>0</v>
      </c>
      <c r="K141" s="147">
        <f t="shared" ca="1" si="17"/>
        <v>0</v>
      </c>
      <c r="L141" s="424">
        <f ca="1">IF($A141="S",IF(CAIXA.Modo,BM.AFAcumulado,BM.MEDAcumulado),IF(AND(RegimeExecucao="Global",$I141&gt;0,COUNTIF($AB$13:$AM$13,BM.medicao)&gt;0),O141/$I141*100,0))</f>
        <v>0</v>
      </c>
      <c r="M141" s="425">
        <f ca="1">IF($A141="S",VTOTALBM,IF($A141=0,0,ROUND(SomaAgrupBM,15-13*ORÇAMENTO!$AF$11)))</f>
        <v>0</v>
      </c>
      <c r="N141" s="426">
        <f t="shared" ca="1" si="18"/>
        <v>0</v>
      </c>
      <c r="O141" s="150">
        <f ca="1">IF($A141="S",VTOTALBM,IF($A141=0,0,ROUND(SomaAgrupBM,15-13*ORÇAMENTO!$AF$11)))</f>
        <v>0</v>
      </c>
      <c r="Q141" s="427"/>
      <c r="R141" s="428"/>
      <c r="T141" s="142" t="str">
        <f t="shared" ca="1" si="19"/>
        <v/>
      </c>
      <c r="U141" s="202" t="str">
        <f t="shared" ca="1" si="20"/>
        <v/>
      </c>
      <c r="V141" s="203" t="str">
        <f ca="1">IF(AND($W141&gt;0,RegimeExecucao="Unitário"),$F141,"")</f>
        <v/>
      </c>
      <c r="W141" s="629">
        <f ca="1">IF($Y141&gt;0,CHOOSE(MATCH(RegimeExecucao,{"Unitário","Global"},0),IF($A141="S",$Y141/$X141,""),($Y141/$X141)*100),0)</f>
        <v>0</v>
      </c>
      <c r="X141" s="429" t="str">
        <f ca="1">IF($Y141&gt;0,CHOOSE(MATCH(RegimeExecucao,{"Unitário","Global"},0),IF($A141="S",ROUND($H141,ORÇAMENTO!$AF$10),""),ROUND($I141,ORÇAMENTO!$AF$11)),"")</f>
        <v/>
      </c>
      <c r="Y141" s="429">
        <f t="shared" ca="1" si="21"/>
        <v>0</v>
      </c>
      <c r="Z141" s="656"/>
      <c r="AB141" s="427"/>
      <c r="AC141" s="594"/>
      <c r="AD141" s="594"/>
      <c r="AE141" s="594"/>
      <c r="AF141" s="594"/>
      <c r="AG141" s="594"/>
      <c r="AH141" s="594"/>
      <c r="AI141" s="594"/>
      <c r="AJ141" s="594"/>
      <c r="AK141" s="594"/>
      <c r="AL141" s="594"/>
      <c r="AM141" s="428"/>
      <c r="AO141">
        <f ca="1">IF($A141="S",IF(BM!$I141=0,0,CHOOSE(MATCH(RegimeExecucao,{"Global","Unitário"},0),ROUND(ROUND(BM.MEDAcumulado,15-13*BM!$A$9)/100*BM!$I141,15-13*ORÇAMENTO!$AF$11),ROUND(ROUND(BM.MEDAcumulado,15-13*BM!$A$9)*ROUND(BM!$H141,15-13*ORÇAMENTO!$AF$10),15-13*ORÇAMENTO!$AF$11))),IF($A141=0,0,ROUND(SomaAgrupBM,15-13*ORÇAMENTO!$AF$11)))</f>
        <v>0</v>
      </c>
    </row>
    <row r="142" spans="1:41" ht="13.8">
      <c r="A142" t="str">
        <f ca="1">ORÇAMENTO!C142</f>
        <v>S</v>
      </c>
      <c r="B142">
        <f ca="1">ORÇAMENTO!D142</f>
        <v>0</v>
      </c>
      <c r="C142" s="139" t="str">
        <f t="shared" ref="C142:C205" ca="1" si="22">IF(OR($I142&gt;0,$A142=1,$A142=2,$A142=3,$A142=4),"F","")</f>
        <v/>
      </c>
      <c r="D142" s="142" t="str">
        <f ca="1">ORÇAMENTO!O142</f>
        <v>-</v>
      </c>
      <c r="E142" s="202" t="str">
        <f t="shared" ref="E142:E205" ca="1" si="23">ORÇAMENTO.Descricao</f>
        <v>(abra o arquivo 'Referência 11-2024.xlsm)</v>
      </c>
      <c r="F142" s="203" t="str">
        <f ca="1">IF(RegimeExecucao="Global","",ORÇAMENTO.Unidade)</f>
        <v/>
      </c>
      <c r="G142" s="147" t="str">
        <f ca="1">IF(RegimeExecucao="Global","",ORÇAMENTO!T142)</f>
        <v/>
      </c>
      <c r="H142" s="147" t="str">
        <f ca="1">IF(RegimeExecucao="Global","",ORÇAMENTO!W142)</f>
        <v/>
      </c>
      <c r="I142" s="150">
        <f ca="1">ORÇAMENTO!X142</f>
        <v>0</v>
      </c>
      <c r="J142" s="423">
        <f ca="1">IF($A142="S",IF(CAIXA.Modo,BM.AFAnterior,BM.MEDAnterior),IF(AND(RegimeExecucao="Global",$I142&gt;0,COUNTIF($AB$13:$AM$13,BM.medicao-1)&gt;0),M142/$I142*100,0))</f>
        <v>0</v>
      </c>
      <c r="K142" s="147">
        <f t="shared" ref="K142:K205" ca="1" si="24">L142-J142</f>
        <v>0</v>
      </c>
      <c r="L142" s="424">
        <f ca="1">IF($A142="S",IF(CAIXA.Modo,BM.AFAcumulado,BM.MEDAcumulado),IF(AND(RegimeExecucao="Global",$I142&gt;0,COUNTIF($AB$13:$AM$13,BM.medicao)&gt;0),O142/$I142*100,0))</f>
        <v>0</v>
      </c>
      <c r="M142" s="425">
        <f ca="1">IF($A142="S",VTOTALBM,IF($A142=0,0,ROUND(SomaAgrupBM,15-13*ORÇAMENTO!$AF$11)))</f>
        <v>0</v>
      </c>
      <c r="N142" s="426">
        <f t="shared" ref="N142:N205" ca="1" si="25">O142-M142</f>
        <v>0</v>
      </c>
      <c r="O142" s="150">
        <f ca="1">IF($A142="S",VTOTALBM,IF($A142=0,0,ROUND(SomaAgrupBM,15-13*ORÇAMENTO!$AF$11)))</f>
        <v>0</v>
      </c>
      <c r="Q142" s="427"/>
      <c r="R142" s="428"/>
      <c r="T142" s="142" t="str">
        <f t="shared" ref="T142:T205" ca="1" si="26">IF($W142&gt;0,$D142,"")</f>
        <v/>
      </c>
      <c r="U142" s="202" t="str">
        <f t="shared" ref="U142:U205" ca="1" si="27">IF($W142&gt;0,$E142,"")</f>
        <v/>
      </c>
      <c r="V142" s="203" t="str">
        <f ca="1">IF(AND($W142&gt;0,RegimeExecucao="Unitário"),$F142,"")</f>
        <v/>
      </c>
      <c r="W142" s="629">
        <f ca="1">IF($Y142&gt;0,CHOOSE(MATCH(RegimeExecucao,{"Unitário","Global"},0),IF($A142="S",$Y142/$X142,""),($Y142/$X142)*100),0)</f>
        <v>0</v>
      </c>
      <c r="X142" s="429" t="str">
        <f ca="1">IF($Y142&gt;0,CHOOSE(MATCH(RegimeExecucao,{"Unitário","Global"},0),IF($A142="S",ROUND($H142,ORÇAMENTO!$AF$10),""),ROUND($I142,ORÇAMENTO!$AF$11)),"")</f>
        <v/>
      </c>
      <c r="Y142" s="429">
        <f t="shared" ref="Y142:Y205" ca="1" si="28">AO142-O142</f>
        <v>0</v>
      </c>
      <c r="Z142" s="656"/>
      <c r="AB142" s="427"/>
      <c r="AC142" s="594"/>
      <c r="AD142" s="594"/>
      <c r="AE142" s="594"/>
      <c r="AF142" s="594"/>
      <c r="AG142" s="594"/>
      <c r="AH142" s="594"/>
      <c r="AI142" s="594"/>
      <c r="AJ142" s="594"/>
      <c r="AK142" s="594"/>
      <c r="AL142" s="594"/>
      <c r="AM142" s="428"/>
      <c r="AO142">
        <f ca="1">IF($A142="S",IF(BM!$I142=0,0,CHOOSE(MATCH(RegimeExecucao,{"Global","Unitário"},0),ROUND(ROUND(BM.MEDAcumulado,15-13*BM!$A$9)/100*BM!$I142,15-13*ORÇAMENTO!$AF$11),ROUND(ROUND(BM.MEDAcumulado,15-13*BM!$A$9)*ROUND(BM!$H142,15-13*ORÇAMENTO!$AF$10),15-13*ORÇAMENTO!$AF$11))),IF($A142=0,0,ROUND(SomaAgrupBM,15-13*ORÇAMENTO!$AF$11)))</f>
        <v>0</v>
      </c>
    </row>
    <row r="143" spans="1:41" ht="13.8">
      <c r="A143" t="str">
        <f ca="1">ORÇAMENTO!C143</f>
        <v>S</v>
      </c>
      <c r="B143">
        <f ca="1">ORÇAMENTO!D143</f>
        <v>0</v>
      </c>
      <c r="C143" s="139" t="str">
        <f t="shared" ca="1" si="22"/>
        <v/>
      </c>
      <c r="D143" s="142" t="str">
        <f ca="1">ORÇAMENTO!O143</f>
        <v>-</v>
      </c>
      <c r="E143" s="202" t="str">
        <f t="shared" ca="1" si="23"/>
        <v>(abra o arquivo 'Referência 11-2024.xlsm)</v>
      </c>
      <c r="F143" s="203" t="str">
        <f ca="1">IF(RegimeExecucao="Global","",ORÇAMENTO.Unidade)</f>
        <v/>
      </c>
      <c r="G143" s="147" t="str">
        <f ca="1">IF(RegimeExecucao="Global","",ORÇAMENTO!T143)</f>
        <v/>
      </c>
      <c r="H143" s="147" t="str">
        <f ca="1">IF(RegimeExecucao="Global","",ORÇAMENTO!W143)</f>
        <v/>
      </c>
      <c r="I143" s="150">
        <f ca="1">ORÇAMENTO!X143</f>
        <v>0</v>
      </c>
      <c r="J143" s="423">
        <f ca="1">IF($A143="S",IF(CAIXA.Modo,BM.AFAnterior,BM.MEDAnterior),IF(AND(RegimeExecucao="Global",$I143&gt;0,COUNTIF($AB$13:$AM$13,BM.medicao-1)&gt;0),M143/$I143*100,0))</f>
        <v>0</v>
      </c>
      <c r="K143" s="147">
        <f t="shared" ca="1" si="24"/>
        <v>0</v>
      </c>
      <c r="L143" s="424">
        <f ca="1">IF($A143="S",IF(CAIXA.Modo,BM.AFAcumulado,BM.MEDAcumulado),IF(AND(RegimeExecucao="Global",$I143&gt;0,COUNTIF($AB$13:$AM$13,BM.medicao)&gt;0),O143/$I143*100,0))</f>
        <v>0</v>
      </c>
      <c r="M143" s="425">
        <f ca="1">IF($A143="S",VTOTALBM,IF($A143=0,0,ROUND(SomaAgrupBM,15-13*ORÇAMENTO!$AF$11)))</f>
        <v>0</v>
      </c>
      <c r="N143" s="426">
        <f t="shared" ca="1" si="25"/>
        <v>0</v>
      </c>
      <c r="O143" s="150">
        <f ca="1">IF($A143="S",VTOTALBM,IF($A143=0,0,ROUND(SomaAgrupBM,15-13*ORÇAMENTO!$AF$11)))</f>
        <v>0</v>
      </c>
      <c r="Q143" s="427"/>
      <c r="R143" s="428"/>
      <c r="T143" s="142" t="str">
        <f t="shared" ca="1" si="26"/>
        <v/>
      </c>
      <c r="U143" s="202" t="str">
        <f t="shared" ca="1" si="27"/>
        <v/>
      </c>
      <c r="V143" s="203" t="str">
        <f ca="1">IF(AND($W143&gt;0,RegimeExecucao="Unitário"),$F143,"")</f>
        <v/>
      </c>
      <c r="W143" s="629">
        <f ca="1">IF($Y143&gt;0,CHOOSE(MATCH(RegimeExecucao,{"Unitário","Global"},0),IF($A143="S",$Y143/$X143,""),($Y143/$X143)*100),0)</f>
        <v>0</v>
      </c>
      <c r="X143" s="429" t="str">
        <f ca="1">IF($Y143&gt;0,CHOOSE(MATCH(RegimeExecucao,{"Unitário","Global"},0),IF($A143="S",ROUND($H143,ORÇAMENTO!$AF$10),""),ROUND($I143,ORÇAMENTO!$AF$11)),"")</f>
        <v/>
      </c>
      <c r="Y143" s="429">
        <f t="shared" ca="1" si="28"/>
        <v>0</v>
      </c>
      <c r="Z143" s="656"/>
      <c r="AB143" s="427"/>
      <c r="AC143" s="594"/>
      <c r="AD143" s="594"/>
      <c r="AE143" s="594"/>
      <c r="AF143" s="594"/>
      <c r="AG143" s="594"/>
      <c r="AH143" s="594"/>
      <c r="AI143" s="594"/>
      <c r="AJ143" s="594"/>
      <c r="AK143" s="594"/>
      <c r="AL143" s="594"/>
      <c r="AM143" s="428"/>
      <c r="AO143">
        <f ca="1">IF($A143="S",IF(BM!$I143=0,0,CHOOSE(MATCH(RegimeExecucao,{"Global","Unitário"},0),ROUND(ROUND(BM.MEDAcumulado,15-13*BM!$A$9)/100*BM!$I143,15-13*ORÇAMENTO!$AF$11),ROUND(ROUND(BM.MEDAcumulado,15-13*BM!$A$9)*ROUND(BM!$H143,15-13*ORÇAMENTO!$AF$10),15-13*ORÇAMENTO!$AF$11))),IF($A143=0,0,ROUND(SomaAgrupBM,15-13*ORÇAMENTO!$AF$11)))</f>
        <v>0</v>
      </c>
    </row>
    <row r="144" spans="1:41" ht="13.8">
      <c r="A144" t="str">
        <f ca="1">ORÇAMENTO!C144</f>
        <v>S</v>
      </c>
      <c r="B144">
        <f ca="1">ORÇAMENTO!D144</f>
        <v>0</v>
      </c>
      <c r="C144" s="139" t="str">
        <f t="shared" ca="1" si="22"/>
        <v/>
      </c>
      <c r="D144" s="142" t="str">
        <f ca="1">ORÇAMENTO!O144</f>
        <v>-</v>
      </c>
      <c r="E144" s="202" t="str">
        <f t="shared" ca="1" si="23"/>
        <v>(abra o arquivo 'Referência 11-2024.xlsm)</v>
      </c>
      <c r="F144" s="203" t="str">
        <f ca="1">IF(RegimeExecucao="Global","",ORÇAMENTO.Unidade)</f>
        <v/>
      </c>
      <c r="G144" s="147" t="str">
        <f ca="1">IF(RegimeExecucao="Global","",ORÇAMENTO!T144)</f>
        <v/>
      </c>
      <c r="H144" s="147" t="str">
        <f ca="1">IF(RegimeExecucao="Global","",ORÇAMENTO!W144)</f>
        <v/>
      </c>
      <c r="I144" s="150">
        <f ca="1">ORÇAMENTO!X144</f>
        <v>0</v>
      </c>
      <c r="J144" s="423">
        <f ca="1">IF($A144="S",IF(CAIXA.Modo,BM.AFAnterior,BM.MEDAnterior),IF(AND(RegimeExecucao="Global",$I144&gt;0,COUNTIF($AB$13:$AM$13,BM.medicao-1)&gt;0),M144/$I144*100,0))</f>
        <v>0</v>
      </c>
      <c r="K144" s="147">
        <f t="shared" ca="1" si="24"/>
        <v>0</v>
      </c>
      <c r="L144" s="424">
        <f ca="1">IF($A144="S",IF(CAIXA.Modo,BM.AFAcumulado,BM.MEDAcumulado),IF(AND(RegimeExecucao="Global",$I144&gt;0,COUNTIF($AB$13:$AM$13,BM.medicao)&gt;0),O144/$I144*100,0))</f>
        <v>0</v>
      </c>
      <c r="M144" s="425">
        <f ca="1">IF($A144="S",VTOTALBM,IF($A144=0,0,ROUND(SomaAgrupBM,15-13*ORÇAMENTO!$AF$11)))</f>
        <v>0</v>
      </c>
      <c r="N144" s="426">
        <f t="shared" ca="1" si="25"/>
        <v>0</v>
      </c>
      <c r="O144" s="150">
        <f ca="1">IF($A144="S",VTOTALBM,IF($A144=0,0,ROUND(SomaAgrupBM,15-13*ORÇAMENTO!$AF$11)))</f>
        <v>0</v>
      </c>
      <c r="Q144" s="427"/>
      <c r="R144" s="428"/>
      <c r="T144" s="142" t="str">
        <f t="shared" ca="1" si="26"/>
        <v/>
      </c>
      <c r="U144" s="202" t="str">
        <f t="shared" ca="1" si="27"/>
        <v/>
      </c>
      <c r="V144" s="203" t="str">
        <f ca="1">IF(AND($W144&gt;0,RegimeExecucao="Unitário"),$F144,"")</f>
        <v/>
      </c>
      <c r="W144" s="629">
        <f ca="1">IF($Y144&gt;0,CHOOSE(MATCH(RegimeExecucao,{"Unitário","Global"},0),IF($A144="S",$Y144/$X144,""),($Y144/$X144)*100),0)</f>
        <v>0</v>
      </c>
      <c r="X144" s="429" t="str">
        <f ca="1">IF($Y144&gt;0,CHOOSE(MATCH(RegimeExecucao,{"Unitário","Global"},0),IF($A144="S",ROUND($H144,ORÇAMENTO!$AF$10),""),ROUND($I144,ORÇAMENTO!$AF$11)),"")</f>
        <v/>
      </c>
      <c r="Y144" s="429">
        <f t="shared" ca="1" si="28"/>
        <v>0</v>
      </c>
      <c r="Z144" s="656"/>
      <c r="AB144" s="427"/>
      <c r="AC144" s="594"/>
      <c r="AD144" s="594"/>
      <c r="AE144" s="594"/>
      <c r="AF144" s="594"/>
      <c r="AG144" s="594"/>
      <c r="AH144" s="594"/>
      <c r="AI144" s="594"/>
      <c r="AJ144" s="594"/>
      <c r="AK144" s="594"/>
      <c r="AL144" s="594"/>
      <c r="AM144" s="428"/>
      <c r="AO144">
        <f ca="1">IF($A144="S",IF(BM!$I144=0,0,CHOOSE(MATCH(RegimeExecucao,{"Global","Unitário"},0),ROUND(ROUND(BM.MEDAcumulado,15-13*BM!$A$9)/100*BM!$I144,15-13*ORÇAMENTO!$AF$11),ROUND(ROUND(BM.MEDAcumulado,15-13*BM!$A$9)*ROUND(BM!$H144,15-13*ORÇAMENTO!$AF$10),15-13*ORÇAMENTO!$AF$11))),IF($A144=0,0,ROUND(SomaAgrupBM,15-13*ORÇAMENTO!$AF$11)))</f>
        <v>0</v>
      </c>
    </row>
    <row r="145" spans="1:41" ht="13.8">
      <c r="A145" t="str">
        <f ca="1">ORÇAMENTO!C145</f>
        <v>S</v>
      </c>
      <c r="B145">
        <f ca="1">ORÇAMENTO!D145</f>
        <v>0</v>
      </c>
      <c r="C145" s="139" t="str">
        <f t="shared" ca="1" si="22"/>
        <v/>
      </c>
      <c r="D145" s="142" t="str">
        <f ca="1">ORÇAMENTO!O145</f>
        <v>-</v>
      </c>
      <c r="E145" s="202" t="str">
        <f t="shared" ca="1" si="23"/>
        <v>(abra o arquivo 'Referência 11-2024.xlsm)</v>
      </c>
      <c r="F145" s="203" t="str">
        <f ca="1">IF(RegimeExecucao="Global","",ORÇAMENTO.Unidade)</f>
        <v/>
      </c>
      <c r="G145" s="147" t="str">
        <f ca="1">IF(RegimeExecucao="Global","",ORÇAMENTO!T145)</f>
        <v/>
      </c>
      <c r="H145" s="147" t="str">
        <f ca="1">IF(RegimeExecucao="Global","",ORÇAMENTO!W145)</f>
        <v/>
      </c>
      <c r="I145" s="150">
        <f ca="1">ORÇAMENTO!X145</f>
        <v>0</v>
      </c>
      <c r="J145" s="423">
        <f ca="1">IF($A145="S",IF(CAIXA.Modo,BM.AFAnterior,BM.MEDAnterior),IF(AND(RegimeExecucao="Global",$I145&gt;0,COUNTIF($AB$13:$AM$13,BM.medicao-1)&gt;0),M145/$I145*100,0))</f>
        <v>0</v>
      </c>
      <c r="K145" s="147">
        <f t="shared" ca="1" si="24"/>
        <v>0</v>
      </c>
      <c r="L145" s="424">
        <f ca="1">IF($A145="S",IF(CAIXA.Modo,BM.AFAcumulado,BM.MEDAcumulado),IF(AND(RegimeExecucao="Global",$I145&gt;0,COUNTIF($AB$13:$AM$13,BM.medicao)&gt;0),O145/$I145*100,0))</f>
        <v>0</v>
      </c>
      <c r="M145" s="425">
        <f ca="1">IF($A145="S",VTOTALBM,IF($A145=0,0,ROUND(SomaAgrupBM,15-13*ORÇAMENTO!$AF$11)))</f>
        <v>0</v>
      </c>
      <c r="N145" s="426">
        <f t="shared" ca="1" si="25"/>
        <v>0</v>
      </c>
      <c r="O145" s="150">
        <f ca="1">IF($A145="S",VTOTALBM,IF($A145=0,0,ROUND(SomaAgrupBM,15-13*ORÇAMENTO!$AF$11)))</f>
        <v>0</v>
      </c>
      <c r="Q145" s="427"/>
      <c r="R145" s="428"/>
      <c r="T145" s="142" t="str">
        <f t="shared" ca="1" si="26"/>
        <v/>
      </c>
      <c r="U145" s="202" t="str">
        <f t="shared" ca="1" si="27"/>
        <v/>
      </c>
      <c r="V145" s="203" t="str">
        <f ca="1">IF(AND($W145&gt;0,RegimeExecucao="Unitário"),$F145,"")</f>
        <v/>
      </c>
      <c r="W145" s="629">
        <f ca="1">IF($Y145&gt;0,CHOOSE(MATCH(RegimeExecucao,{"Unitário","Global"},0),IF($A145="S",$Y145/$X145,""),($Y145/$X145)*100),0)</f>
        <v>0</v>
      </c>
      <c r="X145" s="429" t="str">
        <f ca="1">IF($Y145&gt;0,CHOOSE(MATCH(RegimeExecucao,{"Unitário","Global"},0),IF($A145="S",ROUND($H145,ORÇAMENTO!$AF$10),""),ROUND($I145,ORÇAMENTO!$AF$11)),"")</f>
        <v/>
      </c>
      <c r="Y145" s="429">
        <f t="shared" ca="1" si="28"/>
        <v>0</v>
      </c>
      <c r="Z145" s="656"/>
      <c r="AB145" s="427"/>
      <c r="AC145" s="594"/>
      <c r="AD145" s="594"/>
      <c r="AE145" s="594"/>
      <c r="AF145" s="594"/>
      <c r="AG145" s="594"/>
      <c r="AH145" s="594"/>
      <c r="AI145" s="594"/>
      <c r="AJ145" s="594"/>
      <c r="AK145" s="594"/>
      <c r="AL145" s="594"/>
      <c r="AM145" s="428"/>
      <c r="AO145">
        <f ca="1">IF($A145="S",IF(BM!$I145=0,0,CHOOSE(MATCH(RegimeExecucao,{"Global","Unitário"},0),ROUND(ROUND(BM.MEDAcumulado,15-13*BM!$A$9)/100*BM!$I145,15-13*ORÇAMENTO!$AF$11),ROUND(ROUND(BM.MEDAcumulado,15-13*BM!$A$9)*ROUND(BM!$H145,15-13*ORÇAMENTO!$AF$10),15-13*ORÇAMENTO!$AF$11))),IF($A145=0,0,ROUND(SomaAgrupBM,15-13*ORÇAMENTO!$AF$11)))</f>
        <v>0</v>
      </c>
    </row>
    <row r="146" spans="1:41" ht="13.8">
      <c r="A146" t="str">
        <f ca="1">ORÇAMENTO!C146</f>
        <v>S</v>
      </c>
      <c r="B146">
        <f ca="1">ORÇAMENTO!D146</f>
        <v>0</v>
      </c>
      <c r="C146" s="139" t="str">
        <f t="shared" ca="1" si="22"/>
        <v/>
      </c>
      <c r="D146" s="142" t="str">
        <f ca="1">ORÇAMENTO!O146</f>
        <v>-</v>
      </c>
      <c r="E146" s="202" t="str">
        <f t="shared" ca="1" si="23"/>
        <v>(abra o arquivo 'Referência 11-2024.xlsm)</v>
      </c>
      <c r="F146" s="203" t="str">
        <f ca="1">IF(RegimeExecucao="Global","",ORÇAMENTO.Unidade)</f>
        <v/>
      </c>
      <c r="G146" s="147" t="str">
        <f ca="1">IF(RegimeExecucao="Global","",ORÇAMENTO!T146)</f>
        <v/>
      </c>
      <c r="H146" s="147" t="str">
        <f ca="1">IF(RegimeExecucao="Global","",ORÇAMENTO!W146)</f>
        <v/>
      </c>
      <c r="I146" s="150">
        <f ca="1">ORÇAMENTO!X146</f>
        <v>0</v>
      </c>
      <c r="J146" s="423">
        <f ca="1">IF($A146="S",IF(CAIXA.Modo,BM.AFAnterior,BM.MEDAnterior),IF(AND(RegimeExecucao="Global",$I146&gt;0,COUNTIF($AB$13:$AM$13,BM.medicao-1)&gt;0),M146/$I146*100,0))</f>
        <v>0</v>
      </c>
      <c r="K146" s="147">
        <f t="shared" ca="1" si="24"/>
        <v>0</v>
      </c>
      <c r="L146" s="424">
        <f ca="1">IF($A146="S",IF(CAIXA.Modo,BM.AFAcumulado,BM.MEDAcumulado),IF(AND(RegimeExecucao="Global",$I146&gt;0,COUNTIF($AB$13:$AM$13,BM.medicao)&gt;0),O146/$I146*100,0))</f>
        <v>0</v>
      </c>
      <c r="M146" s="425">
        <f ca="1">IF($A146="S",VTOTALBM,IF($A146=0,0,ROUND(SomaAgrupBM,15-13*ORÇAMENTO!$AF$11)))</f>
        <v>0</v>
      </c>
      <c r="N146" s="426">
        <f t="shared" ca="1" si="25"/>
        <v>0</v>
      </c>
      <c r="O146" s="150">
        <f ca="1">IF($A146="S",VTOTALBM,IF($A146=0,0,ROUND(SomaAgrupBM,15-13*ORÇAMENTO!$AF$11)))</f>
        <v>0</v>
      </c>
      <c r="Q146" s="427"/>
      <c r="R146" s="428"/>
      <c r="T146" s="142" t="str">
        <f t="shared" ca="1" si="26"/>
        <v/>
      </c>
      <c r="U146" s="202" t="str">
        <f t="shared" ca="1" si="27"/>
        <v/>
      </c>
      <c r="V146" s="203" t="str">
        <f ca="1">IF(AND($W146&gt;0,RegimeExecucao="Unitário"),$F146,"")</f>
        <v/>
      </c>
      <c r="W146" s="629">
        <f ca="1">IF($Y146&gt;0,CHOOSE(MATCH(RegimeExecucao,{"Unitário","Global"},0),IF($A146="S",$Y146/$X146,""),($Y146/$X146)*100),0)</f>
        <v>0</v>
      </c>
      <c r="X146" s="429" t="str">
        <f ca="1">IF($Y146&gt;0,CHOOSE(MATCH(RegimeExecucao,{"Unitário","Global"},0),IF($A146="S",ROUND($H146,ORÇAMENTO!$AF$10),""),ROUND($I146,ORÇAMENTO!$AF$11)),"")</f>
        <v/>
      </c>
      <c r="Y146" s="429">
        <f t="shared" ca="1" si="28"/>
        <v>0</v>
      </c>
      <c r="Z146" s="656"/>
      <c r="AB146" s="427"/>
      <c r="AC146" s="594"/>
      <c r="AD146" s="594"/>
      <c r="AE146" s="594"/>
      <c r="AF146" s="594"/>
      <c r="AG146" s="594"/>
      <c r="AH146" s="594"/>
      <c r="AI146" s="594"/>
      <c r="AJ146" s="594"/>
      <c r="AK146" s="594"/>
      <c r="AL146" s="594"/>
      <c r="AM146" s="428"/>
      <c r="AO146">
        <f ca="1">IF($A146="S",IF(BM!$I146=0,0,CHOOSE(MATCH(RegimeExecucao,{"Global","Unitário"},0),ROUND(ROUND(BM.MEDAcumulado,15-13*BM!$A$9)/100*BM!$I146,15-13*ORÇAMENTO!$AF$11),ROUND(ROUND(BM.MEDAcumulado,15-13*BM!$A$9)*ROUND(BM!$H146,15-13*ORÇAMENTO!$AF$10),15-13*ORÇAMENTO!$AF$11))),IF($A146=0,0,ROUND(SomaAgrupBM,15-13*ORÇAMENTO!$AF$11)))</f>
        <v>0</v>
      </c>
    </row>
    <row r="147" spans="1:41" ht="13.8">
      <c r="A147" t="str">
        <f ca="1">ORÇAMENTO!C147</f>
        <v>S</v>
      </c>
      <c r="B147">
        <f ca="1">ORÇAMENTO!D147</f>
        <v>0</v>
      </c>
      <c r="C147" s="139" t="str">
        <f t="shared" ca="1" si="22"/>
        <v/>
      </c>
      <c r="D147" s="142" t="str">
        <f ca="1">ORÇAMENTO!O147</f>
        <v>-</v>
      </c>
      <c r="E147" s="202" t="str">
        <f t="shared" ca="1" si="23"/>
        <v>(abra o arquivo 'Referência 11-2024.xlsm)</v>
      </c>
      <c r="F147" s="203" t="str">
        <f ca="1">IF(RegimeExecucao="Global","",ORÇAMENTO.Unidade)</f>
        <v/>
      </c>
      <c r="G147" s="147" t="str">
        <f ca="1">IF(RegimeExecucao="Global","",ORÇAMENTO!T147)</f>
        <v/>
      </c>
      <c r="H147" s="147" t="str">
        <f ca="1">IF(RegimeExecucao="Global","",ORÇAMENTO!W147)</f>
        <v/>
      </c>
      <c r="I147" s="150">
        <f ca="1">ORÇAMENTO!X147</f>
        <v>0</v>
      </c>
      <c r="J147" s="423">
        <f ca="1">IF($A147="S",IF(CAIXA.Modo,BM.AFAnterior,BM.MEDAnterior),IF(AND(RegimeExecucao="Global",$I147&gt;0,COUNTIF($AB$13:$AM$13,BM.medicao-1)&gt;0),M147/$I147*100,0))</f>
        <v>0</v>
      </c>
      <c r="K147" s="147">
        <f t="shared" ca="1" si="24"/>
        <v>0</v>
      </c>
      <c r="L147" s="424">
        <f ca="1">IF($A147="S",IF(CAIXA.Modo,BM.AFAcumulado,BM.MEDAcumulado),IF(AND(RegimeExecucao="Global",$I147&gt;0,COUNTIF($AB$13:$AM$13,BM.medicao)&gt;0),O147/$I147*100,0))</f>
        <v>0</v>
      </c>
      <c r="M147" s="425">
        <f ca="1">IF($A147="S",VTOTALBM,IF($A147=0,0,ROUND(SomaAgrupBM,15-13*ORÇAMENTO!$AF$11)))</f>
        <v>0</v>
      </c>
      <c r="N147" s="426">
        <f t="shared" ca="1" si="25"/>
        <v>0</v>
      </c>
      <c r="O147" s="150">
        <f ca="1">IF($A147="S",VTOTALBM,IF($A147=0,0,ROUND(SomaAgrupBM,15-13*ORÇAMENTO!$AF$11)))</f>
        <v>0</v>
      </c>
      <c r="Q147" s="427"/>
      <c r="R147" s="428"/>
      <c r="T147" s="142" t="str">
        <f t="shared" ca="1" si="26"/>
        <v/>
      </c>
      <c r="U147" s="202" t="str">
        <f t="shared" ca="1" si="27"/>
        <v/>
      </c>
      <c r="V147" s="203" t="str">
        <f ca="1">IF(AND($W147&gt;0,RegimeExecucao="Unitário"),$F147,"")</f>
        <v/>
      </c>
      <c r="W147" s="629">
        <f ca="1">IF($Y147&gt;0,CHOOSE(MATCH(RegimeExecucao,{"Unitário","Global"},0),IF($A147="S",$Y147/$X147,""),($Y147/$X147)*100),0)</f>
        <v>0</v>
      </c>
      <c r="X147" s="429" t="str">
        <f ca="1">IF($Y147&gt;0,CHOOSE(MATCH(RegimeExecucao,{"Unitário","Global"},0),IF($A147="S",ROUND($H147,ORÇAMENTO!$AF$10),""),ROUND($I147,ORÇAMENTO!$AF$11)),"")</f>
        <v/>
      </c>
      <c r="Y147" s="429">
        <f t="shared" ca="1" si="28"/>
        <v>0</v>
      </c>
      <c r="Z147" s="656"/>
      <c r="AB147" s="427"/>
      <c r="AC147" s="594"/>
      <c r="AD147" s="594"/>
      <c r="AE147" s="594"/>
      <c r="AF147" s="594"/>
      <c r="AG147" s="594"/>
      <c r="AH147" s="594"/>
      <c r="AI147" s="594"/>
      <c r="AJ147" s="594"/>
      <c r="AK147" s="594"/>
      <c r="AL147" s="594"/>
      <c r="AM147" s="428"/>
      <c r="AO147">
        <f ca="1">IF($A147="S",IF(BM!$I147=0,0,CHOOSE(MATCH(RegimeExecucao,{"Global","Unitário"},0),ROUND(ROUND(BM.MEDAcumulado,15-13*BM!$A$9)/100*BM!$I147,15-13*ORÇAMENTO!$AF$11),ROUND(ROUND(BM.MEDAcumulado,15-13*BM!$A$9)*ROUND(BM!$H147,15-13*ORÇAMENTO!$AF$10),15-13*ORÇAMENTO!$AF$11))),IF($A147=0,0,ROUND(SomaAgrupBM,15-13*ORÇAMENTO!$AF$11)))</f>
        <v>0</v>
      </c>
    </row>
    <row r="148" spans="1:41" ht="13.8">
      <c r="A148" t="str">
        <f ca="1">ORÇAMENTO!C148</f>
        <v>S</v>
      </c>
      <c r="B148">
        <f ca="1">ORÇAMENTO!D148</f>
        <v>0</v>
      </c>
      <c r="C148" s="139" t="str">
        <f t="shared" ca="1" si="22"/>
        <v/>
      </c>
      <c r="D148" s="142" t="str">
        <f ca="1">ORÇAMENTO!O148</f>
        <v>-</v>
      </c>
      <c r="E148" s="202" t="str">
        <f t="shared" ca="1" si="23"/>
        <v>(abra o arquivo 'Referência 11-2024.xlsm)</v>
      </c>
      <c r="F148" s="203" t="str">
        <f ca="1">IF(RegimeExecucao="Global","",ORÇAMENTO.Unidade)</f>
        <v/>
      </c>
      <c r="G148" s="147" t="str">
        <f ca="1">IF(RegimeExecucao="Global","",ORÇAMENTO!T148)</f>
        <v/>
      </c>
      <c r="H148" s="147" t="str">
        <f ca="1">IF(RegimeExecucao="Global","",ORÇAMENTO!W148)</f>
        <v/>
      </c>
      <c r="I148" s="150">
        <f ca="1">ORÇAMENTO!X148</f>
        <v>0</v>
      </c>
      <c r="J148" s="423">
        <f ca="1">IF($A148="S",IF(CAIXA.Modo,BM.AFAnterior,BM.MEDAnterior),IF(AND(RegimeExecucao="Global",$I148&gt;0,COUNTIF($AB$13:$AM$13,BM.medicao-1)&gt;0),M148/$I148*100,0))</f>
        <v>0</v>
      </c>
      <c r="K148" s="147">
        <f t="shared" ca="1" si="24"/>
        <v>0</v>
      </c>
      <c r="L148" s="424">
        <f ca="1">IF($A148="S",IF(CAIXA.Modo,BM.AFAcumulado,BM.MEDAcumulado),IF(AND(RegimeExecucao="Global",$I148&gt;0,COUNTIF($AB$13:$AM$13,BM.medicao)&gt;0),O148/$I148*100,0))</f>
        <v>0</v>
      </c>
      <c r="M148" s="425">
        <f ca="1">IF($A148="S",VTOTALBM,IF($A148=0,0,ROUND(SomaAgrupBM,15-13*ORÇAMENTO!$AF$11)))</f>
        <v>0</v>
      </c>
      <c r="N148" s="426">
        <f t="shared" ca="1" si="25"/>
        <v>0</v>
      </c>
      <c r="O148" s="150">
        <f ca="1">IF($A148="S",VTOTALBM,IF($A148=0,0,ROUND(SomaAgrupBM,15-13*ORÇAMENTO!$AF$11)))</f>
        <v>0</v>
      </c>
      <c r="Q148" s="427"/>
      <c r="R148" s="428"/>
      <c r="T148" s="142" t="str">
        <f t="shared" ca="1" si="26"/>
        <v/>
      </c>
      <c r="U148" s="202" t="str">
        <f t="shared" ca="1" si="27"/>
        <v/>
      </c>
      <c r="V148" s="203" t="str">
        <f ca="1">IF(AND($W148&gt;0,RegimeExecucao="Unitário"),$F148,"")</f>
        <v/>
      </c>
      <c r="W148" s="629">
        <f ca="1">IF($Y148&gt;0,CHOOSE(MATCH(RegimeExecucao,{"Unitário","Global"},0),IF($A148="S",$Y148/$X148,""),($Y148/$X148)*100),0)</f>
        <v>0</v>
      </c>
      <c r="X148" s="429" t="str">
        <f ca="1">IF($Y148&gt;0,CHOOSE(MATCH(RegimeExecucao,{"Unitário","Global"},0),IF($A148="S",ROUND($H148,ORÇAMENTO!$AF$10),""),ROUND($I148,ORÇAMENTO!$AF$11)),"")</f>
        <v/>
      </c>
      <c r="Y148" s="429">
        <f t="shared" ca="1" si="28"/>
        <v>0</v>
      </c>
      <c r="Z148" s="656"/>
      <c r="AB148" s="427"/>
      <c r="AC148" s="594"/>
      <c r="AD148" s="594"/>
      <c r="AE148" s="594"/>
      <c r="AF148" s="594"/>
      <c r="AG148" s="594"/>
      <c r="AH148" s="594"/>
      <c r="AI148" s="594"/>
      <c r="AJ148" s="594"/>
      <c r="AK148" s="594"/>
      <c r="AL148" s="594"/>
      <c r="AM148" s="428"/>
      <c r="AO148">
        <f ca="1">IF($A148="S",IF(BM!$I148=0,0,CHOOSE(MATCH(RegimeExecucao,{"Global","Unitário"},0),ROUND(ROUND(BM.MEDAcumulado,15-13*BM!$A$9)/100*BM!$I148,15-13*ORÇAMENTO!$AF$11),ROUND(ROUND(BM.MEDAcumulado,15-13*BM!$A$9)*ROUND(BM!$H148,15-13*ORÇAMENTO!$AF$10),15-13*ORÇAMENTO!$AF$11))),IF($A148=0,0,ROUND(SomaAgrupBM,15-13*ORÇAMENTO!$AF$11)))</f>
        <v>0</v>
      </c>
    </row>
    <row r="149" spans="1:41" ht="13.8">
      <c r="A149" t="str">
        <f ca="1">ORÇAMENTO!C149</f>
        <v>S</v>
      </c>
      <c r="B149">
        <f ca="1">ORÇAMENTO!D149</f>
        <v>0</v>
      </c>
      <c r="C149" s="139" t="str">
        <f t="shared" ca="1" si="22"/>
        <v/>
      </c>
      <c r="D149" s="142" t="str">
        <f ca="1">ORÇAMENTO!O149</f>
        <v>-</v>
      </c>
      <c r="E149" s="202" t="str">
        <f t="shared" ca="1" si="23"/>
        <v>(abra o arquivo 'Referência 11-2024.xlsm)</v>
      </c>
      <c r="F149" s="203" t="str">
        <f ca="1">IF(RegimeExecucao="Global","",ORÇAMENTO.Unidade)</f>
        <v/>
      </c>
      <c r="G149" s="147" t="str">
        <f ca="1">IF(RegimeExecucao="Global","",ORÇAMENTO!T149)</f>
        <v/>
      </c>
      <c r="H149" s="147" t="str">
        <f ca="1">IF(RegimeExecucao="Global","",ORÇAMENTO!W149)</f>
        <v/>
      </c>
      <c r="I149" s="150">
        <f ca="1">ORÇAMENTO!X149</f>
        <v>0</v>
      </c>
      <c r="J149" s="423">
        <f ca="1">IF($A149="S",IF(CAIXA.Modo,BM.AFAnterior,BM.MEDAnterior),IF(AND(RegimeExecucao="Global",$I149&gt;0,COUNTIF($AB$13:$AM$13,BM.medicao-1)&gt;0),M149/$I149*100,0))</f>
        <v>0</v>
      </c>
      <c r="K149" s="147">
        <f t="shared" ca="1" si="24"/>
        <v>0</v>
      </c>
      <c r="L149" s="424">
        <f ca="1">IF($A149="S",IF(CAIXA.Modo,BM.AFAcumulado,BM.MEDAcumulado),IF(AND(RegimeExecucao="Global",$I149&gt;0,COUNTIF($AB$13:$AM$13,BM.medicao)&gt;0),O149/$I149*100,0))</f>
        <v>0</v>
      </c>
      <c r="M149" s="425">
        <f ca="1">IF($A149="S",VTOTALBM,IF($A149=0,0,ROUND(SomaAgrupBM,15-13*ORÇAMENTO!$AF$11)))</f>
        <v>0</v>
      </c>
      <c r="N149" s="426">
        <f t="shared" ca="1" si="25"/>
        <v>0</v>
      </c>
      <c r="O149" s="150">
        <f ca="1">IF($A149="S",VTOTALBM,IF($A149=0,0,ROUND(SomaAgrupBM,15-13*ORÇAMENTO!$AF$11)))</f>
        <v>0</v>
      </c>
      <c r="Q149" s="427"/>
      <c r="R149" s="428"/>
      <c r="T149" s="142" t="str">
        <f t="shared" ca="1" si="26"/>
        <v/>
      </c>
      <c r="U149" s="202" t="str">
        <f t="shared" ca="1" si="27"/>
        <v/>
      </c>
      <c r="V149" s="203" t="str">
        <f ca="1">IF(AND($W149&gt;0,RegimeExecucao="Unitário"),$F149,"")</f>
        <v/>
      </c>
      <c r="W149" s="629">
        <f ca="1">IF($Y149&gt;0,CHOOSE(MATCH(RegimeExecucao,{"Unitário","Global"},0),IF($A149="S",$Y149/$X149,""),($Y149/$X149)*100),0)</f>
        <v>0</v>
      </c>
      <c r="X149" s="429" t="str">
        <f ca="1">IF($Y149&gt;0,CHOOSE(MATCH(RegimeExecucao,{"Unitário","Global"},0),IF($A149="S",ROUND($H149,ORÇAMENTO!$AF$10),""),ROUND($I149,ORÇAMENTO!$AF$11)),"")</f>
        <v/>
      </c>
      <c r="Y149" s="429">
        <f t="shared" ca="1" si="28"/>
        <v>0</v>
      </c>
      <c r="Z149" s="656"/>
      <c r="AB149" s="427"/>
      <c r="AC149" s="594"/>
      <c r="AD149" s="594"/>
      <c r="AE149" s="594"/>
      <c r="AF149" s="594"/>
      <c r="AG149" s="594"/>
      <c r="AH149" s="594"/>
      <c r="AI149" s="594"/>
      <c r="AJ149" s="594"/>
      <c r="AK149" s="594"/>
      <c r="AL149" s="594"/>
      <c r="AM149" s="428"/>
      <c r="AO149">
        <f ca="1">IF($A149="S",IF(BM!$I149=0,0,CHOOSE(MATCH(RegimeExecucao,{"Global","Unitário"},0),ROUND(ROUND(BM.MEDAcumulado,15-13*BM!$A$9)/100*BM!$I149,15-13*ORÇAMENTO!$AF$11),ROUND(ROUND(BM.MEDAcumulado,15-13*BM!$A$9)*ROUND(BM!$H149,15-13*ORÇAMENTO!$AF$10),15-13*ORÇAMENTO!$AF$11))),IF($A149=0,0,ROUND(SomaAgrupBM,15-13*ORÇAMENTO!$AF$11)))</f>
        <v>0</v>
      </c>
    </row>
    <row r="150" spans="1:41" ht="13.8">
      <c r="A150" t="str">
        <f ca="1">ORÇAMENTO!C150</f>
        <v>S</v>
      </c>
      <c r="B150">
        <f ca="1">ORÇAMENTO!D150</f>
        <v>0</v>
      </c>
      <c r="C150" s="139" t="str">
        <f t="shared" ca="1" si="22"/>
        <v/>
      </c>
      <c r="D150" s="142" t="str">
        <f ca="1">ORÇAMENTO!O150</f>
        <v>-</v>
      </c>
      <c r="E150" s="202" t="str">
        <f t="shared" ca="1" si="23"/>
        <v>(abra o arquivo 'Referência 11-2024.xlsm)</v>
      </c>
      <c r="F150" s="203" t="str">
        <f ca="1">IF(RegimeExecucao="Global","",ORÇAMENTO.Unidade)</f>
        <v/>
      </c>
      <c r="G150" s="147" t="str">
        <f ca="1">IF(RegimeExecucao="Global","",ORÇAMENTO!T150)</f>
        <v/>
      </c>
      <c r="H150" s="147" t="str">
        <f ca="1">IF(RegimeExecucao="Global","",ORÇAMENTO!W150)</f>
        <v/>
      </c>
      <c r="I150" s="150">
        <f ca="1">ORÇAMENTO!X150</f>
        <v>0</v>
      </c>
      <c r="J150" s="423">
        <f ca="1">IF($A150="S",IF(CAIXA.Modo,BM.AFAnterior,BM.MEDAnterior),IF(AND(RegimeExecucao="Global",$I150&gt;0,COUNTIF($AB$13:$AM$13,BM.medicao-1)&gt;0),M150/$I150*100,0))</f>
        <v>0</v>
      </c>
      <c r="K150" s="147">
        <f t="shared" ca="1" si="24"/>
        <v>0</v>
      </c>
      <c r="L150" s="424">
        <f ca="1">IF($A150="S",IF(CAIXA.Modo,BM.AFAcumulado,BM.MEDAcumulado),IF(AND(RegimeExecucao="Global",$I150&gt;0,COUNTIF($AB$13:$AM$13,BM.medicao)&gt;0),O150/$I150*100,0))</f>
        <v>0</v>
      </c>
      <c r="M150" s="425">
        <f ca="1">IF($A150="S",VTOTALBM,IF($A150=0,0,ROUND(SomaAgrupBM,15-13*ORÇAMENTO!$AF$11)))</f>
        <v>0</v>
      </c>
      <c r="N150" s="426">
        <f t="shared" ca="1" si="25"/>
        <v>0</v>
      </c>
      <c r="O150" s="150">
        <f ca="1">IF($A150="S",VTOTALBM,IF($A150=0,0,ROUND(SomaAgrupBM,15-13*ORÇAMENTO!$AF$11)))</f>
        <v>0</v>
      </c>
      <c r="Q150" s="427"/>
      <c r="R150" s="428"/>
      <c r="T150" s="142" t="str">
        <f t="shared" ca="1" si="26"/>
        <v/>
      </c>
      <c r="U150" s="202" t="str">
        <f t="shared" ca="1" si="27"/>
        <v/>
      </c>
      <c r="V150" s="203" t="str">
        <f ca="1">IF(AND($W150&gt;0,RegimeExecucao="Unitário"),$F150,"")</f>
        <v/>
      </c>
      <c r="W150" s="629">
        <f ca="1">IF($Y150&gt;0,CHOOSE(MATCH(RegimeExecucao,{"Unitário","Global"},0),IF($A150="S",$Y150/$X150,""),($Y150/$X150)*100),0)</f>
        <v>0</v>
      </c>
      <c r="X150" s="429" t="str">
        <f ca="1">IF($Y150&gt;0,CHOOSE(MATCH(RegimeExecucao,{"Unitário","Global"},0),IF($A150="S",ROUND($H150,ORÇAMENTO!$AF$10),""),ROUND($I150,ORÇAMENTO!$AF$11)),"")</f>
        <v/>
      </c>
      <c r="Y150" s="429">
        <f t="shared" ca="1" si="28"/>
        <v>0</v>
      </c>
      <c r="Z150" s="656"/>
      <c r="AB150" s="427"/>
      <c r="AC150" s="594"/>
      <c r="AD150" s="594"/>
      <c r="AE150" s="594"/>
      <c r="AF150" s="594"/>
      <c r="AG150" s="594"/>
      <c r="AH150" s="594"/>
      <c r="AI150" s="594"/>
      <c r="AJ150" s="594"/>
      <c r="AK150" s="594"/>
      <c r="AL150" s="594"/>
      <c r="AM150" s="428"/>
      <c r="AO150">
        <f ca="1">IF($A150="S",IF(BM!$I150=0,0,CHOOSE(MATCH(RegimeExecucao,{"Global","Unitário"},0),ROUND(ROUND(BM.MEDAcumulado,15-13*BM!$A$9)/100*BM!$I150,15-13*ORÇAMENTO!$AF$11),ROUND(ROUND(BM.MEDAcumulado,15-13*BM!$A$9)*ROUND(BM!$H150,15-13*ORÇAMENTO!$AF$10),15-13*ORÇAMENTO!$AF$11))),IF($A150=0,0,ROUND(SomaAgrupBM,15-13*ORÇAMENTO!$AF$11)))</f>
        <v>0</v>
      </c>
    </row>
    <row r="151" spans="1:41" ht="13.8">
      <c r="A151" t="str">
        <f ca="1">ORÇAMENTO!C151</f>
        <v>S</v>
      </c>
      <c r="B151">
        <f ca="1">ORÇAMENTO!D151</f>
        <v>0</v>
      </c>
      <c r="C151" s="139" t="str">
        <f t="shared" ca="1" si="22"/>
        <v/>
      </c>
      <c r="D151" s="142" t="str">
        <f ca="1">ORÇAMENTO!O151</f>
        <v>-</v>
      </c>
      <c r="E151" s="202" t="str">
        <f t="shared" ca="1" si="23"/>
        <v>(abra o arquivo 'Referência 11-2024.xlsm)</v>
      </c>
      <c r="F151" s="203" t="str">
        <f ca="1">IF(RegimeExecucao="Global","",ORÇAMENTO.Unidade)</f>
        <v/>
      </c>
      <c r="G151" s="147" t="str">
        <f ca="1">IF(RegimeExecucao="Global","",ORÇAMENTO!T151)</f>
        <v/>
      </c>
      <c r="H151" s="147" t="str">
        <f ca="1">IF(RegimeExecucao="Global","",ORÇAMENTO!W151)</f>
        <v/>
      </c>
      <c r="I151" s="150">
        <f ca="1">ORÇAMENTO!X151</f>
        <v>0</v>
      </c>
      <c r="J151" s="423">
        <f ca="1">IF($A151="S",IF(CAIXA.Modo,BM.AFAnterior,BM.MEDAnterior),IF(AND(RegimeExecucao="Global",$I151&gt;0,COUNTIF($AB$13:$AM$13,BM.medicao-1)&gt;0),M151/$I151*100,0))</f>
        <v>0</v>
      </c>
      <c r="K151" s="147">
        <f t="shared" ca="1" si="24"/>
        <v>0</v>
      </c>
      <c r="L151" s="424">
        <f ca="1">IF($A151="S",IF(CAIXA.Modo,BM.AFAcumulado,BM.MEDAcumulado),IF(AND(RegimeExecucao="Global",$I151&gt;0,COUNTIF($AB$13:$AM$13,BM.medicao)&gt;0),O151/$I151*100,0))</f>
        <v>0</v>
      </c>
      <c r="M151" s="425">
        <f ca="1">IF($A151="S",VTOTALBM,IF($A151=0,0,ROUND(SomaAgrupBM,15-13*ORÇAMENTO!$AF$11)))</f>
        <v>0</v>
      </c>
      <c r="N151" s="426">
        <f t="shared" ca="1" si="25"/>
        <v>0</v>
      </c>
      <c r="O151" s="150">
        <f ca="1">IF($A151="S",VTOTALBM,IF($A151=0,0,ROUND(SomaAgrupBM,15-13*ORÇAMENTO!$AF$11)))</f>
        <v>0</v>
      </c>
      <c r="Q151" s="427"/>
      <c r="R151" s="428"/>
      <c r="T151" s="142" t="str">
        <f t="shared" ca="1" si="26"/>
        <v/>
      </c>
      <c r="U151" s="202" t="str">
        <f t="shared" ca="1" si="27"/>
        <v/>
      </c>
      <c r="V151" s="203" t="str">
        <f ca="1">IF(AND($W151&gt;0,RegimeExecucao="Unitário"),$F151,"")</f>
        <v/>
      </c>
      <c r="W151" s="629">
        <f ca="1">IF($Y151&gt;0,CHOOSE(MATCH(RegimeExecucao,{"Unitário","Global"},0),IF($A151="S",$Y151/$X151,""),($Y151/$X151)*100),0)</f>
        <v>0</v>
      </c>
      <c r="X151" s="429" t="str">
        <f ca="1">IF($Y151&gt;0,CHOOSE(MATCH(RegimeExecucao,{"Unitário","Global"},0),IF($A151="S",ROUND($H151,ORÇAMENTO!$AF$10),""),ROUND($I151,ORÇAMENTO!$AF$11)),"")</f>
        <v/>
      </c>
      <c r="Y151" s="429">
        <f t="shared" ca="1" si="28"/>
        <v>0</v>
      </c>
      <c r="Z151" s="656"/>
      <c r="AB151" s="427"/>
      <c r="AC151" s="594"/>
      <c r="AD151" s="594"/>
      <c r="AE151" s="594"/>
      <c r="AF151" s="594"/>
      <c r="AG151" s="594"/>
      <c r="AH151" s="594"/>
      <c r="AI151" s="594"/>
      <c r="AJ151" s="594"/>
      <c r="AK151" s="594"/>
      <c r="AL151" s="594"/>
      <c r="AM151" s="428"/>
      <c r="AO151">
        <f ca="1">IF($A151="S",IF(BM!$I151=0,0,CHOOSE(MATCH(RegimeExecucao,{"Global","Unitário"},0),ROUND(ROUND(BM.MEDAcumulado,15-13*BM!$A$9)/100*BM!$I151,15-13*ORÇAMENTO!$AF$11),ROUND(ROUND(BM.MEDAcumulado,15-13*BM!$A$9)*ROUND(BM!$H151,15-13*ORÇAMENTO!$AF$10),15-13*ORÇAMENTO!$AF$11))),IF($A151=0,0,ROUND(SomaAgrupBM,15-13*ORÇAMENTO!$AF$11)))</f>
        <v>0</v>
      </c>
    </row>
    <row r="152" spans="1:41" ht="13.8">
      <c r="A152" t="str">
        <f ca="1">ORÇAMENTO!C152</f>
        <v>S</v>
      </c>
      <c r="B152">
        <f ca="1">ORÇAMENTO!D152</f>
        <v>0</v>
      </c>
      <c r="C152" s="139" t="str">
        <f t="shared" ca="1" si="22"/>
        <v/>
      </c>
      <c r="D152" s="142" t="str">
        <f ca="1">ORÇAMENTO!O152</f>
        <v>-</v>
      </c>
      <c r="E152" s="202" t="str">
        <f t="shared" ca="1" si="23"/>
        <v>(abra o arquivo 'Referência 11-2024.xlsm)</v>
      </c>
      <c r="F152" s="203" t="str">
        <f ca="1">IF(RegimeExecucao="Global","",ORÇAMENTO.Unidade)</f>
        <v/>
      </c>
      <c r="G152" s="147" t="str">
        <f ca="1">IF(RegimeExecucao="Global","",ORÇAMENTO!T152)</f>
        <v/>
      </c>
      <c r="H152" s="147" t="str">
        <f ca="1">IF(RegimeExecucao="Global","",ORÇAMENTO!W152)</f>
        <v/>
      </c>
      <c r="I152" s="150">
        <f ca="1">ORÇAMENTO!X152</f>
        <v>0</v>
      </c>
      <c r="J152" s="423">
        <f ca="1">IF($A152="S",IF(CAIXA.Modo,BM.AFAnterior,BM.MEDAnterior),IF(AND(RegimeExecucao="Global",$I152&gt;0,COUNTIF($AB$13:$AM$13,BM.medicao-1)&gt;0),M152/$I152*100,0))</f>
        <v>0</v>
      </c>
      <c r="K152" s="147">
        <f t="shared" ca="1" si="24"/>
        <v>0</v>
      </c>
      <c r="L152" s="424">
        <f ca="1">IF($A152="S",IF(CAIXA.Modo,BM.AFAcumulado,BM.MEDAcumulado),IF(AND(RegimeExecucao="Global",$I152&gt;0,COUNTIF($AB$13:$AM$13,BM.medicao)&gt;0),O152/$I152*100,0))</f>
        <v>0</v>
      </c>
      <c r="M152" s="425">
        <f ca="1">IF($A152="S",VTOTALBM,IF($A152=0,0,ROUND(SomaAgrupBM,15-13*ORÇAMENTO!$AF$11)))</f>
        <v>0</v>
      </c>
      <c r="N152" s="426">
        <f t="shared" ca="1" si="25"/>
        <v>0</v>
      </c>
      <c r="O152" s="150">
        <f ca="1">IF($A152="S",VTOTALBM,IF($A152=0,0,ROUND(SomaAgrupBM,15-13*ORÇAMENTO!$AF$11)))</f>
        <v>0</v>
      </c>
      <c r="Q152" s="427"/>
      <c r="R152" s="428"/>
      <c r="T152" s="142" t="str">
        <f t="shared" ca="1" si="26"/>
        <v/>
      </c>
      <c r="U152" s="202" t="str">
        <f t="shared" ca="1" si="27"/>
        <v/>
      </c>
      <c r="V152" s="203" t="str">
        <f ca="1">IF(AND($W152&gt;0,RegimeExecucao="Unitário"),$F152,"")</f>
        <v/>
      </c>
      <c r="W152" s="629">
        <f ca="1">IF($Y152&gt;0,CHOOSE(MATCH(RegimeExecucao,{"Unitário","Global"},0),IF($A152="S",$Y152/$X152,""),($Y152/$X152)*100),0)</f>
        <v>0</v>
      </c>
      <c r="X152" s="429" t="str">
        <f ca="1">IF($Y152&gt;0,CHOOSE(MATCH(RegimeExecucao,{"Unitário","Global"},0),IF($A152="S",ROUND($H152,ORÇAMENTO!$AF$10),""),ROUND($I152,ORÇAMENTO!$AF$11)),"")</f>
        <v/>
      </c>
      <c r="Y152" s="429">
        <f t="shared" ca="1" si="28"/>
        <v>0</v>
      </c>
      <c r="Z152" s="656"/>
      <c r="AB152" s="427"/>
      <c r="AC152" s="594"/>
      <c r="AD152" s="594"/>
      <c r="AE152" s="594"/>
      <c r="AF152" s="594"/>
      <c r="AG152" s="594"/>
      <c r="AH152" s="594"/>
      <c r="AI152" s="594"/>
      <c r="AJ152" s="594"/>
      <c r="AK152" s="594"/>
      <c r="AL152" s="594"/>
      <c r="AM152" s="428"/>
      <c r="AO152">
        <f ca="1">IF($A152="S",IF(BM!$I152=0,0,CHOOSE(MATCH(RegimeExecucao,{"Global","Unitário"},0),ROUND(ROUND(BM.MEDAcumulado,15-13*BM!$A$9)/100*BM!$I152,15-13*ORÇAMENTO!$AF$11),ROUND(ROUND(BM.MEDAcumulado,15-13*BM!$A$9)*ROUND(BM!$H152,15-13*ORÇAMENTO!$AF$10),15-13*ORÇAMENTO!$AF$11))),IF($A152=0,0,ROUND(SomaAgrupBM,15-13*ORÇAMENTO!$AF$11)))</f>
        <v>0</v>
      </c>
    </row>
    <row r="153" spans="1:41" ht="13.8">
      <c r="A153" t="str">
        <f ca="1">ORÇAMENTO!C153</f>
        <v>S</v>
      </c>
      <c r="B153">
        <f ca="1">ORÇAMENTO!D153</f>
        <v>0</v>
      </c>
      <c r="C153" s="139" t="str">
        <f t="shared" ca="1" si="22"/>
        <v/>
      </c>
      <c r="D153" s="142" t="str">
        <f ca="1">ORÇAMENTO!O153</f>
        <v>-</v>
      </c>
      <c r="E153" s="202" t="str">
        <f t="shared" ca="1" si="23"/>
        <v>(abra o arquivo 'Referência 11-2024.xlsm)</v>
      </c>
      <c r="F153" s="203" t="str">
        <f ca="1">IF(RegimeExecucao="Global","",ORÇAMENTO.Unidade)</f>
        <v/>
      </c>
      <c r="G153" s="147" t="str">
        <f ca="1">IF(RegimeExecucao="Global","",ORÇAMENTO!T153)</f>
        <v/>
      </c>
      <c r="H153" s="147" t="str">
        <f ca="1">IF(RegimeExecucao="Global","",ORÇAMENTO!W153)</f>
        <v/>
      </c>
      <c r="I153" s="150">
        <f ca="1">ORÇAMENTO!X153</f>
        <v>0</v>
      </c>
      <c r="J153" s="423">
        <f ca="1">IF($A153="S",IF(CAIXA.Modo,BM.AFAnterior,BM.MEDAnterior),IF(AND(RegimeExecucao="Global",$I153&gt;0,COUNTIF($AB$13:$AM$13,BM.medicao-1)&gt;0),M153/$I153*100,0))</f>
        <v>0</v>
      </c>
      <c r="K153" s="147">
        <f t="shared" ca="1" si="24"/>
        <v>0</v>
      </c>
      <c r="L153" s="424">
        <f ca="1">IF($A153="S",IF(CAIXA.Modo,BM.AFAcumulado,BM.MEDAcumulado),IF(AND(RegimeExecucao="Global",$I153&gt;0,COUNTIF($AB$13:$AM$13,BM.medicao)&gt;0),O153/$I153*100,0))</f>
        <v>0</v>
      </c>
      <c r="M153" s="425">
        <f ca="1">IF($A153="S",VTOTALBM,IF($A153=0,0,ROUND(SomaAgrupBM,15-13*ORÇAMENTO!$AF$11)))</f>
        <v>0</v>
      </c>
      <c r="N153" s="426">
        <f t="shared" ca="1" si="25"/>
        <v>0</v>
      </c>
      <c r="O153" s="150">
        <f ca="1">IF($A153="S",VTOTALBM,IF($A153=0,0,ROUND(SomaAgrupBM,15-13*ORÇAMENTO!$AF$11)))</f>
        <v>0</v>
      </c>
      <c r="Q153" s="427"/>
      <c r="R153" s="428"/>
      <c r="T153" s="142" t="str">
        <f t="shared" ca="1" si="26"/>
        <v/>
      </c>
      <c r="U153" s="202" t="str">
        <f t="shared" ca="1" si="27"/>
        <v/>
      </c>
      <c r="V153" s="203" t="str">
        <f ca="1">IF(AND($W153&gt;0,RegimeExecucao="Unitário"),$F153,"")</f>
        <v/>
      </c>
      <c r="W153" s="629">
        <f ca="1">IF($Y153&gt;0,CHOOSE(MATCH(RegimeExecucao,{"Unitário","Global"},0),IF($A153="S",$Y153/$X153,""),($Y153/$X153)*100),0)</f>
        <v>0</v>
      </c>
      <c r="X153" s="429" t="str">
        <f ca="1">IF($Y153&gt;0,CHOOSE(MATCH(RegimeExecucao,{"Unitário","Global"},0),IF($A153="S",ROUND($H153,ORÇAMENTO!$AF$10),""),ROUND($I153,ORÇAMENTO!$AF$11)),"")</f>
        <v/>
      </c>
      <c r="Y153" s="429">
        <f t="shared" ca="1" si="28"/>
        <v>0</v>
      </c>
      <c r="Z153" s="656"/>
      <c r="AB153" s="427"/>
      <c r="AC153" s="594"/>
      <c r="AD153" s="594"/>
      <c r="AE153" s="594"/>
      <c r="AF153" s="594"/>
      <c r="AG153" s="594"/>
      <c r="AH153" s="594"/>
      <c r="AI153" s="594"/>
      <c r="AJ153" s="594"/>
      <c r="AK153" s="594"/>
      <c r="AL153" s="594"/>
      <c r="AM153" s="428"/>
      <c r="AO153">
        <f ca="1">IF($A153="S",IF(BM!$I153=0,0,CHOOSE(MATCH(RegimeExecucao,{"Global","Unitário"},0),ROUND(ROUND(BM.MEDAcumulado,15-13*BM!$A$9)/100*BM!$I153,15-13*ORÇAMENTO!$AF$11),ROUND(ROUND(BM.MEDAcumulado,15-13*BM!$A$9)*ROUND(BM!$H153,15-13*ORÇAMENTO!$AF$10),15-13*ORÇAMENTO!$AF$11))),IF($A153=0,0,ROUND(SomaAgrupBM,15-13*ORÇAMENTO!$AF$11)))</f>
        <v>0</v>
      </c>
    </row>
    <row r="154" spans="1:41" ht="13.8">
      <c r="A154" t="str">
        <f ca="1">ORÇAMENTO!C154</f>
        <v>S</v>
      </c>
      <c r="B154">
        <f ca="1">ORÇAMENTO!D154</f>
        <v>0</v>
      </c>
      <c r="C154" s="139" t="str">
        <f t="shared" ca="1" si="22"/>
        <v/>
      </c>
      <c r="D154" s="142" t="str">
        <f ca="1">ORÇAMENTO!O154</f>
        <v>-</v>
      </c>
      <c r="E154" s="202" t="str">
        <f t="shared" ca="1" si="23"/>
        <v>(abra o arquivo 'Referência 11-2024.xlsm)</v>
      </c>
      <c r="F154" s="203" t="str">
        <f ca="1">IF(RegimeExecucao="Global","",ORÇAMENTO.Unidade)</f>
        <v/>
      </c>
      <c r="G154" s="147" t="str">
        <f ca="1">IF(RegimeExecucao="Global","",ORÇAMENTO!T154)</f>
        <v/>
      </c>
      <c r="H154" s="147" t="str">
        <f ca="1">IF(RegimeExecucao="Global","",ORÇAMENTO!W154)</f>
        <v/>
      </c>
      <c r="I154" s="150">
        <f ca="1">ORÇAMENTO!X154</f>
        <v>0</v>
      </c>
      <c r="J154" s="423">
        <f ca="1">IF($A154="S",IF(CAIXA.Modo,BM.AFAnterior,BM.MEDAnterior),IF(AND(RegimeExecucao="Global",$I154&gt;0,COUNTIF($AB$13:$AM$13,BM.medicao-1)&gt;0),M154/$I154*100,0))</f>
        <v>0</v>
      </c>
      <c r="K154" s="147">
        <f t="shared" ca="1" si="24"/>
        <v>0</v>
      </c>
      <c r="L154" s="424">
        <f ca="1">IF($A154="S",IF(CAIXA.Modo,BM.AFAcumulado,BM.MEDAcumulado),IF(AND(RegimeExecucao="Global",$I154&gt;0,COUNTIF($AB$13:$AM$13,BM.medicao)&gt;0),O154/$I154*100,0))</f>
        <v>0</v>
      </c>
      <c r="M154" s="425">
        <f ca="1">IF($A154="S",VTOTALBM,IF($A154=0,0,ROUND(SomaAgrupBM,15-13*ORÇAMENTO!$AF$11)))</f>
        <v>0</v>
      </c>
      <c r="N154" s="426">
        <f t="shared" ca="1" si="25"/>
        <v>0</v>
      </c>
      <c r="O154" s="150">
        <f ca="1">IF($A154="S",VTOTALBM,IF($A154=0,0,ROUND(SomaAgrupBM,15-13*ORÇAMENTO!$AF$11)))</f>
        <v>0</v>
      </c>
      <c r="Q154" s="427"/>
      <c r="R154" s="428"/>
      <c r="T154" s="142" t="str">
        <f t="shared" ca="1" si="26"/>
        <v/>
      </c>
      <c r="U154" s="202" t="str">
        <f t="shared" ca="1" si="27"/>
        <v/>
      </c>
      <c r="V154" s="203" t="str">
        <f ca="1">IF(AND($W154&gt;0,RegimeExecucao="Unitário"),$F154,"")</f>
        <v/>
      </c>
      <c r="W154" s="629">
        <f ca="1">IF($Y154&gt;0,CHOOSE(MATCH(RegimeExecucao,{"Unitário","Global"},0),IF($A154="S",$Y154/$X154,""),($Y154/$X154)*100),0)</f>
        <v>0</v>
      </c>
      <c r="X154" s="429" t="str">
        <f ca="1">IF($Y154&gt;0,CHOOSE(MATCH(RegimeExecucao,{"Unitário","Global"},0),IF($A154="S",ROUND($H154,ORÇAMENTO!$AF$10),""),ROUND($I154,ORÇAMENTO!$AF$11)),"")</f>
        <v/>
      </c>
      <c r="Y154" s="429">
        <f t="shared" ca="1" si="28"/>
        <v>0</v>
      </c>
      <c r="Z154" s="656"/>
      <c r="AB154" s="427"/>
      <c r="AC154" s="594"/>
      <c r="AD154" s="594"/>
      <c r="AE154" s="594"/>
      <c r="AF154" s="594"/>
      <c r="AG154" s="594"/>
      <c r="AH154" s="594"/>
      <c r="AI154" s="594"/>
      <c r="AJ154" s="594"/>
      <c r="AK154" s="594"/>
      <c r="AL154" s="594"/>
      <c r="AM154" s="428"/>
      <c r="AO154">
        <f ca="1">IF($A154="S",IF(BM!$I154=0,0,CHOOSE(MATCH(RegimeExecucao,{"Global","Unitário"},0),ROUND(ROUND(BM.MEDAcumulado,15-13*BM!$A$9)/100*BM!$I154,15-13*ORÇAMENTO!$AF$11),ROUND(ROUND(BM.MEDAcumulado,15-13*BM!$A$9)*ROUND(BM!$H154,15-13*ORÇAMENTO!$AF$10),15-13*ORÇAMENTO!$AF$11))),IF($A154=0,0,ROUND(SomaAgrupBM,15-13*ORÇAMENTO!$AF$11)))</f>
        <v>0</v>
      </c>
    </row>
    <row r="155" spans="1:41" ht="13.8">
      <c r="A155" t="str">
        <f ca="1">ORÇAMENTO!C155</f>
        <v>S</v>
      </c>
      <c r="B155">
        <f ca="1">ORÇAMENTO!D155</f>
        <v>0</v>
      </c>
      <c r="C155" s="139" t="str">
        <f t="shared" ca="1" si="22"/>
        <v/>
      </c>
      <c r="D155" s="142" t="str">
        <f ca="1">ORÇAMENTO!O155</f>
        <v>-</v>
      </c>
      <c r="E155" s="202" t="str">
        <f t="shared" ca="1" si="23"/>
        <v>(abra o arquivo 'Referência 11-2024.xlsm)</v>
      </c>
      <c r="F155" s="203" t="str">
        <f ca="1">IF(RegimeExecucao="Global","",ORÇAMENTO.Unidade)</f>
        <v/>
      </c>
      <c r="G155" s="147" t="str">
        <f ca="1">IF(RegimeExecucao="Global","",ORÇAMENTO!T155)</f>
        <v/>
      </c>
      <c r="H155" s="147" t="str">
        <f ca="1">IF(RegimeExecucao="Global","",ORÇAMENTO!W155)</f>
        <v/>
      </c>
      <c r="I155" s="150">
        <f ca="1">ORÇAMENTO!X155</f>
        <v>0</v>
      </c>
      <c r="J155" s="423">
        <f ca="1">IF($A155="S",IF(CAIXA.Modo,BM.AFAnterior,BM.MEDAnterior),IF(AND(RegimeExecucao="Global",$I155&gt;0,COUNTIF($AB$13:$AM$13,BM.medicao-1)&gt;0),M155/$I155*100,0))</f>
        <v>0</v>
      </c>
      <c r="K155" s="147">
        <f t="shared" ca="1" si="24"/>
        <v>0</v>
      </c>
      <c r="L155" s="424">
        <f ca="1">IF($A155="S",IF(CAIXA.Modo,BM.AFAcumulado,BM.MEDAcumulado),IF(AND(RegimeExecucao="Global",$I155&gt;0,COUNTIF($AB$13:$AM$13,BM.medicao)&gt;0),O155/$I155*100,0))</f>
        <v>0</v>
      </c>
      <c r="M155" s="425">
        <f ca="1">IF($A155="S",VTOTALBM,IF($A155=0,0,ROUND(SomaAgrupBM,15-13*ORÇAMENTO!$AF$11)))</f>
        <v>0</v>
      </c>
      <c r="N155" s="426">
        <f t="shared" ca="1" si="25"/>
        <v>0</v>
      </c>
      <c r="O155" s="150">
        <f ca="1">IF($A155="S",VTOTALBM,IF($A155=0,0,ROUND(SomaAgrupBM,15-13*ORÇAMENTO!$AF$11)))</f>
        <v>0</v>
      </c>
      <c r="Q155" s="427"/>
      <c r="R155" s="428"/>
      <c r="T155" s="142" t="str">
        <f t="shared" ca="1" si="26"/>
        <v/>
      </c>
      <c r="U155" s="202" t="str">
        <f t="shared" ca="1" si="27"/>
        <v/>
      </c>
      <c r="V155" s="203" t="str">
        <f ca="1">IF(AND($W155&gt;0,RegimeExecucao="Unitário"),$F155,"")</f>
        <v/>
      </c>
      <c r="W155" s="629">
        <f ca="1">IF($Y155&gt;0,CHOOSE(MATCH(RegimeExecucao,{"Unitário","Global"},0),IF($A155="S",$Y155/$X155,""),($Y155/$X155)*100),0)</f>
        <v>0</v>
      </c>
      <c r="X155" s="429" t="str">
        <f ca="1">IF($Y155&gt;0,CHOOSE(MATCH(RegimeExecucao,{"Unitário","Global"},0),IF($A155="S",ROUND($H155,ORÇAMENTO!$AF$10),""),ROUND($I155,ORÇAMENTO!$AF$11)),"")</f>
        <v/>
      </c>
      <c r="Y155" s="429">
        <f t="shared" ca="1" si="28"/>
        <v>0</v>
      </c>
      <c r="Z155" s="656"/>
      <c r="AB155" s="427"/>
      <c r="AC155" s="594"/>
      <c r="AD155" s="594"/>
      <c r="AE155" s="594"/>
      <c r="AF155" s="594"/>
      <c r="AG155" s="594"/>
      <c r="AH155" s="594"/>
      <c r="AI155" s="594"/>
      <c r="AJ155" s="594"/>
      <c r="AK155" s="594"/>
      <c r="AL155" s="594"/>
      <c r="AM155" s="428"/>
      <c r="AO155">
        <f ca="1">IF($A155="S",IF(BM!$I155=0,0,CHOOSE(MATCH(RegimeExecucao,{"Global","Unitário"},0),ROUND(ROUND(BM.MEDAcumulado,15-13*BM!$A$9)/100*BM!$I155,15-13*ORÇAMENTO!$AF$11),ROUND(ROUND(BM.MEDAcumulado,15-13*BM!$A$9)*ROUND(BM!$H155,15-13*ORÇAMENTO!$AF$10),15-13*ORÇAMENTO!$AF$11))),IF($A155=0,0,ROUND(SomaAgrupBM,15-13*ORÇAMENTO!$AF$11)))</f>
        <v>0</v>
      </c>
    </row>
    <row r="156" spans="1:41" ht="13.8">
      <c r="A156" t="str">
        <f ca="1">ORÇAMENTO!C156</f>
        <v>S</v>
      </c>
      <c r="B156">
        <f ca="1">ORÇAMENTO!D156</f>
        <v>0</v>
      </c>
      <c r="C156" s="139" t="str">
        <f t="shared" ca="1" si="22"/>
        <v/>
      </c>
      <c r="D156" s="142" t="str">
        <f ca="1">ORÇAMENTO!O156</f>
        <v>-</v>
      </c>
      <c r="E156" s="202" t="str">
        <f t="shared" ca="1" si="23"/>
        <v>(abra o arquivo 'Referência 11-2024.xlsm)</v>
      </c>
      <c r="F156" s="203" t="str">
        <f ca="1">IF(RegimeExecucao="Global","",ORÇAMENTO.Unidade)</f>
        <v/>
      </c>
      <c r="G156" s="147" t="str">
        <f ca="1">IF(RegimeExecucao="Global","",ORÇAMENTO!T156)</f>
        <v/>
      </c>
      <c r="H156" s="147" t="str">
        <f ca="1">IF(RegimeExecucao="Global","",ORÇAMENTO!W156)</f>
        <v/>
      </c>
      <c r="I156" s="150">
        <f ca="1">ORÇAMENTO!X156</f>
        <v>0</v>
      </c>
      <c r="J156" s="423">
        <f ca="1">IF($A156="S",IF(CAIXA.Modo,BM.AFAnterior,BM.MEDAnterior),IF(AND(RegimeExecucao="Global",$I156&gt;0,COUNTIF($AB$13:$AM$13,BM.medicao-1)&gt;0),M156/$I156*100,0))</f>
        <v>0</v>
      </c>
      <c r="K156" s="147">
        <f t="shared" ca="1" si="24"/>
        <v>0</v>
      </c>
      <c r="L156" s="424">
        <f ca="1">IF($A156="S",IF(CAIXA.Modo,BM.AFAcumulado,BM.MEDAcumulado),IF(AND(RegimeExecucao="Global",$I156&gt;0,COUNTIF($AB$13:$AM$13,BM.medicao)&gt;0),O156/$I156*100,0))</f>
        <v>0</v>
      </c>
      <c r="M156" s="425">
        <f ca="1">IF($A156="S",VTOTALBM,IF($A156=0,0,ROUND(SomaAgrupBM,15-13*ORÇAMENTO!$AF$11)))</f>
        <v>0</v>
      </c>
      <c r="N156" s="426">
        <f t="shared" ca="1" si="25"/>
        <v>0</v>
      </c>
      <c r="O156" s="150">
        <f ca="1">IF($A156="S",VTOTALBM,IF($A156=0,0,ROUND(SomaAgrupBM,15-13*ORÇAMENTO!$AF$11)))</f>
        <v>0</v>
      </c>
      <c r="Q156" s="427"/>
      <c r="R156" s="428"/>
      <c r="T156" s="142" t="str">
        <f t="shared" ca="1" si="26"/>
        <v/>
      </c>
      <c r="U156" s="202" t="str">
        <f t="shared" ca="1" si="27"/>
        <v/>
      </c>
      <c r="V156" s="203" t="str">
        <f ca="1">IF(AND($W156&gt;0,RegimeExecucao="Unitário"),$F156,"")</f>
        <v/>
      </c>
      <c r="W156" s="629">
        <f ca="1">IF($Y156&gt;0,CHOOSE(MATCH(RegimeExecucao,{"Unitário","Global"},0),IF($A156="S",$Y156/$X156,""),($Y156/$X156)*100),0)</f>
        <v>0</v>
      </c>
      <c r="X156" s="429" t="str">
        <f ca="1">IF($Y156&gt;0,CHOOSE(MATCH(RegimeExecucao,{"Unitário","Global"},0),IF($A156="S",ROUND($H156,ORÇAMENTO!$AF$10),""),ROUND($I156,ORÇAMENTO!$AF$11)),"")</f>
        <v/>
      </c>
      <c r="Y156" s="429">
        <f t="shared" ca="1" si="28"/>
        <v>0</v>
      </c>
      <c r="Z156" s="656"/>
      <c r="AB156" s="427"/>
      <c r="AC156" s="594"/>
      <c r="AD156" s="594"/>
      <c r="AE156" s="594"/>
      <c r="AF156" s="594"/>
      <c r="AG156" s="594"/>
      <c r="AH156" s="594"/>
      <c r="AI156" s="594"/>
      <c r="AJ156" s="594"/>
      <c r="AK156" s="594"/>
      <c r="AL156" s="594"/>
      <c r="AM156" s="428"/>
      <c r="AO156">
        <f ca="1">IF($A156="S",IF(BM!$I156=0,0,CHOOSE(MATCH(RegimeExecucao,{"Global","Unitário"},0),ROUND(ROUND(BM.MEDAcumulado,15-13*BM!$A$9)/100*BM!$I156,15-13*ORÇAMENTO!$AF$11),ROUND(ROUND(BM.MEDAcumulado,15-13*BM!$A$9)*ROUND(BM!$H156,15-13*ORÇAMENTO!$AF$10),15-13*ORÇAMENTO!$AF$11))),IF($A156=0,0,ROUND(SomaAgrupBM,15-13*ORÇAMENTO!$AF$11)))</f>
        <v>0</v>
      </c>
    </row>
    <row r="157" spans="1:41" ht="13.8">
      <c r="A157" t="str">
        <f ca="1">ORÇAMENTO!C157</f>
        <v>S</v>
      </c>
      <c r="B157">
        <f ca="1">ORÇAMENTO!D157</f>
        <v>0</v>
      </c>
      <c r="C157" s="139" t="str">
        <f t="shared" ca="1" si="22"/>
        <v/>
      </c>
      <c r="D157" s="142" t="str">
        <f ca="1">ORÇAMENTO!O157</f>
        <v>-</v>
      </c>
      <c r="E157" s="202" t="str">
        <f t="shared" ca="1" si="23"/>
        <v>(abra o arquivo 'Referência 11-2024.xlsm)</v>
      </c>
      <c r="F157" s="203" t="str">
        <f ca="1">IF(RegimeExecucao="Global","",ORÇAMENTO.Unidade)</f>
        <v/>
      </c>
      <c r="G157" s="147" t="str">
        <f ca="1">IF(RegimeExecucao="Global","",ORÇAMENTO!T157)</f>
        <v/>
      </c>
      <c r="H157" s="147" t="str">
        <f ca="1">IF(RegimeExecucao="Global","",ORÇAMENTO!W157)</f>
        <v/>
      </c>
      <c r="I157" s="150">
        <f ca="1">ORÇAMENTO!X157</f>
        <v>0</v>
      </c>
      <c r="J157" s="423">
        <f ca="1">IF($A157="S",IF(CAIXA.Modo,BM.AFAnterior,BM.MEDAnterior),IF(AND(RegimeExecucao="Global",$I157&gt;0,COUNTIF($AB$13:$AM$13,BM.medicao-1)&gt;0),M157/$I157*100,0))</f>
        <v>0</v>
      </c>
      <c r="K157" s="147">
        <f t="shared" ca="1" si="24"/>
        <v>0</v>
      </c>
      <c r="L157" s="424">
        <f ca="1">IF($A157="S",IF(CAIXA.Modo,BM.AFAcumulado,BM.MEDAcumulado),IF(AND(RegimeExecucao="Global",$I157&gt;0,COUNTIF($AB$13:$AM$13,BM.medicao)&gt;0),O157/$I157*100,0))</f>
        <v>0</v>
      </c>
      <c r="M157" s="425">
        <f ca="1">IF($A157="S",VTOTALBM,IF($A157=0,0,ROUND(SomaAgrupBM,15-13*ORÇAMENTO!$AF$11)))</f>
        <v>0</v>
      </c>
      <c r="N157" s="426">
        <f t="shared" ca="1" si="25"/>
        <v>0</v>
      </c>
      <c r="O157" s="150">
        <f ca="1">IF($A157="S",VTOTALBM,IF($A157=0,0,ROUND(SomaAgrupBM,15-13*ORÇAMENTO!$AF$11)))</f>
        <v>0</v>
      </c>
      <c r="Q157" s="427"/>
      <c r="R157" s="428"/>
      <c r="T157" s="142" t="str">
        <f t="shared" ca="1" si="26"/>
        <v/>
      </c>
      <c r="U157" s="202" t="str">
        <f t="shared" ca="1" si="27"/>
        <v/>
      </c>
      <c r="V157" s="203" t="str">
        <f ca="1">IF(AND($W157&gt;0,RegimeExecucao="Unitário"),$F157,"")</f>
        <v/>
      </c>
      <c r="W157" s="629">
        <f ca="1">IF($Y157&gt;0,CHOOSE(MATCH(RegimeExecucao,{"Unitário","Global"},0),IF($A157="S",$Y157/$X157,""),($Y157/$X157)*100),0)</f>
        <v>0</v>
      </c>
      <c r="X157" s="429" t="str">
        <f ca="1">IF($Y157&gt;0,CHOOSE(MATCH(RegimeExecucao,{"Unitário","Global"},0),IF($A157="S",ROUND($H157,ORÇAMENTO!$AF$10),""),ROUND($I157,ORÇAMENTO!$AF$11)),"")</f>
        <v/>
      </c>
      <c r="Y157" s="429">
        <f t="shared" ca="1" si="28"/>
        <v>0</v>
      </c>
      <c r="Z157" s="656"/>
      <c r="AB157" s="427"/>
      <c r="AC157" s="594"/>
      <c r="AD157" s="594"/>
      <c r="AE157" s="594"/>
      <c r="AF157" s="594"/>
      <c r="AG157" s="594"/>
      <c r="AH157" s="594"/>
      <c r="AI157" s="594"/>
      <c r="AJ157" s="594"/>
      <c r="AK157" s="594"/>
      <c r="AL157" s="594"/>
      <c r="AM157" s="428"/>
      <c r="AO157">
        <f ca="1">IF($A157="S",IF(BM!$I157=0,0,CHOOSE(MATCH(RegimeExecucao,{"Global","Unitário"},0),ROUND(ROUND(BM.MEDAcumulado,15-13*BM!$A$9)/100*BM!$I157,15-13*ORÇAMENTO!$AF$11),ROUND(ROUND(BM.MEDAcumulado,15-13*BM!$A$9)*ROUND(BM!$H157,15-13*ORÇAMENTO!$AF$10),15-13*ORÇAMENTO!$AF$11))),IF($A157=0,0,ROUND(SomaAgrupBM,15-13*ORÇAMENTO!$AF$11)))</f>
        <v>0</v>
      </c>
    </row>
    <row r="158" spans="1:41" ht="13.8">
      <c r="A158" t="str">
        <f ca="1">ORÇAMENTO!C158</f>
        <v>S</v>
      </c>
      <c r="B158">
        <f ca="1">ORÇAMENTO!D158</f>
        <v>0</v>
      </c>
      <c r="C158" s="139" t="str">
        <f t="shared" ca="1" si="22"/>
        <v/>
      </c>
      <c r="D158" s="142" t="str">
        <f ca="1">ORÇAMENTO!O158</f>
        <v>-</v>
      </c>
      <c r="E158" s="202" t="str">
        <f t="shared" ca="1" si="23"/>
        <v>(abra o arquivo 'Referência 11-2024.xlsm)</v>
      </c>
      <c r="F158" s="203" t="str">
        <f ca="1">IF(RegimeExecucao="Global","",ORÇAMENTO.Unidade)</f>
        <v/>
      </c>
      <c r="G158" s="147" t="str">
        <f ca="1">IF(RegimeExecucao="Global","",ORÇAMENTO!T158)</f>
        <v/>
      </c>
      <c r="H158" s="147" t="str">
        <f ca="1">IF(RegimeExecucao="Global","",ORÇAMENTO!W158)</f>
        <v/>
      </c>
      <c r="I158" s="150">
        <f ca="1">ORÇAMENTO!X158</f>
        <v>0</v>
      </c>
      <c r="J158" s="423">
        <f ca="1">IF($A158="S",IF(CAIXA.Modo,BM.AFAnterior,BM.MEDAnterior),IF(AND(RegimeExecucao="Global",$I158&gt;0,COUNTIF($AB$13:$AM$13,BM.medicao-1)&gt;0),M158/$I158*100,0))</f>
        <v>0</v>
      </c>
      <c r="K158" s="147">
        <f t="shared" ca="1" si="24"/>
        <v>0</v>
      </c>
      <c r="L158" s="424">
        <f ca="1">IF($A158="S",IF(CAIXA.Modo,BM.AFAcumulado,BM.MEDAcumulado),IF(AND(RegimeExecucao="Global",$I158&gt;0,COUNTIF($AB$13:$AM$13,BM.medicao)&gt;0),O158/$I158*100,0))</f>
        <v>0</v>
      </c>
      <c r="M158" s="425">
        <f ca="1">IF($A158="S",VTOTALBM,IF($A158=0,0,ROUND(SomaAgrupBM,15-13*ORÇAMENTO!$AF$11)))</f>
        <v>0</v>
      </c>
      <c r="N158" s="426">
        <f t="shared" ca="1" si="25"/>
        <v>0</v>
      </c>
      <c r="O158" s="150">
        <f ca="1">IF($A158="S",VTOTALBM,IF($A158=0,0,ROUND(SomaAgrupBM,15-13*ORÇAMENTO!$AF$11)))</f>
        <v>0</v>
      </c>
      <c r="Q158" s="427"/>
      <c r="R158" s="428"/>
      <c r="T158" s="142" t="str">
        <f t="shared" ca="1" si="26"/>
        <v/>
      </c>
      <c r="U158" s="202" t="str">
        <f t="shared" ca="1" si="27"/>
        <v/>
      </c>
      <c r="V158" s="203" t="str">
        <f ca="1">IF(AND($W158&gt;0,RegimeExecucao="Unitário"),$F158,"")</f>
        <v/>
      </c>
      <c r="W158" s="629">
        <f ca="1">IF($Y158&gt;0,CHOOSE(MATCH(RegimeExecucao,{"Unitário","Global"},0),IF($A158="S",$Y158/$X158,""),($Y158/$X158)*100),0)</f>
        <v>0</v>
      </c>
      <c r="X158" s="429" t="str">
        <f ca="1">IF($Y158&gt;0,CHOOSE(MATCH(RegimeExecucao,{"Unitário","Global"},0),IF($A158="S",ROUND($H158,ORÇAMENTO!$AF$10),""),ROUND($I158,ORÇAMENTO!$AF$11)),"")</f>
        <v/>
      </c>
      <c r="Y158" s="429">
        <f t="shared" ca="1" si="28"/>
        <v>0</v>
      </c>
      <c r="Z158" s="656"/>
      <c r="AB158" s="427"/>
      <c r="AC158" s="594"/>
      <c r="AD158" s="594"/>
      <c r="AE158" s="594"/>
      <c r="AF158" s="594"/>
      <c r="AG158" s="594"/>
      <c r="AH158" s="594"/>
      <c r="AI158" s="594"/>
      <c r="AJ158" s="594"/>
      <c r="AK158" s="594"/>
      <c r="AL158" s="594"/>
      <c r="AM158" s="428"/>
      <c r="AO158">
        <f ca="1">IF($A158="S",IF(BM!$I158=0,0,CHOOSE(MATCH(RegimeExecucao,{"Global","Unitário"},0),ROUND(ROUND(BM.MEDAcumulado,15-13*BM!$A$9)/100*BM!$I158,15-13*ORÇAMENTO!$AF$11),ROUND(ROUND(BM.MEDAcumulado,15-13*BM!$A$9)*ROUND(BM!$H158,15-13*ORÇAMENTO!$AF$10),15-13*ORÇAMENTO!$AF$11))),IF($A158=0,0,ROUND(SomaAgrupBM,15-13*ORÇAMENTO!$AF$11)))</f>
        <v>0</v>
      </c>
    </row>
    <row r="159" spans="1:41" ht="13.8">
      <c r="A159" t="str">
        <f ca="1">ORÇAMENTO!C159</f>
        <v>S</v>
      </c>
      <c r="B159">
        <f ca="1">ORÇAMENTO!D159</f>
        <v>0</v>
      </c>
      <c r="C159" s="139" t="str">
        <f t="shared" ca="1" si="22"/>
        <v/>
      </c>
      <c r="D159" s="142" t="str">
        <f ca="1">ORÇAMENTO!O159</f>
        <v>-</v>
      </c>
      <c r="E159" s="202" t="str">
        <f t="shared" ca="1" si="23"/>
        <v>(abra o arquivo 'Referência 11-2024.xlsm)</v>
      </c>
      <c r="F159" s="203" t="str">
        <f ca="1">IF(RegimeExecucao="Global","",ORÇAMENTO.Unidade)</f>
        <v/>
      </c>
      <c r="G159" s="147" t="str">
        <f ca="1">IF(RegimeExecucao="Global","",ORÇAMENTO!T159)</f>
        <v/>
      </c>
      <c r="H159" s="147" t="str">
        <f ca="1">IF(RegimeExecucao="Global","",ORÇAMENTO!W159)</f>
        <v/>
      </c>
      <c r="I159" s="150">
        <f ca="1">ORÇAMENTO!X159</f>
        <v>0</v>
      </c>
      <c r="J159" s="423">
        <f ca="1">IF($A159="S",IF(CAIXA.Modo,BM.AFAnterior,BM.MEDAnterior),IF(AND(RegimeExecucao="Global",$I159&gt;0,COUNTIF($AB$13:$AM$13,BM.medicao-1)&gt;0),M159/$I159*100,0))</f>
        <v>0</v>
      </c>
      <c r="K159" s="147">
        <f t="shared" ca="1" si="24"/>
        <v>0</v>
      </c>
      <c r="L159" s="424">
        <f ca="1">IF($A159="S",IF(CAIXA.Modo,BM.AFAcumulado,BM.MEDAcumulado),IF(AND(RegimeExecucao="Global",$I159&gt;0,COUNTIF($AB$13:$AM$13,BM.medicao)&gt;0),O159/$I159*100,0))</f>
        <v>0</v>
      </c>
      <c r="M159" s="425">
        <f ca="1">IF($A159="S",VTOTALBM,IF($A159=0,0,ROUND(SomaAgrupBM,15-13*ORÇAMENTO!$AF$11)))</f>
        <v>0</v>
      </c>
      <c r="N159" s="426">
        <f t="shared" ca="1" si="25"/>
        <v>0</v>
      </c>
      <c r="O159" s="150">
        <f ca="1">IF($A159="S",VTOTALBM,IF($A159=0,0,ROUND(SomaAgrupBM,15-13*ORÇAMENTO!$AF$11)))</f>
        <v>0</v>
      </c>
      <c r="Q159" s="427"/>
      <c r="R159" s="428"/>
      <c r="T159" s="142" t="str">
        <f t="shared" ca="1" si="26"/>
        <v/>
      </c>
      <c r="U159" s="202" t="str">
        <f t="shared" ca="1" si="27"/>
        <v/>
      </c>
      <c r="V159" s="203" t="str">
        <f ca="1">IF(AND($W159&gt;0,RegimeExecucao="Unitário"),$F159,"")</f>
        <v/>
      </c>
      <c r="W159" s="629">
        <f ca="1">IF($Y159&gt;0,CHOOSE(MATCH(RegimeExecucao,{"Unitário","Global"},0),IF($A159="S",$Y159/$X159,""),($Y159/$X159)*100),0)</f>
        <v>0</v>
      </c>
      <c r="X159" s="429" t="str">
        <f ca="1">IF($Y159&gt;0,CHOOSE(MATCH(RegimeExecucao,{"Unitário","Global"},0),IF($A159="S",ROUND($H159,ORÇAMENTO!$AF$10),""),ROUND($I159,ORÇAMENTO!$AF$11)),"")</f>
        <v/>
      </c>
      <c r="Y159" s="429">
        <f t="shared" ca="1" si="28"/>
        <v>0</v>
      </c>
      <c r="Z159" s="656"/>
      <c r="AB159" s="427"/>
      <c r="AC159" s="594"/>
      <c r="AD159" s="594"/>
      <c r="AE159" s="594"/>
      <c r="AF159" s="594"/>
      <c r="AG159" s="594"/>
      <c r="AH159" s="594"/>
      <c r="AI159" s="594"/>
      <c r="AJ159" s="594"/>
      <c r="AK159" s="594"/>
      <c r="AL159" s="594"/>
      <c r="AM159" s="428"/>
      <c r="AO159">
        <f ca="1">IF($A159="S",IF(BM!$I159=0,0,CHOOSE(MATCH(RegimeExecucao,{"Global","Unitário"},0),ROUND(ROUND(BM.MEDAcumulado,15-13*BM!$A$9)/100*BM!$I159,15-13*ORÇAMENTO!$AF$11),ROUND(ROUND(BM.MEDAcumulado,15-13*BM!$A$9)*ROUND(BM!$H159,15-13*ORÇAMENTO!$AF$10),15-13*ORÇAMENTO!$AF$11))),IF($A159=0,0,ROUND(SomaAgrupBM,15-13*ORÇAMENTO!$AF$11)))</f>
        <v>0</v>
      </c>
    </row>
    <row r="160" spans="1:41" ht="13.8">
      <c r="A160" t="str">
        <f ca="1">ORÇAMENTO!C160</f>
        <v>S</v>
      </c>
      <c r="B160">
        <f ca="1">ORÇAMENTO!D160</f>
        <v>0</v>
      </c>
      <c r="C160" s="139" t="str">
        <f t="shared" ca="1" si="22"/>
        <v/>
      </c>
      <c r="D160" s="142" t="str">
        <f ca="1">ORÇAMENTO!O160</f>
        <v>-</v>
      </c>
      <c r="E160" s="202" t="str">
        <f t="shared" ca="1" si="23"/>
        <v>(abra o arquivo 'Referência 11-2024.xlsm)</v>
      </c>
      <c r="F160" s="203" t="str">
        <f ca="1">IF(RegimeExecucao="Global","",ORÇAMENTO.Unidade)</f>
        <v/>
      </c>
      <c r="G160" s="147" t="str">
        <f ca="1">IF(RegimeExecucao="Global","",ORÇAMENTO!T160)</f>
        <v/>
      </c>
      <c r="H160" s="147" t="str">
        <f ca="1">IF(RegimeExecucao="Global","",ORÇAMENTO!W160)</f>
        <v/>
      </c>
      <c r="I160" s="150">
        <f ca="1">ORÇAMENTO!X160</f>
        <v>0</v>
      </c>
      <c r="J160" s="423">
        <f ca="1">IF($A160="S",IF(CAIXA.Modo,BM.AFAnterior,BM.MEDAnterior),IF(AND(RegimeExecucao="Global",$I160&gt;0,COUNTIF($AB$13:$AM$13,BM.medicao-1)&gt;0),M160/$I160*100,0))</f>
        <v>0</v>
      </c>
      <c r="K160" s="147">
        <f t="shared" ca="1" si="24"/>
        <v>0</v>
      </c>
      <c r="L160" s="424">
        <f ca="1">IF($A160="S",IF(CAIXA.Modo,BM.AFAcumulado,BM.MEDAcumulado),IF(AND(RegimeExecucao="Global",$I160&gt;0,COUNTIF($AB$13:$AM$13,BM.medicao)&gt;0),O160/$I160*100,0))</f>
        <v>0</v>
      </c>
      <c r="M160" s="425">
        <f ca="1">IF($A160="S",VTOTALBM,IF($A160=0,0,ROUND(SomaAgrupBM,15-13*ORÇAMENTO!$AF$11)))</f>
        <v>0</v>
      </c>
      <c r="N160" s="426">
        <f t="shared" ca="1" si="25"/>
        <v>0</v>
      </c>
      <c r="O160" s="150">
        <f ca="1">IF($A160="S",VTOTALBM,IF($A160=0,0,ROUND(SomaAgrupBM,15-13*ORÇAMENTO!$AF$11)))</f>
        <v>0</v>
      </c>
      <c r="Q160" s="427"/>
      <c r="R160" s="428"/>
      <c r="T160" s="142" t="str">
        <f t="shared" ca="1" si="26"/>
        <v/>
      </c>
      <c r="U160" s="202" t="str">
        <f t="shared" ca="1" si="27"/>
        <v/>
      </c>
      <c r="V160" s="203" t="str">
        <f ca="1">IF(AND($W160&gt;0,RegimeExecucao="Unitário"),$F160,"")</f>
        <v/>
      </c>
      <c r="W160" s="629">
        <f ca="1">IF($Y160&gt;0,CHOOSE(MATCH(RegimeExecucao,{"Unitário","Global"},0),IF($A160="S",$Y160/$X160,""),($Y160/$X160)*100),0)</f>
        <v>0</v>
      </c>
      <c r="X160" s="429" t="str">
        <f ca="1">IF($Y160&gt;0,CHOOSE(MATCH(RegimeExecucao,{"Unitário","Global"},0),IF($A160="S",ROUND($H160,ORÇAMENTO!$AF$10),""),ROUND($I160,ORÇAMENTO!$AF$11)),"")</f>
        <v/>
      </c>
      <c r="Y160" s="429">
        <f t="shared" ca="1" si="28"/>
        <v>0</v>
      </c>
      <c r="Z160" s="656"/>
      <c r="AB160" s="427"/>
      <c r="AC160" s="594"/>
      <c r="AD160" s="594"/>
      <c r="AE160" s="594"/>
      <c r="AF160" s="594"/>
      <c r="AG160" s="594"/>
      <c r="AH160" s="594"/>
      <c r="AI160" s="594"/>
      <c r="AJ160" s="594"/>
      <c r="AK160" s="594"/>
      <c r="AL160" s="594"/>
      <c r="AM160" s="428"/>
      <c r="AO160">
        <f ca="1">IF($A160="S",IF(BM!$I160=0,0,CHOOSE(MATCH(RegimeExecucao,{"Global","Unitário"},0),ROUND(ROUND(BM.MEDAcumulado,15-13*BM!$A$9)/100*BM!$I160,15-13*ORÇAMENTO!$AF$11),ROUND(ROUND(BM.MEDAcumulado,15-13*BM!$A$9)*ROUND(BM!$H160,15-13*ORÇAMENTO!$AF$10),15-13*ORÇAMENTO!$AF$11))),IF($A160=0,0,ROUND(SomaAgrupBM,15-13*ORÇAMENTO!$AF$11)))</f>
        <v>0</v>
      </c>
    </row>
    <row r="161" spans="1:41" ht="13.8">
      <c r="A161" t="str">
        <f ca="1">ORÇAMENTO!C161</f>
        <v>S</v>
      </c>
      <c r="B161">
        <f ca="1">ORÇAMENTO!D161</f>
        <v>0</v>
      </c>
      <c r="C161" s="139" t="str">
        <f t="shared" ca="1" si="22"/>
        <v/>
      </c>
      <c r="D161" s="142" t="str">
        <f ca="1">ORÇAMENTO!O161</f>
        <v>-</v>
      </c>
      <c r="E161" s="202" t="str">
        <f t="shared" ca="1" si="23"/>
        <v>(abra o arquivo 'Referência 11-2024.xlsm)</v>
      </c>
      <c r="F161" s="203" t="str">
        <f ca="1">IF(RegimeExecucao="Global","",ORÇAMENTO.Unidade)</f>
        <v/>
      </c>
      <c r="G161" s="147" t="str">
        <f ca="1">IF(RegimeExecucao="Global","",ORÇAMENTO!T161)</f>
        <v/>
      </c>
      <c r="H161" s="147" t="str">
        <f ca="1">IF(RegimeExecucao="Global","",ORÇAMENTO!W161)</f>
        <v/>
      </c>
      <c r="I161" s="150">
        <f ca="1">ORÇAMENTO!X161</f>
        <v>0</v>
      </c>
      <c r="J161" s="423">
        <f ca="1">IF($A161="S",IF(CAIXA.Modo,BM.AFAnterior,BM.MEDAnterior),IF(AND(RegimeExecucao="Global",$I161&gt;0,COUNTIF($AB$13:$AM$13,BM.medicao-1)&gt;0),M161/$I161*100,0))</f>
        <v>0</v>
      </c>
      <c r="K161" s="147">
        <f t="shared" ca="1" si="24"/>
        <v>0</v>
      </c>
      <c r="L161" s="424">
        <f ca="1">IF($A161="S",IF(CAIXA.Modo,BM.AFAcumulado,BM.MEDAcumulado),IF(AND(RegimeExecucao="Global",$I161&gt;0,COUNTIF($AB$13:$AM$13,BM.medicao)&gt;0),O161/$I161*100,0))</f>
        <v>0</v>
      </c>
      <c r="M161" s="425">
        <f ca="1">IF($A161="S",VTOTALBM,IF($A161=0,0,ROUND(SomaAgrupBM,15-13*ORÇAMENTO!$AF$11)))</f>
        <v>0</v>
      </c>
      <c r="N161" s="426">
        <f t="shared" ca="1" si="25"/>
        <v>0</v>
      </c>
      <c r="O161" s="150">
        <f ca="1">IF($A161="S",VTOTALBM,IF($A161=0,0,ROUND(SomaAgrupBM,15-13*ORÇAMENTO!$AF$11)))</f>
        <v>0</v>
      </c>
      <c r="Q161" s="427"/>
      <c r="R161" s="428"/>
      <c r="T161" s="142" t="str">
        <f t="shared" ca="1" si="26"/>
        <v/>
      </c>
      <c r="U161" s="202" t="str">
        <f t="shared" ca="1" si="27"/>
        <v/>
      </c>
      <c r="V161" s="203" t="str">
        <f ca="1">IF(AND($W161&gt;0,RegimeExecucao="Unitário"),$F161,"")</f>
        <v/>
      </c>
      <c r="W161" s="629">
        <f ca="1">IF($Y161&gt;0,CHOOSE(MATCH(RegimeExecucao,{"Unitário","Global"},0),IF($A161="S",$Y161/$X161,""),($Y161/$X161)*100),0)</f>
        <v>0</v>
      </c>
      <c r="X161" s="429" t="str">
        <f ca="1">IF($Y161&gt;0,CHOOSE(MATCH(RegimeExecucao,{"Unitário","Global"},0),IF($A161="S",ROUND($H161,ORÇAMENTO!$AF$10),""),ROUND($I161,ORÇAMENTO!$AF$11)),"")</f>
        <v/>
      </c>
      <c r="Y161" s="429">
        <f t="shared" ca="1" si="28"/>
        <v>0</v>
      </c>
      <c r="Z161" s="656"/>
      <c r="AB161" s="427"/>
      <c r="AC161" s="594"/>
      <c r="AD161" s="594"/>
      <c r="AE161" s="594"/>
      <c r="AF161" s="594"/>
      <c r="AG161" s="594"/>
      <c r="AH161" s="594"/>
      <c r="AI161" s="594"/>
      <c r="AJ161" s="594"/>
      <c r="AK161" s="594"/>
      <c r="AL161" s="594"/>
      <c r="AM161" s="428"/>
      <c r="AO161">
        <f ca="1">IF($A161="S",IF(BM!$I161=0,0,CHOOSE(MATCH(RegimeExecucao,{"Global","Unitário"},0),ROUND(ROUND(BM.MEDAcumulado,15-13*BM!$A$9)/100*BM!$I161,15-13*ORÇAMENTO!$AF$11),ROUND(ROUND(BM.MEDAcumulado,15-13*BM!$A$9)*ROUND(BM!$H161,15-13*ORÇAMENTO!$AF$10),15-13*ORÇAMENTO!$AF$11))),IF($A161=0,0,ROUND(SomaAgrupBM,15-13*ORÇAMENTO!$AF$11)))</f>
        <v>0</v>
      </c>
    </row>
    <row r="162" spans="1:41" ht="13.8">
      <c r="A162" t="str">
        <f ca="1">ORÇAMENTO!C162</f>
        <v>S</v>
      </c>
      <c r="B162">
        <f ca="1">ORÇAMENTO!D162</f>
        <v>0</v>
      </c>
      <c r="C162" s="139" t="str">
        <f t="shared" ca="1" si="22"/>
        <v/>
      </c>
      <c r="D162" s="142" t="str">
        <f ca="1">ORÇAMENTO!O162</f>
        <v>-</v>
      </c>
      <c r="E162" s="202" t="str">
        <f t="shared" ca="1" si="23"/>
        <v>(abra o arquivo 'Referência 11-2024.xlsm)</v>
      </c>
      <c r="F162" s="203" t="str">
        <f ca="1">IF(RegimeExecucao="Global","",ORÇAMENTO.Unidade)</f>
        <v/>
      </c>
      <c r="G162" s="147" t="str">
        <f ca="1">IF(RegimeExecucao="Global","",ORÇAMENTO!T162)</f>
        <v/>
      </c>
      <c r="H162" s="147" t="str">
        <f ca="1">IF(RegimeExecucao="Global","",ORÇAMENTO!W162)</f>
        <v/>
      </c>
      <c r="I162" s="150">
        <f ca="1">ORÇAMENTO!X162</f>
        <v>0</v>
      </c>
      <c r="J162" s="423">
        <f ca="1">IF($A162="S",IF(CAIXA.Modo,BM.AFAnterior,BM.MEDAnterior),IF(AND(RegimeExecucao="Global",$I162&gt;0,COUNTIF($AB$13:$AM$13,BM.medicao-1)&gt;0),M162/$I162*100,0))</f>
        <v>0</v>
      </c>
      <c r="K162" s="147">
        <f t="shared" ca="1" si="24"/>
        <v>0</v>
      </c>
      <c r="L162" s="424">
        <f ca="1">IF($A162="S",IF(CAIXA.Modo,BM.AFAcumulado,BM.MEDAcumulado),IF(AND(RegimeExecucao="Global",$I162&gt;0,COUNTIF($AB$13:$AM$13,BM.medicao)&gt;0),O162/$I162*100,0))</f>
        <v>0</v>
      </c>
      <c r="M162" s="425">
        <f ca="1">IF($A162="S",VTOTALBM,IF($A162=0,0,ROUND(SomaAgrupBM,15-13*ORÇAMENTO!$AF$11)))</f>
        <v>0</v>
      </c>
      <c r="N162" s="426">
        <f t="shared" ca="1" si="25"/>
        <v>0</v>
      </c>
      <c r="O162" s="150">
        <f ca="1">IF($A162="S",VTOTALBM,IF($A162=0,0,ROUND(SomaAgrupBM,15-13*ORÇAMENTO!$AF$11)))</f>
        <v>0</v>
      </c>
      <c r="Q162" s="427"/>
      <c r="R162" s="428"/>
      <c r="T162" s="142" t="str">
        <f t="shared" ca="1" si="26"/>
        <v/>
      </c>
      <c r="U162" s="202" t="str">
        <f t="shared" ca="1" si="27"/>
        <v/>
      </c>
      <c r="V162" s="203" t="str">
        <f ca="1">IF(AND($W162&gt;0,RegimeExecucao="Unitário"),$F162,"")</f>
        <v/>
      </c>
      <c r="W162" s="629">
        <f ca="1">IF($Y162&gt;0,CHOOSE(MATCH(RegimeExecucao,{"Unitário","Global"},0),IF($A162="S",$Y162/$X162,""),($Y162/$X162)*100),0)</f>
        <v>0</v>
      </c>
      <c r="X162" s="429" t="str">
        <f ca="1">IF($Y162&gt;0,CHOOSE(MATCH(RegimeExecucao,{"Unitário","Global"},0),IF($A162="S",ROUND($H162,ORÇAMENTO!$AF$10),""),ROUND($I162,ORÇAMENTO!$AF$11)),"")</f>
        <v/>
      </c>
      <c r="Y162" s="429">
        <f t="shared" ca="1" si="28"/>
        <v>0</v>
      </c>
      <c r="Z162" s="656"/>
      <c r="AB162" s="427"/>
      <c r="AC162" s="594"/>
      <c r="AD162" s="594"/>
      <c r="AE162" s="594"/>
      <c r="AF162" s="594"/>
      <c r="AG162" s="594"/>
      <c r="AH162" s="594"/>
      <c r="AI162" s="594"/>
      <c r="AJ162" s="594"/>
      <c r="AK162" s="594"/>
      <c r="AL162" s="594"/>
      <c r="AM162" s="428"/>
      <c r="AO162">
        <f ca="1">IF($A162="S",IF(BM!$I162=0,0,CHOOSE(MATCH(RegimeExecucao,{"Global","Unitário"},0),ROUND(ROUND(BM.MEDAcumulado,15-13*BM!$A$9)/100*BM!$I162,15-13*ORÇAMENTO!$AF$11),ROUND(ROUND(BM.MEDAcumulado,15-13*BM!$A$9)*ROUND(BM!$H162,15-13*ORÇAMENTO!$AF$10),15-13*ORÇAMENTO!$AF$11))),IF($A162=0,0,ROUND(SomaAgrupBM,15-13*ORÇAMENTO!$AF$11)))</f>
        <v>0</v>
      </c>
    </row>
    <row r="163" spans="1:41" ht="13.8">
      <c r="A163" t="str">
        <f ca="1">ORÇAMENTO!C163</f>
        <v>S</v>
      </c>
      <c r="B163">
        <f ca="1">ORÇAMENTO!D163</f>
        <v>0</v>
      </c>
      <c r="C163" s="139" t="str">
        <f t="shared" ca="1" si="22"/>
        <v/>
      </c>
      <c r="D163" s="142" t="str">
        <f ca="1">ORÇAMENTO!O163</f>
        <v>-</v>
      </c>
      <c r="E163" s="202" t="str">
        <f t="shared" ca="1" si="23"/>
        <v>(abra o arquivo 'Referência 11-2024.xlsm)</v>
      </c>
      <c r="F163" s="203" t="str">
        <f ca="1">IF(RegimeExecucao="Global","",ORÇAMENTO.Unidade)</f>
        <v/>
      </c>
      <c r="G163" s="147" t="str">
        <f ca="1">IF(RegimeExecucao="Global","",ORÇAMENTO!T163)</f>
        <v/>
      </c>
      <c r="H163" s="147" t="str">
        <f ca="1">IF(RegimeExecucao="Global","",ORÇAMENTO!W163)</f>
        <v/>
      </c>
      <c r="I163" s="150">
        <f ca="1">ORÇAMENTO!X163</f>
        <v>0</v>
      </c>
      <c r="J163" s="423">
        <f ca="1">IF($A163="S",IF(CAIXA.Modo,BM.AFAnterior,BM.MEDAnterior),IF(AND(RegimeExecucao="Global",$I163&gt;0,COUNTIF($AB$13:$AM$13,BM.medicao-1)&gt;0),M163/$I163*100,0))</f>
        <v>0</v>
      </c>
      <c r="K163" s="147">
        <f t="shared" ca="1" si="24"/>
        <v>0</v>
      </c>
      <c r="L163" s="424">
        <f ca="1">IF($A163="S",IF(CAIXA.Modo,BM.AFAcumulado,BM.MEDAcumulado),IF(AND(RegimeExecucao="Global",$I163&gt;0,COUNTIF($AB$13:$AM$13,BM.medicao)&gt;0),O163/$I163*100,0))</f>
        <v>0</v>
      </c>
      <c r="M163" s="425">
        <f ca="1">IF($A163="S",VTOTALBM,IF($A163=0,0,ROUND(SomaAgrupBM,15-13*ORÇAMENTO!$AF$11)))</f>
        <v>0</v>
      </c>
      <c r="N163" s="426">
        <f t="shared" ca="1" si="25"/>
        <v>0</v>
      </c>
      <c r="O163" s="150">
        <f ca="1">IF($A163="S",VTOTALBM,IF($A163=0,0,ROUND(SomaAgrupBM,15-13*ORÇAMENTO!$AF$11)))</f>
        <v>0</v>
      </c>
      <c r="Q163" s="427"/>
      <c r="R163" s="428"/>
      <c r="T163" s="142" t="str">
        <f t="shared" ca="1" si="26"/>
        <v/>
      </c>
      <c r="U163" s="202" t="str">
        <f t="shared" ca="1" si="27"/>
        <v/>
      </c>
      <c r="V163" s="203" t="str">
        <f ca="1">IF(AND($W163&gt;0,RegimeExecucao="Unitário"),$F163,"")</f>
        <v/>
      </c>
      <c r="W163" s="629">
        <f ca="1">IF($Y163&gt;0,CHOOSE(MATCH(RegimeExecucao,{"Unitário","Global"},0),IF($A163="S",$Y163/$X163,""),($Y163/$X163)*100),0)</f>
        <v>0</v>
      </c>
      <c r="X163" s="429" t="str">
        <f ca="1">IF($Y163&gt;0,CHOOSE(MATCH(RegimeExecucao,{"Unitário","Global"},0),IF($A163="S",ROUND($H163,ORÇAMENTO!$AF$10),""),ROUND($I163,ORÇAMENTO!$AF$11)),"")</f>
        <v/>
      </c>
      <c r="Y163" s="429">
        <f t="shared" ca="1" si="28"/>
        <v>0</v>
      </c>
      <c r="Z163" s="656"/>
      <c r="AB163" s="427"/>
      <c r="AC163" s="594"/>
      <c r="AD163" s="594"/>
      <c r="AE163" s="594"/>
      <c r="AF163" s="594"/>
      <c r="AG163" s="594"/>
      <c r="AH163" s="594"/>
      <c r="AI163" s="594"/>
      <c r="AJ163" s="594"/>
      <c r="AK163" s="594"/>
      <c r="AL163" s="594"/>
      <c r="AM163" s="428"/>
      <c r="AO163">
        <f ca="1">IF($A163="S",IF(BM!$I163=0,0,CHOOSE(MATCH(RegimeExecucao,{"Global","Unitário"},0),ROUND(ROUND(BM.MEDAcumulado,15-13*BM!$A$9)/100*BM!$I163,15-13*ORÇAMENTO!$AF$11),ROUND(ROUND(BM.MEDAcumulado,15-13*BM!$A$9)*ROUND(BM!$H163,15-13*ORÇAMENTO!$AF$10),15-13*ORÇAMENTO!$AF$11))),IF($A163=0,0,ROUND(SomaAgrupBM,15-13*ORÇAMENTO!$AF$11)))</f>
        <v>0</v>
      </c>
    </row>
    <row r="164" spans="1:41" ht="13.8">
      <c r="A164" t="str">
        <f ca="1">ORÇAMENTO!C164</f>
        <v>S</v>
      </c>
      <c r="B164">
        <f ca="1">ORÇAMENTO!D164</f>
        <v>0</v>
      </c>
      <c r="C164" s="139" t="str">
        <f t="shared" ca="1" si="22"/>
        <v/>
      </c>
      <c r="D164" s="142" t="str">
        <f ca="1">ORÇAMENTO!O164</f>
        <v>-</v>
      </c>
      <c r="E164" s="202" t="str">
        <f t="shared" ca="1" si="23"/>
        <v>(abra o arquivo 'Referência 11-2024.xlsm)</v>
      </c>
      <c r="F164" s="203" t="str">
        <f ca="1">IF(RegimeExecucao="Global","",ORÇAMENTO.Unidade)</f>
        <v/>
      </c>
      <c r="G164" s="147" t="str">
        <f ca="1">IF(RegimeExecucao="Global","",ORÇAMENTO!T164)</f>
        <v/>
      </c>
      <c r="H164" s="147" t="str">
        <f ca="1">IF(RegimeExecucao="Global","",ORÇAMENTO!W164)</f>
        <v/>
      </c>
      <c r="I164" s="150">
        <f ca="1">ORÇAMENTO!X164</f>
        <v>0</v>
      </c>
      <c r="J164" s="423">
        <f ca="1">IF($A164="S",IF(CAIXA.Modo,BM.AFAnterior,BM.MEDAnterior),IF(AND(RegimeExecucao="Global",$I164&gt;0,COUNTIF($AB$13:$AM$13,BM.medicao-1)&gt;0),M164/$I164*100,0))</f>
        <v>0</v>
      </c>
      <c r="K164" s="147">
        <f t="shared" ca="1" si="24"/>
        <v>0</v>
      </c>
      <c r="L164" s="424">
        <f ca="1">IF($A164="S",IF(CAIXA.Modo,BM.AFAcumulado,BM.MEDAcumulado),IF(AND(RegimeExecucao="Global",$I164&gt;0,COUNTIF($AB$13:$AM$13,BM.medicao)&gt;0),O164/$I164*100,0))</f>
        <v>0</v>
      </c>
      <c r="M164" s="425">
        <f ca="1">IF($A164="S",VTOTALBM,IF($A164=0,0,ROUND(SomaAgrupBM,15-13*ORÇAMENTO!$AF$11)))</f>
        <v>0</v>
      </c>
      <c r="N164" s="426">
        <f t="shared" ca="1" si="25"/>
        <v>0</v>
      </c>
      <c r="O164" s="150">
        <f ca="1">IF($A164="S",VTOTALBM,IF($A164=0,0,ROUND(SomaAgrupBM,15-13*ORÇAMENTO!$AF$11)))</f>
        <v>0</v>
      </c>
      <c r="Q164" s="427"/>
      <c r="R164" s="428"/>
      <c r="T164" s="142" t="str">
        <f t="shared" ca="1" si="26"/>
        <v/>
      </c>
      <c r="U164" s="202" t="str">
        <f t="shared" ca="1" si="27"/>
        <v/>
      </c>
      <c r="V164" s="203" t="str">
        <f ca="1">IF(AND($W164&gt;0,RegimeExecucao="Unitário"),$F164,"")</f>
        <v/>
      </c>
      <c r="W164" s="629">
        <f ca="1">IF($Y164&gt;0,CHOOSE(MATCH(RegimeExecucao,{"Unitário","Global"},0),IF($A164="S",$Y164/$X164,""),($Y164/$X164)*100),0)</f>
        <v>0</v>
      </c>
      <c r="X164" s="429" t="str">
        <f ca="1">IF($Y164&gt;0,CHOOSE(MATCH(RegimeExecucao,{"Unitário","Global"},0),IF($A164="S",ROUND($H164,ORÇAMENTO!$AF$10),""),ROUND($I164,ORÇAMENTO!$AF$11)),"")</f>
        <v/>
      </c>
      <c r="Y164" s="429">
        <f t="shared" ca="1" si="28"/>
        <v>0</v>
      </c>
      <c r="Z164" s="656"/>
      <c r="AB164" s="427"/>
      <c r="AC164" s="594"/>
      <c r="AD164" s="594"/>
      <c r="AE164" s="594"/>
      <c r="AF164" s="594"/>
      <c r="AG164" s="594"/>
      <c r="AH164" s="594"/>
      <c r="AI164" s="594"/>
      <c r="AJ164" s="594"/>
      <c r="AK164" s="594"/>
      <c r="AL164" s="594"/>
      <c r="AM164" s="428"/>
      <c r="AO164">
        <f ca="1">IF($A164="S",IF(BM!$I164=0,0,CHOOSE(MATCH(RegimeExecucao,{"Global","Unitário"},0),ROUND(ROUND(BM.MEDAcumulado,15-13*BM!$A$9)/100*BM!$I164,15-13*ORÇAMENTO!$AF$11),ROUND(ROUND(BM.MEDAcumulado,15-13*BM!$A$9)*ROUND(BM!$H164,15-13*ORÇAMENTO!$AF$10),15-13*ORÇAMENTO!$AF$11))),IF($A164=0,0,ROUND(SomaAgrupBM,15-13*ORÇAMENTO!$AF$11)))</f>
        <v>0</v>
      </c>
    </row>
    <row r="165" spans="1:41" ht="13.8">
      <c r="A165" t="str">
        <f ca="1">ORÇAMENTO!C165</f>
        <v>S</v>
      </c>
      <c r="B165">
        <f ca="1">ORÇAMENTO!D165</f>
        <v>0</v>
      </c>
      <c r="C165" s="139" t="str">
        <f t="shared" ca="1" si="22"/>
        <v/>
      </c>
      <c r="D165" s="142" t="str">
        <f ca="1">ORÇAMENTO!O165</f>
        <v>-</v>
      </c>
      <c r="E165" s="202" t="str">
        <f t="shared" ca="1" si="23"/>
        <v>(abra o arquivo 'Referência 11-2024.xlsm)</v>
      </c>
      <c r="F165" s="203" t="str">
        <f ca="1">IF(RegimeExecucao="Global","",ORÇAMENTO.Unidade)</f>
        <v/>
      </c>
      <c r="G165" s="147" t="str">
        <f ca="1">IF(RegimeExecucao="Global","",ORÇAMENTO!T165)</f>
        <v/>
      </c>
      <c r="H165" s="147" t="str">
        <f ca="1">IF(RegimeExecucao="Global","",ORÇAMENTO!W165)</f>
        <v/>
      </c>
      <c r="I165" s="150">
        <f ca="1">ORÇAMENTO!X165</f>
        <v>0</v>
      </c>
      <c r="J165" s="423">
        <f ca="1">IF($A165="S",IF(CAIXA.Modo,BM.AFAnterior,BM.MEDAnterior),IF(AND(RegimeExecucao="Global",$I165&gt;0,COUNTIF($AB$13:$AM$13,BM.medicao-1)&gt;0),M165/$I165*100,0))</f>
        <v>0</v>
      </c>
      <c r="K165" s="147">
        <f t="shared" ca="1" si="24"/>
        <v>0</v>
      </c>
      <c r="L165" s="424">
        <f ca="1">IF($A165="S",IF(CAIXA.Modo,BM.AFAcumulado,BM.MEDAcumulado),IF(AND(RegimeExecucao="Global",$I165&gt;0,COUNTIF($AB$13:$AM$13,BM.medicao)&gt;0),O165/$I165*100,0))</f>
        <v>0</v>
      </c>
      <c r="M165" s="425">
        <f ca="1">IF($A165="S",VTOTALBM,IF($A165=0,0,ROUND(SomaAgrupBM,15-13*ORÇAMENTO!$AF$11)))</f>
        <v>0</v>
      </c>
      <c r="N165" s="426">
        <f t="shared" ca="1" si="25"/>
        <v>0</v>
      </c>
      <c r="O165" s="150">
        <f ca="1">IF($A165="S",VTOTALBM,IF($A165=0,0,ROUND(SomaAgrupBM,15-13*ORÇAMENTO!$AF$11)))</f>
        <v>0</v>
      </c>
      <c r="Q165" s="427"/>
      <c r="R165" s="428"/>
      <c r="T165" s="142" t="str">
        <f t="shared" ca="1" si="26"/>
        <v/>
      </c>
      <c r="U165" s="202" t="str">
        <f t="shared" ca="1" si="27"/>
        <v/>
      </c>
      <c r="V165" s="203" t="str">
        <f ca="1">IF(AND($W165&gt;0,RegimeExecucao="Unitário"),$F165,"")</f>
        <v/>
      </c>
      <c r="W165" s="629">
        <f ca="1">IF($Y165&gt;0,CHOOSE(MATCH(RegimeExecucao,{"Unitário","Global"},0),IF($A165="S",$Y165/$X165,""),($Y165/$X165)*100),0)</f>
        <v>0</v>
      </c>
      <c r="X165" s="429" t="str">
        <f ca="1">IF($Y165&gt;0,CHOOSE(MATCH(RegimeExecucao,{"Unitário","Global"},0),IF($A165="S",ROUND($H165,ORÇAMENTO!$AF$10),""),ROUND($I165,ORÇAMENTO!$AF$11)),"")</f>
        <v/>
      </c>
      <c r="Y165" s="429">
        <f t="shared" ca="1" si="28"/>
        <v>0</v>
      </c>
      <c r="Z165" s="656"/>
      <c r="AB165" s="427"/>
      <c r="AC165" s="594"/>
      <c r="AD165" s="594"/>
      <c r="AE165" s="594"/>
      <c r="AF165" s="594"/>
      <c r="AG165" s="594"/>
      <c r="AH165" s="594"/>
      <c r="AI165" s="594"/>
      <c r="AJ165" s="594"/>
      <c r="AK165" s="594"/>
      <c r="AL165" s="594"/>
      <c r="AM165" s="428"/>
      <c r="AO165">
        <f ca="1">IF($A165="S",IF(BM!$I165=0,0,CHOOSE(MATCH(RegimeExecucao,{"Global","Unitário"},0),ROUND(ROUND(BM.MEDAcumulado,15-13*BM!$A$9)/100*BM!$I165,15-13*ORÇAMENTO!$AF$11),ROUND(ROUND(BM.MEDAcumulado,15-13*BM!$A$9)*ROUND(BM!$H165,15-13*ORÇAMENTO!$AF$10),15-13*ORÇAMENTO!$AF$11))),IF($A165=0,0,ROUND(SomaAgrupBM,15-13*ORÇAMENTO!$AF$11)))</f>
        <v>0</v>
      </c>
    </row>
    <row r="166" spans="1:41" ht="13.8">
      <c r="A166" t="str">
        <f ca="1">ORÇAMENTO!C166</f>
        <v>S</v>
      </c>
      <c r="B166">
        <f ca="1">ORÇAMENTO!D166</f>
        <v>0</v>
      </c>
      <c r="C166" s="139" t="str">
        <f t="shared" ca="1" si="22"/>
        <v/>
      </c>
      <c r="D166" s="142" t="str">
        <f ca="1">ORÇAMENTO!O166</f>
        <v>-</v>
      </c>
      <c r="E166" s="202" t="str">
        <f t="shared" ca="1" si="23"/>
        <v>(abra o arquivo 'Referência 11-2024.xlsm)</v>
      </c>
      <c r="F166" s="203" t="str">
        <f ca="1">IF(RegimeExecucao="Global","",ORÇAMENTO.Unidade)</f>
        <v/>
      </c>
      <c r="G166" s="147" t="str">
        <f ca="1">IF(RegimeExecucao="Global","",ORÇAMENTO!T166)</f>
        <v/>
      </c>
      <c r="H166" s="147" t="str">
        <f ca="1">IF(RegimeExecucao="Global","",ORÇAMENTO!W166)</f>
        <v/>
      </c>
      <c r="I166" s="150">
        <f ca="1">ORÇAMENTO!X166</f>
        <v>0</v>
      </c>
      <c r="J166" s="423">
        <f ca="1">IF($A166="S",IF(CAIXA.Modo,BM.AFAnterior,BM.MEDAnterior),IF(AND(RegimeExecucao="Global",$I166&gt;0,COUNTIF($AB$13:$AM$13,BM.medicao-1)&gt;0),M166/$I166*100,0))</f>
        <v>0</v>
      </c>
      <c r="K166" s="147">
        <f t="shared" ca="1" si="24"/>
        <v>0</v>
      </c>
      <c r="L166" s="424">
        <f ca="1">IF($A166="S",IF(CAIXA.Modo,BM.AFAcumulado,BM.MEDAcumulado),IF(AND(RegimeExecucao="Global",$I166&gt;0,COUNTIF($AB$13:$AM$13,BM.medicao)&gt;0),O166/$I166*100,0))</f>
        <v>0</v>
      </c>
      <c r="M166" s="425">
        <f ca="1">IF($A166="S",VTOTALBM,IF($A166=0,0,ROUND(SomaAgrupBM,15-13*ORÇAMENTO!$AF$11)))</f>
        <v>0</v>
      </c>
      <c r="N166" s="426">
        <f t="shared" ca="1" si="25"/>
        <v>0</v>
      </c>
      <c r="O166" s="150">
        <f ca="1">IF($A166="S",VTOTALBM,IF($A166=0,0,ROUND(SomaAgrupBM,15-13*ORÇAMENTO!$AF$11)))</f>
        <v>0</v>
      </c>
      <c r="Q166" s="427"/>
      <c r="R166" s="428"/>
      <c r="T166" s="142" t="str">
        <f t="shared" ca="1" si="26"/>
        <v/>
      </c>
      <c r="U166" s="202" t="str">
        <f t="shared" ca="1" si="27"/>
        <v/>
      </c>
      <c r="V166" s="203" t="str">
        <f ca="1">IF(AND($W166&gt;0,RegimeExecucao="Unitário"),$F166,"")</f>
        <v/>
      </c>
      <c r="W166" s="629">
        <f ca="1">IF($Y166&gt;0,CHOOSE(MATCH(RegimeExecucao,{"Unitário","Global"},0),IF($A166="S",$Y166/$X166,""),($Y166/$X166)*100),0)</f>
        <v>0</v>
      </c>
      <c r="X166" s="429" t="str">
        <f ca="1">IF($Y166&gt;0,CHOOSE(MATCH(RegimeExecucao,{"Unitário","Global"},0),IF($A166="S",ROUND($H166,ORÇAMENTO!$AF$10),""),ROUND($I166,ORÇAMENTO!$AF$11)),"")</f>
        <v/>
      </c>
      <c r="Y166" s="429">
        <f t="shared" ca="1" si="28"/>
        <v>0</v>
      </c>
      <c r="Z166" s="656"/>
      <c r="AB166" s="427"/>
      <c r="AC166" s="594"/>
      <c r="AD166" s="594"/>
      <c r="AE166" s="594"/>
      <c r="AF166" s="594"/>
      <c r="AG166" s="594"/>
      <c r="AH166" s="594"/>
      <c r="AI166" s="594"/>
      <c r="AJ166" s="594"/>
      <c r="AK166" s="594"/>
      <c r="AL166" s="594"/>
      <c r="AM166" s="428"/>
      <c r="AO166">
        <f ca="1">IF($A166="S",IF(BM!$I166=0,0,CHOOSE(MATCH(RegimeExecucao,{"Global","Unitário"},0),ROUND(ROUND(BM.MEDAcumulado,15-13*BM!$A$9)/100*BM!$I166,15-13*ORÇAMENTO!$AF$11),ROUND(ROUND(BM.MEDAcumulado,15-13*BM!$A$9)*ROUND(BM!$H166,15-13*ORÇAMENTO!$AF$10),15-13*ORÇAMENTO!$AF$11))),IF($A166=0,0,ROUND(SomaAgrupBM,15-13*ORÇAMENTO!$AF$11)))</f>
        <v>0</v>
      </c>
    </row>
    <row r="167" spans="1:41" ht="13.8">
      <c r="A167" t="str">
        <f ca="1">ORÇAMENTO!C167</f>
        <v>S</v>
      </c>
      <c r="B167">
        <f ca="1">ORÇAMENTO!D167</f>
        <v>0</v>
      </c>
      <c r="C167" s="139" t="str">
        <f t="shared" ca="1" si="22"/>
        <v/>
      </c>
      <c r="D167" s="142" t="str">
        <f ca="1">ORÇAMENTO!O167</f>
        <v>-</v>
      </c>
      <c r="E167" s="202" t="str">
        <f t="shared" ca="1" si="23"/>
        <v>(abra o arquivo 'Referência 11-2024.xlsm)</v>
      </c>
      <c r="F167" s="203" t="str">
        <f ca="1">IF(RegimeExecucao="Global","",ORÇAMENTO.Unidade)</f>
        <v/>
      </c>
      <c r="G167" s="147" t="str">
        <f ca="1">IF(RegimeExecucao="Global","",ORÇAMENTO!T167)</f>
        <v/>
      </c>
      <c r="H167" s="147" t="str">
        <f ca="1">IF(RegimeExecucao="Global","",ORÇAMENTO!W167)</f>
        <v/>
      </c>
      <c r="I167" s="150">
        <f ca="1">ORÇAMENTO!X167</f>
        <v>0</v>
      </c>
      <c r="J167" s="423">
        <f ca="1">IF($A167="S",IF(CAIXA.Modo,BM.AFAnterior,BM.MEDAnterior),IF(AND(RegimeExecucao="Global",$I167&gt;0,COUNTIF($AB$13:$AM$13,BM.medicao-1)&gt;0),M167/$I167*100,0))</f>
        <v>0</v>
      </c>
      <c r="K167" s="147">
        <f t="shared" ca="1" si="24"/>
        <v>0</v>
      </c>
      <c r="L167" s="424">
        <f ca="1">IF($A167="S",IF(CAIXA.Modo,BM.AFAcumulado,BM.MEDAcumulado),IF(AND(RegimeExecucao="Global",$I167&gt;0,COUNTIF($AB$13:$AM$13,BM.medicao)&gt;0),O167/$I167*100,0))</f>
        <v>0</v>
      </c>
      <c r="M167" s="425">
        <f ca="1">IF($A167="S",VTOTALBM,IF($A167=0,0,ROUND(SomaAgrupBM,15-13*ORÇAMENTO!$AF$11)))</f>
        <v>0</v>
      </c>
      <c r="N167" s="426">
        <f t="shared" ca="1" si="25"/>
        <v>0</v>
      </c>
      <c r="O167" s="150">
        <f ca="1">IF($A167="S",VTOTALBM,IF($A167=0,0,ROUND(SomaAgrupBM,15-13*ORÇAMENTO!$AF$11)))</f>
        <v>0</v>
      </c>
      <c r="Q167" s="427"/>
      <c r="R167" s="428"/>
      <c r="T167" s="142" t="str">
        <f t="shared" ca="1" si="26"/>
        <v/>
      </c>
      <c r="U167" s="202" t="str">
        <f t="shared" ca="1" si="27"/>
        <v/>
      </c>
      <c r="V167" s="203" t="str">
        <f ca="1">IF(AND($W167&gt;0,RegimeExecucao="Unitário"),$F167,"")</f>
        <v/>
      </c>
      <c r="W167" s="629">
        <f ca="1">IF($Y167&gt;0,CHOOSE(MATCH(RegimeExecucao,{"Unitário","Global"},0),IF($A167="S",$Y167/$X167,""),($Y167/$X167)*100),0)</f>
        <v>0</v>
      </c>
      <c r="X167" s="429" t="str">
        <f ca="1">IF($Y167&gt;0,CHOOSE(MATCH(RegimeExecucao,{"Unitário","Global"},0),IF($A167="S",ROUND($H167,ORÇAMENTO!$AF$10),""),ROUND($I167,ORÇAMENTO!$AF$11)),"")</f>
        <v/>
      </c>
      <c r="Y167" s="429">
        <f t="shared" ca="1" si="28"/>
        <v>0</v>
      </c>
      <c r="Z167" s="656"/>
      <c r="AB167" s="427"/>
      <c r="AC167" s="594"/>
      <c r="AD167" s="594"/>
      <c r="AE167" s="594"/>
      <c r="AF167" s="594"/>
      <c r="AG167" s="594"/>
      <c r="AH167" s="594"/>
      <c r="AI167" s="594"/>
      <c r="AJ167" s="594"/>
      <c r="AK167" s="594"/>
      <c r="AL167" s="594"/>
      <c r="AM167" s="428"/>
      <c r="AO167">
        <f ca="1">IF($A167="S",IF(BM!$I167=0,0,CHOOSE(MATCH(RegimeExecucao,{"Global","Unitário"},0),ROUND(ROUND(BM.MEDAcumulado,15-13*BM!$A$9)/100*BM!$I167,15-13*ORÇAMENTO!$AF$11),ROUND(ROUND(BM.MEDAcumulado,15-13*BM!$A$9)*ROUND(BM!$H167,15-13*ORÇAMENTO!$AF$10),15-13*ORÇAMENTO!$AF$11))),IF($A167=0,0,ROUND(SomaAgrupBM,15-13*ORÇAMENTO!$AF$11)))</f>
        <v>0</v>
      </c>
    </row>
    <row r="168" spans="1:41" ht="13.8">
      <c r="A168" t="str">
        <f ca="1">ORÇAMENTO!C168</f>
        <v>S</v>
      </c>
      <c r="B168">
        <f ca="1">ORÇAMENTO!D168</f>
        <v>0</v>
      </c>
      <c r="C168" s="139" t="str">
        <f t="shared" ca="1" si="22"/>
        <v/>
      </c>
      <c r="D168" s="142" t="str">
        <f ca="1">ORÇAMENTO!O168</f>
        <v>-</v>
      </c>
      <c r="E168" s="202" t="str">
        <f t="shared" ca="1" si="23"/>
        <v>(abra o arquivo 'Referência 11-2024.xlsm)</v>
      </c>
      <c r="F168" s="203" t="str">
        <f ca="1">IF(RegimeExecucao="Global","",ORÇAMENTO.Unidade)</f>
        <v/>
      </c>
      <c r="G168" s="147" t="str">
        <f ca="1">IF(RegimeExecucao="Global","",ORÇAMENTO!T168)</f>
        <v/>
      </c>
      <c r="H168" s="147" t="str">
        <f ca="1">IF(RegimeExecucao="Global","",ORÇAMENTO!W168)</f>
        <v/>
      </c>
      <c r="I168" s="150">
        <f ca="1">ORÇAMENTO!X168</f>
        <v>0</v>
      </c>
      <c r="J168" s="423">
        <f ca="1">IF($A168="S",IF(CAIXA.Modo,BM.AFAnterior,BM.MEDAnterior),IF(AND(RegimeExecucao="Global",$I168&gt;0,COUNTIF($AB$13:$AM$13,BM.medicao-1)&gt;0),M168/$I168*100,0))</f>
        <v>0</v>
      </c>
      <c r="K168" s="147">
        <f t="shared" ca="1" si="24"/>
        <v>0</v>
      </c>
      <c r="L168" s="424">
        <f ca="1">IF($A168="S",IF(CAIXA.Modo,BM.AFAcumulado,BM.MEDAcumulado),IF(AND(RegimeExecucao="Global",$I168&gt;0,COUNTIF($AB$13:$AM$13,BM.medicao)&gt;0),O168/$I168*100,0))</f>
        <v>0</v>
      </c>
      <c r="M168" s="425">
        <f ca="1">IF($A168="S",VTOTALBM,IF($A168=0,0,ROUND(SomaAgrupBM,15-13*ORÇAMENTO!$AF$11)))</f>
        <v>0</v>
      </c>
      <c r="N168" s="426">
        <f t="shared" ca="1" si="25"/>
        <v>0</v>
      </c>
      <c r="O168" s="150">
        <f ca="1">IF($A168="S",VTOTALBM,IF($A168=0,0,ROUND(SomaAgrupBM,15-13*ORÇAMENTO!$AF$11)))</f>
        <v>0</v>
      </c>
      <c r="Q168" s="427"/>
      <c r="R168" s="428"/>
      <c r="T168" s="142" t="str">
        <f t="shared" ca="1" si="26"/>
        <v/>
      </c>
      <c r="U168" s="202" t="str">
        <f t="shared" ca="1" si="27"/>
        <v/>
      </c>
      <c r="V168" s="203" t="str">
        <f ca="1">IF(AND($W168&gt;0,RegimeExecucao="Unitário"),$F168,"")</f>
        <v/>
      </c>
      <c r="W168" s="629">
        <f ca="1">IF($Y168&gt;0,CHOOSE(MATCH(RegimeExecucao,{"Unitário","Global"},0),IF($A168="S",$Y168/$X168,""),($Y168/$X168)*100),0)</f>
        <v>0</v>
      </c>
      <c r="X168" s="429" t="str">
        <f ca="1">IF($Y168&gt;0,CHOOSE(MATCH(RegimeExecucao,{"Unitário","Global"},0),IF($A168="S",ROUND($H168,ORÇAMENTO!$AF$10),""),ROUND($I168,ORÇAMENTO!$AF$11)),"")</f>
        <v/>
      </c>
      <c r="Y168" s="429">
        <f t="shared" ca="1" si="28"/>
        <v>0</v>
      </c>
      <c r="Z168" s="656"/>
      <c r="AB168" s="427"/>
      <c r="AC168" s="594"/>
      <c r="AD168" s="594"/>
      <c r="AE168" s="594"/>
      <c r="AF168" s="594"/>
      <c r="AG168" s="594"/>
      <c r="AH168" s="594"/>
      <c r="AI168" s="594"/>
      <c r="AJ168" s="594"/>
      <c r="AK168" s="594"/>
      <c r="AL168" s="594"/>
      <c r="AM168" s="428"/>
      <c r="AO168">
        <f ca="1">IF($A168="S",IF(BM!$I168=0,0,CHOOSE(MATCH(RegimeExecucao,{"Global","Unitário"},0),ROUND(ROUND(BM.MEDAcumulado,15-13*BM!$A$9)/100*BM!$I168,15-13*ORÇAMENTO!$AF$11),ROUND(ROUND(BM.MEDAcumulado,15-13*BM!$A$9)*ROUND(BM!$H168,15-13*ORÇAMENTO!$AF$10),15-13*ORÇAMENTO!$AF$11))),IF($A168=0,0,ROUND(SomaAgrupBM,15-13*ORÇAMENTO!$AF$11)))</f>
        <v>0</v>
      </c>
    </row>
    <row r="169" spans="1:41" ht="13.8">
      <c r="A169" t="str">
        <f ca="1">ORÇAMENTO!C169</f>
        <v>S</v>
      </c>
      <c r="B169">
        <f ca="1">ORÇAMENTO!D169</f>
        <v>0</v>
      </c>
      <c r="C169" s="139" t="str">
        <f t="shared" ca="1" si="22"/>
        <v/>
      </c>
      <c r="D169" s="142" t="str">
        <f ca="1">ORÇAMENTO!O169</f>
        <v>-</v>
      </c>
      <c r="E169" s="202" t="str">
        <f t="shared" ca="1" si="23"/>
        <v>(abra o arquivo 'Referência 11-2024.xlsm)</v>
      </c>
      <c r="F169" s="203" t="str">
        <f ca="1">IF(RegimeExecucao="Global","",ORÇAMENTO.Unidade)</f>
        <v/>
      </c>
      <c r="G169" s="147" t="str">
        <f ca="1">IF(RegimeExecucao="Global","",ORÇAMENTO!T169)</f>
        <v/>
      </c>
      <c r="H169" s="147" t="str">
        <f ca="1">IF(RegimeExecucao="Global","",ORÇAMENTO!W169)</f>
        <v/>
      </c>
      <c r="I169" s="150">
        <f ca="1">ORÇAMENTO!X169</f>
        <v>0</v>
      </c>
      <c r="J169" s="423">
        <f ca="1">IF($A169="S",IF(CAIXA.Modo,BM.AFAnterior,BM.MEDAnterior),IF(AND(RegimeExecucao="Global",$I169&gt;0,COUNTIF($AB$13:$AM$13,BM.medicao-1)&gt;0),M169/$I169*100,0))</f>
        <v>0</v>
      </c>
      <c r="K169" s="147">
        <f t="shared" ca="1" si="24"/>
        <v>0</v>
      </c>
      <c r="L169" s="424">
        <f ca="1">IF($A169="S",IF(CAIXA.Modo,BM.AFAcumulado,BM.MEDAcumulado),IF(AND(RegimeExecucao="Global",$I169&gt;0,COUNTIF($AB$13:$AM$13,BM.medicao)&gt;0),O169/$I169*100,0))</f>
        <v>0</v>
      </c>
      <c r="M169" s="425">
        <f ca="1">IF($A169="S",VTOTALBM,IF($A169=0,0,ROUND(SomaAgrupBM,15-13*ORÇAMENTO!$AF$11)))</f>
        <v>0</v>
      </c>
      <c r="N169" s="426">
        <f t="shared" ca="1" si="25"/>
        <v>0</v>
      </c>
      <c r="O169" s="150">
        <f ca="1">IF($A169="S",VTOTALBM,IF($A169=0,0,ROUND(SomaAgrupBM,15-13*ORÇAMENTO!$AF$11)))</f>
        <v>0</v>
      </c>
      <c r="Q169" s="427"/>
      <c r="R169" s="428"/>
      <c r="T169" s="142" t="str">
        <f t="shared" ca="1" si="26"/>
        <v/>
      </c>
      <c r="U169" s="202" t="str">
        <f t="shared" ca="1" si="27"/>
        <v/>
      </c>
      <c r="V169" s="203" t="str">
        <f ca="1">IF(AND($W169&gt;0,RegimeExecucao="Unitário"),$F169,"")</f>
        <v/>
      </c>
      <c r="W169" s="629">
        <f ca="1">IF($Y169&gt;0,CHOOSE(MATCH(RegimeExecucao,{"Unitário","Global"},0),IF($A169="S",$Y169/$X169,""),($Y169/$X169)*100),0)</f>
        <v>0</v>
      </c>
      <c r="X169" s="429" t="str">
        <f ca="1">IF($Y169&gt;0,CHOOSE(MATCH(RegimeExecucao,{"Unitário","Global"},0),IF($A169="S",ROUND($H169,ORÇAMENTO!$AF$10),""),ROUND($I169,ORÇAMENTO!$AF$11)),"")</f>
        <v/>
      </c>
      <c r="Y169" s="429">
        <f t="shared" ca="1" si="28"/>
        <v>0</v>
      </c>
      <c r="Z169" s="656"/>
      <c r="AB169" s="427"/>
      <c r="AC169" s="594"/>
      <c r="AD169" s="594"/>
      <c r="AE169" s="594"/>
      <c r="AF169" s="594"/>
      <c r="AG169" s="594"/>
      <c r="AH169" s="594"/>
      <c r="AI169" s="594"/>
      <c r="AJ169" s="594"/>
      <c r="AK169" s="594"/>
      <c r="AL169" s="594"/>
      <c r="AM169" s="428"/>
      <c r="AO169">
        <f ca="1">IF($A169="S",IF(BM!$I169=0,0,CHOOSE(MATCH(RegimeExecucao,{"Global","Unitário"},0),ROUND(ROUND(BM.MEDAcumulado,15-13*BM!$A$9)/100*BM!$I169,15-13*ORÇAMENTO!$AF$11),ROUND(ROUND(BM.MEDAcumulado,15-13*BM!$A$9)*ROUND(BM!$H169,15-13*ORÇAMENTO!$AF$10),15-13*ORÇAMENTO!$AF$11))),IF($A169=0,0,ROUND(SomaAgrupBM,15-13*ORÇAMENTO!$AF$11)))</f>
        <v>0</v>
      </c>
    </row>
    <row r="170" spans="1:41" ht="13.8">
      <c r="A170" t="str">
        <f ca="1">ORÇAMENTO!C170</f>
        <v>S</v>
      </c>
      <c r="B170">
        <f ca="1">ORÇAMENTO!D170</f>
        <v>0</v>
      </c>
      <c r="C170" s="139" t="str">
        <f t="shared" ca="1" si="22"/>
        <v/>
      </c>
      <c r="D170" s="142" t="str">
        <f ca="1">ORÇAMENTO!O170</f>
        <v>-</v>
      </c>
      <c r="E170" s="202" t="str">
        <f t="shared" ca="1" si="23"/>
        <v>(abra o arquivo 'Referência 11-2024.xlsm)</v>
      </c>
      <c r="F170" s="203" t="str">
        <f ca="1">IF(RegimeExecucao="Global","",ORÇAMENTO.Unidade)</f>
        <v/>
      </c>
      <c r="G170" s="147" t="str">
        <f ca="1">IF(RegimeExecucao="Global","",ORÇAMENTO!T170)</f>
        <v/>
      </c>
      <c r="H170" s="147" t="str">
        <f ca="1">IF(RegimeExecucao="Global","",ORÇAMENTO!W170)</f>
        <v/>
      </c>
      <c r="I170" s="150">
        <f ca="1">ORÇAMENTO!X170</f>
        <v>0</v>
      </c>
      <c r="J170" s="423">
        <f ca="1">IF($A170="S",IF(CAIXA.Modo,BM.AFAnterior,BM.MEDAnterior),IF(AND(RegimeExecucao="Global",$I170&gt;0,COUNTIF($AB$13:$AM$13,BM.medicao-1)&gt;0),M170/$I170*100,0))</f>
        <v>0</v>
      </c>
      <c r="K170" s="147">
        <f t="shared" ca="1" si="24"/>
        <v>0</v>
      </c>
      <c r="L170" s="424">
        <f ca="1">IF($A170="S",IF(CAIXA.Modo,BM.AFAcumulado,BM.MEDAcumulado),IF(AND(RegimeExecucao="Global",$I170&gt;0,COUNTIF($AB$13:$AM$13,BM.medicao)&gt;0),O170/$I170*100,0))</f>
        <v>0</v>
      </c>
      <c r="M170" s="425">
        <f ca="1">IF($A170="S",VTOTALBM,IF($A170=0,0,ROUND(SomaAgrupBM,15-13*ORÇAMENTO!$AF$11)))</f>
        <v>0</v>
      </c>
      <c r="N170" s="426">
        <f t="shared" ca="1" si="25"/>
        <v>0</v>
      </c>
      <c r="O170" s="150">
        <f ca="1">IF($A170="S",VTOTALBM,IF($A170=0,0,ROUND(SomaAgrupBM,15-13*ORÇAMENTO!$AF$11)))</f>
        <v>0</v>
      </c>
      <c r="Q170" s="427"/>
      <c r="R170" s="428"/>
      <c r="T170" s="142" t="str">
        <f t="shared" ca="1" si="26"/>
        <v/>
      </c>
      <c r="U170" s="202" t="str">
        <f t="shared" ca="1" si="27"/>
        <v/>
      </c>
      <c r="V170" s="203" t="str">
        <f ca="1">IF(AND($W170&gt;0,RegimeExecucao="Unitário"),$F170,"")</f>
        <v/>
      </c>
      <c r="W170" s="629">
        <f ca="1">IF($Y170&gt;0,CHOOSE(MATCH(RegimeExecucao,{"Unitário","Global"},0),IF($A170="S",$Y170/$X170,""),($Y170/$X170)*100),0)</f>
        <v>0</v>
      </c>
      <c r="X170" s="429" t="str">
        <f ca="1">IF($Y170&gt;0,CHOOSE(MATCH(RegimeExecucao,{"Unitário","Global"},0),IF($A170="S",ROUND($H170,ORÇAMENTO!$AF$10),""),ROUND($I170,ORÇAMENTO!$AF$11)),"")</f>
        <v/>
      </c>
      <c r="Y170" s="429">
        <f t="shared" ca="1" si="28"/>
        <v>0</v>
      </c>
      <c r="Z170" s="656"/>
      <c r="AB170" s="427"/>
      <c r="AC170" s="594"/>
      <c r="AD170" s="594"/>
      <c r="AE170" s="594"/>
      <c r="AF170" s="594"/>
      <c r="AG170" s="594"/>
      <c r="AH170" s="594"/>
      <c r="AI170" s="594"/>
      <c r="AJ170" s="594"/>
      <c r="AK170" s="594"/>
      <c r="AL170" s="594"/>
      <c r="AM170" s="428"/>
      <c r="AO170">
        <f ca="1">IF($A170="S",IF(BM!$I170=0,0,CHOOSE(MATCH(RegimeExecucao,{"Global","Unitário"},0),ROUND(ROUND(BM.MEDAcumulado,15-13*BM!$A$9)/100*BM!$I170,15-13*ORÇAMENTO!$AF$11),ROUND(ROUND(BM.MEDAcumulado,15-13*BM!$A$9)*ROUND(BM!$H170,15-13*ORÇAMENTO!$AF$10),15-13*ORÇAMENTO!$AF$11))),IF($A170=0,0,ROUND(SomaAgrupBM,15-13*ORÇAMENTO!$AF$11)))</f>
        <v>0</v>
      </c>
    </row>
    <row r="171" spans="1:41" ht="13.8">
      <c r="A171" t="str">
        <f ca="1">ORÇAMENTO!C171</f>
        <v>S</v>
      </c>
      <c r="B171">
        <f ca="1">ORÇAMENTO!D171</f>
        <v>0</v>
      </c>
      <c r="C171" s="139" t="str">
        <f t="shared" ca="1" si="22"/>
        <v/>
      </c>
      <c r="D171" s="142" t="str">
        <f ca="1">ORÇAMENTO!O171</f>
        <v>-</v>
      </c>
      <c r="E171" s="202" t="str">
        <f t="shared" ca="1" si="23"/>
        <v>(abra o arquivo 'Referência 11-2024.xlsm)</v>
      </c>
      <c r="F171" s="203" t="str">
        <f ca="1">IF(RegimeExecucao="Global","",ORÇAMENTO.Unidade)</f>
        <v/>
      </c>
      <c r="G171" s="147" t="str">
        <f ca="1">IF(RegimeExecucao="Global","",ORÇAMENTO!T171)</f>
        <v/>
      </c>
      <c r="H171" s="147" t="str">
        <f ca="1">IF(RegimeExecucao="Global","",ORÇAMENTO!W171)</f>
        <v/>
      </c>
      <c r="I171" s="150">
        <f ca="1">ORÇAMENTO!X171</f>
        <v>0</v>
      </c>
      <c r="J171" s="423">
        <f ca="1">IF($A171="S",IF(CAIXA.Modo,BM.AFAnterior,BM.MEDAnterior),IF(AND(RegimeExecucao="Global",$I171&gt;0,COUNTIF($AB$13:$AM$13,BM.medicao-1)&gt;0),M171/$I171*100,0))</f>
        <v>0</v>
      </c>
      <c r="K171" s="147">
        <f t="shared" ca="1" si="24"/>
        <v>0</v>
      </c>
      <c r="L171" s="424">
        <f ca="1">IF($A171="S",IF(CAIXA.Modo,BM.AFAcumulado,BM.MEDAcumulado),IF(AND(RegimeExecucao="Global",$I171&gt;0,COUNTIF($AB$13:$AM$13,BM.medicao)&gt;0),O171/$I171*100,0))</f>
        <v>0</v>
      </c>
      <c r="M171" s="425">
        <f ca="1">IF($A171="S",VTOTALBM,IF($A171=0,0,ROUND(SomaAgrupBM,15-13*ORÇAMENTO!$AF$11)))</f>
        <v>0</v>
      </c>
      <c r="N171" s="426">
        <f t="shared" ca="1" si="25"/>
        <v>0</v>
      </c>
      <c r="O171" s="150">
        <f ca="1">IF($A171="S",VTOTALBM,IF($A171=0,0,ROUND(SomaAgrupBM,15-13*ORÇAMENTO!$AF$11)))</f>
        <v>0</v>
      </c>
      <c r="Q171" s="427"/>
      <c r="R171" s="428"/>
      <c r="T171" s="142" t="str">
        <f t="shared" ca="1" si="26"/>
        <v/>
      </c>
      <c r="U171" s="202" t="str">
        <f t="shared" ca="1" si="27"/>
        <v/>
      </c>
      <c r="V171" s="203" t="str">
        <f ca="1">IF(AND($W171&gt;0,RegimeExecucao="Unitário"),$F171,"")</f>
        <v/>
      </c>
      <c r="W171" s="629">
        <f ca="1">IF($Y171&gt;0,CHOOSE(MATCH(RegimeExecucao,{"Unitário","Global"},0),IF($A171="S",$Y171/$X171,""),($Y171/$X171)*100),0)</f>
        <v>0</v>
      </c>
      <c r="X171" s="429" t="str">
        <f ca="1">IF($Y171&gt;0,CHOOSE(MATCH(RegimeExecucao,{"Unitário","Global"},0),IF($A171="S",ROUND($H171,ORÇAMENTO!$AF$10),""),ROUND($I171,ORÇAMENTO!$AF$11)),"")</f>
        <v/>
      </c>
      <c r="Y171" s="429">
        <f t="shared" ca="1" si="28"/>
        <v>0</v>
      </c>
      <c r="Z171" s="656"/>
      <c r="AB171" s="427"/>
      <c r="AC171" s="594"/>
      <c r="AD171" s="594"/>
      <c r="AE171" s="594"/>
      <c r="AF171" s="594"/>
      <c r="AG171" s="594"/>
      <c r="AH171" s="594"/>
      <c r="AI171" s="594"/>
      <c r="AJ171" s="594"/>
      <c r="AK171" s="594"/>
      <c r="AL171" s="594"/>
      <c r="AM171" s="428"/>
      <c r="AO171">
        <f ca="1">IF($A171="S",IF(BM!$I171=0,0,CHOOSE(MATCH(RegimeExecucao,{"Global","Unitário"},0),ROUND(ROUND(BM.MEDAcumulado,15-13*BM!$A$9)/100*BM!$I171,15-13*ORÇAMENTO!$AF$11),ROUND(ROUND(BM.MEDAcumulado,15-13*BM!$A$9)*ROUND(BM!$H171,15-13*ORÇAMENTO!$AF$10),15-13*ORÇAMENTO!$AF$11))),IF($A171=0,0,ROUND(SomaAgrupBM,15-13*ORÇAMENTO!$AF$11)))</f>
        <v>0</v>
      </c>
    </row>
    <row r="172" spans="1:41" ht="13.8">
      <c r="A172" t="str">
        <f ca="1">ORÇAMENTO!C172</f>
        <v>S</v>
      </c>
      <c r="B172">
        <f ca="1">ORÇAMENTO!D172</f>
        <v>0</v>
      </c>
      <c r="C172" s="139" t="str">
        <f t="shared" ca="1" si="22"/>
        <v/>
      </c>
      <c r="D172" s="142" t="str">
        <f ca="1">ORÇAMENTO!O172</f>
        <v>-</v>
      </c>
      <c r="E172" s="202" t="str">
        <f t="shared" ca="1" si="23"/>
        <v>(abra o arquivo 'Referência 11-2024.xlsm)</v>
      </c>
      <c r="F172" s="203" t="str">
        <f ca="1">IF(RegimeExecucao="Global","",ORÇAMENTO.Unidade)</f>
        <v/>
      </c>
      <c r="G172" s="147" t="str">
        <f ca="1">IF(RegimeExecucao="Global","",ORÇAMENTO!T172)</f>
        <v/>
      </c>
      <c r="H172" s="147" t="str">
        <f ca="1">IF(RegimeExecucao="Global","",ORÇAMENTO!W172)</f>
        <v/>
      </c>
      <c r="I172" s="150">
        <f ca="1">ORÇAMENTO!X172</f>
        <v>0</v>
      </c>
      <c r="J172" s="423">
        <f ca="1">IF($A172="S",IF(CAIXA.Modo,BM.AFAnterior,BM.MEDAnterior),IF(AND(RegimeExecucao="Global",$I172&gt;0,COUNTIF($AB$13:$AM$13,BM.medicao-1)&gt;0),M172/$I172*100,0))</f>
        <v>0</v>
      </c>
      <c r="K172" s="147">
        <f t="shared" ca="1" si="24"/>
        <v>0</v>
      </c>
      <c r="L172" s="424">
        <f ca="1">IF($A172="S",IF(CAIXA.Modo,BM.AFAcumulado,BM.MEDAcumulado),IF(AND(RegimeExecucao="Global",$I172&gt;0,COUNTIF($AB$13:$AM$13,BM.medicao)&gt;0),O172/$I172*100,0))</f>
        <v>0</v>
      </c>
      <c r="M172" s="425">
        <f ca="1">IF($A172="S",VTOTALBM,IF($A172=0,0,ROUND(SomaAgrupBM,15-13*ORÇAMENTO!$AF$11)))</f>
        <v>0</v>
      </c>
      <c r="N172" s="426">
        <f t="shared" ca="1" si="25"/>
        <v>0</v>
      </c>
      <c r="O172" s="150">
        <f ca="1">IF($A172="S",VTOTALBM,IF($A172=0,0,ROUND(SomaAgrupBM,15-13*ORÇAMENTO!$AF$11)))</f>
        <v>0</v>
      </c>
      <c r="Q172" s="427"/>
      <c r="R172" s="428"/>
      <c r="T172" s="142" t="str">
        <f t="shared" ca="1" si="26"/>
        <v/>
      </c>
      <c r="U172" s="202" t="str">
        <f t="shared" ca="1" si="27"/>
        <v/>
      </c>
      <c r="V172" s="203" t="str">
        <f ca="1">IF(AND($W172&gt;0,RegimeExecucao="Unitário"),$F172,"")</f>
        <v/>
      </c>
      <c r="W172" s="629">
        <f ca="1">IF($Y172&gt;0,CHOOSE(MATCH(RegimeExecucao,{"Unitário","Global"},0),IF($A172="S",$Y172/$X172,""),($Y172/$X172)*100),0)</f>
        <v>0</v>
      </c>
      <c r="X172" s="429" t="str">
        <f ca="1">IF($Y172&gt;0,CHOOSE(MATCH(RegimeExecucao,{"Unitário","Global"},0),IF($A172="S",ROUND($H172,ORÇAMENTO!$AF$10),""),ROUND($I172,ORÇAMENTO!$AF$11)),"")</f>
        <v/>
      </c>
      <c r="Y172" s="429">
        <f t="shared" ca="1" si="28"/>
        <v>0</v>
      </c>
      <c r="Z172" s="656"/>
      <c r="AB172" s="427"/>
      <c r="AC172" s="594"/>
      <c r="AD172" s="594"/>
      <c r="AE172" s="594"/>
      <c r="AF172" s="594"/>
      <c r="AG172" s="594"/>
      <c r="AH172" s="594"/>
      <c r="AI172" s="594"/>
      <c r="AJ172" s="594"/>
      <c r="AK172" s="594"/>
      <c r="AL172" s="594"/>
      <c r="AM172" s="428"/>
      <c r="AO172">
        <f ca="1">IF($A172="S",IF(BM!$I172=0,0,CHOOSE(MATCH(RegimeExecucao,{"Global","Unitário"},0),ROUND(ROUND(BM.MEDAcumulado,15-13*BM!$A$9)/100*BM!$I172,15-13*ORÇAMENTO!$AF$11),ROUND(ROUND(BM.MEDAcumulado,15-13*BM!$A$9)*ROUND(BM!$H172,15-13*ORÇAMENTO!$AF$10),15-13*ORÇAMENTO!$AF$11))),IF($A172=0,0,ROUND(SomaAgrupBM,15-13*ORÇAMENTO!$AF$11)))</f>
        <v>0</v>
      </c>
    </row>
    <row r="173" spans="1:41" ht="13.8">
      <c r="A173" t="str">
        <f ca="1">ORÇAMENTO!C173</f>
        <v>S</v>
      </c>
      <c r="B173">
        <f ca="1">ORÇAMENTO!D173</f>
        <v>0</v>
      </c>
      <c r="C173" s="139" t="str">
        <f t="shared" ca="1" si="22"/>
        <v/>
      </c>
      <c r="D173" s="142" t="str">
        <f ca="1">ORÇAMENTO!O173</f>
        <v>-</v>
      </c>
      <c r="E173" s="202" t="str">
        <f t="shared" ca="1" si="23"/>
        <v>(abra o arquivo 'Referência 11-2024.xlsm)</v>
      </c>
      <c r="F173" s="203" t="str">
        <f ca="1">IF(RegimeExecucao="Global","",ORÇAMENTO.Unidade)</f>
        <v/>
      </c>
      <c r="G173" s="147" t="str">
        <f ca="1">IF(RegimeExecucao="Global","",ORÇAMENTO!T173)</f>
        <v/>
      </c>
      <c r="H173" s="147" t="str">
        <f ca="1">IF(RegimeExecucao="Global","",ORÇAMENTO!W173)</f>
        <v/>
      </c>
      <c r="I173" s="150">
        <f ca="1">ORÇAMENTO!X173</f>
        <v>0</v>
      </c>
      <c r="J173" s="423">
        <f ca="1">IF($A173="S",IF(CAIXA.Modo,BM.AFAnterior,BM.MEDAnterior),IF(AND(RegimeExecucao="Global",$I173&gt;0,COUNTIF($AB$13:$AM$13,BM.medicao-1)&gt;0),M173/$I173*100,0))</f>
        <v>0</v>
      </c>
      <c r="K173" s="147">
        <f t="shared" ca="1" si="24"/>
        <v>0</v>
      </c>
      <c r="L173" s="424">
        <f ca="1">IF($A173="S",IF(CAIXA.Modo,BM.AFAcumulado,BM.MEDAcumulado),IF(AND(RegimeExecucao="Global",$I173&gt;0,COUNTIF($AB$13:$AM$13,BM.medicao)&gt;0),O173/$I173*100,0))</f>
        <v>0</v>
      </c>
      <c r="M173" s="425">
        <f ca="1">IF($A173="S",VTOTALBM,IF($A173=0,0,ROUND(SomaAgrupBM,15-13*ORÇAMENTO!$AF$11)))</f>
        <v>0</v>
      </c>
      <c r="N173" s="426">
        <f t="shared" ca="1" si="25"/>
        <v>0</v>
      </c>
      <c r="O173" s="150">
        <f ca="1">IF($A173="S",VTOTALBM,IF($A173=0,0,ROUND(SomaAgrupBM,15-13*ORÇAMENTO!$AF$11)))</f>
        <v>0</v>
      </c>
      <c r="Q173" s="427"/>
      <c r="R173" s="428"/>
      <c r="T173" s="142" t="str">
        <f t="shared" ca="1" si="26"/>
        <v/>
      </c>
      <c r="U173" s="202" t="str">
        <f t="shared" ca="1" si="27"/>
        <v/>
      </c>
      <c r="V173" s="203" t="str">
        <f ca="1">IF(AND($W173&gt;0,RegimeExecucao="Unitário"),$F173,"")</f>
        <v/>
      </c>
      <c r="W173" s="629">
        <f ca="1">IF($Y173&gt;0,CHOOSE(MATCH(RegimeExecucao,{"Unitário","Global"},0),IF($A173="S",$Y173/$X173,""),($Y173/$X173)*100),0)</f>
        <v>0</v>
      </c>
      <c r="X173" s="429" t="str">
        <f ca="1">IF($Y173&gt;0,CHOOSE(MATCH(RegimeExecucao,{"Unitário","Global"},0),IF($A173="S",ROUND($H173,ORÇAMENTO!$AF$10),""),ROUND($I173,ORÇAMENTO!$AF$11)),"")</f>
        <v/>
      </c>
      <c r="Y173" s="429">
        <f t="shared" ca="1" si="28"/>
        <v>0</v>
      </c>
      <c r="Z173" s="656"/>
      <c r="AB173" s="427"/>
      <c r="AC173" s="594"/>
      <c r="AD173" s="594"/>
      <c r="AE173" s="594"/>
      <c r="AF173" s="594"/>
      <c r="AG173" s="594"/>
      <c r="AH173" s="594"/>
      <c r="AI173" s="594"/>
      <c r="AJ173" s="594"/>
      <c r="AK173" s="594"/>
      <c r="AL173" s="594"/>
      <c r="AM173" s="428"/>
      <c r="AO173">
        <f ca="1">IF($A173="S",IF(BM!$I173=0,0,CHOOSE(MATCH(RegimeExecucao,{"Global","Unitário"},0),ROUND(ROUND(BM.MEDAcumulado,15-13*BM!$A$9)/100*BM!$I173,15-13*ORÇAMENTO!$AF$11),ROUND(ROUND(BM.MEDAcumulado,15-13*BM!$A$9)*ROUND(BM!$H173,15-13*ORÇAMENTO!$AF$10),15-13*ORÇAMENTO!$AF$11))),IF($A173=0,0,ROUND(SomaAgrupBM,15-13*ORÇAMENTO!$AF$11)))</f>
        <v>0</v>
      </c>
    </row>
    <row r="174" spans="1:41" ht="13.8">
      <c r="A174" t="str">
        <f ca="1">ORÇAMENTO!C174</f>
        <v>S</v>
      </c>
      <c r="B174">
        <f ca="1">ORÇAMENTO!D174</f>
        <v>0</v>
      </c>
      <c r="C174" s="139" t="str">
        <f t="shared" ca="1" si="22"/>
        <v/>
      </c>
      <c r="D174" s="142" t="str">
        <f ca="1">ORÇAMENTO!O174</f>
        <v>-</v>
      </c>
      <c r="E174" s="202" t="str">
        <f t="shared" ca="1" si="23"/>
        <v>(abra o arquivo 'Referência 11-2024.xlsm)</v>
      </c>
      <c r="F174" s="203" t="str">
        <f ca="1">IF(RegimeExecucao="Global","",ORÇAMENTO.Unidade)</f>
        <v/>
      </c>
      <c r="G174" s="147" t="str">
        <f ca="1">IF(RegimeExecucao="Global","",ORÇAMENTO!T174)</f>
        <v/>
      </c>
      <c r="H174" s="147" t="str">
        <f ca="1">IF(RegimeExecucao="Global","",ORÇAMENTO!W174)</f>
        <v/>
      </c>
      <c r="I174" s="150">
        <f ca="1">ORÇAMENTO!X174</f>
        <v>0</v>
      </c>
      <c r="J174" s="423">
        <f ca="1">IF($A174="S",IF(CAIXA.Modo,BM.AFAnterior,BM.MEDAnterior),IF(AND(RegimeExecucao="Global",$I174&gt;0,COUNTIF($AB$13:$AM$13,BM.medicao-1)&gt;0),M174/$I174*100,0))</f>
        <v>0</v>
      </c>
      <c r="K174" s="147">
        <f t="shared" ca="1" si="24"/>
        <v>0</v>
      </c>
      <c r="L174" s="424">
        <f ca="1">IF($A174="S",IF(CAIXA.Modo,BM.AFAcumulado,BM.MEDAcumulado),IF(AND(RegimeExecucao="Global",$I174&gt;0,COUNTIF($AB$13:$AM$13,BM.medicao)&gt;0),O174/$I174*100,0))</f>
        <v>0</v>
      </c>
      <c r="M174" s="425">
        <f ca="1">IF($A174="S",VTOTALBM,IF($A174=0,0,ROUND(SomaAgrupBM,15-13*ORÇAMENTO!$AF$11)))</f>
        <v>0</v>
      </c>
      <c r="N174" s="426">
        <f t="shared" ca="1" si="25"/>
        <v>0</v>
      </c>
      <c r="O174" s="150">
        <f ca="1">IF($A174="S",VTOTALBM,IF($A174=0,0,ROUND(SomaAgrupBM,15-13*ORÇAMENTO!$AF$11)))</f>
        <v>0</v>
      </c>
      <c r="Q174" s="427"/>
      <c r="R174" s="428"/>
      <c r="T174" s="142" t="str">
        <f t="shared" ca="1" si="26"/>
        <v/>
      </c>
      <c r="U174" s="202" t="str">
        <f t="shared" ca="1" si="27"/>
        <v/>
      </c>
      <c r="V174" s="203" t="str">
        <f ca="1">IF(AND($W174&gt;0,RegimeExecucao="Unitário"),$F174,"")</f>
        <v/>
      </c>
      <c r="W174" s="629">
        <f ca="1">IF($Y174&gt;0,CHOOSE(MATCH(RegimeExecucao,{"Unitário","Global"},0),IF($A174="S",$Y174/$X174,""),($Y174/$X174)*100),0)</f>
        <v>0</v>
      </c>
      <c r="X174" s="429" t="str">
        <f ca="1">IF($Y174&gt;0,CHOOSE(MATCH(RegimeExecucao,{"Unitário","Global"},0),IF($A174="S",ROUND($H174,ORÇAMENTO!$AF$10),""),ROUND($I174,ORÇAMENTO!$AF$11)),"")</f>
        <v/>
      </c>
      <c r="Y174" s="429">
        <f t="shared" ca="1" si="28"/>
        <v>0</v>
      </c>
      <c r="Z174" s="656"/>
      <c r="AB174" s="427"/>
      <c r="AC174" s="594"/>
      <c r="AD174" s="594"/>
      <c r="AE174" s="594"/>
      <c r="AF174" s="594"/>
      <c r="AG174" s="594"/>
      <c r="AH174" s="594"/>
      <c r="AI174" s="594"/>
      <c r="AJ174" s="594"/>
      <c r="AK174" s="594"/>
      <c r="AL174" s="594"/>
      <c r="AM174" s="428"/>
      <c r="AO174">
        <f ca="1">IF($A174="S",IF(BM!$I174=0,0,CHOOSE(MATCH(RegimeExecucao,{"Global","Unitário"},0),ROUND(ROUND(BM.MEDAcumulado,15-13*BM!$A$9)/100*BM!$I174,15-13*ORÇAMENTO!$AF$11),ROUND(ROUND(BM.MEDAcumulado,15-13*BM!$A$9)*ROUND(BM!$H174,15-13*ORÇAMENTO!$AF$10),15-13*ORÇAMENTO!$AF$11))),IF($A174=0,0,ROUND(SomaAgrupBM,15-13*ORÇAMENTO!$AF$11)))</f>
        <v>0</v>
      </c>
    </row>
    <row r="175" spans="1:41" ht="13.8">
      <c r="A175" t="str">
        <f ca="1">ORÇAMENTO!C175</f>
        <v>S</v>
      </c>
      <c r="B175">
        <f ca="1">ORÇAMENTO!D175</f>
        <v>0</v>
      </c>
      <c r="C175" s="139" t="str">
        <f t="shared" ca="1" si="22"/>
        <v/>
      </c>
      <c r="D175" s="142" t="str">
        <f ca="1">ORÇAMENTO!O175</f>
        <v>-</v>
      </c>
      <c r="E175" s="202" t="str">
        <f t="shared" ca="1" si="23"/>
        <v>(abra o arquivo 'Referência 11-2024.xlsm)</v>
      </c>
      <c r="F175" s="203" t="str">
        <f ca="1">IF(RegimeExecucao="Global","",ORÇAMENTO.Unidade)</f>
        <v/>
      </c>
      <c r="G175" s="147" t="str">
        <f ca="1">IF(RegimeExecucao="Global","",ORÇAMENTO!T175)</f>
        <v/>
      </c>
      <c r="H175" s="147" t="str">
        <f ca="1">IF(RegimeExecucao="Global","",ORÇAMENTO!W175)</f>
        <v/>
      </c>
      <c r="I175" s="150">
        <f ca="1">ORÇAMENTO!X175</f>
        <v>0</v>
      </c>
      <c r="J175" s="423">
        <f ca="1">IF($A175="S",IF(CAIXA.Modo,BM.AFAnterior,BM.MEDAnterior),IF(AND(RegimeExecucao="Global",$I175&gt;0,COUNTIF($AB$13:$AM$13,BM.medicao-1)&gt;0),M175/$I175*100,0))</f>
        <v>0</v>
      </c>
      <c r="K175" s="147">
        <f t="shared" ca="1" si="24"/>
        <v>0</v>
      </c>
      <c r="L175" s="424">
        <f ca="1">IF($A175="S",IF(CAIXA.Modo,BM.AFAcumulado,BM.MEDAcumulado),IF(AND(RegimeExecucao="Global",$I175&gt;0,COUNTIF($AB$13:$AM$13,BM.medicao)&gt;0),O175/$I175*100,0))</f>
        <v>0</v>
      </c>
      <c r="M175" s="425">
        <f ca="1">IF($A175="S",VTOTALBM,IF($A175=0,0,ROUND(SomaAgrupBM,15-13*ORÇAMENTO!$AF$11)))</f>
        <v>0</v>
      </c>
      <c r="N175" s="426">
        <f t="shared" ca="1" si="25"/>
        <v>0</v>
      </c>
      <c r="O175" s="150">
        <f ca="1">IF($A175="S",VTOTALBM,IF($A175=0,0,ROUND(SomaAgrupBM,15-13*ORÇAMENTO!$AF$11)))</f>
        <v>0</v>
      </c>
      <c r="Q175" s="427"/>
      <c r="R175" s="428"/>
      <c r="T175" s="142" t="str">
        <f t="shared" ca="1" si="26"/>
        <v/>
      </c>
      <c r="U175" s="202" t="str">
        <f t="shared" ca="1" si="27"/>
        <v/>
      </c>
      <c r="V175" s="203" t="str">
        <f ca="1">IF(AND($W175&gt;0,RegimeExecucao="Unitário"),$F175,"")</f>
        <v/>
      </c>
      <c r="W175" s="629">
        <f ca="1">IF($Y175&gt;0,CHOOSE(MATCH(RegimeExecucao,{"Unitário","Global"},0),IF($A175="S",$Y175/$X175,""),($Y175/$X175)*100),0)</f>
        <v>0</v>
      </c>
      <c r="X175" s="429" t="str">
        <f ca="1">IF($Y175&gt;0,CHOOSE(MATCH(RegimeExecucao,{"Unitário","Global"},0),IF($A175="S",ROUND($H175,ORÇAMENTO!$AF$10),""),ROUND($I175,ORÇAMENTO!$AF$11)),"")</f>
        <v/>
      </c>
      <c r="Y175" s="429">
        <f t="shared" ca="1" si="28"/>
        <v>0</v>
      </c>
      <c r="Z175" s="656"/>
      <c r="AB175" s="427"/>
      <c r="AC175" s="594"/>
      <c r="AD175" s="594"/>
      <c r="AE175" s="594"/>
      <c r="AF175" s="594"/>
      <c r="AG175" s="594"/>
      <c r="AH175" s="594"/>
      <c r="AI175" s="594"/>
      <c r="AJ175" s="594"/>
      <c r="AK175" s="594"/>
      <c r="AL175" s="594"/>
      <c r="AM175" s="428"/>
      <c r="AO175">
        <f ca="1">IF($A175="S",IF(BM!$I175=0,0,CHOOSE(MATCH(RegimeExecucao,{"Global","Unitário"},0),ROUND(ROUND(BM.MEDAcumulado,15-13*BM!$A$9)/100*BM!$I175,15-13*ORÇAMENTO!$AF$11),ROUND(ROUND(BM.MEDAcumulado,15-13*BM!$A$9)*ROUND(BM!$H175,15-13*ORÇAMENTO!$AF$10),15-13*ORÇAMENTO!$AF$11))),IF($A175=0,0,ROUND(SomaAgrupBM,15-13*ORÇAMENTO!$AF$11)))</f>
        <v>0</v>
      </c>
    </row>
    <row r="176" spans="1:41" ht="13.8">
      <c r="A176" t="str">
        <f ca="1">ORÇAMENTO!C176</f>
        <v>S</v>
      </c>
      <c r="B176">
        <f ca="1">ORÇAMENTO!D176</f>
        <v>0</v>
      </c>
      <c r="C176" s="139" t="str">
        <f t="shared" ca="1" si="22"/>
        <v/>
      </c>
      <c r="D176" s="142" t="str">
        <f ca="1">ORÇAMENTO!O176</f>
        <v>-</v>
      </c>
      <c r="E176" s="202" t="str">
        <f t="shared" ca="1" si="23"/>
        <v>(abra o arquivo 'Referência 11-2024.xlsm)</v>
      </c>
      <c r="F176" s="203" t="str">
        <f ca="1">IF(RegimeExecucao="Global","",ORÇAMENTO.Unidade)</f>
        <v/>
      </c>
      <c r="G176" s="147" t="str">
        <f ca="1">IF(RegimeExecucao="Global","",ORÇAMENTO!T176)</f>
        <v/>
      </c>
      <c r="H176" s="147" t="str">
        <f ca="1">IF(RegimeExecucao="Global","",ORÇAMENTO!W176)</f>
        <v/>
      </c>
      <c r="I176" s="150">
        <f ca="1">ORÇAMENTO!X176</f>
        <v>0</v>
      </c>
      <c r="J176" s="423">
        <f ca="1">IF($A176="S",IF(CAIXA.Modo,BM.AFAnterior,BM.MEDAnterior),IF(AND(RegimeExecucao="Global",$I176&gt;0,COUNTIF($AB$13:$AM$13,BM.medicao-1)&gt;0),M176/$I176*100,0))</f>
        <v>0</v>
      </c>
      <c r="K176" s="147">
        <f t="shared" ca="1" si="24"/>
        <v>0</v>
      </c>
      <c r="L176" s="424">
        <f ca="1">IF($A176="S",IF(CAIXA.Modo,BM.AFAcumulado,BM.MEDAcumulado),IF(AND(RegimeExecucao="Global",$I176&gt;0,COUNTIF($AB$13:$AM$13,BM.medicao)&gt;0),O176/$I176*100,0))</f>
        <v>0</v>
      </c>
      <c r="M176" s="425">
        <f ca="1">IF($A176="S",VTOTALBM,IF($A176=0,0,ROUND(SomaAgrupBM,15-13*ORÇAMENTO!$AF$11)))</f>
        <v>0</v>
      </c>
      <c r="N176" s="426">
        <f t="shared" ca="1" si="25"/>
        <v>0</v>
      </c>
      <c r="O176" s="150">
        <f ca="1">IF($A176="S",VTOTALBM,IF($A176=0,0,ROUND(SomaAgrupBM,15-13*ORÇAMENTO!$AF$11)))</f>
        <v>0</v>
      </c>
      <c r="Q176" s="427"/>
      <c r="R176" s="428"/>
      <c r="T176" s="142" t="str">
        <f t="shared" ca="1" si="26"/>
        <v/>
      </c>
      <c r="U176" s="202" t="str">
        <f t="shared" ca="1" si="27"/>
        <v/>
      </c>
      <c r="V176" s="203" t="str">
        <f ca="1">IF(AND($W176&gt;0,RegimeExecucao="Unitário"),$F176,"")</f>
        <v/>
      </c>
      <c r="W176" s="629">
        <f ca="1">IF($Y176&gt;0,CHOOSE(MATCH(RegimeExecucao,{"Unitário","Global"},0),IF($A176="S",$Y176/$X176,""),($Y176/$X176)*100),0)</f>
        <v>0</v>
      </c>
      <c r="X176" s="429" t="str">
        <f ca="1">IF($Y176&gt;0,CHOOSE(MATCH(RegimeExecucao,{"Unitário","Global"},0),IF($A176="S",ROUND($H176,ORÇAMENTO!$AF$10),""),ROUND($I176,ORÇAMENTO!$AF$11)),"")</f>
        <v/>
      </c>
      <c r="Y176" s="429">
        <f t="shared" ca="1" si="28"/>
        <v>0</v>
      </c>
      <c r="Z176" s="656"/>
      <c r="AB176" s="427"/>
      <c r="AC176" s="594"/>
      <c r="AD176" s="594"/>
      <c r="AE176" s="594"/>
      <c r="AF176" s="594"/>
      <c r="AG176" s="594"/>
      <c r="AH176" s="594"/>
      <c r="AI176" s="594"/>
      <c r="AJ176" s="594"/>
      <c r="AK176" s="594"/>
      <c r="AL176" s="594"/>
      <c r="AM176" s="428"/>
      <c r="AO176">
        <f ca="1">IF($A176="S",IF(BM!$I176=0,0,CHOOSE(MATCH(RegimeExecucao,{"Global","Unitário"},0),ROUND(ROUND(BM.MEDAcumulado,15-13*BM!$A$9)/100*BM!$I176,15-13*ORÇAMENTO!$AF$11),ROUND(ROUND(BM.MEDAcumulado,15-13*BM!$A$9)*ROUND(BM!$H176,15-13*ORÇAMENTO!$AF$10),15-13*ORÇAMENTO!$AF$11))),IF($A176=0,0,ROUND(SomaAgrupBM,15-13*ORÇAMENTO!$AF$11)))</f>
        <v>0</v>
      </c>
    </row>
    <row r="177" spans="1:41" ht="13.8">
      <c r="A177" t="str">
        <f ca="1">ORÇAMENTO!C177</f>
        <v>S</v>
      </c>
      <c r="B177">
        <f ca="1">ORÇAMENTO!D177</f>
        <v>0</v>
      </c>
      <c r="C177" s="139" t="str">
        <f t="shared" ca="1" si="22"/>
        <v/>
      </c>
      <c r="D177" s="142" t="str">
        <f ca="1">ORÇAMENTO!O177</f>
        <v>-</v>
      </c>
      <c r="E177" s="202" t="str">
        <f t="shared" ca="1" si="23"/>
        <v>(abra o arquivo 'Referência 11-2024.xlsm)</v>
      </c>
      <c r="F177" s="203" t="str">
        <f ca="1">IF(RegimeExecucao="Global","",ORÇAMENTO.Unidade)</f>
        <v/>
      </c>
      <c r="G177" s="147" t="str">
        <f ca="1">IF(RegimeExecucao="Global","",ORÇAMENTO!T177)</f>
        <v/>
      </c>
      <c r="H177" s="147" t="str">
        <f ca="1">IF(RegimeExecucao="Global","",ORÇAMENTO!W177)</f>
        <v/>
      </c>
      <c r="I177" s="150">
        <f ca="1">ORÇAMENTO!X177</f>
        <v>0</v>
      </c>
      <c r="J177" s="423">
        <f ca="1">IF($A177="S",IF(CAIXA.Modo,BM.AFAnterior,BM.MEDAnterior),IF(AND(RegimeExecucao="Global",$I177&gt;0,COUNTIF($AB$13:$AM$13,BM.medicao-1)&gt;0),M177/$I177*100,0))</f>
        <v>0</v>
      </c>
      <c r="K177" s="147">
        <f t="shared" ca="1" si="24"/>
        <v>0</v>
      </c>
      <c r="L177" s="424">
        <f ca="1">IF($A177="S",IF(CAIXA.Modo,BM.AFAcumulado,BM.MEDAcumulado),IF(AND(RegimeExecucao="Global",$I177&gt;0,COUNTIF($AB$13:$AM$13,BM.medicao)&gt;0),O177/$I177*100,0))</f>
        <v>0</v>
      </c>
      <c r="M177" s="425">
        <f ca="1">IF($A177="S",VTOTALBM,IF($A177=0,0,ROUND(SomaAgrupBM,15-13*ORÇAMENTO!$AF$11)))</f>
        <v>0</v>
      </c>
      <c r="N177" s="426">
        <f t="shared" ca="1" si="25"/>
        <v>0</v>
      </c>
      <c r="O177" s="150">
        <f ca="1">IF($A177="S",VTOTALBM,IF($A177=0,0,ROUND(SomaAgrupBM,15-13*ORÇAMENTO!$AF$11)))</f>
        <v>0</v>
      </c>
      <c r="Q177" s="427"/>
      <c r="R177" s="428"/>
      <c r="T177" s="142" t="str">
        <f t="shared" ca="1" si="26"/>
        <v/>
      </c>
      <c r="U177" s="202" t="str">
        <f t="shared" ca="1" si="27"/>
        <v/>
      </c>
      <c r="V177" s="203" t="str">
        <f ca="1">IF(AND($W177&gt;0,RegimeExecucao="Unitário"),$F177,"")</f>
        <v/>
      </c>
      <c r="W177" s="629">
        <f ca="1">IF($Y177&gt;0,CHOOSE(MATCH(RegimeExecucao,{"Unitário","Global"},0),IF($A177="S",$Y177/$X177,""),($Y177/$X177)*100),0)</f>
        <v>0</v>
      </c>
      <c r="X177" s="429" t="str">
        <f ca="1">IF($Y177&gt;0,CHOOSE(MATCH(RegimeExecucao,{"Unitário","Global"},0),IF($A177="S",ROUND($H177,ORÇAMENTO!$AF$10),""),ROUND($I177,ORÇAMENTO!$AF$11)),"")</f>
        <v/>
      </c>
      <c r="Y177" s="429">
        <f t="shared" ca="1" si="28"/>
        <v>0</v>
      </c>
      <c r="Z177" s="656"/>
      <c r="AB177" s="427"/>
      <c r="AC177" s="594"/>
      <c r="AD177" s="594"/>
      <c r="AE177" s="594"/>
      <c r="AF177" s="594"/>
      <c r="AG177" s="594"/>
      <c r="AH177" s="594"/>
      <c r="AI177" s="594"/>
      <c r="AJ177" s="594"/>
      <c r="AK177" s="594"/>
      <c r="AL177" s="594"/>
      <c r="AM177" s="428"/>
      <c r="AO177">
        <f ca="1">IF($A177="S",IF(BM!$I177=0,0,CHOOSE(MATCH(RegimeExecucao,{"Global","Unitário"},0),ROUND(ROUND(BM.MEDAcumulado,15-13*BM!$A$9)/100*BM!$I177,15-13*ORÇAMENTO!$AF$11),ROUND(ROUND(BM.MEDAcumulado,15-13*BM!$A$9)*ROUND(BM!$H177,15-13*ORÇAMENTO!$AF$10),15-13*ORÇAMENTO!$AF$11))),IF($A177=0,0,ROUND(SomaAgrupBM,15-13*ORÇAMENTO!$AF$11)))</f>
        <v>0</v>
      </c>
    </row>
    <row r="178" spans="1:41" ht="13.8">
      <c r="A178" t="str">
        <f ca="1">ORÇAMENTO!C178</f>
        <v>S</v>
      </c>
      <c r="B178">
        <f ca="1">ORÇAMENTO!D178</f>
        <v>0</v>
      </c>
      <c r="C178" s="139" t="str">
        <f t="shared" ca="1" si="22"/>
        <v/>
      </c>
      <c r="D178" s="142" t="str">
        <f ca="1">ORÇAMENTO!O178</f>
        <v>-</v>
      </c>
      <c r="E178" s="202" t="str">
        <f t="shared" ca="1" si="23"/>
        <v>(abra o arquivo 'Referência 11-2024.xlsm)</v>
      </c>
      <c r="F178" s="203" t="str">
        <f ca="1">IF(RegimeExecucao="Global","",ORÇAMENTO.Unidade)</f>
        <v/>
      </c>
      <c r="G178" s="147" t="str">
        <f ca="1">IF(RegimeExecucao="Global","",ORÇAMENTO!T178)</f>
        <v/>
      </c>
      <c r="H178" s="147" t="str">
        <f ca="1">IF(RegimeExecucao="Global","",ORÇAMENTO!W178)</f>
        <v/>
      </c>
      <c r="I178" s="150">
        <f ca="1">ORÇAMENTO!X178</f>
        <v>0</v>
      </c>
      <c r="J178" s="423">
        <f ca="1">IF($A178="S",IF(CAIXA.Modo,BM.AFAnterior,BM.MEDAnterior),IF(AND(RegimeExecucao="Global",$I178&gt;0,COUNTIF($AB$13:$AM$13,BM.medicao-1)&gt;0),M178/$I178*100,0))</f>
        <v>0</v>
      </c>
      <c r="K178" s="147">
        <f t="shared" ca="1" si="24"/>
        <v>0</v>
      </c>
      <c r="L178" s="424">
        <f ca="1">IF($A178="S",IF(CAIXA.Modo,BM.AFAcumulado,BM.MEDAcumulado),IF(AND(RegimeExecucao="Global",$I178&gt;0,COUNTIF($AB$13:$AM$13,BM.medicao)&gt;0),O178/$I178*100,0))</f>
        <v>0</v>
      </c>
      <c r="M178" s="425">
        <f ca="1">IF($A178="S",VTOTALBM,IF($A178=0,0,ROUND(SomaAgrupBM,15-13*ORÇAMENTO!$AF$11)))</f>
        <v>0</v>
      </c>
      <c r="N178" s="426">
        <f t="shared" ca="1" si="25"/>
        <v>0</v>
      </c>
      <c r="O178" s="150">
        <f ca="1">IF($A178="S",VTOTALBM,IF($A178=0,0,ROUND(SomaAgrupBM,15-13*ORÇAMENTO!$AF$11)))</f>
        <v>0</v>
      </c>
      <c r="Q178" s="427"/>
      <c r="R178" s="428"/>
      <c r="T178" s="142" t="str">
        <f t="shared" ca="1" si="26"/>
        <v/>
      </c>
      <c r="U178" s="202" t="str">
        <f t="shared" ca="1" si="27"/>
        <v/>
      </c>
      <c r="V178" s="203" t="str">
        <f ca="1">IF(AND($W178&gt;0,RegimeExecucao="Unitário"),$F178,"")</f>
        <v/>
      </c>
      <c r="W178" s="629">
        <f ca="1">IF($Y178&gt;0,CHOOSE(MATCH(RegimeExecucao,{"Unitário","Global"},0),IF($A178="S",$Y178/$X178,""),($Y178/$X178)*100),0)</f>
        <v>0</v>
      </c>
      <c r="X178" s="429" t="str">
        <f ca="1">IF($Y178&gt;0,CHOOSE(MATCH(RegimeExecucao,{"Unitário","Global"},0),IF($A178="S",ROUND($H178,ORÇAMENTO!$AF$10),""),ROUND($I178,ORÇAMENTO!$AF$11)),"")</f>
        <v/>
      </c>
      <c r="Y178" s="429">
        <f t="shared" ca="1" si="28"/>
        <v>0</v>
      </c>
      <c r="Z178" s="656"/>
      <c r="AB178" s="427"/>
      <c r="AC178" s="594"/>
      <c r="AD178" s="594"/>
      <c r="AE178" s="594"/>
      <c r="AF178" s="594"/>
      <c r="AG178" s="594"/>
      <c r="AH178" s="594"/>
      <c r="AI178" s="594"/>
      <c r="AJ178" s="594"/>
      <c r="AK178" s="594"/>
      <c r="AL178" s="594"/>
      <c r="AM178" s="428"/>
      <c r="AO178">
        <f ca="1">IF($A178="S",IF(BM!$I178=0,0,CHOOSE(MATCH(RegimeExecucao,{"Global","Unitário"},0),ROUND(ROUND(BM.MEDAcumulado,15-13*BM!$A$9)/100*BM!$I178,15-13*ORÇAMENTO!$AF$11),ROUND(ROUND(BM.MEDAcumulado,15-13*BM!$A$9)*ROUND(BM!$H178,15-13*ORÇAMENTO!$AF$10),15-13*ORÇAMENTO!$AF$11))),IF($A178=0,0,ROUND(SomaAgrupBM,15-13*ORÇAMENTO!$AF$11)))</f>
        <v>0</v>
      </c>
    </row>
    <row r="179" spans="1:41" ht="13.8">
      <c r="A179" t="str">
        <f ca="1">ORÇAMENTO!C179</f>
        <v>S</v>
      </c>
      <c r="B179">
        <f ca="1">ORÇAMENTO!D179</f>
        <v>0</v>
      </c>
      <c r="C179" s="139" t="str">
        <f t="shared" ca="1" si="22"/>
        <v/>
      </c>
      <c r="D179" s="142" t="str">
        <f ca="1">ORÇAMENTO!O179</f>
        <v>-</v>
      </c>
      <c r="E179" s="202" t="str">
        <f t="shared" ca="1" si="23"/>
        <v>(abra o arquivo 'Referência 11-2024.xlsm)</v>
      </c>
      <c r="F179" s="203" t="str">
        <f ca="1">IF(RegimeExecucao="Global","",ORÇAMENTO.Unidade)</f>
        <v/>
      </c>
      <c r="G179" s="147" t="str">
        <f ca="1">IF(RegimeExecucao="Global","",ORÇAMENTO!T179)</f>
        <v/>
      </c>
      <c r="H179" s="147" t="str">
        <f ca="1">IF(RegimeExecucao="Global","",ORÇAMENTO!W179)</f>
        <v/>
      </c>
      <c r="I179" s="150">
        <f ca="1">ORÇAMENTO!X179</f>
        <v>0</v>
      </c>
      <c r="J179" s="423">
        <f ca="1">IF($A179="S",IF(CAIXA.Modo,BM.AFAnterior,BM.MEDAnterior),IF(AND(RegimeExecucao="Global",$I179&gt;0,COUNTIF($AB$13:$AM$13,BM.medicao-1)&gt;0),M179/$I179*100,0))</f>
        <v>0</v>
      </c>
      <c r="K179" s="147">
        <f t="shared" ca="1" si="24"/>
        <v>0</v>
      </c>
      <c r="L179" s="424">
        <f ca="1">IF($A179="S",IF(CAIXA.Modo,BM.AFAcumulado,BM.MEDAcumulado),IF(AND(RegimeExecucao="Global",$I179&gt;0,COUNTIF($AB$13:$AM$13,BM.medicao)&gt;0),O179/$I179*100,0))</f>
        <v>0</v>
      </c>
      <c r="M179" s="425">
        <f ca="1">IF($A179="S",VTOTALBM,IF($A179=0,0,ROUND(SomaAgrupBM,15-13*ORÇAMENTO!$AF$11)))</f>
        <v>0</v>
      </c>
      <c r="N179" s="426">
        <f t="shared" ca="1" si="25"/>
        <v>0</v>
      </c>
      <c r="O179" s="150">
        <f ca="1">IF($A179="S",VTOTALBM,IF($A179=0,0,ROUND(SomaAgrupBM,15-13*ORÇAMENTO!$AF$11)))</f>
        <v>0</v>
      </c>
      <c r="Q179" s="427"/>
      <c r="R179" s="428"/>
      <c r="T179" s="142" t="str">
        <f t="shared" ca="1" si="26"/>
        <v/>
      </c>
      <c r="U179" s="202" t="str">
        <f t="shared" ca="1" si="27"/>
        <v/>
      </c>
      <c r="V179" s="203" t="str">
        <f ca="1">IF(AND($W179&gt;0,RegimeExecucao="Unitário"),$F179,"")</f>
        <v/>
      </c>
      <c r="W179" s="629">
        <f ca="1">IF($Y179&gt;0,CHOOSE(MATCH(RegimeExecucao,{"Unitário","Global"},0),IF($A179="S",$Y179/$X179,""),($Y179/$X179)*100),0)</f>
        <v>0</v>
      </c>
      <c r="X179" s="429" t="str">
        <f ca="1">IF($Y179&gt;0,CHOOSE(MATCH(RegimeExecucao,{"Unitário","Global"},0),IF($A179="S",ROUND($H179,ORÇAMENTO!$AF$10),""),ROUND($I179,ORÇAMENTO!$AF$11)),"")</f>
        <v/>
      </c>
      <c r="Y179" s="429">
        <f t="shared" ca="1" si="28"/>
        <v>0</v>
      </c>
      <c r="Z179" s="656"/>
      <c r="AB179" s="427"/>
      <c r="AC179" s="594"/>
      <c r="AD179" s="594"/>
      <c r="AE179" s="594"/>
      <c r="AF179" s="594"/>
      <c r="AG179" s="594"/>
      <c r="AH179" s="594"/>
      <c r="AI179" s="594"/>
      <c r="AJ179" s="594"/>
      <c r="AK179" s="594"/>
      <c r="AL179" s="594"/>
      <c r="AM179" s="428"/>
      <c r="AO179">
        <f ca="1">IF($A179="S",IF(BM!$I179=0,0,CHOOSE(MATCH(RegimeExecucao,{"Global","Unitário"},0),ROUND(ROUND(BM.MEDAcumulado,15-13*BM!$A$9)/100*BM!$I179,15-13*ORÇAMENTO!$AF$11),ROUND(ROUND(BM.MEDAcumulado,15-13*BM!$A$9)*ROUND(BM!$H179,15-13*ORÇAMENTO!$AF$10),15-13*ORÇAMENTO!$AF$11))),IF($A179=0,0,ROUND(SomaAgrupBM,15-13*ORÇAMENTO!$AF$11)))</f>
        <v>0</v>
      </c>
    </row>
    <row r="180" spans="1:41" ht="13.8">
      <c r="A180" t="str">
        <f ca="1">ORÇAMENTO!C180</f>
        <v>S</v>
      </c>
      <c r="B180">
        <f ca="1">ORÇAMENTO!D180</f>
        <v>0</v>
      </c>
      <c r="C180" s="139" t="str">
        <f t="shared" ca="1" si="22"/>
        <v/>
      </c>
      <c r="D180" s="142" t="str">
        <f ca="1">ORÇAMENTO!O180</f>
        <v>-</v>
      </c>
      <c r="E180" s="202" t="str">
        <f t="shared" ca="1" si="23"/>
        <v>(abra o arquivo 'Referência 11-2024.xlsm)</v>
      </c>
      <c r="F180" s="203" t="str">
        <f ca="1">IF(RegimeExecucao="Global","",ORÇAMENTO.Unidade)</f>
        <v/>
      </c>
      <c r="G180" s="147" t="str">
        <f ca="1">IF(RegimeExecucao="Global","",ORÇAMENTO!T180)</f>
        <v/>
      </c>
      <c r="H180" s="147" t="str">
        <f ca="1">IF(RegimeExecucao="Global","",ORÇAMENTO!W180)</f>
        <v/>
      </c>
      <c r="I180" s="150">
        <f ca="1">ORÇAMENTO!X180</f>
        <v>0</v>
      </c>
      <c r="J180" s="423">
        <f ca="1">IF($A180="S",IF(CAIXA.Modo,BM.AFAnterior,BM.MEDAnterior),IF(AND(RegimeExecucao="Global",$I180&gt;0,COUNTIF($AB$13:$AM$13,BM.medicao-1)&gt;0),M180/$I180*100,0))</f>
        <v>0</v>
      </c>
      <c r="K180" s="147">
        <f t="shared" ca="1" si="24"/>
        <v>0</v>
      </c>
      <c r="L180" s="424">
        <f ca="1">IF($A180="S",IF(CAIXA.Modo,BM.AFAcumulado,BM.MEDAcumulado),IF(AND(RegimeExecucao="Global",$I180&gt;0,COUNTIF($AB$13:$AM$13,BM.medicao)&gt;0),O180/$I180*100,0))</f>
        <v>0</v>
      </c>
      <c r="M180" s="425">
        <f ca="1">IF($A180="S",VTOTALBM,IF($A180=0,0,ROUND(SomaAgrupBM,15-13*ORÇAMENTO!$AF$11)))</f>
        <v>0</v>
      </c>
      <c r="N180" s="426">
        <f t="shared" ca="1" si="25"/>
        <v>0</v>
      </c>
      <c r="O180" s="150">
        <f ca="1">IF($A180="S",VTOTALBM,IF($A180=0,0,ROUND(SomaAgrupBM,15-13*ORÇAMENTO!$AF$11)))</f>
        <v>0</v>
      </c>
      <c r="Q180" s="427"/>
      <c r="R180" s="428"/>
      <c r="T180" s="142" t="str">
        <f t="shared" ca="1" si="26"/>
        <v/>
      </c>
      <c r="U180" s="202" t="str">
        <f t="shared" ca="1" si="27"/>
        <v/>
      </c>
      <c r="V180" s="203" t="str">
        <f ca="1">IF(AND($W180&gt;0,RegimeExecucao="Unitário"),$F180,"")</f>
        <v/>
      </c>
      <c r="W180" s="629">
        <f ca="1">IF($Y180&gt;0,CHOOSE(MATCH(RegimeExecucao,{"Unitário","Global"},0),IF($A180="S",$Y180/$X180,""),($Y180/$X180)*100),0)</f>
        <v>0</v>
      </c>
      <c r="X180" s="429" t="str">
        <f ca="1">IF($Y180&gt;0,CHOOSE(MATCH(RegimeExecucao,{"Unitário","Global"},0),IF($A180="S",ROUND($H180,ORÇAMENTO!$AF$10),""),ROUND($I180,ORÇAMENTO!$AF$11)),"")</f>
        <v/>
      </c>
      <c r="Y180" s="429">
        <f t="shared" ca="1" si="28"/>
        <v>0</v>
      </c>
      <c r="Z180" s="656"/>
      <c r="AB180" s="427"/>
      <c r="AC180" s="594"/>
      <c r="AD180" s="594"/>
      <c r="AE180" s="594"/>
      <c r="AF180" s="594"/>
      <c r="AG180" s="594"/>
      <c r="AH180" s="594"/>
      <c r="AI180" s="594"/>
      <c r="AJ180" s="594"/>
      <c r="AK180" s="594"/>
      <c r="AL180" s="594"/>
      <c r="AM180" s="428"/>
      <c r="AO180">
        <f ca="1">IF($A180="S",IF(BM!$I180=0,0,CHOOSE(MATCH(RegimeExecucao,{"Global","Unitário"},0),ROUND(ROUND(BM.MEDAcumulado,15-13*BM!$A$9)/100*BM!$I180,15-13*ORÇAMENTO!$AF$11),ROUND(ROUND(BM.MEDAcumulado,15-13*BM!$A$9)*ROUND(BM!$H180,15-13*ORÇAMENTO!$AF$10),15-13*ORÇAMENTO!$AF$11))),IF($A180=0,0,ROUND(SomaAgrupBM,15-13*ORÇAMENTO!$AF$11)))</f>
        <v>0</v>
      </c>
    </row>
    <row r="181" spans="1:41" ht="13.8">
      <c r="A181" t="str">
        <f ca="1">ORÇAMENTO!C181</f>
        <v>S</v>
      </c>
      <c r="B181">
        <f ca="1">ORÇAMENTO!D181</f>
        <v>0</v>
      </c>
      <c r="C181" s="139" t="str">
        <f t="shared" ca="1" si="22"/>
        <v/>
      </c>
      <c r="D181" s="142" t="str">
        <f ca="1">ORÇAMENTO!O181</f>
        <v>-</v>
      </c>
      <c r="E181" s="202" t="str">
        <f t="shared" ca="1" si="23"/>
        <v>(abra o arquivo 'Referência 11-2024.xlsm)</v>
      </c>
      <c r="F181" s="203" t="str">
        <f ca="1">IF(RegimeExecucao="Global","",ORÇAMENTO.Unidade)</f>
        <v/>
      </c>
      <c r="G181" s="147" t="str">
        <f ca="1">IF(RegimeExecucao="Global","",ORÇAMENTO!T181)</f>
        <v/>
      </c>
      <c r="H181" s="147" t="str">
        <f ca="1">IF(RegimeExecucao="Global","",ORÇAMENTO!W181)</f>
        <v/>
      </c>
      <c r="I181" s="150">
        <f ca="1">ORÇAMENTO!X181</f>
        <v>0</v>
      </c>
      <c r="J181" s="423">
        <f ca="1">IF($A181="S",IF(CAIXA.Modo,BM.AFAnterior,BM.MEDAnterior),IF(AND(RegimeExecucao="Global",$I181&gt;0,COUNTIF($AB$13:$AM$13,BM.medicao-1)&gt;0),M181/$I181*100,0))</f>
        <v>0</v>
      </c>
      <c r="K181" s="147">
        <f t="shared" ca="1" si="24"/>
        <v>0</v>
      </c>
      <c r="L181" s="424">
        <f ca="1">IF($A181="S",IF(CAIXA.Modo,BM.AFAcumulado,BM.MEDAcumulado),IF(AND(RegimeExecucao="Global",$I181&gt;0,COUNTIF($AB$13:$AM$13,BM.medicao)&gt;0),O181/$I181*100,0))</f>
        <v>0</v>
      </c>
      <c r="M181" s="425">
        <f ca="1">IF($A181="S",VTOTALBM,IF($A181=0,0,ROUND(SomaAgrupBM,15-13*ORÇAMENTO!$AF$11)))</f>
        <v>0</v>
      </c>
      <c r="N181" s="426">
        <f t="shared" ca="1" si="25"/>
        <v>0</v>
      </c>
      <c r="O181" s="150">
        <f ca="1">IF($A181="S",VTOTALBM,IF($A181=0,0,ROUND(SomaAgrupBM,15-13*ORÇAMENTO!$AF$11)))</f>
        <v>0</v>
      </c>
      <c r="Q181" s="427"/>
      <c r="R181" s="428"/>
      <c r="T181" s="142" t="str">
        <f t="shared" ca="1" si="26"/>
        <v/>
      </c>
      <c r="U181" s="202" t="str">
        <f t="shared" ca="1" si="27"/>
        <v/>
      </c>
      <c r="V181" s="203" t="str">
        <f ca="1">IF(AND($W181&gt;0,RegimeExecucao="Unitário"),$F181,"")</f>
        <v/>
      </c>
      <c r="W181" s="629">
        <f ca="1">IF($Y181&gt;0,CHOOSE(MATCH(RegimeExecucao,{"Unitário","Global"},0),IF($A181="S",$Y181/$X181,""),($Y181/$X181)*100),0)</f>
        <v>0</v>
      </c>
      <c r="X181" s="429" t="str">
        <f ca="1">IF($Y181&gt;0,CHOOSE(MATCH(RegimeExecucao,{"Unitário","Global"},0),IF($A181="S",ROUND($H181,ORÇAMENTO!$AF$10),""),ROUND($I181,ORÇAMENTO!$AF$11)),"")</f>
        <v/>
      </c>
      <c r="Y181" s="429">
        <f t="shared" ca="1" si="28"/>
        <v>0</v>
      </c>
      <c r="Z181" s="656"/>
      <c r="AB181" s="427"/>
      <c r="AC181" s="594"/>
      <c r="AD181" s="594"/>
      <c r="AE181" s="594"/>
      <c r="AF181" s="594"/>
      <c r="AG181" s="594"/>
      <c r="AH181" s="594"/>
      <c r="AI181" s="594"/>
      <c r="AJ181" s="594"/>
      <c r="AK181" s="594"/>
      <c r="AL181" s="594"/>
      <c r="AM181" s="428"/>
      <c r="AO181">
        <f ca="1">IF($A181="S",IF(BM!$I181=0,0,CHOOSE(MATCH(RegimeExecucao,{"Global","Unitário"},0),ROUND(ROUND(BM.MEDAcumulado,15-13*BM!$A$9)/100*BM!$I181,15-13*ORÇAMENTO!$AF$11),ROUND(ROUND(BM.MEDAcumulado,15-13*BM!$A$9)*ROUND(BM!$H181,15-13*ORÇAMENTO!$AF$10),15-13*ORÇAMENTO!$AF$11))),IF($A181=0,0,ROUND(SomaAgrupBM,15-13*ORÇAMENTO!$AF$11)))</f>
        <v>0</v>
      </c>
    </row>
    <row r="182" spans="1:41" ht="13.8">
      <c r="A182" t="str">
        <f ca="1">ORÇAMENTO!C182</f>
        <v>S</v>
      </c>
      <c r="B182">
        <f ca="1">ORÇAMENTO!D182</f>
        <v>0</v>
      </c>
      <c r="C182" s="139" t="str">
        <f t="shared" ca="1" si="22"/>
        <v/>
      </c>
      <c r="D182" s="142" t="str">
        <f ca="1">ORÇAMENTO!O182</f>
        <v>-</v>
      </c>
      <c r="E182" s="202" t="str">
        <f t="shared" ca="1" si="23"/>
        <v>(abra o arquivo 'Referência 11-2024.xlsm)</v>
      </c>
      <c r="F182" s="203" t="str">
        <f ca="1">IF(RegimeExecucao="Global","",ORÇAMENTO.Unidade)</f>
        <v/>
      </c>
      <c r="G182" s="147" t="str">
        <f ca="1">IF(RegimeExecucao="Global","",ORÇAMENTO!T182)</f>
        <v/>
      </c>
      <c r="H182" s="147" t="str">
        <f ca="1">IF(RegimeExecucao="Global","",ORÇAMENTO!W182)</f>
        <v/>
      </c>
      <c r="I182" s="150">
        <f ca="1">ORÇAMENTO!X182</f>
        <v>0</v>
      </c>
      <c r="J182" s="423">
        <f ca="1">IF($A182="S",IF(CAIXA.Modo,BM.AFAnterior,BM.MEDAnterior),IF(AND(RegimeExecucao="Global",$I182&gt;0,COUNTIF($AB$13:$AM$13,BM.medicao-1)&gt;0),M182/$I182*100,0))</f>
        <v>0</v>
      </c>
      <c r="K182" s="147">
        <f t="shared" ca="1" si="24"/>
        <v>0</v>
      </c>
      <c r="L182" s="424">
        <f ca="1">IF($A182="S",IF(CAIXA.Modo,BM.AFAcumulado,BM.MEDAcumulado),IF(AND(RegimeExecucao="Global",$I182&gt;0,COUNTIF($AB$13:$AM$13,BM.medicao)&gt;0),O182/$I182*100,0))</f>
        <v>0</v>
      </c>
      <c r="M182" s="425">
        <f ca="1">IF($A182="S",VTOTALBM,IF($A182=0,0,ROUND(SomaAgrupBM,15-13*ORÇAMENTO!$AF$11)))</f>
        <v>0</v>
      </c>
      <c r="N182" s="426">
        <f t="shared" ca="1" si="25"/>
        <v>0</v>
      </c>
      <c r="O182" s="150">
        <f ca="1">IF($A182="S",VTOTALBM,IF($A182=0,0,ROUND(SomaAgrupBM,15-13*ORÇAMENTO!$AF$11)))</f>
        <v>0</v>
      </c>
      <c r="Q182" s="427"/>
      <c r="R182" s="428"/>
      <c r="T182" s="142" t="str">
        <f t="shared" ca="1" si="26"/>
        <v/>
      </c>
      <c r="U182" s="202" t="str">
        <f t="shared" ca="1" si="27"/>
        <v/>
      </c>
      <c r="V182" s="203" t="str">
        <f ca="1">IF(AND($W182&gt;0,RegimeExecucao="Unitário"),$F182,"")</f>
        <v/>
      </c>
      <c r="W182" s="629">
        <f ca="1">IF($Y182&gt;0,CHOOSE(MATCH(RegimeExecucao,{"Unitário","Global"},0),IF($A182="S",$Y182/$X182,""),($Y182/$X182)*100),0)</f>
        <v>0</v>
      </c>
      <c r="X182" s="429" t="str">
        <f ca="1">IF($Y182&gt;0,CHOOSE(MATCH(RegimeExecucao,{"Unitário","Global"},0),IF($A182="S",ROUND($H182,ORÇAMENTO!$AF$10),""),ROUND($I182,ORÇAMENTO!$AF$11)),"")</f>
        <v/>
      </c>
      <c r="Y182" s="429">
        <f t="shared" ca="1" si="28"/>
        <v>0</v>
      </c>
      <c r="Z182" s="656"/>
      <c r="AB182" s="427"/>
      <c r="AC182" s="594"/>
      <c r="AD182" s="594"/>
      <c r="AE182" s="594"/>
      <c r="AF182" s="594"/>
      <c r="AG182" s="594"/>
      <c r="AH182" s="594"/>
      <c r="AI182" s="594"/>
      <c r="AJ182" s="594"/>
      <c r="AK182" s="594"/>
      <c r="AL182" s="594"/>
      <c r="AM182" s="428"/>
      <c r="AO182">
        <f ca="1">IF($A182="S",IF(BM!$I182=0,0,CHOOSE(MATCH(RegimeExecucao,{"Global","Unitário"},0),ROUND(ROUND(BM.MEDAcumulado,15-13*BM!$A$9)/100*BM!$I182,15-13*ORÇAMENTO!$AF$11),ROUND(ROUND(BM.MEDAcumulado,15-13*BM!$A$9)*ROUND(BM!$H182,15-13*ORÇAMENTO!$AF$10),15-13*ORÇAMENTO!$AF$11))),IF($A182=0,0,ROUND(SomaAgrupBM,15-13*ORÇAMENTO!$AF$11)))</f>
        <v>0</v>
      </c>
    </row>
    <row r="183" spans="1:41" ht="13.8">
      <c r="A183" t="str">
        <f ca="1">ORÇAMENTO!C183</f>
        <v>S</v>
      </c>
      <c r="B183">
        <f ca="1">ORÇAMENTO!D183</f>
        <v>0</v>
      </c>
      <c r="C183" s="139" t="str">
        <f t="shared" ca="1" si="22"/>
        <v/>
      </c>
      <c r="D183" s="142" t="str">
        <f ca="1">ORÇAMENTO!O183</f>
        <v>-</v>
      </c>
      <c r="E183" s="202" t="str">
        <f t="shared" ca="1" si="23"/>
        <v>(abra o arquivo 'Referência 11-2024.xlsm)</v>
      </c>
      <c r="F183" s="203" t="str">
        <f ca="1">IF(RegimeExecucao="Global","",ORÇAMENTO.Unidade)</f>
        <v/>
      </c>
      <c r="G183" s="147" t="str">
        <f ca="1">IF(RegimeExecucao="Global","",ORÇAMENTO!T183)</f>
        <v/>
      </c>
      <c r="H183" s="147" t="str">
        <f ca="1">IF(RegimeExecucao="Global","",ORÇAMENTO!W183)</f>
        <v/>
      </c>
      <c r="I183" s="150">
        <f ca="1">ORÇAMENTO!X183</f>
        <v>0</v>
      </c>
      <c r="J183" s="423">
        <f ca="1">IF($A183="S",IF(CAIXA.Modo,BM.AFAnterior,BM.MEDAnterior),IF(AND(RegimeExecucao="Global",$I183&gt;0,COUNTIF($AB$13:$AM$13,BM.medicao-1)&gt;0),M183/$I183*100,0))</f>
        <v>0</v>
      </c>
      <c r="K183" s="147">
        <f t="shared" ca="1" si="24"/>
        <v>0</v>
      </c>
      <c r="L183" s="424">
        <f ca="1">IF($A183="S",IF(CAIXA.Modo,BM.AFAcumulado,BM.MEDAcumulado),IF(AND(RegimeExecucao="Global",$I183&gt;0,COUNTIF($AB$13:$AM$13,BM.medicao)&gt;0),O183/$I183*100,0))</f>
        <v>0</v>
      </c>
      <c r="M183" s="425">
        <f ca="1">IF($A183="S",VTOTALBM,IF($A183=0,0,ROUND(SomaAgrupBM,15-13*ORÇAMENTO!$AF$11)))</f>
        <v>0</v>
      </c>
      <c r="N183" s="426">
        <f t="shared" ca="1" si="25"/>
        <v>0</v>
      </c>
      <c r="O183" s="150">
        <f ca="1">IF($A183="S",VTOTALBM,IF($A183=0,0,ROUND(SomaAgrupBM,15-13*ORÇAMENTO!$AF$11)))</f>
        <v>0</v>
      </c>
      <c r="Q183" s="427"/>
      <c r="R183" s="428"/>
      <c r="T183" s="142" t="str">
        <f t="shared" ca="1" si="26"/>
        <v/>
      </c>
      <c r="U183" s="202" t="str">
        <f t="shared" ca="1" si="27"/>
        <v/>
      </c>
      <c r="V183" s="203" t="str">
        <f ca="1">IF(AND($W183&gt;0,RegimeExecucao="Unitário"),$F183,"")</f>
        <v/>
      </c>
      <c r="W183" s="629">
        <f ca="1">IF($Y183&gt;0,CHOOSE(MATCH(RegimeExecucao,{"Unitário","Global"},0),IF($A183="S",$Y183/$X183,""),($Y183/$X183)*100),0)</f>
        <v>0</v>
      </c>
      <c r="X183" s="429" t="str">
        <f ca="1">IF($Y183&gt;0,CHOOSE(MATCH(RegimeExecucao,{"Unitário","Global"},0),IF($A183="S",ROUND($H183,ORÇAMENTO!$AF$10),""),ROUND($I183,ORÇAMENTO!$AF$11)),"")</f>
        <v/>
      </c>
      <c r="Y183" s="429">
        <f t="shared" ca="1" si="28"/>
        <v>0</v>
      </c>
      <c r="Z183" s="656"/>
      <c r="AB183" s="427"/>
      <c r="AC183" s="594"/>
      <c r="AD183" s="594"/>
      <c r="AE183" s="594"/>
      <c r="AF183" s="594"/>
      <c r="AG183" s="594"/>
      <c r="AH183" s="594"/>
      <c r="AI183" s="594"/>
      <c r="AJ183" s="594"/>
      <c r="AK183" s="594"/>
      <c r="AL183" s="594"/>
      <c r="AM183" s="428"/>
      <c r="AO183">
        <f ca="1">IF($A183="S",IF(BM!$I183=0,0,CHOOSE(MATCH(RegimeExecucao,{"Global","Unitário"},0),ROUND(ROUND(BM.MEDAcumulado,15-13*BM!$A$9)/100*BM!$I183,15-13*ORÇAMENTO!$AF$11),ROUND(ROUND(BM.MEDAcumulado,15-13*BM!$A$9)*ROUND(BM!$H183,15-13*ORÇAMENTO!$AF$10),15-13*ORÇAMENTO!$AF$11))),IF($A183=0,0,ROUND(SomaAgrupBM,15-13*ORÇAMENTO!$AF$11)))</f>
        <v>0</v>
      </c>
    </row>
    <row r="184" spans="1:41" ht="13.8">
      <c r="A184" t="str">
        <f ca="1">ORÇAMENTO!C184</f>
        <v>S</v>
      </c>
      <c r="B184">
        <f ca="1">ORÇAMENTO!D184</f>
        <v>0</v>
      </c>
      <c r="C184" s="139" t="str">
        <f t="shared" ca="1" si="22"/>
        <v/>
      </c>
      <c r="D184" s="142" t="str">
        <f ca="1">ORÇAMENTO!O184</f>
        <v>-</v>
      </c>
      <c r="E184" s="202" t="str">
        <f t="shared" ca="1" si="23"/>
        <v>(abra o arquivo 'Referência 11-2024.xlsm)</v>
      </c>
      <c r="F184" s="203" t="str">
        <f ca="1">IF(RegimeExecucao="Global","",ORÇAMENTO.Unidade)</f>
        <v/>
      </c>
      <c r="G184" s="147" t="str">
        <f ca="1">IF(RegimeExecucao="Global","",ORÇAMENTO!T184)</f>
        <v/>
      </c>
      <c r="H184" s="147" t="str">
        <f ca="1">IF(RegimeExecucao="Global","",ORÇAMENTO!W184)</f>
        <v/>
      </c>
      <c r="I184" s="150">
        <f ca="1">ORÇAMENTO!X184</f>
        <v>0</v>
      </c>
      <c r="J184" s="423">
        <f ca="1">IF($A184="S",IF(CAIXA.Modo,BM.AFAnterior,BM.MEDAnterior),IF(AND(RegimeExecucao="Global",$I184&gt;0,COUNTIF($AB$13:$AM$13,BM.medicao-1)&gt;0),M184/$I184*100,0))</f>
        <v>0</v>
      </c>
      <c r="K184" s="147">
        <f t="shared" ca="1" si="24"/>
        <v>0</v>
      </c>
      <c r="L184" s="424">
        <f ca="1">IF($A184="S",IF(CAIXA.Modo,BM.AFAcumulado,BM.MEDAcumulado),IF(AND(RegimeExecucao="Global",$I184&gt;0,COUNTIF($AB$13:$AM$13,BM.medicao)&gt;0),O184/$I184*100,0))</f>
        <v>0</v>
      </c>
      <c r="M184" s="425">
        <f ca="1">IF($A184="S",VTOTALBM,IF($A184=0,0,ROUND(SomaAgrupBM,15-13*ORÇAMENTO!$AF$11)))</f>
        <v>0</v>
      </c>
      <c r="N184" s="426">
        <f t="shared" ca="1" si="25"/>
        <v>0</v>
      </c>
      <c r="O184" s="150">
        <f ca="1">IF($A184="S",VTOTALBM,IF($A184=0,0,ROUND(SomaAgrupBM,15-13*ORÇAMENTO!$AF$11)))</f>
        <v>0</v>
      </c>
      <c r="Q184" s="427"/>
      <c r="R184" s="428"/>
      <c r="T184" s="142" t="str">
        <f t="shared" ca="1" si="26"/>
        <v/>
      </c>
      <c r="U184" s="202" t="str">
        <f t="shared" ca="1" si="27"/>
        <v/>
      </c>
      <c r="V184" s="203" t="str">
        <f ca="1">IF(AND($W184&gt;0,RegimeExecucao="Unitário"),$F184,"")</f>
        <v/>
      </c>
      <c r="W184" s="629">
        <f ca="1">IF($Y184&gt;0,CHOOSE(MATCH(RegimeExecucao,{"Unitário","Global"},0),IF($A184="S",$Y184/$X184,""),($Y184/$X184)*100),0)</f>
        <v>0</v>
      </c>
      <c r="X184" s="429" t="str">
        <f ca="1">IF($Y184&gt;0,CHOOSE(MATCH(RegimeExecucao,{"Unitário","Global"},0),IF($A184="S",ROUND($H184,ORÇAMENTO!$AF$10),""),ROUND($I184,ORÇAMENTO!$AF$11)),"")</f>
        <v/>
      </c>
      <c r="Y184" s="429">
        <f t="shared" ca="1" si="28"/>
        <v>0</v>
      </c>
      <c r="Z184" s="656"/>
      <c r="AB184" s="427"/>
      <c r="AC184" s="594"/>
      <c r="AD184" s="594"/>
      <c r="AE184" s="594"/>
      <c r="AF184" s="594"/>
      <c r="AG184" s="594"/>
      <c r="AH184" s="594"/>
      <c r="AI184" s="594"/>
      <c r="AJ184" s="594"/>
      <c r="AK184" s="594"/>
      <c r="AL184" s="594"/>
      <c r="AM184" s="428"/>
      <c r="AO184">
        <f ca="1">IF($A184="S",IF(BM!$I184=0,0,CHOOSE(MATCH(RegimeExecucao,{"Global","Unitário"},0),ROUND(ROUND(BM.MEDAcumulado,15-13*BM!$A$9)/100*BM!$I184,15-13*ORÇAMENTO!$AF$11),ROUND(ROUND(BM.MEDAcumulado,15-13*BM!$A$9)*ROUND(BM!$H184,15-13*ORÇAMENTO!$AF$10),15-13*ORÇAMENTO!$AF$11))),IF($A184=0,0,ROUND(SomaAgrupBM,15-13*ORÇAMENTO!$AF$11)))</f>
        <v>0</v>
      </c>
    </row>
    <row r="185" spans="1:41" ht="13.8">
      <c r="A185" t="str">
        <f ca="1">ORÇAMENTO!C185</f>
        <v>S</v>
      </c>
      <c r="B185">
        <f ca="1">ORÇAMENTO!D185</f>
        <v>0</v>
      </c>
      <c r="C185" s="139" t="str">
        <f t="shared" ca="1" si="22"/>
        <v/>
      </c>
      <c r="D185" s="142" t="str">
        <f ca="1">ORÇAMENTO!O185</f>
        <v>-</v>
      </c>
      <c r="E185" s="202" t="str">
        <f t="shared" ca="1" si="23"/>
        <v>(abra o arquivo 'Referência 11-2024.xlsm)</v>
      </c>
      <c r="F185" s="203" t="str">
        <f ca="1">IF(RegimeExecucao="Global","",ORÇAMENTO.Unidade)</f>
        <v/>
      </c>
      <c r="G185" s="147" t="str">
        <f ca="1">IF(RegimeExecucao="Global","",ORÇAMENTO!T185)</f>
        <v/>
      </c>
      <c r="H185" s="147" t="str">
        <f ca="1">IF(RegimeExecucao="Global","",ORÇAMENTO!W185)</f>
        <v/>
      </c>
      <c r="I185" s="150">
        <f ca="1">ORÇAMENTO!X185</f>
        <v>0</v>
      </c>
      <c r="J185" s="423">
        <f ca="1">IF($A185="S",IF(CAIXA.Modo,BM.AFAnterior,BM.MEDAnterior),IF(AND(RegimeExecucao="Global",$I185&gt;0,COUNTIF($AB$13:$AM$13,BM.medicao-1)&gt;0),M185/$I185*100,0))</f>
        <v>0</v>
      </c>
      <c r="K185" s="147">
        <f t="shared" ca="1" si="24"/>
        <v>0</v>
      </c>
      <c r="L185" s="424">
        <f ca="1">IF($A185="S",IF(CAIXA.Modo,BM.AFAcumulado,BM.MEDAcumulado),IF(AND(RegimeExecucao="Global",$I185&gt;0,COUNTIF($AB$13:$AM$13,BM.medicao)&gt;0),O185/$I185*100,0))</f>
        <v>0</v>
      </c>
      <c r="M185" s="425">
        <f ca="1">IF($A185="S",VTOTALBM,IF($A185=0,0,ROUND(SomaAgrupBM,15-13*ORÇAMENTO!$AF$11)))</f>
        <v>0</v>
      </c>
      <c r="N185" s="426">
        <f t="shared" ca="1" si="25"/>
        <v>0</v>
      </c>
      <c r="O185" s="150">
        <f ca="1">IF($A185="S",VTOTALBM,IF($A185=0,0,ROUND(SomaAgrupBM,15-13*ORÇAMENTO!$AF$11)))</f>
        <v>0</v>
      </c>
      <c r="Q185" s="427"/>
      <c r="R185" s="428"/>
      <c r="T185" s="142" t="str">
        <f t="shared" ca="1" si="26"/>
        <v/>
      </c>
      <c r="U185" s="202" t="str">
        <f t="shared" ca="1" si="27"/>
        <v/>
      </c>
      <c r="V185" s="203" t="str">
        <f ca="1">IF(AND($W185&gt;0,RegimeExecucao="Unitário"),$F185,"")</f>
        <v/>
      </c>
      <c r="W185" s="629">
        <f ca="1">IF($Y185&gt;0,CHOOSE(MATCH(RegimeExecucao,{"Unitário","Global"},0),IF($A185="S",$Y185/$X185,""),($Y185/$X185)*100),0)</f>
        <v>0</v>
      </c>
      <c r="X185" s="429" t="str">
        <f ca="1">IF($Y185&gt;0,CHOOSE(MATCH(RegimeExecucao,{"Unitário","Global"},0),IF($A185="S",ROUND($H185,ORÇAMENTO!$AF$10),""),ROUND($I185,ORÇAMENTO!$AF$11)),"")</f>
        <v/>
      </c>
      <c r="Y185" s="429">
        <f t="shared" ca="1" si="28"/>
        <v>0</v>
      </c>
      <c r="Z185" s="656"/>
      <c r="AB185" s="427"/>
      <c r="AC185" s="594"/>
      <c r="AD185" s="594"/>
      <c r="AE185" s="594"/>
      <c r="AF185" s="594"/>
      <c r="AG185" s="594"/>
      <c r="AH185" s="594"/>
      <c r="AI185" s="594"/>
      <c r="AJ185" s="594"/>
      <c r="AK185" s="594"/>
      <c r="AL185" s="594"/>
      <c r="AM185" s="428"/>
      <c r="AO185">
        <f ca="1">IF($A185="S",IF(BM!$I185=0,0,CHOOSE(MATCH(RegimeExecucao,{"Global","Unitário"},0),ROUND(ROUND(BM.MEDAcumulado,15-13*BM!$A$9)/100*BM!$I185,15-13*ORÇAMENTO!$AF$11),ROUND(ROUND(BM.MEDAcumulado,15-13*BM!$A$9)*ROUND(BM!$H185,15-13*ORÇAMENTO!$AF$10),15-13*ORÇAMENTO!$AF$11))),IF($A185=0,0,ROUND(SomaAgrupBM,15-13*ORÇAMENTO!$AF$11)))</f>
        <v>0</v>
      </c>
    </row>
    <row r="186" spans="1:41" ht="13.8">
      <c r="A186" t="str">
        <f ca="1">ORÇAMENTO!C186</f>
        <v>S</v>
      </c>
      <c r="B186">
        <f ca="1">ORÇAMENTO!D186</f>
        <v>0</v>
      </c>
      <c r="C186" s="139" t="str">
        <f t="shared" ca="1" si="22"/>
        <v/>
      </c>
      <c r="D186" s="142" t="str">
        <f ca="1">ORÇAMENTO!O186</f>
        <v>-</v>
      </c>
      <c r="E186" s="202" t="str">
        <f t="shared" ca="1" si="23"/>
        <v>(abra o arquivo 'Referência 11-2024.xlsm)</v>
      </c>
      <c r="F186" s="203" t="str">
        <f ca="1">IF(RegimeExecucao="Global","",ORÇAMENTO.Unidade)</f>
        <v/>
      </c>
      <c r="G186" s="147" t="str">
        <f ca="1">IF(RegimeExecucao="Global","",ORÇAMENTO!T186)</f>
        <v/>
      </c>
      <c r="H186" s="147" t="str">
        <f ca="1">IF(RegimeExecucao="Global","",ORÇAMENTO!W186)</f>
        <v/>
      </c>
      <c r="I186" s="150">
        <f ca="1">ORÇAMENTO!X186</f>
        <v>0</v>
      </c>
      <c r="J186" s="423">
        <f ca="1">IF($A186="S",IF(CAIXA.Modo,BM.AFAnterior,BM.MEDAnterior),IF(AND(RegimeExecucao="Global",$I186&gt;0,COUNTIF($AB$13:$AM$13,BM.medicao-1)&gt;0),M186/$I186*100,0))</f>
        <v>0</v>
      </c>
      <c r="K186" s="147">
        <f t="shared" ca="1" si="24"/>
        <v>0</v>
      </c>
      <c r="L186" s="424">
        <f ca="1">IF($A186="S",IF(CAIXA.Modo,BM.AFAcumulado,BM.MEDAcumulado),IF(AND(RegimeExecucao="Global",$I186&gt;0,COUNTIF($AB$13:$AM$13,BM.medicao)&gt;0),O186/$I186*100,0))</f>
        <v>0</v>
      </c>
      <c r="M186" s="425">
        <f ca="1">IF($A186="S",VTOTALBM,IF($A186=0,0,ROUND(SomaAgrupBM,15-13*ORÇAMENTO!$AF$11)))</f>
        <v>0</v>
      </c>
      <c r="N186" s="426">
        <f t="shared" ca="1" si="25"/>
        <v>0</v>
      </c>
      <c r="O186" s="150">
        <f ca="1">IF($A186="S",VTOTALBM,IF($A186=0,0,ROUND(SomaAgrupBM,15-13*ORÇAMENTO!$AF$11)))</f>
        <v>0</v>
      </c>
      <c r="Q186" s="427"/>
      <c r="R186" s="428"/>
      <c r="T186" s="142" t="str">
        <f t="shared" ca="1" si="26"/>
        <v/>
      </c>
      <c r="U186" s="202" t="str">
        <f t="shared" ca="1" si="27"/>
        <v/>
      </c>
      <c r="V186" s="203" t="str">
        <f ca="1">IF(AND($W186&gt;0,RegimeExecucao="Unitário"),$F186,"")</f>
        <v/>
      </c>
      <c r="W186" s="629">
        <f ca="1">IF($Y186&gt;0,CHOOSE(MATCH(RegimeExecucao,{"Unitário","Global"},0),IF($A186="S",$Y186/$X186,""),($Y186/$X186)*100),0)</f>
        <v>0</v>
      </c>
      <c r="X186" s="429" t="str">
        <f ca="1">IF($Y186&gt;0,CHOOSE(MATCH(RegimeExecucao,{"Unitário","Global"},0),IF($A186="S",ROUND($H186,ORÇAMENTO!$AF$10),""),ROUND($I186,ORÇAMENTO!$AF$11)),"")</f>
        <v/>
      </c>
      <c r="Y186" s="429">
        <f t="shared" ca="1" si="28"/>
        <v>0</v>
      </c>
      <c r="Z186" s="656"/>
      <c r="AB186" s="427"/>
      <c r="AC186" s="594"/>
      <c r="AD186" s="594"/>
      <c r="AE186" s="594"/>
      <c r="AF186" s="594"/>
      <c r="AG186" s="594"/>
      <c r="AH186" s="594"/>
      <c r="AI186" s="594"/>
      <c r="AJ186" s="594"/>
      <c r="AK186" s="594"/>
      <c r="AL186" s="594"/>
      <c r="AM186" s="428"/>
      <c r="AO186">
        <f ca="1">IF($A186="S",IF(BM!$I186=0,0,CHOOSE(MATCH(RegimeExecucao,{"Global","Unitário"},0),ROUND(ROUND(BM.MEDAcumulado,15-13*BM!$A$9)/100*BM!$I186,15-13*ORÇAMENTO!$AF$11),ROUND(ROUND(BM.MEDAcumulado,15-13*BM!$A$9)*ROUND(BM!$H186,15-13*ORÇAMENTO!$AF$10),15-13*ORÇAMENTO!$AF$11))),IF($A186=0,0,ROUND(SomaAgrupBM,15-13*ORÇAMENTO!$AF$11)))</f>
        <v>0</v>
      </c>
    </row>
    <row r="187" spans="1:41" ht="13.8">
      <c r="A187" t="str">
        <f ca="1">ORÇAMENTO!C187</f>
        <v>S</v>
      </c>
      <c r="B187">
        <f ca="1">ORÇAMENTO!D187</f>
        <v>0</v>
      </c>
      <c r="C187" s="139" t="str">
        <f t="shared" ca="1" si="22"/>
        <v/>
      </c>
      <c r="D187" s="142" t="str">
        <f ca="1">ORÇAMENTO!O187</f>
        <v>-</v>
      </c>
      <c r="E187" s="202" t="str">
        <f t="shared" ca="1" si="23"/>
        <v>(abra o arquivo 'Referência 11-2024.xlsm)</v>
      </c>
      <c r="F187" s="203" t="str">
        <f ca="1">IF(RegimeExecucao="Global","",ORÇAMENTO.Unidade)</f>
        <v/>
      </c>
      <c r="G187" s="147" t="str">
        <f ca="1">IF(RegimeExecucao="Global","",ORÇAMENTO!T187)</f>
        <v/>
      </c>
      <c r="H187" s="147" t="str">
        <f ca="1">IF(RegimeExecucao="Global","",ORÇAMENTO!W187)</f>
        <v/>
      </c>
      <c r="I187" s="150">
        <f ca="1">ORÇAMENTO!X187</f>
        <v>0</v>
      </c>
      <c r="J187" s="423">
        <f ca="1">IF($A187="S",IF(CAIXA.Modo,BM.AFAnterior,BM.MEDAnterior),IF(AND(RegimeExecucao="Global",$I187&gt;0,COUNTIF($AB$13:$AM$13,BM.medicao-1)&gt;0),M187/$I187*100,0))</f>
        <v>0</v>
      </c>
      <c r="K187" s="147">
        <f t="shared" ca="1" si="24"/>
        <v>0</v>
      </c>
      <c r="L187" s="424">
        <f ca="1">IF($A187="S",IF(CAIXA.Modo,BM.AFAcumulado,BM.MEDAcumulado),IF(AND(RegimeExecucao="Global",$I187&gt;0,COUNTIF($AB$13:$AM$13,BM.medicao)&gt;0),O187/$I187*100,0))</f>
        <v>0</v>
      </c>
      <c r="M187" s="425">
        <f ca="1">IF($A187="S",VTOTALBM,IF($A187=0,0,ROUND(SomaAgrupBM,15-13*ORÇAMENTO!$AF$11)))</f>
        <v>0</v>
      </c>
      <c r="N187" s="426">
        <f t="shared" ca="1" si="25"/>
        <v>0</v>
      </c>
      <c r="O187" s="150">
        <f ca="1">IF($A187="S",VTOTALBM,IF($A187=0,0,ROUND(SomaAgrupBM,15-13*ORÇAMENTO!$AF$11)))</f>
        <v>0</v>
      </c>
      <c r="Q187" s="427"/>
      <c r="R187" s="428"/>
      <c r="T187" s="142" t="str">
        <f t="shared" ca="1" si="26"/>
        <v/>
      </c>
      <c r="U187" s="202" t="str">
        <f t="shared" ca="1" si="27"/>
        <v/>
      </c>
      <c r="V187" s="203" t="str">
        <f ca="1">IF(AND($W187&gt;0,RegimeExecucao="Unitário"),$F187,"")</f>
        <v/>
      </c>
      <c r="W187" s="629">
        <f ca="1">IF($Y187&gt;0,CHOOSE(MATCH(RegimeExecucao,{"Unitário","Global"},0),IF($A187="S",$Y187/$X187,""),($Y187/$X187)*100),0)</f>
        <v>0</v>
      </c>
      <c r="X187" s="429" t="str">
        <f ca="1">IF($Y187&gt;0,CHOOSE(MATCH(RegimeExecucao,{"Unitário","Global"},0),IF($A187="S",ROUND($H187,ORÇAMENTO!$AF$10),""),ROUND($I187,ORÇAMENTO!$AF$11)),"")</f>
        <v/>
      </c>
      <c r="Y187" s="429">
        <f t="shared" ca="1" si="28"/>
        <v>0</v>
      </c>
      <c r="Z187" s="656"/>
      <c r="AB187" s="427"/>
      <c r="AC187" s="594"/>
      <c r="AD187" s="594"/>
      <c r="AE187" s="594"/>
      <c r="AF187" s="594"/>
      <c r="AG187" s="594"/>
      <c r="AH187" s="594"/>
      <c r="AI187" s="594"/>
      <c r="AJ187" s="594"/>
      <c r="AK187" s="594"/>
      <c r="AL187" s="594"/>
      <c r="AM187" s="428"/>
      <c r="AO187">
        <f ca="1">IF($A187="S",IF(BM!$I187=0,0,CHOOSE(MATCH(RegimeExecucao,{"Global","Unitário"},0),ROUND(ROUND(BM.MEDAcumulado,15-13*BM!$A$9)/100*BM!$I187,15-13*ORÇAMENTO!$AF$11),ROUND(ROUND(BM.MEDAcumulado,15-13*BM!$A$9)*ROUND(BM!$H187,15-13*ORÇAMENTO!$AF$10),15-13*ORÇAMENTO!$AF$11))),IF($A187=0,0,ROUND(SomaAgrupBM,15-13*ORÇAMENTO!$AF$11)))</f>
        <v>0</v>
      </c>
    </row>
    <row r="188" spans="1:41" ht="13.8">
      <c r="A188" t="str">
        <f ca="1">ORÇAMENTO!C188</f>
        <v>S</v>
      </c>
      <c r="B188">
        <f ca="1">ORÇAMENTO!D188</f>
        <v>0</v>
      </c>
      <c r="C188" s="139" t="str">
        <f t="shared" ca="1" si="22"/>
        <v/>
      </c>
      <c r="D188" s="142" t="str">
        <f ca="1">ORÇAMENTO!O188</f>
        <v>-</v>
      </c>
      <c r="E188" s="202" t="str">
        <f t="shared" ca="1" si="23"/>
        <v>(abra o arquivo 'Referência 11-2024.xlsm)</v>
      </c>
      <c r="F188" s="203" t="str">
        <f ca="1">IF(RegimeExecucao="Global","",ORÇAMENTO.Unidade)</f>
        <v/>
      </c>
      <c r="G188" s="147" t="str">
        <f ca="1">IF(RegimeExecucao="Global","",ORÇAMENTO!T188)</f>
        <v/>
      </c>
      <c r="H188" s="147" t="str">
        <f ca="1">IF(RegimeExecucao="Global","",ORÇAMENTO!W188)</f>
        <v/>
      </c>
      <c r="I188" s="150">
        <f ca="1">ORÇAMENTO!X188</f>
        <v>0</v>
      </c>
      <c r="J188" s="423">
        <f ca="1">IF($A188="S",IF(CAIXA.Modo,BM.AFAnterior,BM.MEDAnterior),IF(AND(RegimeExecucao="Global",$I188&gt;0,COUNTIF($AB$13:$AM$13,BM.medicao-1)&gt;0),M188/$I188*100,0))</f>
        <v>0</v>
      </c>
      <c r="K188" s="147">
        <f t="shared" ca="1" si="24"/>
        <v>0</v>
      </c>
      <c r="L188" s="424">
        <f ca="1">IF($A188="S",IF(CAIXA.Modo,BM.AFAcumulado,BM.MEDAcumulado),IF(AND(RegimeExecucao="Global",$I188&gt;0,COUNTIF($AB$13:$AM$13,BM.medicao)&gt;0),O188/$I188*100,0))</f>
        <v>0</v>
      </c>
      <c r="M188" s="425">
        <f ca="1">IF($A188="S",VTOTALBM,IF($A188=0,0,ROUND(SomaAgrupBM,15-13*ORÇAMENTO!$AF$11)))</f>
        <v>0</v>
      </c>
      <c r="N188" s="426">
        <f t="shared" ca="1" si="25"/>
        <v>0</v>
      </c>
      <c r="O188" s="150">
        <f ca="1">IF($A188="S",VTOTALBM,IF($A188=0,0,ROUND(SomaAgrupBM,15-13*ORÇAMENTO!$AF$11)))</f>
        <v>0</v>
      </c>
      <c r="Q188" s="427"/>
      <c r="R188" s="428"/>
      <c r="T188" s="142" t="str">
        <f t="shared" ca="1" si="26"/>
        <v/>
      </c>
      <c r="U188" s="202" t="str">
        <f t="shared" ca="1" si="27"/>
        <v/>
      </c>
      <c r="V188" s="203" t="str">
        <f ca="1">IF(AND($W188&gt;0,RegimeExecucao="Unitário"),$F188,"")</f>
        <v/>
      </c>
      <c r="W188" s="629">
        <f ca="1">IF($Y188&gt;0,CHOOSE(MATCH(RegimeExecucao,{"Unitário","Global"},0),IF($A188="S",$Y188/$X188,""),($Y188/$X188)*100),0)</f>
        <v>0</v>
      </c>
      <c r="X188" s="429" t="str">
        <f ca="1">IF($Y188&gt;0,CHOOSE(MATCH(RegimeExecucao,{"Unitário","Global"},0),IF($A188="S",ROUND($H188,ORÇAMENTO!$AF$10),""),ROUND($I188,ORÇAMENTO!$AF$11)),"")</f>
        <v/>
      </c>
      <c r="Y188" s="429">
        <f t="shared" ca="1" si="28"/>
        <v>0</v>
      </c>
      <c r="Z188" s="656"/>
      <c r="AB188" s="427"/>
      <c r="AC188" s="594"/>
      <c r="AD188" s="594"/>
      <c r="AE188" s="594"/>
      <c r="AF188" s="594"/>
      <c r="AG188" s="594"/>
      <c r="AH188" s="594"/>
      <c r="AI188" s="594"/>
      <c r="AJ188" s="594"/>
      <c r="AK188" s="594"/>
      <c r="AL188" s="594"/>
      <c r="AM188" s="428"/>
      <c r="AO188">
        <f ca="1">IF($A188="S",IF(BM!$I188=0,0,CHOOSE(MATCH(RegimeExecucao,{"Global","Unitário"},0),ROUND(ROUND(BM.MEDAcumulado,15-13*BM!$A$9)/100*BM!$I188,15-13*ORÇAMENTO!$AF$11),ROUND(ROUND(BM.MEDAcumulado,15-13*BM!$A$9)*ROUND(BM!$H188,15-13*ORÇAMENTO!$AF$10),15-13*ORÇAMENTO!$AF$11))),IF($A188=0,0,ROUND(SomaAgrupBM,15-13*ORÇAMENTO!$AF$11)))</f>
        <v>0</v>
      </c>
    </row>
    <row r="189" spans="1:41" ht="13.8">
      <c r="A189" t="str">
        <f ca="1">ORÇAMENTO!C189</f>
        <v>S</v>
      </c>
      <c r="B189">
        <f ca="1">ORÇAMENTO!D189</f>
        <v>0</v>
      </c>
      <c r="C189" s="139" t="str">
        <f t="shared" ca="1" si="22"/>
        <v/>
      </c>
      <c r="D189" s="142" t="str">
        <f ca="1">ORÇAMENTO!O189</f>
        <v>-</v>
      </c>
      <c r="E189" s="202" t="str">
        <f t="shared" ca="1" si="23"/>
        <v>(abra o arquivo 'Referência 11-2024.xlsm)</v>
      </c>
      <c r="F189" s="203" t="str">
        <f ca="1">IF(RegimeExecucao="Global","",ORÇAMENTO.Unidade)</f>
        <v/>
      </c>
      <c r="G189" s="147" t="str">
        <f ca="1">IF(RegimeExecucao="Global","",ORÇAMENTO!T189)</f>
        <v/>
      </c>
      <c r="H189" s="147" t="str">
        <f ca="1">IF(RegimeExecucao="Global","",ORÇAMENTO!W189)</f>
        <v/>
      </c>
      <c r="I189" s="150">
        <f ca="1">ORÇAMENTO!X189</f>
        <v>0</v>
      </c>
      <c r="J189" s="423">
        <f ca="1">IF($A189="S",IF(CAIXA.Modo,BM.AFAnterior,BM.MEDAnterior),IF(AND(RegimeExecucao="Global",$I189&gt;0,COUNTIF($AB$13:$AM$13,BM.medicao-1)&gt;0),M189/$I189*100,0))</f>
        <v>0</v>
      </c>
      <c r="K189" s="147">
        <f t="shared" ca="1" si="24"/>
        <v>0</v>
      </c>
      <c r="L189" s="424">
        <f ca="1">IF($A189="S",IF(CAIXA.Modo,BM.AFAcumulado,BM.MEDAcumulado),IF(AND(RegimeExecucao="Global",$I189&gt;0,COUNTIF($AB$13:$AM$13,BM.medicao)&gt;0),O189/$I189*100,0))</f>
        <v>0</v>
      </c>
      <c r="M189" s="425">
        <f ca="1">IF($A189="S",VTOTALBM,IF($A189=0,0,ROUND(SomaAgrupBM,15-13*ORÇAMENTO!$AF$11)))</f>
        <v>0</v>
      </c>
      <c r="N189" s="426">
        <f t="shared" ca="1" si="25"/>
        <v>0</v>
      </c>
      <c r="O189" s="150">
        <f ca="1">IF($A189="S",VTOTALBM,IF($A189=0,0,ROUND(SomaAgrupBM,15-13*ORÇAMENTO!$AF$11)))</f>
        <v>0</v>
      </c>
      <c r="Q189" s="427"/>
      <c r="R189" s="428"/>
      <c r="T189" s="142" t="str">
        <f t="shared" ca="1" si="26"/>
        <v/>
      </c>
      <c r="U189" s="202" t="str">
        <f t="shared" ca="1" si="27"/>
        <v/>
      </c>
      <c r="V189" s="203" t="str">
        <f ca="1">IF(AND($W189&gt;0,RegimeExecucao="Unitário"),$F189,"")</f>
        <v/>
      </c>
      <c r="W189" s="629">
        <f ca="1">IF($Y189&gt;0,CHOOSE(MATCH(RegimeExecucao,{"Unitário","Global"},0),IF($A189="S",$Y189/$X189,""),($Y189/$X189)*100),0)</f>
        <v>0</v>
      </c>
      <c r="X189" s="429" t="str">
        <f ca="1">IF($Y189&gt;0,CHOOSE(MATCH(RegimeExecucao,{"Unitário","Global"},0),IF($A189="S",ROUND($H189,ORÇAMENTO!$AF$10),""),ROUND($I189,ORÇAMENTO!$AF$11)),"")</f>
        <v/>
      </c>
      <c r="Y189" s="429">
        <f t="shared" ca="1" si="28"/>
        <v>0</v>
      </c>
      <c r="Z189" s="656"/>
      <c r="AB189" s="427"/>
      <c r="AC189" s="594"/>
      <c r="AD189" s="594"/>
      <c r="AE189" s="594"/>
      <c r="AF189" s="594"/>
      <c r="AG189" s="594"/>
      <c r="AH189" s="594"/>
      <c r="AI189" s="594"/>
      <c r="AJ189" s="594"/>
      <c r="AK189" s="594"/>
      <c r="AL189" s="594"/>
      <c r="AM189" s="428"/>
      <c r="AO189">
        <f ca="1">IF($A189="S",IF(BM!$I189=0,0,CHOOSE(MATCH(RegimeExecucao,{"Global","Unitário"},0),ROUND(ROUND(BM.MEDAcumulado,15-13*BM!$A$9)/100*BM!$I189,15-13*ORÇAMENTO!$AF$11),ROUND(ROUND(BM.MEDAcumulado,15-13*BM!$A$9)*ROUND(BM!$H189,15-13*ORÇAMENTO!$AF$10),15-13*ORÇAMENTO!$AF$11))),IF($A189=0,0,ROUND(SomaAgrupBM,15-13*ORÇAMENTO!$AF$11)))</f>
        <v>0</v>
      </c>
    </row>
    <row r="190" spans="1:41" ht="13.8">
      <c r="A190" t="str">
        <f ca="1">ORÇAMENTO!C190</f>
        <v>S</v>
      </c>
      <c r="B190">
        <f ca="1">ORÇAMENTO!D190</f>
        <v>0</v>
      </c>
      <c r="C190" s="139" t="str">
        <f t="shared" ca="1" si="22"/>
        <v/>
      </c>
      <c r="D190" s="142" t="str">
        <f ca="1">ORÇAMENTO!O190</f>
        <v>-</v>
      </c>
      <c r="E190" s="202" t="str">
        <f t="shared" ca="1" si="23"/>
        <v>(abra o arquivo 'Referência 11-2024.xlsm)</v>
      </c>
      <c r="F190" s="203" t="str">
        <f ca="1">IF(RegimeExecucao="Global","",ORÇAMENTO.Unidade)</f>
        <v/>
      </c>
      <c r="G190" s="147" t="str">
        <f ca="1">IF(RegimeExecucao="Global","",ORÇAMENTO!T190)</f>
        <v/>
      </c>
      <c r="H190" s="147" t="str">
        <f ca="1">IF(RegimeExecucao="Global","",ORÇAMENTO!W190)</f>
        <v/>
      </c>
      <c r="I190" s="150">
        <f ca="1">ORÇAMENTO!X190</f>
        <v>0</v>
      </c>
      <c r="J190" s="423">
        <f ca="1">IF($A190="S",IF(CAIXA.Modo,BM.AFAnterior,BM.MEDAnterior),IF(AND(RegimeExecucao="Global",$I190&gt;0,COUNTIF($AB$13:$AM$13,BM.medicao-1)&gt;0),M190/$I190*100,0))</f>
        <v>0</v>
      </c>
      <c r="K190" s="147">
        <f t="shared" ca="1" si="24"/>
        <v>0</v>
      </c>
      <c r="L190" s="424">
        <f ca="1">IF($A190="S",IF(CAIXA.Modo,BM.AFAcumulado,BM.MEDAcumulado),IF(AND(RegimeExecucao="Global",$I190&gt;0,COUNTIF($AB$13:$AM$13,BM.medicao)&gt;0),O190/$I190*100,0))</f>
        <v>0</v>
      </c>
      <c r="M190" s="425">
        <f ca="1">IF($A190="S",VTOTALBM,IF($A190=0,0,ROUND(SomaAgrupBM,15-13*ORÇAMENTO!$AF$11)))</f>
        <v>0</v>
      </c>
      <c r="N190" s="426">
        <f t="shared" ca="1" si="25"/>
        <v>0</v>
      </c>
      <c r="O190" s="150">
        <f ca="1">IF($A190="S",VTOTALBM,IF($A190=0,0,ROUND(SomaAgrupBM,15-13*ORÇAMENTO!$AF$11)))</f>
        <v>0</v>
      </c>
      <c r="Q190" s="427"/>
      <c r="R190" s="428"/>
      <c r="T190" s="142" t="str">
        <f t="shared" ca="1" si="26"/>
        <v/>
      </c>
      <c r="U190" s="202" t="str">
        <f t="shared" ca="1" si="27"/>
        <v/>
      </c>
      <c r="V190" s="203" t="str">
        <f ca="1">IF(AND($W190&gt;0,RegimeExecucao="Unitário"),$F190,"")</f>
        <v/>
      </c>
      <c r="W190" s="629">
        <f ca="1">IF($Y190&gt;0,CHOOSE(MATCH(RegimeExecucao,{"Unitário","Global"},0),IF($A190="S",$Y190/$X190,""),($Y190/$X190)*100),0)</f>
        <v>0</v>
      </c>
      <c r="X190" s="429" t="str">
        <f ca="1">IF($Y190&gt;0,CHOOSE(MATCH(RegimeExecucao,{"Unitário","Global"},0),IF($A190="S",ROUND($H190,ORÇAMENTO!$AF$10),""),ROUND($I190,ORÇAMENTO!$AF$11)),"")</f>
        <v/>
      </c>
      <c r="Y190" s="429">
        <f t="shared" ca="1" si="28"/>
        <v>0</v>
      </c>
      <c r="Z190" s="656"/>
      <c r="AB190" s="427"/>
      <c r="AC190" s="594"/>
      <c r="AD190" s="594"/>
      <c r="AE190" s="594"/>
      <c r="AF190" s="594"/>
      <c r="AG190" s="594"/>
      <c r="AH190" s="594"/>
      <c r="AI190" s="594"/>
      <c r="AJ190" s="594"/>
      <c r="AK190" s="594"/>
      <c r="AL190" s="594"/>
      <c r="AM190" s="428"/>
      <c r="AO190">
        <f ca="1">IF($A190="S",IF(BM!$I190=0,0,CHOOSE(MATCH(RegimeExecucao,{"Global","Unitário"},0),ROUND(ROUND(BM.MEDAcumulado,15-13*BM!$A$9)/100*BM!$I190,15-13*ORÇAMENTO!$AF$11),ROUND(ROUND(BM.MEDAcumulado,15-13*BM!$A$9)*ROUND(BM!$H190,15-13*ORÇAMENTO!$AF$10),15-13*ORÇAMENTO!$AF$11))),IF($A190=0,0,ROUND(SomaAgrupBM,15-13*ORÇAMENTO!$AF$11)))</f>
        <v>0</v>
      </c>
    </row>
    <row r="191" spans="1:41" ht="13.8">
      <c r="A191" t="str">
        <f ca="1">ORÇAMENTO!C191</f>
        <v>S</v>
      </c>
      <c r="B191">
        <f ca="1">ORÇAMENTO!D191</f>
        <v>0</v>
      </c>
      <c r="C191" s="139" t="str">
        <f t="shared" ca="1" si="22"/>
        <v/>
      </c>
      <c r="D191" s="142" t="str">
        <f ca="1">ORÇAMENTO!O191</f>
        <v>-</v>
      </c>
      <c r="E191" s="202" t="str">
        <f t="shared" ca="1" si="23"/>
        <v>(abra o arquivo 'Referência 11-2024.xlsm)</v>
      </c>
      <c r="F191" s="203" t="str">
        <f ca="1">IF(RegimeExecucao="Global","",ORÇAMENTO.Unidade)</f>
        <v/>
      </c>
      <c r="G191" s="147" t="str">
        <f ca="1">IF(RegimeExecucao="Global","",ORÇAMENTO!T191)</f>
        <v/>
      </c>
      <c r="H191" s="147" t="str">
        <f ca="1">IF(RegimeExecucao="Global","",ORÇAMENTO!W191)</f>
        <v/>
      </c>
      <c r="I191" s="150">
        <f ca="1">ORÇAMENTO!X191</f>
        <v>0</v>
      </c>
      <c r="J191" s="423">
        <f ca="1">IF($A191="S",IF(CAIXA.Modo,BM.AFAnterior,BM.MEDAnterior),IF(AND(RegimeExecucao="Global",$I191&gt;0,COUNTIF($AB$13:$AM$13,BM.medicao-1)&gt;0),M191/$I191*100,0))</f>
        <v>0</v>
      </c>
      <c r="K191" s="147">
        <f t="shared" ca="1" si="24"/>
        <v>0</v>
      </c>
      <c r="L191" s="424">
        <f ca="1">IF($A191="S",IF(CAIXA.Modo,BM.AFAcumulado,BM.MEDAcumulado),IF(AND(RegimeExecucao="Global",$I191&gt;0,COUNTIF($AB$13:$AM$13,BM.medicao)&gt;0),O191/$I191*100,0))</f>
        <v>0</v>
      </c>
      <c r="M191" s="425">
        <f ca="1">IF($A191="S",VTOTALBM,IF($A191=0,0,ROUND(SomaAgrupBM,15-13*ORÇAMENTO!$AF$11)))</f>
        <v>0</v>
      </c>
      <c r="N191" s="426">
        <f t="shared" ca="1" si="25"/>
        <v>0</v>
      </c>
      <c r="O191" s="150">
        <f ca="1">IF($A191="S",VTOTALBM,IF($A191=0,0,ROUND(SomaAgrupBM,15-13*ORÇAMENTO!$AF$11)))</f>
        <v>0</v>
      </c>
      <c r="Q191" s="427"/>
      <c r="R191" s="428"/>
      <c r="T191" s="142" t="str">
        <f t="shared" ca="1" si="26"/>
        <v/>
      </c>
      <c r="U191" s="202" t="str">
        <f t="shared" ca="1" si="27"/>
        <v/>
      </c>
      <c r="V191" s="203" t="str">
        <f ca="1">IF(AND($W191&gt;0,RegimeExecucao="Unitário"),$F191,"")</f>
        <v/>
      </c>
      <c r="W191" s="629">
        <f ca="1">IF($Y191&gt;0,CHOOSE(MATCH(RegimeExecucao,{"Unitário","Global"},0),IF($A191="S",$Y191/$X191,""),($Y191/$X191)*100),0)</f>
        <v>0</v>
      </c>
      <c r="X191" s="429" t="str">
        <f ca="1">IF($Y191&gt;0,CHOOSE(MATCH(RegimeExecucao,{"Unitário","Global"},0),IF($A191="S",ROUND($H191,ORÇAMENTO!$AF$10),""),ROUND($I191,ORÇAMENTO!$AF$11)),"")</f>
        <v/>
      </c>
      <c r="Y191" s="429">
        <f t="shared" ca="1" si="28"/>
        <v>0</v>
      </c>
      <c r="Z191" s="656"/>
      <c r="AB191" s="427"/>
      <c r="AC191" s="594"/>
      <c r="AD191" s="594"/>
      <c r="AE191" s="594"/>
      <c r="AF191" s="594"/>
      <c r="AG191" s="594"/>
      <c r="AH191" s="594"/>
      <c r="AI191" s="594"/>
      <c r="AJ191" s="594"/>
      <c r="AK191" s="594"/>
      <c r="AL191" s="594"/>
      <c r="AM191" s="428"/>
      <c r="AO191">
        <f ca="1">IF($A191="S",IF(BM!$I191=0,0,CHOOSE(MATCH(RegimeExecucao,{"Global","Unitário"},0),ROUND(ROUND(BM.MEDAcumulado,15-13*BM!$A$9)/100*BM!$I191,15-13*ORÇAMENTO!$AF$11),ROUND(ROUND(BM.MEDAcumulado,15-13*BM!$A$9)*ROUND(BM!$H191,15-13*ORÇAMENTO!$AF$10),15-13*ORÇAMENTO!$AF$11))),IF($A191=0,0,ROUND(SomaAgrupBM,15-13*ORÇAMENTO!$AF$11)))</f>
        <v>0</v>
      </c>
    </row>
    <row r="192" spans="1:41" ht="13.8">
      <c r="A192" t="str">
        <f ca="1">ORÇAMENTO!C192</f>
        <v>S</v>
      </c>
      <c r="B192">
        <f ca="1">ORÇAMENTO!D192</f>
        <v>0</v>
      </c>
      <c r="C192" s="139" t="str">
        <f t="shared" ca="1" si="22"/>
        <v/>
      </c>
      <c r="D192" s="142" t="str">
        <f ca="1">ORÇAMENTO!O192</f>
        <v>-</v>
      </c>
      <c r="E192" s="202" t="str">
        <f t="shared" ca="1" si="23"/>
        <v>(abra o arquivo 'Referência 11-2024.xlsm)</v>
      </c>
      <c r="F192" s="203" t="str">
        <f ca="1">IF(RegimeExecucao="Global","",ORÇAMENTO.Unidade)</f>
        <v/>
      </c>
      <c r="G192" s="147" t="str">
        <f ca="1">IF(RegimeExecucao="Global","",ORÇAMENTO!T192)</f>
        <v/>
      </c>
      <c r="H192" s="147" t="str">
        <f ca="1">IF(RegimeExecucao="Global","",ORÇAMENTO!W192)</f>
        <v/>
      </c>
      <c r="I192" s="150">
        <f ca="1">ORÇAMENTO!X192</f>
        <v>0</v>
      </c>
      <c r="J192" s="423">
        <f ca="1">IF($A192="S",IF(CAIXA.Modo,BM.AFAnterior,BM.MEDAnterior),IF(AND(RegimeExecucao="Global",$I192&gt;0,COUNTIF($AB$13:$AM$13,BM.medicao-1)&gt;0),M192/$I192*100,0))</f>
        <v>0</v>
      </c>
      <c r="K192" s="147">
        <f t="shared" ca="1" si="24"/>
        <v>0</v>
      </c>
      <c r="L192" s="424">
        <f ca="1">IF($A192="S",IF(CAIXA.Modo,BM.AFAcumulado,BM.MEDAcumulado),IF(AND(RegimeExecucao="Global",$I192&gt;0,COUNTIF($AB$13:$AM$13,BM.medicao)&gt;0),O192/$I192*100,0))</f>
        <v>0</v>
      </c>
      <c r="M192" s="425">
        <f ca="1">IF($A192="S",VTOTALBM,IF($A192=0,0,ROUND(SomaAgrupBM,15-13*ORÇAMENTO!$AF$11)))</f>
        <v>0</v>
      </c>
      <c r="N192" s="426">
        <f t="shared" ca="1" si="25"/>
        <v>0</v>
      </c>
      <c r="O192" s="150">
        <f ca="1">IF($A192="S",VTOTALBM,IF($A192=0,0,ROUND(SomaAgrupBM,15-13*ORÇAMENTO!$AF$11)))</f>
        <v>0</v>
      </c>
      <c r="Q192" s="427"/>
      <c r="R192" s="428"/>
      <c r="T192" s="142" t="str">
        <f t="shared" ca="1" si="26"/>
        <v/>
      </c>
      <c r="U192" s="202" t="str">
        <f t="shared" ca="1" si="27"/>
        <v/>
      </c>
      <c r="V192" s="203" t="str">
        <f ca="1">IF(AND($W192&gt;0,RegimeExecucao="Unitário"),$F192,"")</f>
        <v/>
      </c>
      <c r="W192" s="629">
        <f ca="1">IF($Y192&gt;0,CHOOSE(MATCH(RegimeExecucao,{"Unitário","Global"},0),IF($A192="S",$Y192/$X192,""),($Y192/$X192)*100),0)</f>
        <v>0</v>
      </c>
      <c r="X192" s="429" t="str">
        <f ca="1">IF($Y192&gt;0,CHOOSE(MATCH(RegimeExecucao,{"Unitário","Global"},0),IF($A192="S",ROUND($H192,ORÇAMENTO!$AF$10),""),ROUND($I192,ORÇAMENTO!$AF$11)),"")</f>
        <v/>
      </c>
      <c r="Y192" s="429">
        <f t="shared" ca="1" si="28"/>
        <v>0</v>
      </c>
      <c r="Z192" s="656"/>
      <c r="AB192" s="427"/>
      <c r="AC192" s="594"/>
      <c r="AD192" s="594"/>
      <c r="AE192" s="594"/>
      <c r="AF192" s="594"/>
      <c r="AG192" s="594"/>
      <c r="AH192" s="594"/>
      <c r="AI192" s="594"/>
      <c r="AJ192" s="594"/>
      <c r="AK192" s="594"/>
      <c r="AL192" s="594"/>
      <c r="AM192" s="428"/>
      <c r="AO192">
        <f ca="1">IF($A192="S",IF(BM!$I192=0,0,CHOOSE(MATCH(RegimeExecucao,{"Global","Unitário"},0),ROUND(ROUND(BM.MEDAcumulado,15-13*BM!$A$9)/100*BM!$I192,15-13*ORÇAMENTO!$AF$11),ROUND(ROUND(BM.MEDAcumulado,15-13*BM!$A$9)*ROUND(BM!$H192,15-13*ORÇAMENTO!$AF$10),15-13*ORÇAMENTO!$AF$11))),IF($A192=0,0,ROUND(SomaAgrupBM,15-13*ORÇAMENTO!$AF$11)))</f>
        <v>0</v>
      </c>
    </row>
    <row r="193" spans="1:41" ht="13.8">
      <c r="A193" t="str">
        <f ca="1">ORÇAMENTO!C193</f>
        <v>S</v>
      </c>
      <c r="B193">
        <f ca="1">ORÇAMENTO!D193</f>
        <v>0</v>
      </c>
      <c r="C193" s="139" t="str">
        <f t="shared" ca="1" si="22"/>
        <v/>
      </c>
      <c r="D193" s="142" t="str">
        <f ca="1">ORÇAMENTO!O193</f>
        <v>-</v>
      </c>
      <c r="E193" s="202" t="str">
        <f t="shared" ca="1" si="23"/>
        <v>(abra o arquivo 'Referência 11-2024.xlsm)</v>
      </c>
      <c r="F193" s="203" t="str">
        <f ca="1">IF(RegimeExecucao="Global","",ORÇAMENTO.Unidade)</f>
        <v/>
      </c>
      <c r="G193" s="147" t="str">
        <f ca="1">IF(RegimeExecucao="Global","",ORÇAMENTO!T193)</f>
        <v/>
      </c>
      <c r="H193" s="147" t="str">
        <f ca="1">IF(RegimeExecucao="Global","",ORÇAMENTO!W193)</f>
        <v/>
      </c>
      <c r="I193" s="150">
        <f ca="1">ORÇAMENTO!X193</f>
        <v>0</v>
      </c>
      <c r="J193" s="423">
        <f ca="1">IF($A193="S",IF(CAIXA.Modo,BM.AFAnterior,BM.MEDAnterior),IF(AND(RegimeExecucao="Global",$I193&gt;0,COUNTIF($AB$13:$AM$13,BM.medicao-1)&gt;0),M193/$I193*100,0))</f>
        <v>0</v>
      </c>
      <c r="K193" s="147">
        <f t="shared" ca="1" si="24"/>
        <v>0</v>
      </c>
      <c r="L193" s="424">
        <f ca="1">IF($A193="S",IF(CAIXA.Modo,BM.AFAcumulado,BM.MEDAcumulado),IF(AND(RegimeExecucao="Global",$I193&gt;0,COUNTIF($AB$13:$AM$13,BM.medicao)&gt;0),O193/$I193*100,0))</f>
        <v>0</v>
      </c>
      <c r="M193" s="425">
        <f ca="1">IF($A193="S",VTOTALBM,IF($A193=0,0,ROUND(SomaAgrupBM,15-13*ORÇAMENTO!$AF$11)))</f>
        <v>0</v>
      </c>
      <c r="N193" s="426">
        <f t="shared" ca="1" si="25"/>
        <v>0</v>
      </c>
      <c r="O193" s="150">
        <f ca="1">IF($A193="S",VTOTALBM,IF($A193=0,0,ROUND(SomaAgrupBM,15-13*ORÇAMENTO!$AF$11)))</f>
        <v>0</v>
      </c>
      <c r="Q193" s="427"/>
      <c r="R193" s="428"/>
      <c r="T193" s="142" t="str">
        <f t="shared" ca="1" si="26"/>
        <v/>
      </c>
      <c r="U193" s="202" t="str">
        <f t="shared" ca="1" si="27"/>
        <v/>
      </c>
      <c r="V193" s="203" t="str">
        <f ca="1">IF(AND($W193&gt;0,RegimeExecucao="Unitário"),$F193,"")</f>
        <v/>
      </c>
      <c r="W193" s="629">
        <f ca="1">IF($Y193&gt;0,CHOOSE(MATCH(RegimeExecucao,{"Unitário","Global"},0),IF($A193="S",$Y193/$X193,""),($Y193/$X193)*100),0)</f>
        <v>0</v>
      </c>
      <c r="X193" s="429" t="str">
        <f ca="1">IF($Y193&gt;0,CHOOSE(MATCH(RegimeExecucao,{"Unitário","Global"},0),IF($A193="S",ROUND($H193,ORÇAMENTO!$AF$10),""),ROUND($I193,ORÇAMENTO!$AF$11)),"")</f>
        <v/>
      </c>
      <c r="Y193" s="429">
        <f t="shared" ca="1" si="28"/>
        <v>0</v>
      </c>
      <c r="Z193" s="656"/>
      <c r="AB193" s="427"/>
      <c r="AC193" s="594"/>
      <c r="AD193" s="594"/>
      <c r="AE193" s="594"/>
      <c r="AF193" s="594"/>
      <c r="AG193" s="594"/>
      <c r="AH193" s="594"/>
      <c r="AI193" s="594"/>
      <c r="AJ193" s="594"/>
      <c r="AK193" s="594"/>
      <c r="AL193" s="594"/>
      <c r="AM193" s="428"/>
      <c r="AO193">
        <f ca="1">IF($A193="S",IF(BM!$I193=0,0,CHOOSE(MATCH(RegimeExecucao,{"Global","Unitário"},0),ROUND(ROUND(BM.MEDAcumulado,15-13*BM!$A$9)/100*BM!$I193,15-13*ORÇAMENTO!$AF$11),ROUND(ROUND(BM.MEDAcumulado,15-13*BM!$A$9)*ROUND(BM!$H193,15-13*ORÇAMENTO!$AF$10),15-13*ORÇAMENTO!$AF$11))),IF($A193=0,0,ROUND(SomaAgrupBM,15-13*ORÇAMENTO!$AF$11)))</f>
        <v>0</v>
      </c>
    </row>
    <row r="194" spans="1:41" ht="13.8">
      <c r="A194" t="str">
        <f ca="1">ORÇAMENTO!C194</f>
        <v>S</v>
      </c>
      <c r="B194">
        <f ca="1">ORÇAMENTO!D194</f>
        <v>0</v>
      </c>
      <c r="C194" s="139" t="str">
        <f t="shared" ca="1" si="22"/>
        <v/>
      </c>
      <c r="D194" s="142" t="str">
        <f ca="1">ORÇAMENTO!O194</f>
        <v>-</v>
      </c>
      <c r="E194" s="202" t="str">
        <f t="shared" ca="1" si="23"/>
        <v>(abra o arquivo 'Referência 11-2024.xlsm)</v>
      </c>
      <c r="F194" s="203" t="str">
        <f ca="1">IF(RegimeExecucao="Global","",ORÇAMENTO.Unidade)</f>
        <v/>
      </c>
      <c r="G194" s="147" t="str">
        <f ca="1">IF(RegimeExecucao="Global","",ORÇAMENTO!T194)</f>
        <v/>
      </c>
      <c r="H194" s="147" t="str">
        <f ca="1">IF(RegimeExecucao="Global","",ORÇAMENTO!W194)</f>
        <v/>
      </c>
      <c r="I194" s="150">
        <f ca="1">ORÇAMENTO!X194</f>
        <v>0</v>
      </c>
      <c r="J194" s="423">
        <f ca="1">IF($A194="S",IF(CAIXA.Modo,BM.AFAnterior,BM.MEDAnterior),IF(AND(RegimeExecucao="Global",$I194&gt;0,COUNTIF($AB$13:$AM$13,BM.medicao-1)&gt;0),M194/$I194*100,0))</f>
        <v>0</v>
      </c>
      <c r="K194" s="147">
        <f t="shared" ca="1" si="24"/>
        <v>0</v>
      </c>
      <c r="L194" s="424">
        <f ca="1">IF($A194="S",IF(CAIXA.Modo,BM.AFAcumulado,BM.MEDAcumulado),IF(AND(RegimeExecucao="Global",$I194&gt;0,COUNTIF($AB$13:$AM$13,BM.medicao)&gt;0),O194/$I194*100,0))</f>
        <v>0</v>
      </c>
      <c r="M194" s="425">
        <f ca="1">IF($A194="S",VTOTALBM,IF($A194=0,0,ROUND(SomaAgrupBM,15-13*ORÇAMENTO!$AF$11)))</f>
        <v>0</v>
      </c>
      <c r="N194" s="426">
        <f t="shared" ca="1" si="25"/>
        <v>0</v>
      </c>
      <c r="O194" s="150">
        <f ca="1">IF($A194="S",VTOTALBM,IF($A194=0,0,ROUND(SomaAgrupBM,15-13*ORÇAMENTO!$AF$11)))</f>
        <v>0</v>
      </c>
      <c r="Q194" s="427"/>
      <c r="R194" s="428"/>
      <c r="T194" s="142" t="str">
        <f t="shared" ca="1" si="26"/>
        <v/>
      </c>
      <c r="U194" s="202" t="str">
        <f t="shared" ca="1" si="27"/>
        <v/>
      </c>
      <c r="V194" s="203" t="str">
        <f ca="1">IF(AND($W194&gt;0,RegimeExecucao="Unitário"),$F194,"")</f>
        <v/>
      </c>
      <c r="W194" s="629">
        <f ca="1">IF($Y194&gt;0,CHOOSE(MATCH(RegimeExecucao,{"Unitário","Global"},0),IF($A194="S",$Y194/$X194,""),($Y194/$X194)*100),0)</f>
        <v>0</v>
      </c>
      <c r="X194" s="429" t="str">
        <f ca="1">IF($Y194&gt;0,CHOOSE(MATCH(RegimeExecucao,{"Unitário","Global"},0),IF($A194="S",ROUND($H194,ORÇAMENTO!$AF$10),""),ROUND($I194,ORÇAMENTO!$AF$11)),"")</f>
        <v/>
      </c>
      <c r="Y194" s="429">
        <f t="shared" ca="1" si="28"/>
        <v>0</v>
      </c>
      <c r="Z194" s="656"/>
      <c r="AB194" s="427"/>
      <c r="AC194" s="594"/>
      <c r="AD194" s="594"/>
      <c r="AE194" s="594"/>
      <c r="AF194" s="594"/>
      <c r="AG194" s="594"/>
      <c r="AH194" s="594"/>
      <c r="AI194" s="594"/>
      <c r="AJ194" s="594"/>
      <c r="AK194" s="594"/>
      <c r="AL194" s="594"/>
      <c r="AM194" s="428"/>
      <c r="AO194">
        <f ca="1">IF($A194="S",IF(BM!$I194=0,0,CHOOSE(MATCH(RegimeExecucao,{"Global","Unitário"},0),ROUND(ROUND(BM.MEDAcumulado,15-13*BM!$A$9)/100*BM!$I194,15-13*ORÇAMENTO!$AF$11),ROUND(ROUND(BM.MEDAcumulado,15-13*BM!$A$9)*ROUND(BM!$H194,15-13*ORÇAMENTO!$AF$10),15-13*ORÇAMENTO!$AF$11))),IF($A194=0,0,ROUND(SomaAgrupBM,15-13*ORÇAMENTO!$AF$11)))</f>
        <v>0</v>
      </c>
    </row>
    <row r="195" spans="1:41" ht="13.8">
      <c r="A195" t="str">
        <f ca="1">ORÇAMENTO!C195</f>
        <v>S</v>
      </c>
      <c r="B195">
        <f ca="1">ORÇAMENTO!D195</f>
        <v>0</v>
      </c>
      <c r="C195" s="139" t="str">
        <f t="shared" ca="1" si="22"/>
        <v/>
      </c>
      <c r="D195" s="142" t="str">
        <f ca="1">ORÇAMENTO!O195</f>
        <v>-</v>
      </c>
      <c r="E195" s="202" t="str">
        <f t="shared" ca="1" si="23"/>
        <v>(abra o arquivo 'Referência 11-2024.xlsm)</v>
      </c>
      <c r="F195" s="203" t="str">
        <f ca="1">IF(RegimeExecucao="Global","",ORÇAMENTO.Unidade)</f>
        <v/>
      </c>
      <c r="G195" s="147" t="str">
        <f ca="1">IF(RegimeExecucao="Global","",ORÇAMENTO!T195)</f>
        <v/>
      </c>
      <c r="H195" s="147" t="str">
        <f ca="1">IF(RegimeExecucao="Global","",ORÇAMENTO!W195)</f>
        <v/>
      </c>
      <c r="I195" s="150">
        <f ca="1">ORÇAMENTO!X195</f>
        <v>0</v>
      </c>
      <c r="J195" s="423">
        <f ca="1">IF($A195="S",IF(CAIXA.Modo,BM.AFAnterior,BM.MEDAnterior),IF(AND(RegimeExecucao="Global",$I195&gt;0,COUNTIF($AB$13:$AM$13,BM.medicao-1)&gt;0),M195/$I195*100,0))</f>
        <v>0</v>
      </c>
      <c r="K195" s="147">
        <f t="shared" ca="1" si="24"/>
        <v>0</v>
      </c>
      <c r="L195" s="424">
        <f ca="1">IF($A195="S",IF(CAIXA.Modo,BM.AFAcumulado,BM.MEDAcumulado),IF(AND(RegimeExecucao="Global",$I195&gt;0,COUNTIF($AB$13:$AM$13,BM.medicao)&gt;0),O195/$I195*100,0))</f>
        <v>0</v>
      </c>
      <c r="M195" s="425">
        <f ca="1">IF($A195="S",VTOTALBM,IF($A195=0,0,ROUND(SomaAgrupBM,15-13*ORÇAMENTO!$AF$11)))</f>
        <v>0</v>
      </c>
      <c r="N195" s="426">
        <f t="shared" ca="1" si="25"/>
        <v>0</v>
      </c>
      <c r="O195" s="150">
        <f ca="1">IF($A195="S",VTOTALBM,IF($A195=0,0,ROUND(SomaAgrupBM,15-13*ORÇAMENTO!$AF$11)))</f>
        <v>0</v>
      </c>
      <c r="Q195" s="427"/>
      <c r="R195" s="428"/>
      <c r="T195" s="142" t="str">
        <f t="shared" ca="1" si="26"/>
        <v/>
      </c>
      <c r="U195" s="202" t="str">
        <f t="shared" ca="1" si="27"/>
        <v/>
      </c>
      <c r="V195" s="203" t="str">
        <f ca="1">IF(AND($W195&gt;0,RegimeExecucao="Unitário"),$F195,"")</f>
        <v/>
      </c>
      <c r="W195" s="629">
        <f ca="1">IF($Y195&gt;0,CHOOSE(MATCH(RegimeExecucao,{"Unitário","Global"},0),IF($A195="S",$Y195/$X195,""),($Y195/$X195)*100),0)</f>
        <v>0</v>
      </c>
      <c r="X195" s="429" t="str">
        <f ca="1">IF($Y195&gt;0,CHOOSE(MATCH(RegimeExecucao,{"Unitário","Global"},0),IF($A195="S",ROUND($H195,ORÇAMENTO!$AF$10),""),ROUND($I195,ORÇAMENTO!$AF$11)),"")</f>
        <v/>
      </c>
      <c r="Y195" s="429">
        <f t="shared" ca="1" si="28"/>
        <v>0</v>
      </c>
      <c r="Z195" s="656"/>
      <c r="AB195" s="427"/>
      <c r="AC195" s="594"/>
      <c r="AD195" s="594"/>
      <c r="AE195" s="594"/>
      <c r="AF195" s="594"/>
      <c r="AG195" s="594"/>
      <c r="AH195" s="594"/>
      <c r="AI195" s="594"/>
      <c r="AJ195" s="594"/>
      <c r="AK195" s="594"/>
      <c r="AL195" s="594"/>
      <c r="AM195" s="428"/>
      <c r="AO195">
        <f ca="1">IF($A195="S",IF(BM!$I195=0,0,CHOOSE(MATCH(RegimeExecucao,{"Global","Unitário"},0),ROUND(ROUND(BM.MEDAcumulado,15-13*BM!$A$9)/100*BM!$I195,15-13*ORÇAMENTO!$AF$11),ROUND(ROUND(BM.MEDAcumulado,15-13*BM!$A$9)*ROUND(BM!$H195,15-13*ORÇAMENTO!$AF$10),15-13*ORÇAMENTO!$AF$11))),IF($A195=0,0,ROUND(SomaAgrupBM,15-13*ORÇAMENTO!$AF$11)))</f>
        <v>0</v>
      </c>
    </row>
    <row r="196" spans="1:41" ht="13.8">
      <c r="A196" t="str">
        <f ca="1">ORÇAMENTO!C196</f>
        <v>S</v>
      </c>
      <c r="B196">
        <f ca="1">ORÇAMENTO!D196</f>
        <v>0</v>
      </c>
      <c r="C196" s="139" t="str">
        <f t="shared" ca="1" si="22"/>
        <v/>
      </c>
      <c r="D196" s="142" t="str">
        <f ca="1">ORÇAMENTO!O196</f>
        <v>-</v>
      </c>
      <c r="E196" s="202" t="str">
        <f t="shared" ca="1" si="23"/>
        <v>(abra o arquivo 'Referência 11-2024.xlsm)</v>
      </c>
      <c r="F196" s="203" t="str">
        <f ca="1">IF(RegimeExecucao="Global","",ORÇAMENTO.Unidade)</f>
        <v/>
      </c>
      <c r="G196" s="147" t="str">
        <f ca="1">IF(RegimeExecucao="Global","",ORÇAMENTO!T196)</f>
        <v/>
      </c>
      <c r="H196" s="147" t="str">
        <f ca="1">IF(RegimeExecucao="Global","",ORÇAMENTO!W196)</f>
        <v/>
      </c>
      <c r="I196" s="150">
        <f ca="1">ORÇAMENTO!X196</f>
        <v>0</v>
      </c>
      <c r="J196" s="423">
        <f ca="1">IF($A196="S",IF(CAIXA.Modo,BM.AFAnterior,BM.MEDAnterior),IF(AND(RegimeExecucao="Global",$I196&gt;0,COUNTIF($AB$13:$AM$13,BM.medicao-1)&gt;0),M196/$I196*100,0))</f>
        <v>0</v>
      </c>
      <c r="K196" s="147">
        <f t="shared" ca="1" si="24"/>
        <v>0</v>
      </c>
      <c r="L196" s="424">
        <f ca="1">IF($A196="S",IF(CAIXA.Modo,BM.AFAcumulado,BM.MEDAcumulado),IF(AND(RegimeExecucao="Global",$I196&gt;0,COUNTIF($AB$13:$AM$13,BM.medicao)&gt;0),O196/$I196*100,0))</f>
        <v>0</v>
      </c>
      <c r="M196" s="425">
        <f ca="1">IF($A196="S",VTOTALBM,IF($A196=0,0,ROUND(SomaAgrupBM,15-13*ORÇAMENTO!$AF$11)))</f>
        <v>0</v>
      </c>
      <c r="N196" s="426">
        <f t="shared" ca="1" si="25"/>
        <v>0</v>
      </c>
      <c r="O196" s="150">
        <f ca="1">IF($A196="S",VTOTALBM,IF($A196=0,0,ROUND(SomaAgrupBM,15-13*ORÇAMENTO!$AF$11)))</f>
        <v>0</v>
      </c>
      <c r="Q196" s="427"/>
      <c r="R196" s="428"/>
      <c r="T196" s="142" t="str">
        <f t="shared" ca="1" si="26"/>
        <v/>
      </c>
      <c r="U196" s="202" t="str">
        <f t="shared" ca="1" si="27"/>
        <v/>
      </c>
      <c r="V196" s="203" t="str">
        <f ca="1">IF(AND($W196&gt;0,RegimeExecucao="Unitário"),$F196,"")</f>
        <v/>
      </c>
      <c r="W196" s="629">
        <f ca="1">IF($Y196&gt;0,CHOOSE(MATCH(RegimeExecucao,{"Unitário","Global"},0),IF($A196="S",$Y196/$X196,""),($Y196/$X196)*100),0)</f>
        <v>0</v>
      </c>
      <c r="X196" s="429" t="str">
        <f ca="1">IF($Y196&gt;0,CHOOSE(MATCH(RegimeExecucao,{"Unitário","Global"},0),IF($A196="S",ROUND($H196,ORÇAMENTO!$AF$10),""),ROUND($I196,ORÇAMENTO!$AF$11)),"")</f>
        <v/>
      </c>
      <c r="Y196" s="429">
        <f t="shared" ca="1" si="28"/>
        <v>0</v>
      </c>
      <c r="Z196" s="656"/>
      <c r="AB196" s="427"/>
      <c r="AC196" s="594"/>
      <c r="AD196" s="594"/>
      <c r="AE196" s="594"/>
      <c r="AF196" s="594"/>
      <c r="AG196" s="594"/>
      <c r="AH196" s="594"/>
      <c r="AI196" s="594"/>
      <c r="AJ196" s="594"/>
      <c r="AK196" s="594"/>
      <c r="AL196" s="594"/>
      <c r="AM196" s="428"/>
      <c r="AO196">
        <f ca="1">IF($A196="S",IF(BM!$I196=0,0,CHOOSE(MATCH(RegimeExecucao,{"Global","Unitário"},0),ROUND(ROUND(BM.MEDAcumulado,15-13*BM!$A$9)/100*BM!$I196,15-13*ORÇAMENTO!$AF$11),ROUND(ROUND(BM.MEDAcumulado,15-13*BM!$A$9)*ROUND(BM!$H196,15-13*ORÇAMENTO!$AF$10),15-13*ORÇAMENTO!$AF$11))),IF($A196=0,0,ROUND(SomaAgrupBM,15-13*ORÇAMENTO!$AF$11)))</f>
        <v>0</v>
      </c>
    </row>
    <row r="197" spans="1:41" ht="13.8">
      <c r="A197" t="str">
        <f ca="1">ORÇAMENTO!C197</f>
        <v>S</v>
      </c>
      <c r="B197">
        <f ca="1">ORÇAMENTO!D197</f>
        <v>0</v>
      </c>
      <c r="C197" s="139" t="str">
        <f t="shared" ca="1" si="22"/>
        <v/>
      </c>
      <c r="D197" s="142" t="str">
        <f ca="1">ORÇAMENTO!O197</f>
        <v>-</v>
      </c>
      <c r="E197" s="202" t="str">
        <f t="shared" ca="1" si="23"/>
        <v>(abra o arquivo 'Referência 11-2024.xlsm)</v>
      </c>
      <c r="F197" s="203" t="str">
        <f ca="1">IF(RegimeExecucao="Global","",ORÇAMENTO.Unidade)</f>
        <v/>
      </c>
      <c r="G197" s="147" t="str">
        <f ca="1">IF(RegimeExecucao="Global","",ORÇAMENTO!T197)</f>
        <v/>
      </c>
      <c r="H197" s="147" t="str">
        <f ca="1">IF(RegimeExecucao="Global","",ORÇAMENTO!W197)</f>
        <v/>
      </c>
      <c r="I197" s="150">
        <f ca="1">ORÇAMENTO!X197</f>
        <v>0</v>
      </c>
      <c r="J197" s="423">
        <f ca="1">IF($A197="S",IF(CAIXA.Modo,BM.AFAnterior,BM.MEDAnterior),IF(AND(RegimeExecucao="Global",$I197&gt;0,COUNTIF($AB$13:$AM$13,BM.medicao-1)&gt;0),M197/$I197*100,0))</f>
        <v>0</v>
      </c>
      <c r="K197" s="147">
        <f t="shared" ca="1" si="24"/>
        <v>0</v>
      </c>
      <c r="L197" s="424">
        <f ca="1">IF($A197="S",IF(CAIXA.Modo,BM.AFAcumulado,BM.MEDAcumulado),IF(AND(RegimeExecucao="Global",$I197&gt;0,COUNTIF($AB$13:$AM$13,BM.medicao)&gt;0),O197/$I197*100,0))</f>
        <v>0</v>
      </c>
      <c r="M197" s="425">
        <f ca="1">IF($A197="S",VTOTALBM,IF($A197=0,0,ROUND(SomaAgrupBM,15-13*ORÇAMENTO!$AF$11)))</f>
        <v>0</v>
      </c>
      <c r="N197" s="426">
        <f t="shared" ca="1" si="25"/>
        <v>0</v>
      </c>
      <c r="O197" s="150">
        <f ca="1">IF($A197="S",VTOTALBM,IF($A197=0,0,ROUND(SomaAgrupBM,15-13*ORÇAMENTO!$AF$11)))</f>
        <v>0</v>
      </c>
      <c r="Q197" s="427"/>
      <c r="R197" s="428"/>
      <c r="T197" s="142" t="str">
        <f t="shared" ca="1" si="26"/>
        <v/>
      </c>
      <c r="U197" s="202" t="str">
        <f t="shared" ca="1" si="27"/>
        <v/>
      </c>
      <c r="V197" s="203" t="str">
        <f ca="1">IF(AND($W197&gt;0,RegimeExecucao="Unitário"),$F197,"")</f>
        <v/>
      </c>
      <c r="W197" s="629">
        <f ca="1">IF($Y197&gt;0,CHOOSE(MATCH(RegimeExecucao,{"Unitário","Global"},0),IF($A197="S",$Y197/$X197,""),($Y197/$X197)*100),0)</f>
        <v>0</v>
      </c>
      <c r="X197" s="429" t="str">
        <f ca="1">IF($Y197&gt;0,CHOOSE(MATCH(RegimeExecucao,{"Unitário","Global"},0),IF($A197="S",ROUND($H197,ORÇAMENTO!$AF$10),""),ROUND($I197,ORÇAMENTO!$AF$11)),"")</f>
        <v/>
      </c>
      <c r="Y197" s="429">
        <f t="shared" ca="1" si="28"/>
        <v>0</v>
      </c>
      <c r="Z197" s="656"/>
      <c r="AB197" s="427"/>
      <c r="AC197" s="594"/>
      <c r="AD197" s="594"/>
      <c r="AE197" s="594"/>
      <c r="AF197" s="594"/>
      <c r="AG197" s="594"/>
      <c r="AH197" s="594"/>
      <c r="AI197" s="594"/>
      <c r="AJ197" s="594"/>
      <c r="AK197" s="594"/>
      <c r="AL197" s="594"/>
      <c r="AM197" s="428"/>
      <c r="AO197">
        <f ca="1">IF($A197="S",IF(BM!$I197=0,0,CHOOSE(MATCH(RegimeExecucao,{"Global","Unitário"},0),ROUND(ROUND(BM.MEDAcumulado,15-13*BM!$A$9)/100*BM!$I197,15-13*ORÇAMENTO!$AF$11),ROUND(ROUND(BM.MEDAcumulado,15-13*BM!$A$9)*ROUND(BM!$H197,15-13*ORÇAMENTO!$AF$10),15-13*ORÇAMENTO!$AF$11))),IF($A197=0,0,ROUND(SomaAgrupBM,15-13*ORÇAMENTO!$AF$11)))</f>
        <v>0</v>
      </c>
    </row>
    <row r="198" spans="1:41" ht="13.8">
      <c r="A198" t="str">
        <f ca="1">ORÇAMENTO!C198</f>
        <v>S</v>
      </c>
      <c r="B198">
        <f ca="1">ORÇAMENTO!D198</f>
        <v>0</v>
      </c>
      <c r="C198" s="139" t="str">
        <f t="shared" ca="1" si="22"/>
        <v/>
      </c>
      <c r="D198" s="142" t="str">
        <f ca="1">ORÇAMENTO!O198</f>
        <v>-</v>
      </c>
      <c r="E198" s="202" t="str">
        <f t="shared" ca="1" si="23"/>
        <v>(abra o arquivo 'Referência 11-2024.xlsm)</v>
      </c>
      <c r="F198" s="203" t="str">
        <f ca="1">IF(RegimeExecucao="Global","",ORÇAMENTO.Unidade)</f>
        <v/>
      </c>
      <c r="G198" s="147" t="str">
        <f ca="1">IF(RegimeExecucao="Global","",ORÇAMENTO!T198)</f>
        <v/>
      </c>
      <c r="H198" s="147" t="str">
        <f ca="1">IF(RegimeExecucao="Global","",ORÇAMENTO!W198)</f>
        <v/>
      </c>
      <c r="I198" s="150">
        <f ca="1">ORÇAMENTO!X198</f>
        <v>0</v>
      </c>
      <c r="J198" s="423">
        <f ca="1">IF($A198="S",IF(CAIXA.Modo,BM.AFAnterior,BM.MEDAnterior),IF(AND(RegimeExecucao="Global",$I198&gt;0,COUNTIF($AB$13:$AM$13,BM.medicao-1)&gt;0),M198/$I198*100,0))</f>
        <v>0</v>
      </c>
      <c r="K198" s="147">
        <f t="shared" ca="1" si="24"/>
        <v>0</v>
      </c>
      <c r="L198" s="424">
        <f ca="1">IF($A198="S",IF(CAIXA.Modo,BM.AFAcumulado,BM.MEDAcumulado),IF(AND(RegimeExecucao="Global",$I198&gt;0,COUNTIF($AB$13:$AM$13,BM.medicao)&gt;0),O198/$I198*100,0))</f>
        <v>0</v>
      </c>
      <c r="M198" s="425">
        <f ca="1">IF($A198="S",VTOTALBM,IF($A198=0,0,ROUND(SomaAgrupBM,15-13*ORÇAMENTO!$AF$11)))</f>
        <v>0</v>
      </c>
      <c r="N198" s="426">
        <f t="shared" ca="1" si="25"/>
        <v>0</v>
      </c>
      <c r="O198" s="150">
        <f ca="1">IF($A198="S",VTOTALBM,IF($A198=0,0,ROUND(SomaAgrupBM,15-13*ORÇAMENTO!$AF$11)))</f>
        <v>0</v>
      </c>
      <c r="Q198" s="427"/>
      <c r="R198" s="428"/>
      <c r="T198" s="142" t="str">
        <f t="shared" ca="1" si="26"/>
        <v/>
      </c>
      <c r="U198" s="202" t="str">
        <f t="shared" ca="1" si="27"/>
        <v/>
      </c>
      <c r="V198" s="203" t="str">
        <f ca="1">IF(AND($W198&gt;0,RegimeExecucao="Unitário"),$F198,"")</f>
        <v/>
      </c>
      <c r="W198" s="629">
        <f ca="1">IF($Y198&gt;0,CHOOSE(MATCH(RegimeExecucao,{"Unitário","Global"},0),IF($A198="S",$Y198/$X198,""),($Y198/$X198)*100),0)</f>
        <v>0</v>
      </c>
      <c r="X198" s="429" t="str">
        <f ca="1">IF($Y198&gt;0,CHOOSE(MATCH(RegimeExecucao,{"Unitário","Global"},0),IF($A198="S",ROUND($H198,ORÇAMENTO!$AF$10),""),ROUND($I198,ORÇAMENTO!$AF$11)),"")</f>
        <v/>
      </c>
      <c r="Y198" s="429">
        <f t="shared" ca="1" si="28"/>
        <v>0</v>
      </c>
      <c r="Z198" s="656"/>
      <c r="AB198" s="427"/>
      <c r="AC198" s="594"/>
      <c r="AD198" s="594"/>
      <c r="AE198" s="594"/>
      <c r="AF198" s="594"/>
      <c r="AG198" s="594"/>
      <c r="AH198" s="594"/>
      <c r="AI198" s="594"/>
      <c r="AJ198" s="594"/>
      <c r="AK198" s="594"/>
      <c r="AL198" s="594"/>
      <c r="AM198" s="428"/>
      <c r="AO198">
        <f ca="1">IF($A198="S",IF(BM!$I198=0,0,CHOOSE(MATCH(RegimeExecucao,{"Global","Unitário"},0),ROUND(ROUND(BM.MEDAcumulado,15-13*BM!$A$9)/100*BM!$I198,15-13*ORÇAMENTO!$AF$11),ROUND(ROUND(BM.MEDAcumulado,15-13*BM!$A$9)*ROUND(BM!$H198,15-13*ORÇAMENTO!$AF$10),15-13*ORÇAMENTO!$AF$11))),IF($A198=0,0,ROUND(SomaAgrupBM,15-13*ORÇAMENTO!$AF$11)))</f>
        <v>0</v>
      </c>
    </row>
    <row r="199" spans="1:41" ht="13.8">
      <c r="A199" t="str">
        <f ca="1">ORÇAMENTO!C199</f>
        <v>S</v>
      </c>
      <c r="B199">
        <f ca="1">ORÇAMENTO!D199</f>
        <v>0</v>
      </c>
      <c r="C199" s="139" t="str">
        <f t="shared" ca="1" si="22"/>
        <v/>
      </c>
      <c r="D199" s="142" t="str">
        <f ca="1">ORÇAMENTO!O199</f>
        <v>-</v>
      </c>
      <c r="E199" s="202" t="str">
        <f t="shared" ca="1" si="23"/>
        <v>(abra o arquivo 'Referência 11-2024.xlsm)</v>
      </c>
      <c r="F199" s="203" t="str">
        <f ca="1">IF(RegimeExecucao="Global","",ORÇAMENTO.Unidade)</f>
        <v/>
      </c>
      <c r="G199" s="147" t="str">
        <f ca="1">IF(RegimeExecucao="Global","",ORÇAMENTO!T199)</f>
        <v/>
      </c>
      <c r="H199" s="147" t="str">
        <f ca="1">IF(RegimeExecucao="Global","",ORÇAMENTO!W199)</f>
        <v/>
      </c>
      <c r="I199" s="150">
        <f ca="1">ORÇAMENTO!X199</f>
        <v>0</v>
      </c>
      <c r="J199" s="423">
        <f ca="1">IF($A199="S",IF(CAIXA.Modo,BM.AFAnterior,BM.MEDAnterior),IF(AND(RegimeExecucao="Global",$I199&gt;0,COUNTIF($AB$13:$AM$13,BM.medicao-1)&gt;0),M199/$I199*100,0))</f>
        <v>0</v>
      </c>
      <c r="K199" s="147">
        <f t="shared" ca="1" si="24"/>
        <v>0</v>
      </c>
      <c r="L199" s="424">
        <f ca="1">IF($A199="S",IF(CAIXA.Modo,BM.AFAcumulado,BM.MEDAcumulado),IF(AND(RegimeExecucao="Global",$I199&gt;0,COUNTIF($AB$13:$AM$13,BM.medicao)&gt;0),O199/$I199*100,0))</f>
        <v>0</v>
      </c>
      <c r="M199" s="425">
        <f ca="1">IF($A199="S",VTOTALBM,IF($A199=0,0,ROUND(SomaAgrupBM,15-13*ORÇAMENTO!$AF$11)))</f>
        <v>0</v>
      </c>
      <c r="N199" s="426">
        <f t="shared" ca="1" si="25"/>
        <v>0</v>
      </c>
      <c r="O199" s="150">
        <f ca="1">IF($A199="S",VTOTALBM,IF($A199=0,0,ROUND(SomaAgrupBM,15-13*ORÇAMENTO!$AF$11)))</f>
        <v>0</v>
      </c>
      <c r="Q199" s="427"/>
      <c r="R199" s="428"/>
      <c r="T199" s="142" t="str">
        <f t="shared" ca="1" si="26"/>
        <v/>
      </c>
      <c r="U199" s="202" t="str">
        <f t="shared" ca="1" si="27"/>
        <v/>
      </c>
      <c r="V199" s="203" t="str">
        <f ca="1">IF(AND($W199&gt;0,RegimeExecucao="Unitário"),$F199,"")</f>
        <v/>
      </c>
      <c r="W199" s="629">
        <f ca="1">IF($Y199&gt;0,CHOOSE(MATCH(RegimeExecucao,{"Unitário","Global"},0),IF($A199="S",$Y199/$X199,""),($Y199/$X199)*100),0)</f>
        <v>0</v>
      </c>
      <c r="X199" s="429" t="str">
        <f ca="1">IF($Y199&gt;0,CHOOSE(MATCH(RegimeExecucao,{"Unitário","Global"},0),IF($A199="S",ROUND($H199,ORÇAMENTO!$AF$10),""),ROUND($I199,ORÇAMENTO!$AF$11)),"")</f>
        <v/>
      </c>
      <c r="Y199" s="429">
        <f t="shared" ca="1" si="28"/>
        <v>0</v>
      </c>
      <c r="Z199" s="656"/>
      <c r="AB199" s="427"/>
      <c r="AC199" s="594"/>
      <c r="AD199" s="594"/>
      <c r="AE199" s="594"/>
      <c r="AF199" s="594"/>
      <c r="AG199" s="594"/>
      <c r="AH199" s="594"/>
      <c r="AI199" s="594"/>
      <c r="AJ199" s="594"/>
      <c r="AK199" s="594"/>
      <c r="AL199" s="594"/>
      <c r="AM199" s="428"/>
      <c r="AO199">
        <f ca="1">IF($A199="S",IF(BM!$I199=0,0,CHOOSE(MATCH(RegimeExecucao,{"Global","Unitário"},0),ROUND(ROUND(BM.MEDAcumulado,15-13*BM!$A$9)/100*BM!$I199,15-13*ORÇAMENTO!$AF$11),ROUND(ROUND(BM.MEDAcumulado,15-13*BM!$A$9)*ROUND(BM!$H199,15-13*ORÇAMENTO!$AF$10),15-13*ORÇAMENTO!$AF$11))),IF($A199=0,0,ROUND(SomaAgrupBM,15-13*ORÇAMENTO!$AF$11)))</f>
        <v>0</v>
      </c>
    </row>
    <row r="200" spans="1:41" ht="13.8">
      <c r="A200" t="str">
        <f ca="1">ORÇAMENTO!C200</f>
        <v>S</v>
      </c>
      <c r="B200">
        <f ca="1">ORÇAMENTO!D200</f>
        <v>0</v>
      </c>
      <c r="C200" s="139" t="str">
        <f t="shared" ca="1" si="22"/>
        <v/>
      </c>
      <c r="D200" s="142" t="str">
        <f ca="1">ORÇAMENTO!O200</f>
        <v>-</v>
      </c>
      <c r="E200" s="202" t="str">
        <f t="shared" ca="1" si="23"/>
        <v>(abra o arquivo 'Referência 11-2024.xlsm)</v>
      </c>
      <c r="F200" s="203" t="str">
        <f ca="1">IF(RegimeExecucao="Global","",ORÇAMENTO.Unidade)</f>
        <v/>
      </c>
      <c r="G200" s="147" t="str">
        <f ca="1">IF(RegimeExecucao="Global","",ORÇAMENTO!T200)</f>
        <v/>
      </c>
      <c r="H200" s="147" t="str">
        <f ca="1">IF(RegimeExecucao="Global","",ORÇAMENTO!W200)</f>
        <v/>
      </c>
      <c r="I200" s="150">
        <f ca="1">ORÇAMENTO!X200</f>
        <v>0</v>
      </c>
      <c r="J200" s="423">
        <f ca="1">IF($A200="S",IF(CAIXA.Modo,BM.AFAnterior,BM.MEDAnterior),IF(AND(RegimeExecucao="Global",$I200&gt;0,COUNTIF($AB$13:$AM$13,BM.medicao-1)&gt;0),M200/$I200*100,0))</f>
        <v>0</v>
      </c>
      <c r="K200" s="147">
        <f t="shared" ca="1" si="24"/>
        <v>0</v>
      </c>
      <c r="L200" s="424">
        <f ca="1">IF($A200="S",IF(CAIXA.Modo,BM.AFAcumulado,BM.MEDAcumulado),IF(AND(RegimeExecucao="Global",$I200&gt;0,COUNTIF($AB$13:$AM$13,BM.medicao)&gt;0),O200/$I200*100,0))</f>
        <v>0</v>
      </c>
      <c r="M200" s="425">
        <f ca="1">IF($A200="S",VTOTALBM,IF($A200=0,0,ROUND(SomaAgrupBM,15-13*ORÇAMENTO!$AF$11)))</f>
        <v>0</v>
      </c>
      <c r="N200" s="426">
        <f t="shared" ca="1" si="25"/>
        <v>0</v>
      </c>
      <c r="O200" s="150">
        <f ca="1">IF($A200="S",VTOTALBM,IF($A200=0,0,ROUND(SomaAgrupBM,15-13*ORÇAMENTO!$AF$11)))</f>
        <v>0</v>
      </c>
      <c r="Q200" s="427"/>
      <c r="R200" s="428"/>
      <c r="T200" s="142" t="str">
        <f t="shared" ca="1" si="26"/>
        <v/>
      </c>
      <c r="U200" s="202" t="str">
        <f t="shared" ca="1" si="27"/>
        <v/>
      </c>
      <c r="V200" s="203" t="str">
        <f ca="1">IF(AND($W200&gt;0,RegimeExecucao="Unitário"),$F200,"")</f>
        <v/>
      </c>
      <c r="W200" s="629">
        <f ca="1">IF($Y200&gt;0,CHOOSE(MATCH(RegimeExecucao,{"Unitário","Global"},0),IF($A200="S",$Y200/$X200,""),($Y200/$X200)*100),0)</f>
        <v>0</v>
      </c>
      <c r="X200" s="429" t="str">
        <f ca="1">IF($Y200&gt;0,CHOOSE(MATCH(RegimeExecucao,{"Unitário","Global"},0),IF($A200="S",ROUND($H200,ORÇAMENTO!$AF$10),""),ROUND($I200,ORÇAMENTO!$AF$11)),"")</f>
        <v/>
      </c>
      <c r="Y200" s="429">
        <f t="shared" ca="1" si="28"/>
        <v>0</v>
      </c>
      <c r="Z200" s="656"/>
      <c r="AB200" s="427"/>
      <c r="AC200" s="594"/>
      <c r="AD200" s="594"/>
      <c r="AE200" s="594"/>
      <c r="AF200" s="594"/>
      <c r="AG200" s="594"/>
      <c r="AH200" s="594"/>
      <c r="AI200" s="594"/>
      <c r="AJ200" s="594"/>
      <c r="AK200" s="594"/>
      <c r="AL200" s="594"/>
      <c r="AM200" s="428"/>
      <c r="AO200">
        <f ca="1">IF($A200="S",IF(BM!$I200=0,0,CHOOSE(MATCH(RegimeExecucao,{"Global","Unitário"},0),ROUND(ROUND(BM.MEDAcumulado,15-13*BM!$A$9)/100*BM!$I200,15-13*ORÇAMENTO!$AF$11),ROUND(ROUND(BM.MEDAcumulado,15-13*BM!$A$9)*ROUND(BM!$H200,15-13*ORÇAMENTO!$AF$10),15-13*ORÇAMENTO!$AF$11))),IF($A200=0,0,ROUND(SomaAgrupBM,15-13*ORÇAMENTO!$AF$11)))</f>
        <v>0</v>
      </c>
    </row>
    <row r="201" spans="1:41" ht="13.8">
      <c r="A201" t="str">
        <f ca="1">ORÇAMENTO!C201</f>
        <v>S</v>
      </c>
      <c r="B201">
        <f ca="1">ORÇAMENTO!D201</f>
        <v>0</v>
      </c>
      <c r="C201" s="139" t="str">
        <f t="shared" ca="1" si="22"/>
        <v/>
      </c>
      <c r="D201" s="142" t="str">
        <f ca="1">ORÇAMENTO!O201</f>
        <v>-</v>
      </c>
      <c r="E201" s="202" t="str">
        <f t="shared" ca="1" si="23"/>
        <v>(abra o arquivo 'Referência 11-2024.xlsm)</v>
      </c>
      <c r="F201" s="203" t="str">
        <f ca="1">IF(RegimeExecucao="Global","",ORÇAMENTO.Unidade)</f>
        <v/>
      </c>
      <c r="G201" s="147" t="str">
        <f ca="1">IF(RegimeExecucao="Global","",ORÇAMENTO!T201)</f>
        <v/>
      </c>
      <c r="H201" s="147" t="str">
        <f ca="1">IF(RegimeExecucao="Global","",ORÇAMENTO!W201)</f>
        <v/>
      </c>
      <c r="I201" s="150">
        <f ca="1">ORÇAMENTO!X201</f>
        <v>0</v>
      </c>
      <c r="J201" s="423">
        <f ca="1">IF($A201="S",IF(CAIXA.Modo,BM.AFAnterior,BM.MEDAnterior),IF(AND(RegimeExecucao="Global",$I201&gt;0,COUNTIF($AB$13:$AM$13,BM.medicao-1)&gt;0),M201/$I201*100,0))</f>
        <v>0</v>
      </c>
      <c r="K201" s="147">
        <f t="shared" ca="1" si="24"/>
        <v>0</v>
      </c>
      <c r="L201" s="424">
        <f ca="1">IF($A201="S",IF(CAIXA.Modo,BM.AFAcumulado,BM.MEDAcumulado),IF(AND(RegimeExecucao="Global",$I201&gt;0,COUNTIF($AB$13:$AM$13,BM.medicao)&gt;0),O201/$I201*100,0))</f>
        <v>0</v>
      </c>
      <c r="M201" s="425">
        <f ca="1">IF($A201="S",VTOTALBM,IF($A201=0,0,ROUND(SomaAgrupBM,15-13*ORÇAMENTO!$AF$11)))</f>
        <v>0</v>
      </c>
      <c r="N201" s="426">
        <f t="shared" ca="1" si="25"/>
        <v>0</v>
      </c>
      <c r="O201" s="150">
        <f ca="1">IF($A201="S",VTOTALBM,IF($A201=0,0,ROUND(SomaAgrupBM,15-13*ORÇAMENTO!$AF$11)))</f>
        <v>0</v>
      </c>
      <c r="Q201" s="427"/>
      <c r="R201" s="428"/>
      <c r="T201" s="142" t="str">
        <f t="shared" ca="1" si="26"/>
        <v/>
      </c>
      <c r="U201" s="202" t="str">
        <f t="shared" ca="1" si="27"/>
        <v/>
      </c>
      <c r="V201" s="203" t="str">
        <f ca="1">IF(AND($W201&gt;0,RegimeExecucao="Unitário"),$F201,"")</f>
        <v/>
      </c>
      <c r="W201" s="629">
        <f ca="1">IF($Y201&gt;0,CHOOSE(MATCH(RegimeExecucao,{"Unitário","Global"},0),IF($A201="S",$Y201/$X201,""),($Y201/$X201)*100),0)</f>
        <v>0</v>
      </c>
      <c r="X201" s="429" t="str">
        <f ca="1">IF($Y201&gt;0,CHOOSE(MATCH(RegimeExecucao,{"Unitário","Global"},0),IF($A201="S",ROUND($H201,ORÇAMENTO!$AF$10),""),ROUND($I201,ORÇAMENTO!$AF$11)),"")</f>
        <v/>
      </c>
      <c r="Y201" s="429">
        <f t="shared" ca="1" si="28"/>
        <v>0</v>
      </c>
      <c r="Z201" s="656"/>
      <c r="AB201" s="427"/>
      <c r="AC201" s="594"/>
      <c r="AD201" s="594"/>
      <c r="AE201" s="594"/>
      <c r="AF201" s="594"/>
      <c r="AG201" s="594"/>
      <c r="AH201" s="594"/>
      <c r="AI201" s="594"/>
      <c r="AJ201" s="594"/>
      <c r="AK201" s="594"/>
      <c r="AL201" s="594"/>
      <c r="AM201" s="428"/>
      <c r="AO201">
        <f ca="1">IF($A201="S",IF(BM!$I201=0,0,CHOOSE(MATCH(RegimeExecucao,{"Global","Unitário"},0),ROUND(ROUND(BM.MEDAcumulado,15-13*BM!$A$9)/100*BM!$I201,15-13*ORÇAMENTO!$AF$11),ROUND(ROUND(BM.MEDAcumulado,15-13*BM!$A$9)*ROUND(BM!$H201,15-13*ORÇAMENTO!$AF$10),15-13*ORÇAMENTO!$AF$11))),IF($A201=0,0,ROUND(SomaAgrupBM,15-13*ORÇAMENTO!$AF$11)))</f>
        <v>0</v>
      </c>
    </row>
    <row r="202" spans="1:41" ht="13.8">
      <c r="A202" t="str">
        <f ca="1">ORÇAMENTO!C202</f>
        <v>S</v>
      </c>
      <c r="B202">
        <f ca="1">ORÇAMENTO!D202</f>
        <v>0</v>
      </c>
      <c r="C202" s="139" t="str">
        <f t="shared" ca="1" si="22"/>
        <v/>
      </c>
      <c r="D202" s="142" t="str">
        <f ca="1">ORÇAMENTO!O202</f>
        <v>-</v>
      </c>
      <c r="E202" s="202" t="str">
        <f t="shared" ca="1" si="23"/>
        <v>(abra o arquivo 'Referência 11-2024.xlsm)</v>
      </c>
      <c r="F202" s="203" t="str">
        <f ca="1">IF(RegimeExecucao="Global","",ORÇAMENTO.Unidade)</f>
        <v/>
      </c>
      <c r="G202" s="147" t="str">
        <f ca="1">IF(RegimeExecucao="Global","",ORÇAMENTO!T202)</f>
        <v/>
      </c>
      <c r="H202" s="147" t="str">
        <f ca="1">IF(RegimeExecucao="Global","",ORÇAMENTO!W202)</f>
        <v/>
      </c>
      <c r="I202" s="150">
        <f ca="1">ORÇAMENTO!X202</f>
        <v>0</v>
      </c>
      <c r="J202" s="423">
        <f ca="1">IF($A202="S",IF(CAIXA.Modo,BM.AFAnterior,BM.MEDAnterior),IF(AND(RegimeExecucao="Global",$I202&gt;0,COUNTIF($AB$13:$AM$13,BM.medicao-1)&gt;0),M202/$I202*100,0))</f>
        <v>0</v>
      </c>
      <c r="K202" s="147">
        <f t="shared" ca="1" si="24"/>
        <v>0</v>
      </c>
      <c r="L202" s="424">
        <f ca="1">IF($A202="S",IF(CAIXA.Modo,BM.AFAcumulado,BM.MEDAcumulado),IF(AND(RegimeExecucao="Global",$I202&gt;0,COUNTIF($AB$13:$AM$13,BM.medicao)&gt;0),O202/$I202*100,0))</f>
        <v>0</v>
      </c>
      <c r="M202" s="425">
        <f ca="1">IF($A202="S",VTOTALBM,IF($A202=0,0,ROUND(SomaAgrupBM,15-13*ORÇAMENTO!$AF$11)))</f>
        <v>0</v>
      </c>
      <c r="N202" s="426">
        <f t="shared" ca="1" si="25"/>
        <v>0</v>
      </c>
      <c r="O202" s="150">
        <f ca="1">IF($A202="S",VTOTALBM,IF($A202=0,0,ROUND(SomaAgrupBM,15-13*ORÇAMENTO!$AF$11)))</f>
        <v>0</v>
      </c>
      <c r="Q202" s="427"/>
      <c r="R202" s="428"/>
      <c r="T202" s="142" t="str">
        <f t="shared" ca="1" si="26"/>
        <v/>
      </c>
      <c r="U202" s="202" t="str">
        <f t="shared" ca="1" si="27"/>
        <v/>
      </c>
      <c r="V202" s="203" t="str">
        <f ca="1">IF(AND($W202&gt;0,RegimeExecucao="Unitário"),$F202,"")</f>
        <v/>
      </c>
      <c r="W202" s="629">
        <f ca="1">IF($Y202&gt;0,CHOOSE(MATCH(RegimeExecucao,{"Unitário","Global"},0),IF($A202="S",$Y202/$X202,""),($Y202/$X202)*100),0)</f>
        <v>0</v>
      </c>
      <c r="X202" s="429" t="str">
        <f ca="1">IF($Y202&gt;0,CHOOSE(MATCH(RegimeExecucao,{"Unitário","Global"},0),IF($A202="S",ROUND($H202,ORÇAMENTO!$AF$10),""),ROUND($I202,ORÇAMENTO!$AF$11)),"")</f>
        <v/>
      </c>
      <c r="Y202" s="429">
        <f t="shared" ca="1" si="28"/>
        <v>0</v>
      </c>
      <c r="Z202" s="656"/>
      <c r="AB202" s="427"/>
      <c r="AC202" s="594"/>
      <c r="AD202" s="594"/>
      <c r="AE202" s="594"/>
      <c r="AF202" s="594"/>
      <c r="AG202" s="594"/>
      <c r="AH202" s="594"/>
      <c r="AI202" s="594"/>
      <c r="AJ202" s="594"/>
      <c r="AK202" s="594"/>
      <c r="AL202" s="594"/>
      <c r="AM202" s="428"/>
      <c r="AO202">
        <f ca="1">IF($A202="S",IF(BM!$I202=0,0,CHOOSE(MATCH(RegimeExecucao,{"Global","Unitário"},0),ROUND(ROUND(BM.MEDAcumulado,15-13*BM!$A$9)/100*BM!$I202,15-13*ORÇAMENTO!$AF$11),ROUND(ROUND(BM.MEDAcumulado,15-13*BM!$A$9)*ROUND(BM!$H202,15-13*ORÇAMENTO!$AF$10),15-13*ORÇAMENTO!$AF$11))),IF($A202=0,0,ROUND(SomaAgrupBM,15-13*ORÇAMENTO!$AF$11)))</f>
        <v>0</v>
      </c>
    </row>
    <row r="203" spans="1:41" ht="13.8">
      <c r="A203" t="str">
        <f ca="1">ORÇAMENTO!C203</f>
        <v>S</v>
      </c>
      <c r="B203">
        <f ca="1">ORÇAMENTO!D203</f>
        <v>0</v>
      </c>
      <c r="C203" s="139" t="str">
        <f t="shared" ca="1" si="22"/>
        <v/>
      </c>
      <c r="D203" s="142" t="str">
        <f ca="1">ORÇAMENTO!O203</f>
        <v>-</v>
      </c>
      <c r="E203" s="202" t="str">
        <f t="shared" ca="1" si="23"/>
        <v>(abra o arquivo 'Referência 11-2024.xlsm)</v>
      </c>
      <c r="F203" s="203" t="str">
        <f ca="1">IF(RegimeExecucao="Global","",ORÇAMENTO.Unidade)</f>
        <v/>
      </c>
      <c r="G203" s="147" t="str">
        <f ca="1">IF(RegimeExecucao="Global","",ORÇAMENTO!T203)</f>
        <v/>
      </c>
      <c r="H203" s="147" t="str">
        <f ca="1">IF(RegimeExecucao="Global","",ORÇAMENTO!W203)</f>
        <v/>
      </c>
      <c r="I203" s="150">
        <f ca="1">ORÇAMENTO!X203</f>
        <v>0</v>
      </c>
      <c r="J203" s="423">
        <f ca="1">IF($A203="S",IF(CAIXA.Modo,BM.AFAnterior,BM.MEDAnterior),IF(AND(RegimeExecucao="Global",$I203&gt;0,COUNTIF($AB$13:$AM$13,BM.medicao-1)&gt;0),M203/$I203*100,0))</f>
        <v>0</v>
      </c>
      <c r="K203" s="147">
        <f t="shared" ca="1" si="24"/>
        <v>0</v>
      </c>
      <c r="L203" s="424">
        <f ca="1">IF($A203="S",IF(CAIXA.Modo,BM.AFAcumulado,BM.MEDAcumulado),IF(AND(RegimeExecucao="Global",$I203&gt;0,COUNTIF($AB$13:$AM$13,BM.medicao)&gt;0),O203/$I203*100,0))</f>
        <v>0</v>
      </c>
      <c r="M203" s="425">
        <f ca="1">IF($A203="S",VTOTALBM,IF($A203=0,0,ROUND(SomaAgrupBM,15-13*ORÇAMENTO!$AF$11)))</f>
        <v>0</v>
      </c>
      <c r="N203" s="426">
        <f t="shared" ca="1" si="25"/>
        <v>0</v>
      </c>
      <c r="O203" s="150">
        <f ca="1">IF($A203="S",VTOTALBM,IF($A203=0,0,ROUND(SomaAgrupBM,15-13*ORÇAMENTO!$AF$11)))</f>
        <v>0</v>
      </c>
      <c r="Q203" s="427"/>
      <c r="R203" s="428"/>
      <c r="T203" s="142" t="str">
        <f t="shared" ca="1" si="26"/>
        <v/>
      </c>
      <c r="U203" s="202" t="str">
        <f t="shared" ca="1" si="27"/>
        <v/>
      </c>
      <c r="V203" s="203" t="str">
        <f ca="1">IF(AND($W203&gt;0,RegimeExecucao="Unitário"),$F203,"")</f>
        <v/>
      </c>
      <c r="W203" s="629">
        <f ca="1">IF($Y203&gt;0,CHOOSE(MATCH(RegimeExecucao,{"Unitário","Global"},0),IF($A203="S",$Y203/$X203,""),($Y203/$X203)*100),0)</f>
        <v>0</v>
      </c>
      <c r="X203" s="429" t="str">
        <f ca="1">IF($Y203&gt;0,CHOOSE(MATCH(RegimeExecucao,{"Unitário","Global"},0),IF($A203="S",ROUND($H203,ORÇAMENTO!$AF$10),""),ROUND($I203,ORÇAMENTO!$AF$11)),"")</f>
        <v/>
      </c>
      <c r="Y203" s="429">
        <f t="shared" ca="1" si="28"/>
        <v>0</v>
      </c>
      <c r="Z203" s="656"/>
      <c r="AB203" s="427"/>
      <c r="AC203" s="594"/>
      <c r="AD203" s="594"/>
      <c r="AE203" s="594"/>
      <c r="AF203" s="594"/>
      <c r="AG203" s="594"/>
      <c r="AH203" s="594"/>
      <c r="AI203" s="594"/>
      <c r="AJ203" s="594"/>
      <c r="AK203" s="594"/>
      <c r="AL203" s="594"/>
      <c r="AM203" s="428"/>
      <c r="AO203">
        <f ca="1">IF($A203="S",IF(BM!$I203=0,0,CHOOSE(MATCH(RegimeExecucao,{"Global","Unitário"},0),ROUND(ROUND(BM.MEDAcumulado,15-13*BM!$A$9)/100*BM!$I203,15-13*ORÇAMENTO!$AF$11),ROUND(ROUND(BM.MEDAcumulado,15-13*BM!$A$9)*ROUND(BM!$H203,15-13*ORÇAMENTO!$AF$10),15-13*ORÇAMENTO!$AF$11))),IF($A203=0,0,ROUND(SomaAgrupBM,15-13*ORÇAMENTO!$AF$11)))</f>
        <v>0</v>
      </c>
    </row>
    <row r="204" spans="1:41" ht="13.8">
      <c r="A204" t="str">
        <f ca="1">ORÇAMENTO!C204</f>
        <v>S</v>
      </c>
      <c r="B204">
        <f ca="1">ORÇAMENTO!D204</f>
        <v>0</v>
      </c>
      <c r="C204" s="139" t="str">
        <f t="shared" ca="1" si="22"/>
        <v/>
      </c>
      <c r="D204" s="142" t="str">
        <f ca="1">ORÇAMENTO!O204</f>
        <v>-</v>
      </c>
      <c r="E204" s="202" t="str">
        <f t="shared" ca="1" si="23"/>
        <v>(abra o arquivo 'Referência 11-2024.xlsm)</v>
      </c>
      <c r="F204" s="203" t="str">
        <f ca="1">IF(RegimeExecucao="Global","",ORÇAMENTO.Unidade)</f>
        <v/>
      </c>
      <c r="G204" s="147" t="str">
        <f ca="1">IF(RegimeExecucao="Global","",ORÇAMENTO!T204)</f>
        <v/>
      </c>
      <c r="H204" s="147" t="str">
        <f ca="1">IF(RegimeExecucao="Global","",ORÇAMENTO!W204)</f>
        <v/>
      </c>
      <c r="I204" s="150">
        <f ca="1">ORÇAMENTO!X204</f>
        <v>0</v>
      </c>
      <c r="J204" s="423">
        <f ca="1">IF($A204="S",IF(CAIXA.Modo,BM.AFAnterior,BM.MEDAnterior),IF(AND(RegimeExecucao="Global",$I204&gt;0,COUNTIF($AB$13:$AM$13,BM.medicao-1)&gt;0),M204/$I204*100,0))</f>
        <v>0</v>
      </c>
      <c r="K204" s="147">
        <f t="shared" ca="1" si="24"/>
        <v>0</v>
      </c>
      <c r="L204" s="424">
        <f ca="1">IF($A204="S",IF(CAIXA.Modo,BM.AFAcumulado,BM.MEDAcumulado),IF(AND(RegimeExecucao="Global",$I204&gt;0,COUNTIF($AB$13:$AM$13,BM.medicao)&gt;0),O204/$I204*100,0))</f>
        <v>0</v>
      </c>
      <c r="M204" s="425">
        <f ca="1">IF($A204="S",VTOTALBM,IF($A204=0,0,ROUND(SomaAgrupBM,15-13*ORÇAMENTO!$AF$11)))</f>
        <v>0</v>
      </c>
      <c r="N204" s="426">
        <f t="shared" ca="1" si="25"/>
        <v>0</v>
      </c>
      <c r="O204" s="150">
        <f ca="1">IF($A204="S",VTOTALBM,IF($A204=0,0,ROUND(SomaAgrupBM,15-13*ORÇAMENTO!$AF$11)))</f>
        <v>0</v>
      </c>
      <c r="Q204" s="427"/>
      <c r="R204" s="428"/>
      <c r="T204" s="142" t="str">
        <f t="shared" ca="1" si="26"/>
        <v/>
      </c>
      <c r="U204" s="202" t="str">
        <f t="shared" ca="1" si="27"/>
        <v/>
      </c>
      <c r="V204" s="203" t="str">
        <f ca="1">IF(AND($W204&gt;0,RegimeExecucao="Unitário"),$F204,"")</f>
        <v/>
      </c>
      <c r="W204" s="629">
        <f ca="1">IF($Y204&gt;0,CHOOSE(MATCH(RegimeExecucao,{"Unitário","Global"},0),IF($A204="S",$Y204/$X204,""),($Y204/$X204)*100),0)</f>
        <v>0</v>
      </c>
      <c r="X204" s="429" t="str">
        <f ca="1">IF($Y204&gt;0,CHOOSE(MATCH(RegimeExecucao,{"Unitário","Global"},0),IF($A204="S",ROUND($H204,ORÇAMENTO!$AF$10),""),ROUND($I204,ORÇAMENTO!$AF$11)),"")</f>
        <v/>
      </c>
      <c r="Y204" s="429">
        <f t="shared" ca="1" si="28"/>
        <v>0</v>
      </c>
      <c r="Z204" s="656"/>
      <c r="AB204" s="427"/>
      <c r="AC204" s="594"/>
      <c r="AD204" s="594"/>
      <c r="AE204" s="594"/>
      <c r="AF204" s="594"/>
      <c r="AG204" s="594"/>
      <c r="AH204" s="594"/>
      <c r="AI204" s="594"/>
      <c r="AJ204" s="594"/>
      <c r="AK204" s="594"/>
      <c r="AL204" s="594"/>
      <c r="AM204" s="428"/>
      <c r="AO204">
        <f ca="1">IF($A204="S",IF(BM!$I204=0,0,CHOOSE(MATCH(RegimeExecucao,{"Global","Unitário"},0),ROUND(ROUND(BM.MEDAcumulado,15-13*BM!$A$9)/100*BM!$I204,15-13*ORÇAMENTO!$AF$11),ROUND(ROUND(BM.MEDAcumulado,15-13*BM!$A$9)*ROUND(BM!$H204,15-13*ORÇAMENTO!$AF$10),15-13*ORÇAMENTO!$AF$11))),IF($A204=0,0,ROUND(SomaAgrupBM,15-13*ORÇAMENTO!$AF$11)))</f>
        <v>0</v>
      </c>
    </row>
    <row r="205" spans="1:41" ht="13.8">
      <c r="A205" t="str">
        <f ca="1">ORÇAMENTO!C205</f>
        <v>S</v>
      </c>
      <c r="B205">
        <f ca="1">ORÇAMENTO!D205</f>
        <v>0</v>
      </c>
      <c r="C205" s="139" t="str">
        <f t="shared" ca="1" si="22"/>
        <v/>
      </c>
      <c r="D205" s="142" t="str">
        <f ca="1">ORÇAMENTO!O205</f>
        <v>-</v>
      </c>
      <c r="E205" s="202" t="str">
        <f t="shared" ca="1" si="23"/>
        <v>(abra o arquivo 'Referência 11-2024.xlsm)</v>
      </c>
      <c r="F205" s="203" t="str">
        <f ca="1">IF(RegimeExecucao="Global","",ORÇAMENTO.Unidade)</f>
        <v/>
      </c>
      <c r="G205" s="147" t="str">
        <f ca="1">IF(RegimeExecucao="Global","",ORÇAMENTO!T205)</f>
        <v/>
      </c>
      <c r="H205" s="147" t="str">
        <f ca="1">IF(RegimeExecucao="Global","",ORÇAMENTO!W205)</f>
        <v/>
      </c>
      <c r="I205" s="150">
        <f ca="1">ORÇAMENTO!X205</f>
        <v>0</v>
      </c>
      <c r="J205" s="423">
        <f ca="1">IF($A205="S",IF(CAIXA.Modo,BM.AFAnterior,BM.MEDAnterior),IF(AND(RegimeExecucao="Global",$I205&gt;0,COUNTIF($AB$13:$AM$13,BM.medicao-1)&gt;0),M205/$I205*100,0))</f>
        <v>0</v>
      </c>
      <c r="K205" s="147">
        <f t="shared" ca="1" si="24"/>
        <v>0</v>
      </c>
      <c r="L205" s="424">
        <f ca="1">IF($A205="S",IF(CAIXA.Modo,BM.AFAcumulado,BM.MEDAcumulado),IF(AND(RegimeExecucao="Global",$I205&gt;0,COUNTIF($AB$13:$AM$13,BM.medicao)&gt;0),O205/$I205*100,0))</f>
        <v>0</v>
      </c>
      <c r="M205" s="425">
        <f ca="1">IF($A205="S",VTOTALBM,IF($A205=0,0,ROUND(SomaAgrupBM,15-13*ORÇAMENTO!$AF$11)))</f>
        <v>0</v>
      </c>
      <c r="N205" s="426">
        <f t="shared" ca="1" si="25"/>
        <v>0</v>
      </c>
      <c r="O205" s="150">
        <f ca="1">IF($A205="S",VTOTALBM,IF($A205=0,0,ROUND(SomaAgrupBM,15-13*ORÇAMENTO!$AF$11)))</f>
        <v>0</v>
      </c>
      <c r="Q205" s="427"/>
      <c r="R205" s="428"/>
      <c r="T205" s="142" t="str">
        <f t="shared" ca="1" si="26"/>
        <v/>
      </c>
      <c r="U205" s="202" t="str">
        <f t="shared" ca="1" si="27"/>
        <v/>
      </c>
      <c r="V205" s="203" t="str">
        <f ca="1">IF(AND($W205&gt;0,RegimeExecucao="Unitário"),$F205,"")</f>
        <v/>
      </c>
      <c r="W205" s="629">
        <f ca="1">IF($Y205&gt;0,CHOOSE(MATCH(RegimeExecucao,{"Unitário","Global"},0),IF($A205="S",$Y205/$X205,""),($Y205/$X205)*100),0)</f>
        <v>0</v>
      </c>
      <c r="X205" s="429" t="str">
        <f ca="1">IF($Y205&gt;0,CHOOSE(MATCH(RegimeExecucao,{"Unitário","Global"},0),IF($A205="S",ROUND($H205,ORÇAMENTO!$AF$10),""),ROUND($I205,ORÇAMENTO!$AF$11)),"")</f>
        <v/>
      </c>
      <c r="Y205" s="429">
        <f t="shared" ca="1" si="28"/>
        <v>0</v>
      </c>
      <c r="Z205" s="656"/>
      <c r="AB205" s="427"/>
      <c r="AC205" s="594"/>
      <c r="AD205" s="594"/>
      <c r="AE205" s="594"/>
      <c r="AF205" s="594"/>
      <c r="AG205" s="594"/>
      <c r="AH205" s="594"/>
      <c r="AI205" s="594"/>
      <c r="AJ205" s="594"/>
      <c r="AK205" s="594"/>
      <c r="AL205" s="594"/>
      <c r="AM205" s="428"/>
      <c r="AO205">
        <f ca="1">IF($A205="S",IF(BM!$I205=0,0,CHOOSE(MATCH(RegimeExecucao,{"Global","Unitário"},0),ROUND(ROUND(BM.MEDAcumulado,15-13*BM!$A$9)/100*BM!$I205,15-13*ORÇAMENTO!$AF$11),ROUND(ROUND(BM.MEDAcumulado,15-13*BM!$A$9)*ROUND(BM!$H205,15-13*ORÇAMENTO!$AF$10),15-13*ORÇAMENTO!$AF$11))),IF($A205=0,0,ROUND(SomaAgrupBM,15-13*ORÇAMENTO!$AF$11)))</f>
        <v>0</v>
      </c>
    </row>
    <row r="206" spans="1:41" ht="13.8">
      <c r="A206" t="str">
        <f ca="1">ORÇAMENTO!C206</f>
        <v>S</v>
      </c>
      <c r="B206">
        <f ca="1">ORÇAMENTO!D206</f>
        <v>0</v>
      </c>
      <c r="C206" s="139" t="str">
        <f t="shared" ref="C206:C263" ca="1" si="29">IF(OR($I206&gt;0,$A206=1,$A206=2,$A206=3,$A206=4),"F","")</f>
        <v/>
      </c>
      <c r="D206" s="142" t="str">
        <f ca="1">ORÇAMENTO!O206</f>
        <v>-</v>
      </c>
      <c r="E206" s="202" t="str">
        <f t="shared" ref="E206:E263" ca="1" si="30">ORÇAMENTO.Descricao</f>
        <v>(abra o arquivo 'Referência 11-2024.xlsm)</v>
      </c>
      <c r="F206" s="203" t="str">
        <f ca="1">IF(RegimeExecucao="Global","",ORÇAMENTO.Unidade)</f>
        <v/>
      </c>
      <c r="G206" s="147" t="str">
        <f ca="1">IF(RegimeExecucao="Global","",ORÇAMENTO!T206)</f>
        <v/>
      </c>
      <c r="H206" s="147" t="str">
        <f ca="1">IF(RegimeExecucao="Global","",ORÇAMENTO!W206)</f>
        <v/>
      </c>
      <c r="I206" s="150">
        <f ca="1">ORÇAMENTO!X206</f>
        <v>0</v>
      </c>
      <c r="J206" s="423">
        <f ca="1">IF($A206="S",IF(CAIXA.Modo,BM.AFAnterior,BM.MEDAnterior),IF(AND(RegimeExecucao="Global",$I206&gt;0,COUNTIF($AB$13:$AM$13,BM.medicao-1)&gt;0),M206/$I206*100,0))</f>
        <v>0</v>
      </c>
      <c r="K206" s="147">
        <f t="shared" ref="K206:K263" ca="1" si="31">L206-J206</f>
        <v>0</v>
      </c>
      <c r="L206" s="424">
        <f ca="1">IF($A206="S",IF(CAIXA.Modo,BM.AFAcumulado,BM.MEDAcumulado),IF(AND(RegimeExecucao="Global",$I206&gt;0,COUNTIF($AB$13:$AM$13,BM.medicao)&gt;0),O206/$I206*100,0))</f>
        <v>0</v>
      </c>
      <c r="M206" s="425">
        <f ca="1">IF($A206="S",VTOTALBM,IF($A206=0,0,ROUND(SomaAgrupBM,15-13*ORÇAMENTO!$AF$11)))</f>
        <v>0</v>
      </c>
      <c r="N206" s="426">
        <f t="shared" ref="N206:N263" ca="1" si="32">O206-M206</f>
        <v>0</v>
      </c>
      <c r="O206" s="150">
        <f ca="1">IF($A206="S",VTOTALBM,IF($A206=0,0,ROUND(SomaAgrupBM,15-13*ORÇAMENTO!$AF$11)))</f>
        <v>0</v>
      </c>
      <c r="Q206" s="427"/>
      <c r="R206" s="428"/>
      <c r="T206" s="142" t="str">
        <f t="shared" ref="T206:T263" ca="1" si="33">IF($W206&gt;0,$D206,"")</f>
        <v/>
      </c>
      <c r="U206" s="202" t="str">
        <f t="shared" ref="U206:U263" ca="1" si="34">IF($W206&gt;0,$E206,"")</f>
        <v/>
      </c>
      <c r="V206" s="203" t="str">
        <f ca="1">IF(AND($W206&gt;0,RegimeExecucao="Unitário"),$F206,"")</f>
        <v/>
      </c>
      <c r="W206" s="629">
        <f ca="1">IF($Y206&gt;0,CHOOSE(MATCH(RegimeExecucao,{"Unitário","Global"},0),IF($A206="S",$Y206/$X206,""),($Y206/$X206)*100),0)</f>
        <v>0</v>
      </c>
      <c r="X206" s="429" t="str">
        <f ca="1">IF($Y206&gt;0,CHOOSE(MATCH(RegimeExecucao,{"Unitário","Global"},0),IF($A206="S",ROUND($H206,ORÇAMENTO!$AF$10),""),ROUND($I206,ORÇAMENTO!$AF$11)),"")</f>
        <v/>
      </c>
      <c r="Y206" s="429">
        <f t="shared" ref="Y206:Y263" ca="1" si="35">AO206-O206</f>
        <v>0</v>
      </c>
      <c r="Z206" s="656"/>
      <c r="AB206" s="427"/>
      <c r="AC206" s="594"/>
      <c r="AD206" s="594"/>
      <c r="AE206" s="594"/>
      <c r="AF206" s="594"/>
      <c r="AG206" s="594"/>
      <c r="AH206" s="594"/>
      <c r="AI206" s="594"/>
      <c r="AJ206" s="594"/>
      <c r="AK206" s="594"/>
      <c r="AL206" s="594"/>
      <c r="AM206" s="428"/>
      <c r="AO206">
        <f ca="1">IF($A206="S",IF(BM!$I206=0,0,CHOOSE(MATCH(RegimeExecucao,{"Global","Unitário"},0),ROUND(ROUND(BM.MEDAcumulado,15-13*BM!$A$9)/100*BM!$I206,15-13*ORÇAMENTO!$AF$11),ROUND(ROUND(BM.MEDAcumulado,15-13*BM!$A$9)*ROUND(BM!$H206,15-13*ORÇAMENTO!$AF$10),15-13*ORÇAMENTO!$AF$11))),IF($A206=0,0,ROUND(SomaAgrupBM,15-13*ORÇAMENTO!$AF$11)))</f>
        <v>0</v>
      </c>
    </row>
    <row r="207" spans="1:41" ht="13.8">
      <c r="A207" t="str">
        <f ca="1">ORÇAMENTO!C207</f>
        <v>S</v>
      </c>
      <c r="B207">
        <f ca="1">ORÇAMENTO!D207</f>
        <v>0</v>
      </c>
      <c r="C207" s="139" t="str">
        <f t="shared" ca="1" si="29"/>
        <v/>
      </c>
      <c r="D207" s="142" t="str">
        <f ca="1">ORÇAMENTO!O207</f>
        <v>-</v>
      </c>
      <c r="E207" s="202" t="str">
        <f t="shared" ca="1" si="30"/>
        <v>(abra o arquivo 'Referência 11-2024.xlsm)</v>
      </c>
      <c r="F207" s="203" t="str">
        <f ca="1">IF(RegimeExecucao="Global","",ORÇAMENTO.Unidade)</f>
        <v/>
      </c>
      <c r="G207" s="147" t="str">
        <f ca="1">IF(RegimeExecucao="Global","",ORÇAMENTO!T207)</f>
        <v/>
      </c>
      <c r="H207" s="147" t="str">
        <f ca="1">IF(RegimeExecucao="Global","",ORÇAMENTO!W207)</f>
        <v/>
      </c>
      <c r="I207" s="150">
        <f ca="1">ORÇAMENTO!X207</f>
        <v>0</v>
      </c>
      <c r="J207" s="423">
        <f ca="1">IF($A207="S",IF(CAIXA.Modo,BM.AFAnterior,BM.MEDAnterior),IF(AND(RegimeExecucao="Global",$I207&gt;0,COUNTIF($AB$13:$AM$13,BM.medicao-1)&gt;0),M207/$I207*100,0))</f>
        <v>0</v>
      </c>
      <c r="K207" s="147">
        <f t="shared" ca="1" si="31"/>
        <v>0</v>
      </c>
      <c r="L207" s="424">
        <f ca="1">IF($A207="S",IF(CAIXA.Modo,BM.AFAcumulado,BM.MEDAcumulado),IF(AND(RegimeExecucao="Global",$I207&gt;0,COUNTIF($AB$13:$AM$13,BM.medicao)&gt;0),O207/$I207*100,0))</f>
        <v>0</v>
      </c>
      <c r="M207" s="425">
        <f ca="1">IF($A207="S",VTOTALBM,IF($A207=0,0,ROUND(SomaAgrupBM,15-13*ORÇAMENTO!$AF$11)))</f>
        <v>0</v>
      </c>
      <c r="N207" s="426">
        <f t="shared" ca="1" si="32"/>
        <v>0</v>
      </c>
      <c r="O207" s="150">
        <f ca="1">IF($A207="S",VTOTALBM,IF($A207=0,0,ROUND(SomaAgrupBM,15-13*ORÇAMENTO!$AF$11)))</f>
        <v>0</v>
      </c>
      <c r="Q207" s="427"/>
      <c r="R207" s="428"/>
      <c r="T207" s="142" t="str">
        <f t="shared" ca="1" si="33"/>
        <v/>
      </c>
      <c r="U207" s="202" t="str">
        <f t="shared" ca="1" si="34"/>
        <v/>
      </c>
      <c r="V207" s="203" t="str">
        <f ca="1">IF(AND($W207&gt;0,RegimeExecucao="Unitário"),$F207,"")</f>
        <v/>
      </c>
      <c r="W207" s="629">
        <f ca="1">IF($Y207&gt;0,CHOOSE(MATCH(RegimeExecucao,{"Unitário","Global"},0),IF($A207="S",$Y207/$X207,""),($Y207/$X207)*100),0)</f>
        <v>0</v>
      </c>
      <c r="X207" s="429" t="str">
        <f ca="1">IF($Y207&gt;0,CHOOSE(MATCH(RegimeExecucao,{"Unitário","Global"},0),IF($A207="S",ROUND($H207,ORÇAMENTO!$AF$10),""),ROUND($I207,ORÇAMENTO!$AF$11)),"")</f>
        <v/>
      </c>
      <c r="Y207" s="429">
        <f t="shared" ca="1" si="35"/>
        <v>0</v>
      </c>
      <c r="Z207" s="656"/>
      <c r="AB207" s="427"/>
      <c r="AC207" s="594"/>
      <c r="AD207" s="594"/>
      <c r="AE207" s="594"/>
      <c r="AF207" s="594"/>
      <c r="AG207" s="594"/>
      <c r="AH207" s="594"/>
      <c r="AI207" s="594"/>
      <c r="AJ207" s="594"/>
      <c r="AK207" s="594"/>
      <c r="AL207" s="594"/>
      <c r="AM207" s="428"/>
      <c r="AO207">
        <f ca="1">IF($A207="S",IF(BM!$I207=0,0,CHOOSE(MATCH(RegimeExecucao,{"Global","Unitário"},0),ROUND(ROUND(BM.MEDAcumulado,15-13*BM!$A$9)/100*BM!$I207,15-13*ORÇAMENTO!$AF$11),ROUND(ROUND(BM.MEDAcumulado,15-13*BM!$A$9)*ROUND(BM!$H207,15-13*ORÇAMENTO!$AF$10),15-13*ORÇAMENTO!$AF$11))),IF($A207=0,0,ROUND(SomaAgrupBM,15-13*ORÇAMENTO!$AF$11)))</f>
        <v>0</v>
      </c>
    </row>
    <row r="208" spans="1:41" ht="13.8">
      <c r="A208" t="str">
        <f ca="1">ORÇAMENTO!C208</f>
        <v>S</v>
      </c>
      <c r="B208">
        <f ca="1">ORÇAMENTO!D208</f>
        <v>0</v>
      </c>
      <c r="C208" s="139" t="str">
        <f t="shared" ca="1" si="29"/>
        <v/>
      </c>
      <c r="D208" s="142" t="str">
        <f ca="1">ORÇAMENTO!O208</f>
        <v>-</v>
      </c>
      <c r="E208" s="202" t="str">
        <f t="shared" ca="1" si="30"/>
        <v>(abra o arquivo 'Referência 11-2024.xlsm)</v>
      </c>
      <c r="F208" s="203" t="str">
        <f ca="1">IF(RegimeExecucao="Global","",ORÇAMENTO.Unidade)</f>
        <v/>
      </c>
      <c r="G208" s="147" t="str">
        <f ca="1">IF(RegimeExecucao="Global","",ORÇAMENTO!T208)</f>
        <v/>
      </c>
      <c r="H208" s="147" t="str">
        <f ca="1">IF(RegimeExecucao="Global","",ORÇAMENTO!W208)</f>
        <v/>
      </c>
      <c r="I208" s="150">
        <f ca="1">ORÇAMENTO!X208</f>
        <v>0</v>
      </c>
      <c r="J208" s="423">
        <f ca="1">IF($A208="S",IF(CAIXA.Modo,BM.AFAnterior,BM.MEDAnterior),IF(AND(RegimeExecucao="Global",$I208&gt;0,COUNTIF($AB$13:$AM$13,BM.medicao-1)&gt;0),M208/$I208*100,0))</f>
        <v>0</v>
      </c>
      <c r="K208" s="147">
        <f t="shared" ca="1" si="31"/>
        <v>0</v>
      </c>
      <c r="L208" s="424">
        <f ca="1">IF($A208="S",IF(CAIXA.Modo,BM.AFAcumulado,BM.MEDAcumulado),IF(AND(RegimeExecucao="Global",$I208&gt;0,COUNTIF($AB$13:$AM$13,BM.medicao)&gt;0),O208/$I208*100,0))</f>
        <v>0</v>
      </c>
      <c r="M208" s="425">
        <f ca="1">IF($A208="S",VTOTALBM,IF($A208=0,0,ROUND(SomaAgrupBM,15-13*ORÇAMENTO!$AF$11)))</f>
        <v>0</v>
      </c>
      <c r="N208" s="426">
        <f t="shared" ca="1" si="32"/>
        <v>0</v>
      </c>
      <c r="O208" s="150">
        <f ca="1">IF($A208="S",VTOTALBM,IF($A208=0,0,ROUND(SomaAgrupBM,15-13*ORÇAMENTO!$AF$11)))</f>
        <v>0</v>
      </c>
      <c r="Q208" s="427"/>
      <c r="R208" s="428"/>
      <c r="T208" s="142" t="str">
        <f t="shared" ca="1" si="33"/>
        <v/>
      </c>
      <c r="U208" s="202" t="str">
        <f t="shared" ca="1" si="34"/>
        <v/>
      </c>
      <c r="V208" s="203" t="str">
        <f ca="1">IF(AND($W208&gt;0,RegimeExecucao="Unitário"),$F208,"")</f>
        <v/>
      </c>
      <c r="W208" s="629">
        <f ca="1">IF($Y208&gt;0,CHOOSE(MATCH(RegimeExecucao,{"Unitário","Global"},0),IF($A208="S",$Y208/$X208,""),($Y208/$X208)*100),0)</f>
        <v>0</v>
      </c>
      <c r="X208" s="429" t="str">
        <f ca="1">IF($Y208&gt;0,CHOOSE(MATCH(RegimeExecucao,{"Unitário","Global"},0),IF($A208="S",ROUND($H208,ORÇAMENTO!$AF$10),""),ROUND($I208,ORÇAMENTO!$AF$11)),"")</f>
        <v/>
      </c>
      <c r="Y208" s="429">
        <f t="shared" ca="1" si="35"/>
        <v>0</v>
      </c>
      <c r="Z208" s="656"/>
      <c r="AB208" s="427"/>
      <c r="AC208" s="594"/>
      <c r="AD208" s="594"/>
      <c r="AE208" s="594"/>
      <c r="AF208" s="594"/>
      <c r="AG208" s="594"/>
      <c r="AH208" s="594"/>
      <c r="AI208" s="594"/>
      <c r="AJ208" s="594"/>
      <c r="AK208" s="594"/>
      <c r="AL208" s="594"/>
      <c r="AM208" s="428"/>
      <c r="AO208">
        <f ca="1">IF($A208="S",IF(BM!$I208=0,0,CHOOSE(MATCH(RegimeExecucao,{"Global","Unitário"},0),ROUND(ROUND(BM.MEDAcumulado,15-13*BM!$A$9)/100*BM!$I208,15-13*ORÇAMENTO!$AF$11),ROUND(ROUND(BM.MEDAcumulado,15-13*BM!$A$9)*ROUND(BM!$H208,15-13*ORÇAMENTO!$AF$10),15-13*ORÇAMENTO!$AF$11))),IF($A208=0,0,ROUND(SomaAgrupBM,15-13*ORÇAMENTO!$AF$11)))</f>
        <v>0</v>
      </c>
    </row>
    <row r="209" spans="1:41" ht="13.8">
      <c r="A209" t="str">
        <f ca="1">ORÇAMENTO!C209</f>
        <v>S</v>
      </c>
      <c r="B209">
        <f ca="1">ORÇAMENTO!D209</f>
        <v>0</v>
      </c>
      <c r="C209" s="139" t="str">
        <f t="shared" ca="1" si="29"/>
        <v/>
      </c>
      <c r="D209" s="142" t="str">
        <f ca="1">ORÇAMENTO!O209</f>
        <v>-</v>
      </c>
      <c r="E209" s="202" t="str">
        <f t="shared" ca="1" si="30"/>
        <v>(abra o arquivo 'Referência 11-2024.xlsm)</v>
      </c>
      <c r="F209" s="203" t="str">
        <f ca="1">IF(RegimeExecucao="Global","",ORÇAMENTO.Unidade)</f>
        <v/>
      </c>
      <c r="G209" s="147" t="str">
        <f ca="1">IF(RegimeExecucao="Global","",ORÇAMENTO!T209)</f>
        <v/>
      </c>
      <c r="H209" s="147" t="str">
        <f ca="1">IF(RegimeExecucao="Global","",ORÇAMENTO!W209)</f>
        <v/>
      </c>
      <c r="I209" s="150">
        <f ca="1">ORÇAMENTO!X209</f>
        <v>0</v>
      </c>
      <c r="J209" s="423">
        <f ca="1">IF($A209="S",IF(CAIXA.Modo,BM.AFAnterior,BM.MEDAnterior),IF(AND(RegimeExecucao="Global",$I209&gt;0,COUNTIF($AB$13:$AM$13,BM.medicao-1)&gt;0),M209/$I209*100,0))</f>
        <v>0</v>
      </c>
      <c r="K209" s="147">
        <f t="shared" ca="1" si="31"/>
        <v>0</v>
      </c>
      <c r="L209" s="424">
        <f ca="1">IF($A209="S",IF(CAIXA.Modo,BM.AFAcumulado,BM.MEDAcumulado),IF(AND(RegimeExecucao="Global",$I209&gt;0,COUNTIF($AB$13:$AM$13,BM.medicao)&gt;0),O209/$I209*100,0))</f>
        <v>0</v>
      </c>
      <c r="M209" s="425">
        <f ca="1">IF($A209="S",VTOTALBM,IF($A209=0,0,ROUND(SomaAgrupBM,15-13*ORÇAMENTO!$AF$11)))</f>
        <v>0</v>
      </c>
      <c r="N209" s="426">
        <f t="shared" ca="1" si="32"/>
        <v>0</v>
      </c>
      <c r="O209" s="150">
        <f ca="1">IF($A209="S",VTOTALBM,IF($A209=0,0,ROUND(SomaAgrupBM,15-13*ORÇAMENTO!$AF$11)))</f>
        <v>0</v>
      </c>
      <c r="Q209" s="427"/>
      <c r="R209" s="428"/>
      <c r="T209" s="142" t="str">
        <f t="shared" ca="1" si="33"/>
        <v/>
      </c>
      <c r="U209" s="202" t="str">
        <f t="shared" ca="1" si="34"/>
        <v/>
      </c>
      <c r="V209" s="203" t="str">
        <f ca="1">IF(AND($W209&gt;0,RegimeExecucao="Unitário"),$F209,"")</f>
        <v/>
      </c>
      <c r="W209" s="629">
        <f ca="1">IF($Y209&gt;0,CHOOSE(MATCH(RegimeExecucao,{"Unitário","Global"},0),IF($A209="S",$Y209/$X209,""),($Y209/$X209)*100),0)</f>
        <v>0</v>
      </c>
      <c r="X209" s="429" t="str">
        <f ca="1">IF($Y209&gt;0,CHOOSE(MATCH(RegimeExecucao,{"Unitário","Global"},0),IF($A209="S",ROUND($H209,ORÇAMENTO!$AF$10),""),ROUND($I209,ORÇAMENTO!$AF$11)),"")</f>
        <v/>
      </c>
      <c r="Y209" s="429">
        <f t="shared" ca="1" si="35"/>
        <v>0</v>
      </c>
      <c r="Z209" s="656"/>
      <c r="AB209" s="427"/>
      <c r="AC209" s="594"/>
      <c r="AD209" s="594"/>
      <c r="AE209" s="594"/>
      <c r="AF209" s="594"/>
      <c r="AG209" s="594"/>
      <c r="AH209" s="594"/>
      <c r="AI209" s="594"/>
      <c r="AJ209" s="594"/>
      <c r="AK209" s="594"/>
      <c r="AL209" s="594"/>
      <c r="AM209" s="428"/>
      <c r="AO209">
        <f ca="1">IF($A209="S",IF(BM!$I209=0,0,CHOOSE(MATCH(RegimeExecucao,{"Global","Unitário"},0),ROUND(ROUND(BM.MEDAcumulado,15-13*BM!$A$9)/100*BM!$I209,15-13*ORÇAMENTO!$AF$11),ROUND(ROUND(BM.MEDAcumulado,15-13*BM!$A$9)*ROUND(BM!$H209,15-13*ORÇAMENTO!$AF$10),15-13*ORÇAMENTO!$AF$11))),IF($A209=0,0,ROUND(SomaAgrupBM,15-13*ORÇAMENTO!$AF$11)))</f>
        <v>0</v>
      </c>
    </row>
    <row r="210" spans="1:41" ht="13.8">
      <c r="A210" t="str">
        <f ca="1">ORÇAMENTO!C210</f>
        <v>S</v>
      </c>
      <c r="B210">
        <f ca="1">ORÇAMENTO!D210</f>
        <v>0</v>
      </c>
      <c r="C210" s="139" t="str">
        <f t="shared" ca="1" si="29"/>
        <v/>
      </c>
      <c r="D210" s="142" t="str">
        <f ca="1">ORÇAMENTO!O210</f>
        <v>-</v>
      </c>
      <c r="E210" s="202" t="str">
        <f t="shared" ca="1" si="30"/>
        <v>(abra o arquivo 'Referência 11-2024.xlsm)</v>
      </c>
      <c r="F210" s="203" t="str">
        <f ca="1">IF(RegimeExecucao="Global","",ORÇAMENTO.Unidade)</f>
        <v/>
      </c>
      <c r="G210" s="147" t="str">
        <f ca="1">IF(RegimeExecucao="Global","",ORÇAMENTO!T210)</f>
        <v/>
      </c>
      <c r="H210" s="147" t="str">
        <f ca="1">IF(RegimeExecucao="Global","",ORÇAMENTO!W210)</f>
        <v/>
      </c>
      <c r="I210" s="150">
        <f ca="1">ORÇAMENTO!X210</f>
        <v>0</v>
      </c>
      <c r="J210" s="423">
        <f ca="1">IF($A210="S",IF(CAIXA.Modo,BM.AFAnterior,BM.MEDAnterior),IF(AND(RegimeExecucao="Global",$I210&gt;0,COUNTIF($AB$13:$AM$13,BM.medicao-1)&gt;0),M210/$I210*100,0))</f>
        <v>0</v>
      </c>
      <c r="K210" s="147">
        <f t="shared" ca="1" si="31"/>
        <v>0</v>
      </c>
      <c r="L210" s="424">
        <f ca="1">IF($A210="S",IF(CAIXA.Modo,BM.AFAcumulado,BM.MEDAcumulado),IF(AND(RegimeExecucao="Global",$I210&gt;0,COUNTIF($AB$13:$AM$13,BM.medicao)&gt;0),O210/$I210*100,0))</f>
        <v>0</v>
      </c>
      <c r="M210" s="425">
        <f ca="1">IF($A210="S",VTOTALBM,IF($A210=0,0,ROUND(SomaAgrupBM,15-13*ORÇAMENTO!$AF$11)))</f>
        <v>0</v>
      </c>
      <c r="N210" s="426">
        <f t="shared" ca="1" si="32"/>
        <v>0</v>
      </c>
      <c r="O210" s="150">
        <f ca="1">IF($A210="S",VTOTALBM,IF($A210=0,0,ROUND(SomaAgrupBM,15-13*ORÇAMENTO!$AF$11)))</f>
        <v>0</v>
      </c>
      <c r="Q210" s="427"/>
      <c r="R210" s="428"/>
      <c r="T210" s="142" t="str">
        <f t="shared" ca="1" si="33"/>
        <v/>
      </c>
      <c r="U210" s="202" t="str">
        <f t="shared" ca="1" si="34"/>
        <v/>
      </c>
      <c r="V210" s="203" t="str">
        <f ca="1">IF(AND($W210&gt;0,RegimeExecucao="Unitário"),$F210,"")</f>
        <v/>
      </c>
      <c r="W210" s="629">
        <f ca="1">IF($Y210&gt;0,CHOOSE(MATCH(RegimeExecucao,{"Unitário","Global"},0),IF($A210="S",$Y210/$X210,""),($Y210/$X210)*100),0)</f>
        <v>0</v>
      </c>
      <c r="X210" s="429" t="str">
        <f ca="1">IF($Y210&gt;0,CHOOSE(MATCH(RegimeExecucao,{"Unitário","Global"},0),IF($A210="S",ROUND($H210,ORÇAMENTO!$AF$10),""),ROUND($I210,ORÇAMENTO!$AF$11)),"")</f>
        <v/>
      </c>
      <c r="Y210" s="429">
        <f t="shared" ca="1" si="35"/>
        <v>0</v>
      </c>
      <c r="Z210" s="656"/>
      <c r="AB210" s="427"/>
      <c r="AC210" s="594"/>
      <c r="AD210" s="594"/>
      <c r="AE210" s="594"/>
      <c r="AF210" s="594"/>
      <c r="AG210" s="594"/>
      <c r="AH210" s="594"/>
      <c r="AI210" s="594"/>
      <c r="AJ210" s="594"/>
      <c r="AK210" s="594"/>
      <c r="AL210" s="594"/>
      <c r="AM210" s="428"/>
      <c r="AO210">
        <f ca="1">IF($A210="S",IF(BM!$I210=0,0,CHOOSE(MATCH(RegimeExecucao,{"Global","Unitário"},0),ROUND(ROUND(BM.MEDAcumulado,15-13*BM!$A$9)/100*BM!$I210,15-13*ORÇAMENTO!$AF$11),ROUND(ROUND(BM.MEDAcumulado,15-13*BM!$A$9)*ROUND(BM!$H210,15-13*ORÇAMENTO!$AF$10),15-13*ORÇAMENTO!$AF$11))),IF($A210=0,0,ROUND(SomaAgrupBM,15-13*ORÇAMENTO!$AF$11)))</f>
        <v>0</v>
      </c>
    </row>
    <row r="211" spans="1:41" ht="13.8">
      <c r="A211" t="str">
        <f ca="1">ORÇAMENTO!C211</f>
        <v>S</v>
      </c>
      <c r="B211">
        <f ca="1">ORÇAMENTO!D211</f>
        <v>0</v>
      </c>
      <c r="C211" s="139" t="str">
        <f t="shared" ca="1" si="29"/>
        <v/>
      </c>
      <c r="D211" s="142" t="str">
        <f ca="1">ORÇAMENTO!O211</f>
        <v>-</v>
      </c>
      <c r="E211" s="202" t="str">
        <f t="shared" ca="1" si="30"/>
        <v>(abra o arquivo 'Referência 11-2024.xlsm)</v>
      </c>
      <c r="F211" s="203" t="str">
        <f ca="1">IF(RegimeExecucao="Global","",ORÇAMENTO.Unidade)</f>
        <v/>
      </c>
      <c r="G211" s="147" t="str">
        <f ca="1">IF(RegimeExecucao="Global","",ORÇAMENTO!T211)</f>
        <v/>
      </c>
      <c r="H211" s="147" t="str">
        <f ca="1">IF(RegimeExecucao="Global","",ORÇAMENTO!W211)</f>
        <v/>
      </c>
      <c r="I211" s="150">
        <f ca="1">ORÇAMENTO!X211</f>
        <v>0</v>
      </c>
      <c r="J211" s="423">
        <f ca="1">IF($A211="S",IF(CAIXA.Modo,BM.AFAnterior,BM.MEDAnterior),IF(AND(RegimeExecucao="Global",$I211&gt;0,COUNTIF($AB$13:$AM$13,BM.medicao-1)&gt;0),M211/$I211*100,0))</f>
        <v>0</v>
      </c>
      <c r="K211" s="147">
        <f t="shared" ca="1" si="31"/>
        <v>0</v>
      </c>
      <c r="L211" s="424">
        <f ca="1">IF($A211="S",IF(CAIXA.Modo,BM.AFAcumulado,BM.MEDAcumulado),IF(AND(RegimeExecucao="Global",$I211&gt;0,COUNTIF($AB$13:$AM$13,BM.medicao)&gt;0),O211/$I211*100,0))</f>
        <v>0</v>
      </c>
      <c r="M211" s="425">
        <f ca="1">IF($A211="S",VTOTALBM,IF($A211=0,0,ROUND(SomaAgrupBM,15-13*ORÇAMENTO!$AF$11)))</f>
        <v>0</v>
      </c>
      <c r="N211" s="426">
        <f t="shared" ca="1" si="32"/>
        <v>0</v>
      </c>
      <c r="O211" s="150">
        <f ca="1">IF($A211="S",VTOTALBM,IF($A211=0,0,ROUND(SomaAgrupBM,15-13*ORÇAMENTO!$AF$11)))</f>
        <v>0</v>
      </c>
      <c r="Q211" s="427"/>
      <c r="R211" s="428"/>
      <c r="T211" s="142" t="str">
        <f t="shared" ca="1" si="33"/>
        <v/>
      </c>
      <c r="U211" s="202" t="str">
        <f t="shared" ca="1" si="34"/>
        <v/>
      </c>
      <c r="V211" s="203" t="str">
        <f ca="1">IF(AND($W211&gt;0,RegimeExecucao="Unitário"),$F211,"")</f>
        <v/>
      </c>
      <c r="W211" s="629">
        <f ca="1">IF($Y211&gt;0,CHOOSE(MATCH(RegimeExecucao,{"Unitário","Global"},0),IF($A211="S",$Y211/$X211,""),($Y211/$X211)*100),0)</f>
        <v>0</v>
      </c>
      <c r="X211" s="429" t="str">
        <f ca="1">IF($Y211&gt;0,CHOOSE(MATCH(RegimeExecucao,{"Unitário","Global"},0),IF($A211="S",ROUND($H211,ORÇAMENTO!$AF$10),""),ROUND($I211,ORÇAMENTO!$AF$11)),"")</f>
        <v/>
      </c>
      <c r="Y211" s="429">
        <f t="shared" ca="1" si="35"/>
        <v>0</v>
      </c>
      <c r="Z211" s="656"/>
      <c r="AB211" s="427"/>
      <c r="AC211" s="594"/>
      <c r="AD211" s="594"/>
      <c r="AE211" s="594"/>
      <c r="AF211" s="594"/>
      <c r="AG211" s="594"/>
      <c r="AH211" s="594"/>
      <c r="AI211" s="594"/>
      <c r="AJ211" s="594"/>
      <c r="AK211" s="594"/>
      <c r="AL211" s="594"/>
      <c r="AM211" s="428"/>
      <c r="AO211">
        <f ca="1">IF($A211="S",IF(BM!$I211=0,0,CHOOSE(MATCH(RegimeExecucao,{"Global","Unitário"},0),ROUND(ROUND(BM.MEDAcumulado,15-13*BM!$A$9)/100*BM!$I211,15-13*ORÇAMENTO!$AF$11),ROUND(ROUND(BM.MEDAcumulado,15-13*BM!$A$9)*ROUND(BM!$H211,15-13*ORÇAMENTO!$AF$10),15-13*ORÇAMENTO!$AF$11))),IF($A211=0,0,ROUND(SomaAgrupBM,15-13*ORÇAMENTO!$AF$11)))</f>
        <v>0</v>
      </c>
    </row>
    <row r="212" spans="1:41" ht="13.8">
      <c r="A212" t="str">
        <f ca="1">ORÇAMENTO!C212</f>
        <v>S</v>
      </c>
      <c r="B212">
        <f ca="1">ORÇAMENTO!D212</f>
        <v>0</v>
      </c>
      <c r="C212" s="139" t="str">
        <f t="shared" ca="1" si="29"/>
        <v/>
      </c>
      <c r="D212" s="142" t="str">
        <f ca="1">ORÇAMENTO!O212</f>
        <v>-</v>
      </c>
      <c r="E212" s="202" t="str">
        <f t="shared" ca="1" si="30"/>
        <v>(abra o arquivo 'Referência 11-2024.xlsm)</v>
      </c>
      <c r="F212" s="203" t="str">
        <f ca="1">IF(RegimeExecucao="Global","",ORÇAMENTO.Unidade)</f>
        <v/>
      </c>
      <c r="G212" s="147" t="str">
        <f ca="1">IF(RegimeExecucao="Global","",ORÇAMENTO!T212)</f>
        <v/>
      </c>
      <c r="H212" s="147" t="str">
        <f ca="1">IF(RegimeExecucao="Global","",ORÇAMENTO!W212)</f>
        <v/>
      </c>
      <c r="I212" s="150">
        <f ca="1">ORÇAMENTO!X212</f>
        <v>0</v>
      </c>
      <c r="J212" s="423">
        <f ca="1">IF($A212="S",IF(CAIXA.Modo,BM.AFAnterior,BM.MEDAnterior),IF(AND(RegimeExecucao="Global",$I212&gt;0,COUNTIF($AB$13:$AM$13,BM.medicao-1)&gt;0),M212/$I212*100,0))</f>
        <v>0</v>
      </c>
      <c r="K212" s="147">
        <f t="shared" ca="1" si="31"/>
        <v>0</v>
      </c>
      <c r="L212" s="424">
        <f ca="1">IF($A212="S",IF(CAIXA.Modo,BM.AFAcumulado,BM.MEDAcumulado),IF(AND(RegimeExecucao="Global",$I212&gt;0,COUNTIF($AB$13:$AM$13,BM.medicao)&gt;0),O212/$I212*100,0))</f>
        <v>0</v>
      </c>
      <c r="M212" s="425">
        <f ca="1">IF($A212="S",VTOTALBM,IF($A212=0,0,ROUND(SomaAgrupBM,15-13*ORÇAMENTO!$AF$11)))</f>
        <v>0</v>
      </c>
      <c r="N212" s="426">
        <f t="shared" ca="1" si="32"/>
        <v>0</v>
      </c>
      <c r="O212" s="150">
        <f ca="1">IF($A212="S",VTOTALBM,IF($A212=0,0,ROUND(SomaAgrupBM,15-13*ORÇAMENTO!$AF$11)))</f>
        <v>0</v>
      </c>
      <c r="Q212" s="427"/>
      <c r="R212" s="428"/>
      <c r="T212" s="142" t="str">
        <f t="shared" ca="1" si="33"/>
        <v/>
      </c>
      <c r="U212" s="202" t="str">
        <f t="shared" ca="1" si="34"/>
        <v/>
      </c>
      <c r="V212" s="203" t="str">
        <f ca="1">IF(AND($W212&gt;0,RegimeExecucao="Unitário"),$F212,"")</f>
        <v/>
      </c>
      <c r="W212" s="629">
        <f ca="1">IF($Y212&gt;0,CHOOSE(MATCH(RegimeExecucao,{"Unitário","Global"},0),IF($A212="S",$Y212/$X212,""),($Y212/$X212)*100),0)</f>
        <v>0</v>
      </c>
      <c r="X212" s="429" t="str">
        <f ca="1">IF($Y212&gt;0,CHOOSE(MATCH(RegimeExecucao,{"Unitário","Global"},0),IF($A212="S",ROUND($H212,ORÇAMENTO!$AF$10),""),ROUND($I212,ORÇAMENTO!$AF$11)),"")</f>
        <v/>
      </c>
      <c r="Y212" s="429">
        <f t="shared" ca="1" si="35"/>
        <v>0</v>
      </c>
      <c r="Z212" s="656"/>
      <c r="AB212" s="427"/>
      <c r="AC212" s="594"/>
      <c r="AD212" s="594"/>
      <c r="AE212" s="594"/>
      <c r="AF212" s="594"/>
      <c r="AG212" s="594"/>
      <c r="AH212" s="594"/>
      <c r="AI212" s="594"/>
      <c r="AJ212" s="594"/>
      <c r="AK212" s="594"/>
      <c r="AL212" s="594"/>
      <c r="AM212" s="428"/>
      <c r="AO212">
        <f ca="1">IF($A212="S",IF(BM!$I212=0,0,CHOOSE(MATCH(RegimeExecucao,{"Global","Unitário"},0),ROUND(ROUND(BM.MEDAcumulado,15-13*BM!$A$9)/100*BM!$I212,15-13*ORÇAMENTO!$AF$11),ROUND(ROUND(BM.MEDAcumulado,15-13*BM!$A$9)*ROUND(BM!$H212,15-13*ORÇAMENTO!$AF$10),15-13*ORÇAMENTO!$AF$11))),IF($A212=0,0,ROUND(SomaAgrupBM,15-13*ORÇAMENTO!$AF$11)))</f>
        <v>0</v>
      </c>
    </row>
    <row r="213" spans="1:41" ht="13.8">
      <c r="A213" t="str">
        <f ca="1">ORÇAMENTO!C213</f>
        <v>S</v>
      </c>
      <c r="B213">
        <f ca="1">ORÇAMENTO!D213</f>
        <v>0</v>
      </c>
      <c r="C213" s="139" t="str">
        <f t="shared" ca="1" si="29"/>
        <v/>
      </c>
      <c r="D213" s="142" t="str">
        <f ca="1">ORÇAMENTO!O213</f>
        <v>-</v>
      </c>
      <c r="E213" s="202" t="str">
        <f t="shared" ca="1" si="30"/>
        <v>(abra o arquivo 'Referência 11-2024.xlsm)</v>
      </c>
      <c r="F213" s="203" t="str">
        <f ca="1">IF(RegimeExecucao="Global","",ORÇAMENTO.Unidade)</f>
        <v/>
      </c>
      <c r="G213" s="147" t="str">
        <f ca="1">IF(RegimeExecucao="Global","",ORÇAMENTO!T213)</f>
        <v/>
      </c>
      <c r="H213" s="147" t="str">
        <f ca="1">IF(RegimeExecucao="Global","",ORÇAMENTO!W213)</f>
        <v/>
      </c>
      <c r="I213" s="150">
        <f ca="1">ORÇAMENTO!X213</f>
        <v>0</v>
      </c>
      <c r="J213" s="423">
        <f ca="1">IF($A213="S",IF(CAIXA.Modo,BM.AFAnterior,BM.MEDAnterior),IF(AND(RegimeExecucao="Global",$I213&gt;0,COUNTIF($AB$13:$AM$13,BM.medicao-1)&gt;0),M213/$I213*100,0))</f>
        <v>0</v>
      </c>
      <c r="K213" s="147">
        <f t="shared" ca="1" si="31"/>
        <v>0</v>
      </c>
      <c r="L213" s="424">
        <f ca="1">IF($A213="S",IF(CAIXA.Modo,BM.AFAcumulado,BM.MEDAcumulado),IF(AND(RegimeExecucao="Global",$I213&gt;0,COUNTIF($AB$13:$AM$13,BM.medicao)&gt;0),O213/$I213*100,0))</f>
        <v>0</v>
      </c>
      <c r="M213" s="425">
        <f ca="1">IF($A213="S",VTOTALBM,IF($A213=0,0,ROUND(SomaAgrupBM,15-13*ORÇAMENTO!$AF$11)))</f>
        <v>0</v>
      </c>
      <c r="N213" s="426">
        <f t="shared" ca="1" si="32"/>
        <v>0</v>
      </c>
      <c r="O213" s="150">
        <f ca="1">IF($A213="S",VTOTALBM,IF($A213=0,0,ROUND(SomaAgrupBM,15-13*ORÇAMENTO!$AF$11)))</f>
        <v>0</v>
      </c>
      <c r="Q213" s="427"/>
      <c r="R213" s="428"/>
      <c r="T213" s="142" t="str">
        <f t="shared" ca="1" si="33"/>
        <v/>
      </c>
      <c r="U213" s="202" t="str">
        <f t="shared" ca="1" si="34"/>
        <v/>
      </c>
      <c r="V213" s="203" t="str">
        <f ca="1">IF(AND($W213&gt;0,RegimeExecucao="Unitário"),$F213,"")</f>
        <v/>
      </c>
      <c r="W213" s="629">
        <f ca="1">IF($Y213&gt;0,CHOOSE(MATCH(RegimeExecucao,{"Unitário","Global"},0),IF($A213="S",$Y213/$X213,""),($Y213/$X213)*100),0)</f>
        <v>0</v>
      </c>
      <c r="X213" s="429" t="str">
        <f ca="1">IF($Y213&gt;0,CHOOSE(MATCH(RegimeExecucao,{"Unitário","Global"},0),IF($A213="S",ROUND($H213,ORÇAMENTO!$AF$10),""),ROUND($I213,ORÇAMENTO!$AF$11)),"")</f>
        <v/>
      </c>
      <c r="Y213" s="429">
        <f t="shared" ca="1" si="35"/>
        <v>0</v>
      </c>
      <c r="Z213" s="656"/>
      <c r="AB213" s="427"/>
      <c r="AC213" s="594"/>
      <c r="AD213" s="594"/>
      <c r="AE213" s="594"/>
      <c r="AF213" s="594"/>
      <c r="AG213" s="594"/>
      <c r="AH213" s="594"/>
      <c r="AI213" s="594"/>
      <c r="AJ213" s="594"/>
      <c r="AK213" s="594"/>
      <c r="AL213" s="594"/>
      <c r="AM213" s="428"/>
      <c r="AO213">
        <f ca="1">IF($A213="S",IF(BM!$I213=0,0,CHOOSE(MATCH(RegimeExecucao,{"Global","Unitário"},0),ROUND(ROUND(BM.MEDAcumulado,15-13*BM!$A$9)/100*BM!$I213,15-13*ORÇAMENTO!$AF$11),ROUND(ROUND(BM.MEDAcumulado,15-13*BM!$A$9)*ROUND(BM!$H213,15-13*ORÇAMENTO!$AF$10),15-13*ORÇAMENTO!$AF$11))),IF($A213=0,0,ROUND(SomaAgrupBM,15-13*ORÇAMENTO!$AF$11)))</f>
        <v>0</v>
      </c>
    </row>
    <row r="214" spans="1:41" ht="13.8">
      <c r="A214" t="str">
        <f ca="1">ORÇAMENTO!C214</f>
        <v>S</v>
      </c>
      <c r="B214">
        <f ca="1">ORÇAMENTO!D214</f>
        <v>0</v>
      </c>
      <c r="C214" s="139" t="str">
        <f t="shared" ca="1" si="29"/>
        <v/>
      </c>
      <c r="D214" s="142" t="str">
        <f ca="1">ORÇAMENTO!O214</f>
        <v>-</v>
      </c>
      <c r="E214" s="202" t="str">
        <f t="shared" ca="1" si="30"/>
        <v>(abra o arquivo 'Referência 11-2024.xlsm)</v>
      </c>
      <c r="F214" s="203" t="str">
        <f ca="1">IF(RegimeExecucao="Global","",ORÇAMENTO.Unidade)</f>
        <v/>
      </c>
      <c r="G214" s="147" t="str">
        <f ca="1">IF(RegimeExecucao="Global","",ORÇAMENTO!T214)</f>
        <v/>
      </c>
      <c r="H214" s="147" t="str">
        <f ca="1">IF(RegimeExecucao="Global","",ORÇAMENTO!W214)</f>
        <v/>
      </c>
      <c r="I214" s="150">
        <f ca="1">ORÇAMENTO!X214</f>
        <v>0</v>
      </c>
      <c r="J214" s="423">
        <f ca="1">IF($A214="S",IF(CAIXA.Modo,BM.AFAnterior,BM.MEDAnterior),IF(AND(RegimeExecucao="Global",$I214&gt;0,COUNTIF($AB$13:$AM$13,BM.medicao-1)&gt;0),M214/$I214*100,0))</f>
        <v>0</v>
      </c>
      <c r="K214" s="147">
        <f t="shared" ca="1" si="31"/>
        <v>0</v>
      </c>
      <c r="L214" s="424">
        <f ca="1">IF($A214="S",IF(CAIXA.Modo,BM.AFAcumulado,BM.MEDAcumulado),IF(AND(RegimeExecucao="Global",$I214&gt;0,COUNTIF($AB$13:$AM$13,BM.medicao)&gt;0),O214/$I214*100,0))</f>
        <v>0</v>
      </c>
      <c r="M214" s="425">
        <f ca="1">IF($A214="S",VTOTALBM,IF($A214=0,0,ROUND(SomaAgrupBM,15-13*ORÇAMENTO!$AF$11)))</f>
        <v>0</v>
      </c>
      <c r="N214" s="426">
        <f t="shared" ca="1" si="32"/>
        <v>0</v>
      </c>
      <c r="O214" s="150">
        <f ca="1">IF($A214="S",VTOTALBM,IF($A214=0,0,ROUND(SomaAgrupBM,15-13*ORÇAMENTO!$AF$11)))</f>
        <v>0</v>
      </c>
      <c r="Q214" s="427"/>
      <c r="R214" s="428"/>
      <c r="T214" s="142" t="str">
        <f t="shared" ca="1" si="33"/>
        <v/>
      </c>
      <c r="U214" s="202" t="str">
        <f t="shared" ca="1" si="34"/>
        <v/>
      </c>
      <c r="V214" s="203" t="str">
        <f ca="1">IF(AND($W214&gt;0,RegimeExecucao="Unitário"),$F214,"")</f>
        <v/>
      </c>
      <c r="W214" s="629">
        <f ca="1">IF($Y214&gt;0,CHOOSE(MATCH(RegimeExecucao,{"Unitário","Global"},0),IF($A214="S",$Y214/$X214,""),($Y214/$X214)*100),0)</f>
        <v>0</v>
      </c>
      <c r="X214" s="429" t="str">
        <f ca="1">IF($Y214&gt;0,CHOOSE(MATCH(RegimeExecucao,{"Unitário","Global"},0),IF($A214="S",ROUND($H214,ORÇAMENTO!$AF$10),""),ROUND($I214,ORÇAMENTO!$AF$11)),"")</f>
        <v/>
      </c>
      <c r="Y214" s="429">
        <f t="shared" ca="1" si="35"/>
        <v>0</v>
      </c>
      <c r="Z214" s="656"/>
      <c r="AB214" s="427"/>
      <c r="AC214" s="594"/>
      <c r="AD214" s="594"/>
      <c r="AE214" s="594"/>
      <c r="AF214" s="594"/>
      <c r="AG214" s="594"/>
      <c r="AH214" s="594"/>
      <c r="AI214" s="594"/>
      <c r="AJ214" s="594"/>
      <c r="AK214" s="594"/>
      <c r="AL214" s="594"/>
      <c r="AM214" s="428"/>
      <c r="AO214">
        <f ca="1">IF($A214="S",IF(BM!$I214=0,0,CHOOSE(MATCH(RegimeExecucao,{"Global","Unitário"},0),ROUND(ROUND(BM.MEDAcumulado,15-13*BM!$A$9)/100*BM!$I214,15-13*ORÇAMENTO!$AF$11),ROUND(ROUND(BM.MEDAcumulado,15-13*BM!$A$9)*ROUND(BM!$H214,15-13*ORÇAMENTO!$AF$10),15-13*ORÇAMENTO!$AF$11))),IF($A214=0,0,ROUND(SomaAgrupBM,15-13*ORÇAMENTO!$AF$11)))</f>
        <v>0</v>
      </c>
    </row>
    <row r="215" spans="1:41" ht="13.8">
      <c r="A215" t="str">
        <f ca="1">ORÇAMENTO!C215</f>
        <v>S</v>
      </c>
      <c r="B215">
        <f ca="1">ORÇAMENTO!D215</f>
        <v>0</v>
      </c>
      <c r="C215" s="139" t="str">
        <f t="shared" ca="1" si="29"/>
        <v/>
      </c>
      <c r="D215" s="142" t="str">
        <f ca="1">ORÇAMENTO!O215</f>
        <v>-</v>
      </c>
      <c r="E215" s="202" t="str">
        <f t="shared" ca="1" si="30"/>
        <v>(abra o arquivo 'Referência 11-2024.xlsm)</v>
      </c>
      <c r="F215" s="203" t="str">
        <f ca="1">IF(RegimeExecucao="Global","",ORÇAMENTO.Unidade)</f>
        <v/>
      </c>
      <c r="G215" s="147" t="str">
        <f ca="1">IF(RegimeExecucao="Global","",ORÇAMENTO!T215)</f>
        <v/>
      </c>
      <c r="H215" s="147" t="str">
        <f ca="1">IF(RegimeExecucao="Global","",ORÇAMENTO!W215)</f>
        <v/>
      </c>
      <c r="I215" s="150">
        <f ca="1">ORÇAMENTO!X215</f>
        <v>0</v>
      </c>
      <c r="J215" s="423">
        <f ca="1">IF($A215="S",IF(CAIXA.Modo,BM.AFAnterior,BM.MEDAnterior),IF(AND(RegimeExecucao="Global",$I215&gt;0,COUNTIF($AB$13:$AM$13,BM.medicao-1)&gt;0),M215/$I215*100,0))</f>
        <v>0</v>
      </c>
      <c r="K215" s="147">
        <f t="shared" ca="1" si="31"/>
        <v>0</v>
      </c>
      <c r="L215" s="424">
        <f ca="1">IF($A215="S",IF(CAIXA.Modo,BM.AFAcumulado,BM.MEDAcumulado),IF(AND(RegimeExecucao="Global",$I215&gt;0,COUNTIF($AB$13:$AM$13,BM.medicao)&gt;0),O215/$I215*100,0))</f>
        <v>0</v>
      </c>
      <c r="M215" s="425">
        <f ca="1">IF($A215="S",VTOTALBM,IF($A215=0,0,ROUND(SomaAgrupBM,15-13*ORÇAMENTO!$AF$11)))</f>
        <v>0</v>
      </c>
      <c r="N215" s="426">
        <f t="shared" ca="1" si="32"/>
        <v>0</v>
      </c>
      <c r="O215" s="150">
        <f ca="1">IF($A215="S",VTOTALBM,IF($A215=0,0,ROUND(SomaAgrupBM,15-13*ORÇAMENTO!$AF$11)))</f>
        <v>0</v>
      </c>
      <c r="Q215" s="427"/>
      <c r="R215" s="428"/>
      <c r="T215" s="142" t="str">
        <f t="shared" ca="1" si="33"/>
        <v/>
      </c>
      <c r="U215" s="202" t="str">
        <f t="shared" ca="1" si="34"/>
        <v/>
      </c>
      <c r="V215" s="203" t="str">
        <f ca="1">IF(AND($W215&gt;0,RegimeExecucao="Unitário"),$F215,"")</f>
        <v/>
      </c>
      <c r="W215" s="629">
        <f ca="1">IF($Y215&gt;0,CHOOSE(MATCH(RegimeExecucao,{"Unitário","Global"},0),IF($A215="S",$Y215/$X215,""),($Y215/$X215)*100),0)</f>
        <v>0</v>
      </c>
      <c r="X215" s="429" t="str">
        <f ca="1">IF($Y215&gt;0,CHOOSE(MATCH(RegimeExecucao,{"Unitário","Global"},0),IF($A215="S",ROUND($H215,ORÇAMENTO!$AF$10),""),ROUND($I215,ORÇAMENTO!$AF$11)),"")</f>
        <v/>
      </c>
      <c r="Y215" s="429">
        <f t="shared" ca="1" si="35"/>
        <v>0</v>
      </c>
      <c r="Z215" s="656"/>
      <c r="AB215" s="427"/>
      <c r="AC215" s="594"/>
      <c r="AD215" s="594"/>
      <c r="AE215" s="594"/>
      <c r="AF215" s="594"/>
      <c r="AG215" s="594"/>
      <c r="AH215" s="594"/>
      <c r="AI215" s="594"/>
      <c r="AJ215" s="594"/>
      <c r="AK215" s="594"/>
      <c r="AL215" s="594"/>
      <c r="AM215" s="428"/>
      <c r="AO215">
        <f ca="1">IF($A215="S",IF(BM!$I215=0,0,CHOOSE(MATCH(RegimeExecucao,{"Global","Unitário"},0),ROUND(ROUND(BM.MEDAcumulado,15-13*BM!$A$9)/100*BM!$I215,15-13*ORÇAMENTO!$AF$11),ROUND(ROUND(BM.MEDAcumulado,15-13*BM!$A$9)*ROUND(BM!$H215,15-13*ORÇAMENTO!$AF$10),15-13*ORÇAMENTO!$AF$11))),IF($A215=0,0,ROUND(SomaAgrupBM,15-13*ORÇAMENTO!$AF$11)))</f>
        <v>0</v>
      </c>
    </row>
    <row r="216" spans="1:41" ht="13.8">
      <c r="A216" t="str">
        <f ca="1">ORÇAMENTO!C216</f>
        <v>S</v>
      </c>
      <c r="B216">
        <f ca="1">ORÇAMENTO!D216</f>
        <v>0</v>
      </c>
      <c r="C216" s="139" t="str">
        <f t="shared" ca="1" si="29"/>
        <v/>
      </c>
      <c r="D216" s="142" t="str">
        <f ca="1">ORÇAMENTO!O216</f>
        <v>-</v>
      </c>
      <c r="E216" s="202" t="str">
        <f t="shared" ca="1" si="30"/>
        <v>(abra o arquivo 'Referência 11-2024.xlsm)</v>
      </c>
      <c r="F216" s="203" t="str">
        <f ca="1">IF(RegimeExecucao="Global","",ORÇAMENTO.Unidade)</f>
        <v/>
      </c>
      <c r="G216" s="147" t="str">
        <f ca="1">IF(RegimeExecucao="Global","",ORÇAMENTO!T216)</f>
        <v/>
      </c>
      <c r="H216" s="147" t="str">
        <f ca="1">IF(RegimeExecucao="Global","",ORÇAMENTO!W216)</f>
        <v/>
      </c>
      <c r="I216" s="150">
        <f ca="1">ORÇAMENTO!X216</f>
        <v>0</v>
      </c>
      <c r="J216" s="423">
        <f ca="1">IF($A216="S",IF(CAIXA.Modo,BM.AFAnterior,BM.MEDAnterior),IF(AND(RegimeExecucao="Global",$I216&gt;0,COUNTIF($AB$13:$AM$13,BM.medicao-1)&gt;0),M216/$I216*100,0))</f>
        <v>0</v>
      </c>
      <c r="K216" s="147">
        <f t="shared" ca="1" si="31"/>
        <v>0</v>
      </c>
      <c r="L216" s="424">
        <f ca="1">IF($A216="S",IF(CAIXA.Modo,BM.AFAcumulado,BM.MEDAcumulado),IF(AND(RegimeExecucao="Global",$I216&gt;0,COUNTIF($AB$13:$AM$13,BM.medicao)&gt;0),O216/$I216*100,0))</f>
        <v>0</v>
      </c>
      <c r="M216" s="425">
        <f ca="1">IF($A216="S",VTOTALBM,IF($A216=0,0,ROUND(SomaAgrupBM,15-13*ORÇAMENTO!$AF$11)))</f>
        <v>0</v>
      </c>
      <c r="N216" s="426">
        <f t="shared" ca="1" si="32"/>
        <v>0</v>
      </c>
      <c r="O216" s="150">
        <f ca="1">IF($A216="S",VTOTALBM,IF($A216=0,0,ROUND(SomaAgrupBM,15-13*ORÇAMENTO!$AF$11)))</f>
        <v>0</v>
      </c>
      <c r="Q216" s="427"/>
      <c r="R216" s="428"/>
      <c r="T216" s="142" t="str">
        <f t="shared" ca="1" si="33"/>
        <v/>
      </c>
      <c r="U216" s="202" t="str">
        <f t="shared" ca="1" si="34"/>
        <v/>
      </c>
      <c r="V216" s="203" t="str">
        <f ca="1">IF(AND($W216&gt;0,RegimeExecucao="Unitário"),$F216,"")</f>
        <v/>
      </c>
      <c r="W216" s="629">
        <f ca="1">IF($Y216&gt;0,CHOOSE(MATCH(RegimeExecucao,{"Unitário","Global"},0),IF($A216="S",$Y216/$X216,""),($Y216/$X216)*100),0)</f>
        <v>0</v>
      </c>
      <c r="X216" s="429" t="str">
        <f ca="1">IF($Y216&gt;0,CHOOSE(MATCH(RegimeExecucao,{"Unitário","Global"},0),IF($A216="S",ROUND($H216,ORÇAMENTO!$AF$10),""),ROUND($I216,ORÇAMENTO!$AF$11)),"")</f>
        <v/>
      </c>
      <c r="Y216" s="429">
        <f t="shared" ca="1" si="35"/>
        <v>0</v>
      </c>
      <c r="Z216" s="656"/>
      <c r="AB216" s="427"/>
      <c r="AC216" s="594"/>
      <c r="AD216" s="594"/>
      <c r="AE216" s="594"/>
      <c r="AF216" s="594"/>
      <c r="AG216" s="594"/>
      <c r="AH216" s="594"/>
      <c r="AI216" s="594"/>
      <c r="AJ216" s="594"/>
      <c r="AK216" s="594"/>
      <c r="AL216" s="594"/>
      <c r="AM216" s="428"/>
      <c r="AO216">
        <f ca="1">IF($A216="S",IF(BM!$I216=0,0,CHOOSE(MATCH(RegimeExecucao,{"Global","Unitário"},0),ROUND(ROUND(BM.MEDAcumulado,15-13*BM!$A$9)/100*BM!$I216,15-13*ORÇAMENTO!$AF$11),ROUND(ROUND(BM.MEDAcumulado,15-13*BM!$A$9)*ROUND(BM!$H216,15-13*ORÇAMENTO!$AF$10),15-13*ORÇAMENTO!$AF$11))),IF($A216=0,0,ROUND(SomaAgrupBM,15-13*ORÇAMENTO!$AF$11)))</f>
        <v>0</v>
      </c>
    </row>
    <row r="217" spans="1:41" ht="13.8">
      <c r="A217" t="str">
        <f ca="1">ORÇAMENTO!C217</f>
        <v>S</v>
      </c>
      <c r="B217">
        <f ca="1">ORÇAMENTO!D217</f>
        <v>0</v>
      </c>
      <c r="C217" s="139" t="str">
        <f t="shared" ca="1" si="29"/>
        <v/>
      </c>
      <c r="D217" s="142" t="str">
        <f ca="1">ORÇAMENTO!O217</f>
        <v>-</v>
      </c>
      <c r="E217" s="202" t="str">
        <f t="shared" ca="1" si="30"/>
        <v>(abra o arquivo 'Referência 11-2024.xlsm)</v>
      </c>
      <c r="F217" s="203" t="str">
        <f ca="1">IF(RegimeExecucao="Global","",ORÇAMENTO.Unidade)</f>
        <v/>
      </c>
      <c r="G217" s="147" t="str">
        <f ca="1">IF(RegimeExecucao="Global","",ORÇAMENTO!T217)</f>
        <v/>
      </c>
      <c r="H217" s="147" t="str">
        <f ca="1">IF(RegimeExecucao="Global","",ORÇAMENTO!W217)</f>
        <v/>
      </c>
      <c r="I217" s="150">
        <f ca="1">ORÇAMENTO!X217</f>
        <v>0</v>
      </c>
      <c r="J217" s="423">
        <f ca="1">IF($A217="S",IF(CAIXA.Modo,BM.AFAnterior,BM.MEDAnterior),IF(AND(RegimeExecucao="Global",$I217&gt;0,COUNTIF($AB$13:$AM$13,BM.medicao-1)&gt;0),M217/$I217*100,0))</f>
        <v>0</v>
      </c>
      <c r="K217" s="147">
        <f t="shared" ca="1" si="31"/>
        <v>0</v>
      </c>
      <c r="L217" s="424">
        <f ca="1">IF($A217="S",IF(CAIXA.Modo,BM.AFAcumulado,BM.MEDAcumulado),IF(AND(RegimeExecucao="Global",$I217&gt;0,COUNTIF($AB$13:$AM$13,BM.medicao)&gt;0),O217/$I217*100,0))</f>
        <v>0</v>
      </c>
      <c r="M217" s="425">
        <f ca="1">IF($A217="S",VTOTALBM,IF($A217=0,0,ROUND(SomaAgrupBM,15-13*ORÇAMENTO!$AF$11)))</f>
        <v>0</v>
      </c>
      <c r="N217" s="426">
        <f t="shared" ca="1" si="32"/>
        <v>0</v>
      </c>
      <c r="O217" s="150">
        <f ca="1">IF($A217="S",VTOTALBM,IF($A217=0,0,ROUND(SomaAgrupBM,15-13*ORÇAMENTO!$AF$11)))</f>
        <v>0</v>
      </c>
      <c r="Q217" s="427"/>
      <c r="R217" s="428"/>
      <c r="T217" s="142" t="str">
        <f t="shared" ca="1" si="33"/>
        <v/>
      </c>
      <c r="U217" s="202" t="str">
        <f t="shared" ca="1" si="34"/>
        <v/>
      </c>
      <c r="V217" s="203" t="str">
        <f ca="1">IF(AND($W217&gt;0,RegimeExecucao="Unitário"),$F217,"")</f>
        <v/>
      </c>
      <c r="W217" s="629">
        <f ca="1">IF($Y217&gt;0,CHOOSE(MATCH(RegimeExecucao,{"Unitário","Global"},0),IF($A217="S",$Y217/$X217,""),($Y217/$X217)*100),0)</f>
        <v>0</v>
      </c>
      <c r="X217" s="429" t="str">
        <f ca="1">IF($Y217&gt;0,CHOOSE(MATCH(RegimeExecucao,{"Unitário","Global"},0),IF($A217="S",ROUND($H217,ORÇAMENTO!$AF$10),""),ROUND($I217,ORÇAMENTO!$AF$11)),"")</f>
        <v/>
      </c>
      <c r="Y217" s="429">
        <f t="shared" ca="1" si="35"/>
        <v>0</v>
      </c>
      <c r="Z217" s="656"/>
      <c r="AB217" s="427"/>
      <c r="AC217" s="594"/>
      <c r="AD217" s="594"/>
      <c r="AE217" s="594"/>
      <c r="AF217" s="594"/>
      <c r="AG217" s="594"/>
      <c r="AH217" s="594"/>
      <c r="AI217" s="594"/>
      <c r="AJ217" s="594"/>
      <c r="AK217" s="594"/>
      <c r="AL217" s="594"/>
      <c r="AM217" s="428"/>
      <c r="AO217">
        <f ca="1">IF($A217="S",IF(BM!$I217=0,0,CHOOSE(MATCH(RegimeExecucao,{"Global","Unitário"},0),ROUND(ROUND(BM.MEDAcumulado,15-13*BM!$A$9)/100*BM!$I217,15-13*ORÇAMENTO!$AF$11),ROUND(ROUND(BM.MEDAcumulado,15-13*BM!$A$9)*ROUND(BM!$H217,15-13*ORÇAMENTO!$AF$10),15-13*ORÇAMENTO!$AF$11))),IF($A217=0,0,ROUND(SomaAgrupBM,15-13*ORÇAMENTO!$AF$11)))</f>
        <v>0</v>
      </c>
    </row>
    <row r="218" spans="1:41" ht="13.8">
      <c r="A218" t="str">
        <f ca="1">ORÇAMENTO!C218</f>
        <v>S</v>
      </c>
      <c r="B218">
        <f ca="1">ORÇAMENTO!D218</f>
        <v>0</v>
      </c>
      <c r="C218" s="139" t="str">
        <f t="shared" ca="1" si="29"/>
        <v/>
      </c>
      <c r="D218" s="142" t="str">
        <f ca="1">ORÇAMENTO!O218</f>
        <v>-</v>
      </c>
      <c r="E218" s="202" t="str">
        <f t="shared" ca="1" si="30"/>
        <v>(abra o arquivo 'Referência 11-2024.xlsm)</v>
      </c>
      <c r="F218" s="203" t="str">
        <f ca="1">IF(RegimeExecucao="Global","",ORÇAMENTO.Unidade)</f>
        <v/>
      </c>
      <c r="G218" s="147" t="str">
        <f ca="1">IF(RegimeExecucao="Global","",ORÇAMENTO!T218)</f>
        <v/>
      </c>
      <c r="H218" s="147" t="str">
        <f ca="1">IF(RegimeExecucao="Global","",ORÇAMENTO!W218)</f>
        <v/>
      </c>
      <c r="I218" s="150">
        <f ca="1">ORÇAMENTO!X218</f>
        <v>0</v>
      </c>
      <c r="J218" s="423">
        <f ca="1">IF($A218="S",IF(CAIXA.Modo,BM.AFAnterior,BM.MEDAnterior),IF(AND(RegimeExecucao="Global",$I218&gt;0,COUNTIF($AB$13:$AM$13,BM.medicao-1)&gt;0),M218/$I218*100,0))</f>
        <v>0</v>
      </c>
      <c r="K218" s="147">
        <f t="shared" ca="1" si="31"/>
        <v>0</v>
      </c>
      <c r="L218" s="424">
        <f ca="1">IF($A218="S",IF(CAIXA.Modo,BM.AFAcumulado,BM.MEDAcumulado),IF(AND(RegimeExecucao="Global",$I218&gt;0,COUNTIF($AB$13:$AM$13,BM.medicao)&gt;0),O218/$I218*100,0))</f>
        <v>0</v>
      </c>
      <c r="M218" s="425">
        <f ca="1">IF($A218="S",VTOTALBM,IF($A218=0,0,ROUND(SomaAgrupBM,15-13*ORÇAMENTO!$AF$11)))</f>
        <v>0</v>
      </c>
      <c r="N218" s="426">
        <f t="shared" ca="1" si="32"/>
        <v>0</v>
      </c>
      <c r="O218" s="150">
        <f ca="1">IF($A218="S",VTOTALBM,IF($A218=0,0,ROUND(SomaAgrupBM,15-13*ORÇAMENTO!$AF$11)))</f>
        <v>0</v>
      </c>
      <c r="Q218" s="427"/>
      <c r="R218" s="428"/>
      <c r="T218" s="142" t="str">
        <f t="shared" ca="1" si="33"/>
        <v/>
      </c>
      <c r="U218" s="202" t="str">
        <f t="shared" ca="1" si="34"/>
        <v/>
      </c>
      <c r="V218" s="203" t="str">
        <f ca="1">IF(AND($W218&gt;0,RegimeExecucao="Unitário"),$F218,"")</f>
        <v/>
      </c>
      <c r="W218" s="629">
        <f ca="1">IF($Y218&gt;0,CHOOSE(MATCH(RegimeExecucao,{"Unitário","Global"},0),IF($A218="S",$Y218/$X218,""),($Y218/$X218)*100),0)</f>
        <v>0</v>
      </c>
      <c r="X218" s="429" t="str">
        <f ca="1">IF($Y218&gt;0,CHOOSE(MATCH(RegimeExecucao,{"Unitário","Global"},0),IF($A218="S",ROUND($H218,ORÇAMENTO!$AF$10),""),ROUND($I218,ORÇAMENTO!$AF$11)),"")</f>
        <v/>
      </c>
      <c r="Y218" s="429">
        <f t="shared" ca="1" si="35"/>
        <v>0</v>
      </c>
      <c r="Z218" s="656"/>
      <c r="AB218" s="427"/>
      <c r="AC218" s="594"/>
      <c r="AD218" s="594"/>
      <c r="AE218" s="594"/>
      <c r="AF218" s="594"/>
      <c r="AG218" s="594"/>
      <c r="AH218" s="594"/>
      <c r="AI218" s="594"/>
      <c r="AJ218" s="594"/>
      <c r="AK218" s="594"/>
      <c r="AL218" s="594"/>
      <c r="AM218" s="428"/>
      <c r="AO218">
        <f ca="1">IF($A218="S",IF(BM!$I218=0,0,CHOOSE(MATCH(RegimeExecucao,{"Global","Unitário"},0),ROUND(ROUND(BM.MEDAcumulado,15-13*BM!$A$9)/100*BM!$I218,15-13*ORÇAMENTO!$AF$11),ROUND(ROUND(BM.MEDAcumulado,15-13*BM!$A$9)*ROUND(BM!$H218,15-13*ORÇAMENTO!$AF$10),15-13*ORÇAMENTO!$AF$11))),IF($A218=0,0,ROUND(SomaAgrupBM,15-13*ORÇAMENTO!$AF$11)))</f>
        <v>0</v>
      </c>
    </row>
    <row r="219" spans="1:41" ht="13.8">
      <c r="A219" t="str">
        <f ca="1">ORÇAMENTO!C219</f>
        <v>S</v>
      </c>
      <c r="B219">
        <f ca="1">ORÇAMENTO!D219</f>
        <v>0</v>
      </c>
      <c r="C219" s="139" t="str">
        <f t="shared" ca="1" si="29"/>
        <v/>
      </c>
      <c r="D219" s="142" t="str">
        <f ca="1">ORÇAMENTO!O219</f>
        <v>-</v>
      </c>
      <c r="E219" s="202" t="str">
        <f t="shared" ca="1" si="30"/>
        <v>(abra o arquivo 'Referência 11-2024.xlsm)</v>
      </c>
      <c r="F219" s="203" t="str">
        <f ca="1">IF(RegimeExecucao="Global","",ORÇAMENTO.Unidade)</f>
        <v/>
      </c>
      <c r="G219" s="147" t="str">
        <f ca="1">IF(RegimeExecucao="Global","",ORÇAMENTO!T219)</f>
        <v/>
      </c>
      <c r="H219" s="147" t="str">
        <f ca="1">IF(RegimeExecucao="Global","",ORÇAMENTO!W219)</f>
        <v/>
      </c>
      <c r="I219" s="150">
        <f ca="1">ORÇAMENTO!X219</f>
        <v>0</v>
      </c>
      <c r="J219" s="423">
        <f ca="1">IF($A219="S",IF(CAIXA.Modo,BM.AFAnterior,BM.MEDAnterior),IF(AND(RegimeExecucao="Global",$I219&gt;0,COUNTIF($AB$13:$AM$13,BM.medicao-1)&gt;0),M219/$I219*100,0))</f>
        <v>0</v>
      </c>
      <c r="K219" s="147">
        <f t="shared" ca="1" si="31"/>
        <v>0</v>
      </c>
      <c r="L219" s="424">
        <f ca="1">IF($A219="S",IF(CAIXA.Modo,BM.AFAcumulado,BM.MEDAcumulado),IF(AND(RegimeExecucao="Global",$I219&gt;0,COUNTIF($AB$13:$AM$13,BM.medicao)&gt;0),O219/$I219*100,0))</f>
        <v>0</v>
      </c>
      <c r="M219" s="425">
        <f ca="1">IF($A219="S",VTOTALBM,IF($A219=0,0,ROUND(SomaAgrupBM,15-13*ORÇAMENTO!$AF$11)))</f>
        <v>0</v>
      </c>
      <c r="N219" s="426">
        <f t="shared" ca="1" si="32"/>
        <v>0</v>
      </c>
      <c r="O219" s="150">
        <f ca="1">IF($A219="S",VTOTALBM,IF($A219=0,0,ROUND(SomaAgrupBM,15-13*ORÇAMENTO!$AF$11)))</f>
        <v>0</v>
      </c>
      <c r="Q219" s="427"/>
      <c r="R219" s="428"/>
      <c r="T219" s="142" t="str">
        <f t="shared" ca="1" si="33"/>
        <v/>
      </c>
      <c r="U219" s="202" t="str">
        <f t="shared" ca="1" si="34"/>
        <v/>
      </c>
      <c r="V219" s="203" t="str">
        <f ca="1">IF(AND($W219&gt;0,RegimeExecucao="Unitário"),$F219,"")</f>
        <v/>
      </c>
      <c r="W219" s="629">
        <f ca="1">IF($Y219&gt;0,CHOOSE(MATCH(RegimeExecucao,{"Unitário","Global"},0),IF($A219="S",$Y219/$X219,""),($Y219/$X219)*100),0)</f>
        <v>0</v>
      </c>
      <c r="X219" s="429" t="str">
        <f ca="1">IF($Y219&gt;0,CHOOSE(MATCH(RegimeExecucao,{"Unitário","Global"},0),IF($A219="S",ROUND($H219,ORÇAMENTO!$AF$10),""),ROUND($I219,ORÇAMENTO!$AF$11)),"")</f>
        <v/>
      </c>
      <c r="Y219" s="429">
        <f t="shared" ca="1" si="35"/>
        <v>0</v>
      </c>
      <c r="Z219" s="656"/>
      <c r="AB219" s="427"/>
      <c r="AC219" s="594"/>
      <c r="AD219" s="594"/>
      <c r="AE219" s="594"/>
      <c r="AF219" s="594"/>
      <c r="AG219" s="594"/>
      <c r="AH219" s="594"/>
      <c r="AI219" s="594"/>
      <c r="AJ219" s="594"/>
      <c r="AK219" s="594"/>
      <c r="AL219" s="594"/>
      <c r="AM219" s="428"/>
      <c r="AO219">
        <f ca="1">IF($A219="S",IF(BM!$I219=0,0,CHOOSE(MATCH(RegimeExecucao,{"Global","Unitário"},0),ROUND(ROUND(BM.MEDAcumulado,15-13*BM!$A$9)/100*BM!$I219,15-13*ORÇAMENTO!$AF$11),ROUND(ROUND(BM.MEDAcumulado,15-13*BM!$A$9)*ROUND(BM!$H219,15-13*ORÇAMENTO!$AF$10),15-13*ORÇAMENTO!$AF$11))),IF($A219=0,0,ROUND(SomaAgrupBM,15-13*ORÇAMENTO!$AF$11)))</f>
        <v>0</v>
      </c>
    </row>
    <row r="220" spans="1:41" ht="13.8">
      <c r="A220" t="str">
        <f ca="1">ORÇAMENTO!C220</f>
        <v>S</v>
      </c>
      <c r="B220">
        <f ca="1">ORÇAMENTO!D220</f>
        <v>0</v>
      </c>
      <c r="C220" s="139" t="str">
        <f t="shared" ca="1" si="29"/>
        <v/>
      </c>
      <c r="D220" s="142" t="str">
        <f ca="1">ORÇAMENTO!O220</f>
        <v>-</v>
      </c>
      <c r="E220" s="202" t="str">
        <f t="shared" ca="1" si="30"/>
        <v>(abra o arquivo 'Referência 11-2024.xlsm)</v>
      </c>
      <c r="F220" s="203" t="str">
        <f ca="1">IF(RegimeExecucao="Global","",ORÇAMENTO.Unidade)</f>
        <v/>
      </c>
      <c r="G220" s="147" t="str">
        <f ca="1">IF(RegimeExecucao="Global","",ORÇAMENTO!T220)</f>
        <v/>
      </c>
      <c r="H220" s="147" t="str">
        <f ca="1">IF(RegimeExecucao="Global","",ORÇAMENTO!W220)</f>
        <v/>
      </c>
      <c r="I220" s="150">
        <f ca="1">ORÇAMENTO!X220</f>
        <v>0</v>
      </c>
      <c r="J220" s="423">
        <f ca="1">IF($A220="S",IF(CAIXA.Modo,BM.AFAnterior,BM.MEDAnterior),IF(AND(RegimeExecucao="Global",$I220&gt;0,COUNTIF($AB$13:$AM$13,BM.medicao-1)&gt;0),M220/$I220*100,0))</f>
        <v>0</v>
      </c>
      <c r="K220" s="147">
        <f t="shared" ca="1" si="31"/>
        <v>0</v>
      </c>
      <c r="L220" s="424">
        <f ca="1">IF($A220="S",IF(CAIXA.Modo,BM.AFAcumulado,BM.MEDAcumulado),IF(AND(RegimeExecucao="Global",$I220&gt;0,COUNTIF($AB$13:$AM$13,BM.medicao)&gt;0),O220/$I220*100,0))</f>
        <v>0</v>
      </c>
      <c r="M220" s="425">
        <f ca="1">IF($A220="S",VTOTALBM,IF($A220=0,0,ROUND(SomaAgrupBM,15-13*ORÇAMENTO!$AF$11)))</f>
        <v>0</v>
      </c>
      <c r="N220" s="426">
        <f t="shared" ca="1" si="32"/>
        <v>0</v>
      </c>
      <c r="O220" s="150">
        <f ca="1">IF($A220="S",VTOTALBM,IF($A220=0,0,ROUND(SomaAgrupBM,15-13*ORÇAMENTO!$AF$11)))</f>
        <v>0</v>
      </c>
      <c r="Q220" s="427"/>
      <c r="R220" s="428"/>
      <c r="T220" s="142" t="str">
        <f t="shared" ca="1" si="33"/>
        <v/>
      </c>
      <c r="U220" s="202" t="str">
        <f t="shared" ca="1" si="34"/>
        <v/>
      </c>
      <c r="V220" s="203" t="str">
        <f ca="1">IF(AND($W220&gt;0,RegimeExecucao="Unitário"),$F220,"")</f>
        <v/>
      </c>
      <c r="W220" s="629">
        <f ca="1">IF($Y220&gt;0,CHOOSE(MATCH(RegimeExecucao,{"Unitário","Global"},0),IF($A220="S",$Y220/$X220,""),($Y220/$X220)*100),0)</f>
        <v>0</v>
      </c>
      <c r="X220" s="429" t="str">
        <f ca="1">IF($Y220&gt;0,CHOOSE(MATCH(RegimeExecucao,{"Unitário","Global"},0),IF($A220="S",ROUND($H220,ORÇAMENTO!$AF$10),""),ROUND($I220,ORÇAMENTO!$AF$11)),"")</f>
        <v/>
      </c>
      <c r="Y220" s="429">
        <f t="shared" ca="1" si="35"/>
        <v>0</v>
      </c>
      <c r="Z220" s="656"/>
      <c r="AB220" s="427"/>
      <c r="AC220" s="594"/>
      <c r="AD220" s="594"/>
      <c r="AE220" s="594"/>
      <c r="AF220" s="594"/>
      <c r="AG220" s="594"/>
      <c r="AH220" s="594"/>
      <c r="AI220" s="594"/>
      <c r="AJ220" s="594"/>
      <c r="AK220" s="594"/>
      <c r="AL220" s="594"/>
      <c r="AM220" s="428"/>
      <c r="AO220">
        <f ca="1">IF($A220="S",IF(BM!$I220=0,0,CHOOSE(MATCH(RegimeExecucao,{"Global","Unitário"},0),ROUND(ROUND(BM.MEDAcumulado,15-13*BM!$A$9)/100*BM!$I220,15-13*ORÇAMENTO!$AF$11),ROUND(ROUND(BM.MEDAcumulado,15-13*BM!$A$9)*ROUND(BM!$H220,15-13*ORÇAMENTO!$AF$10),15-13*ORÇAMENTO!$AF$11))),IF($A220=0,0,ROUND(SomaAgrupBM,15-13*ORÇAMENTO!$AF$11)))</f>
        <v>0</v>
      </c>
    </row>
    <row r="221" spans="1:41" ht="13.8">
      <c r="A221" t="str">
        <f ca="1">ORÇAMENTO!C221</f>
        <v>S</v>
      </c>
      <c r="B221">
        <f ca="1">ORÇAMENTO!D221</f>
        <v>0</v>
      </c>
      <c r="C221" s="139" t="str">
        <f t="shared" ca="1" si="29"/>
        <v/>
      </c>
      <c r="D221" s="142" t="str">
        <f ca="1">ORÇAMENTO!O221</f>
        <v>-</v>
      </c>
      <c r="E221" s="202" t="str">
        <f t="shared" ca="1" si="30"/>
        <v>(abra o arquivo 'Referência 11-2024.xlsm)</v>
      </c>
      <c r="F221" s="203" t="str">
        <f ca="1">IF(RegimeExecucao="Global","",ORÇAMENTO.Unidade)</f>
        <v/>
      </c>
      <c r="G221" s="147" t="str">
        <f ca="1">IF(RegimeExecucao="Global","",ORÇAMENTO!T221)</f>
        <v/>
      </c>
      <c r="H221" s="147" t="str">
        <f ca="1">IF(RegimeExecucao="Global","",ORÇAMENTO!W221)</f>
        <v/>
      </c>
      <c r="I221" s="150">
        <f ca="1">ORÇAMENTO!X221</f>
        <v>0</v>
      </c>
      <c r="J221" s="423">
        <f ca="1">IF($A221="S",IF(CAIXA.Modo,BM.AFAnterior,BM.MEDAnterior),IF(AND(RegimeExecucao="Global",$I221&gt;0,COUNTIF($AB$13:$AM$13,BM.medicao-1)&gt;0),M221/$I221*100,0))</f>
        <v>0</v>
      </c>
      <c r="K221" s="147">
        <f t="shared" ca="1" si="31"/>
        <v>0</v>
      </c>
      <c r="L221" s="424">
        <f ca="1">IF($A221="S",IF(CAIXA.Modo,BM.AFAcumulado,BM.MEDAcumulado),IF(AND(RegimeExecucao="Global",$I221&gt;0,COUNTIF($AB$13:$AM$13,BM.medicao)&gt;0),O221/$I221*100,0))</f>
        <v>0</v>
      </c>
      <c r="M221" s="425">
        <f ca="1">IF($A221="S",VTOTALBM,IF($A221=0,0,ROUND(SomaAgrupBM,15-13*ORÇAMENTO!$AF$11)))</f>
        <v>0</v>
      </c>
      <c r="N221" s="426">
        <f t="shared" ca="1" si="32"/>
        <v>0</v>
      </c>
      <c r="O221" s="150">
        <f ca="1">IF($A221="S",VTOTALBM,IF($A221=0,0,ROUND(SomaAgrupBM,15-13*ORÇAMENTO!$AF$11)))</f>
        <v>0</v>
      </c>
      <c r="Q221" s="427"/>
      <c r="R221" s="428"/>
      <c r="T221" s="142" t="str">
        <f t="shared" ca="1" si="33"/>
        <v/>
      </c>
      <c r="U221" s="202" t="str">
        <f t="shared" ca="1" si="34"/>
        <v/>
      </c>
      <c r="V221" s="203" t="str">
        <f ca="1">IF(AND($W221&gt;0,RegimeExecucao="Unitário"),$F221,"")</f>
        <v/>
      </c>
      <c r="W221" s="629">
        <f ca="1">IF($Y221&gt;0,CHOOSE(MATCH(RegimeExecucao,{"Unitário","Global"},0),IF($A221="S",$Y221/$X221,""),($Y221/$X221)*100),0)</f>
        <v>0</v>
      </c>
      <c r="X221" s="429" t="str">
        <f ca="1">IF($Y221&gt;0,CHOOSE(MATCH(RegimeExecucao,{"Unitário","Global"},0),IF($A221="S",ROUND($H221,ORÇAMENTO!$AF$10),""),ROUND($I221,ORÇAMENTO!$AF$11)),"")</f>
        <v/>
      </c>
      <c r="Y221" s="429">
        <f t="shared" ca="1" si="35"/>
        <v>0</v>
      </c>
      <c r="Z221" s="656"/>
      <c r="AB221" s="427"/>
      <c r="AC221" s="594"/>
      <c r="AD221" s="594"/>
      <c r="AE221" s="594"/>
      <c r="AF221" s="594"/>
      <c r="AG221" s="594"/>
      <c r="AH221" s="594"/>
      <c r="AI221" s="594"/>
      <c r="AJ221" s="594"/>
      <c r="AK221" s="594"/>
      <c r="AL221" s="594"/>
      <c r="AM221" s="428"/>
      <c r="AO221">
        <f ca="1">IF($A221="S",IF(BM!$I221=0,0,CHOOSE(MATCH(RegimeExecucao,{"Global","Unitário"},0),ROUND(ROUND(BM.MEDAcumulado,15-13*BM!$A$9)/100*BM!$I221,15-13*ORÇAMENTO!$AF$11),ROUND(ROUND(BM.MEDAcumulado,15-13*BM!$A$9)*ROUND(BM!$H221,15-13*ORÇAMENTO!$AF$10),15-13*ORÇAMENTO!$AF$11))),IF($A221=0,0,ROUND(SomaAgrupBM,15-13*ORÇAMENTO!$AF$11)))</f>
        <v>0</v>
      </c>
    </row>
    <row r="222" spans="1:41" ht="13.8">
      <c r="A222" t="str">
        <f ca="1">ORÇAMENTO!C222</f>
        <v>S</v>
      </c>
      <c r="B222">
        <f ca="1">ORÇAMENTO!D222</f>
        <v>0</v>
      </c>
      <c r="C222" s="139" t="str">
        <f t="shared" ca="1" si="29"/>
        <v/>
      </c>
      <c r="D222" s="142" t="str">
        <f ca="1">ORÇAMENTO!O222</f>
        <v>-</v>
      </c>
      <c r="E222" s="202" t="str">
        <f t="shared" ca="1" si="30"/>
        <v>(abra o arquivo 'Referência 11-2024.xlsm)</v>
      </c>
      <c r="F222" s="203" t="str">
        <f ca="1">IF(RegimeExecucao="Global","",ORÇAMENTO.Unidade)</f>
        <v/>
      </c>
      <c r="G222" s="147" t="str">
        <f ca="1">IF(RegimeExecucao="Global","",ORÇAMENTO!T222)</f>
        <v/>
      </c>
      <c r="H222" s="147" t="str">
        <f ca="1">IF(RegimeExecucao="Global","",ORÇAMENTO!W222)</f>
        <v/>
      </c>
      <c r="I222" s="150">
        <f ca="1">ORÇAMENTO!X222</f>
        <v>0</v>
      </c>
      <c r="J222" s="423">
        <f ca="1">IF($A222="S",IF(CAIXA.Modo,BM.AFAnterior,BM.MEDAnterior),IF(AND(RegimeExecucao="Global",$I222&gt;0,COUNTIF($AB$13:$AM$13,BM.medicao-1)&gt;0),M222/$I222*100,0))</f>
        <v>0</v>
      </c>
      <c r="K222" s="147">
        <f t="shared" ca="1" si="31"/>
        <v>0</v>
      </c>
      <c r="L222" s="424">
        <f ca="1">IF($A222="S",IF(CAIXA.Modo,BM.AFAcumulado,BM.MEDAcumulado),IF(AND(RegimeExecucao="Global",$I222&gt;0,COUNTIF($AB$13:$AM$13,BM.medicao)&gt;0),O222/$I222*100,0))</f>
        <v>0</v>
      </c>
      <c r="M222" s="425">
        <f ca="1">IF($A222="S",VTOTALBM,IF($A222=0,0,ROUND(SomaAgrupBM,15-13*ORÇAMENTO!$AF$11)))</f>
        <v>0</v>
      </c>
      <c r="N222" s="426">
        <f t="shared" ca="1" si="32"/>
        <v>0</v>
      </c>
      <c r="O222" s="150">
        <f ca="1">IF($A222="S",VTOTALBM,IF($A222=0,0,ROUND(SomaAgrupBM,15-13*ORÇAMENTO!$AF$11)))</f>
        <v>0</v>
      </c>
      <c r="Q222" s="427"/>
      <c r="R222" s="428"/>
      <c r="T222" s="142" t="str">
        <f t="shared" ca="1" si="33"/>
        <v/>
      </c>
      <c r="U222" s="202" t="str">
        <f t="shared" ca="1" si="34"/>
        <v/>
      </c>
      <c r="V222" s="203" t="str">
        <f ca="1">IF(AND($W222&gt;0,RegimeExecucao="Unitário"),$F222,"")</f>
        <v/>
      </c>
      <c r="W222" s="629">
        <f ca="1">IF($Y222&gt;0,CHOOSE(MATCH(RegimeExecucao,{"Unitário","Global"},0),IF($A222="S",$Y222/$X222,""),($Y222/$X222)*100),0)</f>
        <v>0</v>
      </c>
      <c r="X222" s="429" t="str">
        <f ca="1">IF($Y222&gt;0,CHOOSE(MATCH(RegimeExecucao,{"Unitário","Global"},0),IF($A222="S",ROUND($H222,ORÇAMENTO!$AF$10),""),ROUND($I222,ORÇAMENTO!$AF$11)),"")</f>
        <v/>
      </c>
      <c r="Y222" s="429">
        <f t="shared" ca="1" si="35"/>
        <v>0</v>
      </c>
      <c r="Z222" s="656"/>
      <c r="AB222" s="427"/>
      <c r="AC222" s="594"/>
      <c r="AD222" s="594"/>
      <c r="AE222" s="594"/>
      <c r="AF222" s="594"/>
      <c r="AG222" s="594"/>
      <c r="AH222" s="594"/>
      <c r="AI222" s="594"/>
      <c r="AJ222" s="594"/>
      <c r="AK222" s="594"/>
      <c r="AL222" s="594"/>
      <c r="AM222" s="428"/>
      <c r="AO222">
        <f ca="1">IF($A222="S",IF(BM!$I222=0,0,CHOOSE(MATCH(RegimeExecucao,{"Global","Unitário"},0),ROUND(ROUND(BM.MEDAcumulado,15-13*BM!$A$9)/100*BM!$I222,15-13*ORÇAMENTO!$AF$11),ROUND(ROUND(BM.MEDAcumulado,15-13*BM!$A$9)*ROUND(BM!$H222,15-13*ORÇAMENTO!$AF$10),15-13*ORÇAMENTO!$AF$11))),IF($A222=0,0,ROUND(SomaAgrupBM,15-13*ORÇAMENTO!$AF$11)))</f>
        <v>0</v>
      </c>
    </row>
    <row r="223" spans="1:41" ht="13.8">
      <c r="A223" t="str">
        <f ca="1">ORÇAMENTO!C223</f>
        <v>S</v>
      </c>
      <c r="B223">
        <f ca="1">ORÇAMENTO!D223</f>
        <v>0</v>
      </c>
      <c r="C223" s="139" t="str">
        <f t="shared" ca="1" si="29"/>
        <v/>
      </c>
      <c r="D223" s="142" t="str">
        <f ca="1">ORÇAMENTO!O223</f>
        <v>-</v>
      </c>
      <c r="E223" s="202" t="str">
        <f t="shared" ca="1" si="30"/>
        <v>(abra o arquivo 'Referência 11-2024.xlsm)</v>
      </c>
      <c r="F223" s="203" t="str">
        <f ca="1">IF(RegimeExecucao="Global","",ORÇAMENTO.Unidade)</f>
        <v/>
      </c>
      <c r="G223" s="147" t="str">
        <f ca="1">IF(RegimeExecucao="Global","",ORÇAMENTO!T223)</f>
        <v/>
      </c>
      <c r="H223" s="147" t="str">
        <f ca="1">IF(RegimeExecucao="Global","",ORÇAMENTO!W223)</f>
        <v/>
      </c>
      <c r="I223" s="150">
        <f ca="1">ORÇAMENTO!X223</f>
        <v>0</v>
      </c>
      <c r="J223" s="423">
        <f ca="1">IF($A223="S",IF(CAIXA.Modo,BM.AFAnterior,BM.MEDAnterior),IF(AND(RegimeExecucao="Global",$I223&gt;0,COUNTIF($AB$13:$AM$13,BM.medicao-1)&gt;0),M223/$I223*100,0))</f>
        <v>0</v>
      </c>
      <c r="K223" s="147">
        <f t="shared" ca="1" si="31"/>
        <v>0</v>
      </c>
      <c r="L223" s="424">
        <f ca="1">IF($A223="S",IF(CAIXA.Modo,BM.AFAcumulado,BM.MEDAcumulado),IF(AND(RegimeExecucao="Global",$I223&gt;0,COUNTIF($AB$13:$AM$13,BM.medicao)&gt;0),O223/$I223*100,0))</f>
        <v>0</v>
      </c>
      <c r="M223" s="425">
        <f ca="1">IF($A223="S",VTOTALBM,IF($A223=0,0,ROUND(SomaAgrupBM,15-13*ORÇAMENTO!$AF$11)))</f>
        <v>0</v>
      </c>
      <c r="N223" s="426">
        <f t="shared" ca="1" si="32"/>
        <v>0</v>
      </c>
      <c r="O223" s="150">
        <f ca="1">IF($A223="S",VTOTALBM,IF($A223=0,0,ROUND(SomaAgrupBM,15-13*ORÇAMENTO!$AF$11)))</f>
        <v>0</v>
      </c>
      <c r="Q223" s="427"/>
      <c r="R223" s="428"/>
      <c r="T223" s="142" t="str">
        <f t="shared" ca="1" si="33"/>
        <v/>
      </c>
      <c r="U223" s="202" t="str">
        <f t="shared" ca="1" si="34"/>
        <v/>
      </c>
      <c r="V223" s="203" t="str">
        <f ca="1">IF(AND($W223&gt;0,RegimeExecucao="Unitário"),$F223,"")</f>
        <v/>
      </c>
      <c r="W223" s="629">
        <f ca="1">IF($Y223&gt;0,CHOOSE(MATCH(RegimeExecucao,{"Unitário","Global"},0),IF($A223="S",$Y223/$X223,""),($Y223/$X223)*100),0)</f>
        <v>0</v>
      </c>
      <c r="X223" s="429" t="str">
        <f ca="1">IF($Y223&gt;0,CHOOSE(MATCH(RegimeExecucao,{"Unitário","Global"},0),IF($A223="S",ROUND($H223,ORÇAMENTO!$AF$10),""),ROUND($I223,ORÇAMENTO!$AF$11)),"")</f>
        <v/>
      </c>
      <c r="Y223" s="429">
        <f t="shared" ca="1" si="35"/>
        <v>0</v>
      </c>
      <c r="Z223" s="656"/>
      <c r="AB223" s="427"/>
      <c r="AC223" s="594"/>
      <c r="AD223" s="594"/>
      <c r="AE223" s="594"/>
      <c r="AF223" s="594"/>
      <c r="AG223" s="594"/>
      <c r="AH223" s="594"/>
      <c r="AI223" s="594"/>
      <c r="AJ223" s="594"/>
      <c r="AK223" s="594"/>
      <c r="AL223" s="594"/>
      <c r="AM223" s="428"/>
      <c r="AO223">
        <f ca="1">IF($A223="S",IF(BM!$I223=0,0,CHOOSE(MATCH(RegimeExecucao,{"Global","Unitário"},0),ROUND(ROUND(BM.MEDAcumulado,15-13*BM!$A$9)/100*BM!$I223,15-13*ORÇAMENTO!$AF$11),ROUND(ROUND(BM.MEDAcumulado,15-13*BM!$A$9)*ROUND(BM!$H223,15-13*ORÇAMENTO!$AF$10),15-13*ORÇAMENTO!$AF$11))),IF($A223=0,0,ROUND(SomaAgrupBM,15-13*ORÇAMENTO!$AF$11)))</f>
        <v>0</v>
      </c>
    </row>
    <row r="224" spans="1:41" ht="13.8">
      <c r="A224" t="str">
        <f ca="1">ORÇAMENTO!C224</f>
        <v>S</v>
      </c>
      <c r="B224">
        <f ca="1">ORÇAMENTO!D224</f>
        <v>0</v>
      </c>
      <c r="C224" s="139" t="str">
        <f t="shared" ca="1" si="29"/>
        <v/>
      </c>
      <c r="D224" s="142" t="str">
        <f ca="1">ORÇAMENTO!O224</f>
        <v>-</v>
      </c>
      <c r="E224" s="202" t="str">
        <f t="shared" ca="1" si="30"/>
        <v>(abra o arquivo 'Referência 11-2024.xlsm)</v>
      </c>
      <c r="F224" s="203" t="str">
        <f ca="1">IF(RegimeExecucao="Global","",ORÇAMENTO.Unidade)</f>
        <v/>
      </c>
      <c r="G224" s="147" t="str">
        <f ca="1">IF(RegimeExecucao="Global","",ORÇAMENTO!T224)</f>
        <v/>
      </c>
      <c r="H224" s="147" t="str">
        <f ca="1">IF(RegimeExecucao="Global","",ORÇAMENTO!W224)</f>
        <v/>
      </c>
      <c r="I224" s="150">
        <f ca="1">ORÇAMENTO!X224</f>
        <v>0</v>
      </c>
      <c r="J224" s="423">
        <f ca="1">IF($A224="S",IF(CAIXA.Modo,BM.AFAnterior,BM.MEDAnterior),IF(AND(RegimeExecucao="Global",$I224&gt;0,COUNTIF($AB$13:$AM$13,BM.medicao-1)&gt;0),M224/$I224*100,0))</f>
        <v>0</v>
      </c>
      <c r="K224" s="147">
        <f t="shared" ca="1" si="31"/>
        <v>0</v>
      </c>
      <c r="L224" s="424">
        <f ca="1">IF($A224="S",IF(CAIXA.Modo,BM.AFAcumulado,BM.MEDAcumulado),IF(AND(RegimeExecucao="Global",$I224&gt;0,COUNTIF($AB$13:$AM$13,BM.medicao)&gt;0),O224/$I224*100,0))</f>
        <v>0</v>
      </c>
      <c r="M224" s="425">
        <f ca="1">IF($A224="S",VTOTALBM,IF($A224=0,0,ROUND(SomaAgrupBM,15-13*ORÇAMENTO!$AF$11)))</f>
        <v>0</v>
      </c>
      <c r="N224" s="426">
        <f t="shared" ca="1" si="32"/>
        <v>0</v>
      </c>
      <c r="O224" s="150">
        <f ca="1">IF($A224="S",VTOTALBM,IF($A224=0,0,ROUND(SomaAgrupBM,15-13*ORÇAMENTO!$AF$11)))</f>
        <v>0</v>
      </c>
      <c r="Q224" s="427"/>
      <c r="R224" s="428"/>
      <c r="T224" s="142" t="str">
        <f t="shared" ca="1" si="33"/>
        <v/>
      </c>
      <c r="U224" s="202" t="str">
        <f t="shared" ca="1" si="34"/>
        <v/>
      </c>
      <c r="V224" s="203" t="str">
        <f ca="1">IF(AND($W224&gt;0,RegimeExecucao="Unitário"),$F224,"")</f>
        <v/>
      </c>
      <c r="W224" s="629">
        <f ca="1">IF($Y224&gt;0,CHOOSE(MATCH(RegimeExecucao,{"Unitário","Global"},0),IF($A224="S",$Y224/$X224,""),($Y224/$X224)*100),0)</f>
        <v>0</v>
      </c>
      <c r="X224" s="429" t="str">
        <f ca="1">IF($Y224&gt;0,CHOOSE(MATCH(RegimeExecucao,{"Unitário","Global"},0),IF($A224="S",ROUND($H224,ORÇAMENTO!$AF$10),""),ROUND($I224,ORÇAMENTO!$AF$11)),"")</f>
        <v/>
      </c>
      <c r="Y224" s="429">
        <f t="shared" ca="1" si="35"/>
        <v>0</v>
      </c>
      <c r="Z224" s="656"/>
      <c r="AB224" s="427"/>
      <c r="AC224" s="594"/>
      <c r="AD224" s="594"/>
      <c r="AE224" s="594"/>
      <c r="AF224" s="594"/>
      <c r="AG224" s="594"/>
      <c r="AH224" s="594"/>
      <c r="AI224" s="594"/>
      <c r="AJ224" s="594"/>
      <c r="AK224" s="594"/>
      <c r="AL224" s="594"/>
      <c r="AM224" s="428"/>
      <c r="AO224">
        <f ca="1">IF($A224="S",IF(BM!$I224=0,0,CHOOSE(MATCH(RegimeExecucao,{"Global","Unitário"},0),ROUND(ROUND(BM.MEDAcumulado,15-13*BM!$A$9)/100*BM!$I224,15-13*ORÇAMENTO!$AF$11),ROUND(ROUND(BM.MEDAcumulado,15-13*BM!$A$9)*ROUND(BM!$H224,15-13*ORÇAMENTO!$AF$10),15-13*ORÇAMENTO!$AF$11))),IF($A224=0,0,ROUND(SomaAgrupBM,15-13*ORÇAMENTO!$AF$11)))</f>
        <v>0</v>
      </c>
    </row>
    <row r="225" spans="1:41" ht="13.8">
      <c r="A225" t="str">
        <f ca="1">ORÇAMENTO!C225</f>
        <v>S</v>
      </c>
      <c r="B225">
        <f ca="1">ORÇAMENTO!D225</f>
        <v>0</v>
      </c>
      <c r="C225" s="139" t="str">
        <f t="shared" ca="1" si="29"/>
        <v/>
      </c>
      <c r="D225" s="142" t="str">
        <f ca="1">ORÇAMENTO!O225</f>
        <v>-</v>
      </c>
      <c r="E225" s="202" t="str">
        <f t="shared" ca="1" si="30"/>
        <v>(abra o arquivo 'Referência 11-2024.xlsm)</v>
      </c>
      <c r="F225" s="203" t="str">
        <f ca="1">IF(RegimeExecucao="Global","",ORÇAMENTO.Unidade)</f>
        <v/>
      </c>
      <c r="G225" s="147" t="str">
        <f ca="1">IF(RegimeExecucao="Global","",ORÇAMENTO!T225)</f>
        <v/>
      </c>
      <c r="H225" s="147" t="str">
        <f ca="1">IF(RegimeExecucao="Global","",ORÇAMENTO!W225)</f>
        <v/>
      </c>
      <c r="I225" s="150">
        <f ca="1">ORÇAMENTO!X225</f>
        <v>0</v>
      </c>
      <c r="J225" s="423">
        <f ca="1">IF($A225="S",IF(CAIXA.Modo,BM.AFAnterior,BM.MEDAnterior),IF(AND(RegimeExecucao="Global",$I225&gt;0,COUNTIF($AB$13:$AM$13,BM.medicao-1)&gt;0),M225/$I225*100,0))</f>
        <v>0</v>
      </c>
      <c r="K225" s="147">
        <f t="shared" ca="1" si="31"/>
        <v>0</v>
      </c>
      <c r="L225" s="424">
        <f ca="1">IF($A225="S",IF(CAIXA.Modo,BM.AFAcumulado,BM.MEDAcumulado),IF(AND(RegimeExecucao="Global",$I225&gt;0,COUNTIF($AB$13:$AM$13,BM.medicao)&gt;0),O225/$I225*100,0))</f>
        <v>0</v>
      </c>
      <c r="M225" s="425">
        <f ca="1">IF($A225="S",VTOTALBM,IF($A225=0,0,ROUND(SomaAgrupBM,15-13*ORÇAMENTO!$AF$11)))</f>
        <v>0</v>
      </c>
      <c r="N225" s="426">
        <f t="shared" ca="1" si="32"/>
        <v>0</v>
      </c>
      <c r="O225" s="150">
        <f ca="1">IF($A225="S",VTOTALBM,IF($A225=0,0,ROUND(SomaAgrupBM,15-13*ORÇAMENTO!$AF$11)))</f>
        <v>0</v>
      </c>
      <c r="Q225" s="427"/>
      <c r="R225" s="428"/>
      <c r="T225" s="142" t="str">
        <f t="shared" ca="1" si="33"/>
        <v/>
      </c>
      <c r="U225" s="202" t="str">
        <f t="shared" ca="1" si="34"/>
        <v/>
      </c>
      <c r="V225" s="203" t="str">
        <f ca="1">IF(AND($W225&gt;0,RegimeExecucao="Unitário"),$F225,"")</f>
        <v/>
      </c>
      <c r="W225" s="629">
        <f ca="1">IF($Y225&gt;0,CHOOSE(MATCH(RegimeExecucao,{"Unitário","Global"},0),IF($A225="S",$Y225/$X225,""),($Y225/$X225)*100),0)</f>
        <v>0</v>
      </c>
      <c r="X225" s="429" t="str">
        <f ca="1">IF($Y225&gt;0,CHOOSE(MATCH(RegimeExecucao,{"Unitário","Global"},0),IF($A225="S",ROUND($H225,ORÇAMENTO!$AF$10),""),ROUND($I225,ORÇAMENTO!$AF$11)),"")</f>
        <v/>
      </c>
      <c r="Y225" s="429">
        <f t="shared" ca="1" si="35"/>
        <v>0</v>
      </c>
      <c r="Z225" s="656"/>
      <c r="AB225" s="427"/>
      <c r="AC225" s="594"/>
      <c r="AD225" s="594"/>
      <c r="AE225" s="594"/>
      <c r="AF225" s="594"/>
      <c r="AG225" s="594"/>
      <c r="AH225" s="594"/>
      <c r="AI225" s="594"/>
      <c r="AJ225" s="594"/>
      <c r="AK225" s="594"/>
      <c r="AL225" s="594"/>
      <c r="AM225" s="428"/>
      <c r="AO225">
        <f ca="1">IF($A225="S",IF(BM!$I225=0,0,CHOOSE(MATCH(RegimeExecucao,{"Global","Unitário"},0),ROUND(ROUND(BM.MEDAcumulado,15-13*BM!$A$9)/100*BM!$I225,15-13*ORÇAMENTO!$AF$11),ROUND(ROUND(BM.MEDAcumulado,15-13*BM!$A$9)*ROUND(BM!$H225,15-13*ORÇAMENTO!$AF$10),15-13*ORÇAMENTO!$AF$11))),IF($A225=0,0,ROUND(SomaAgrupBM,15-13*ORÇAMENTO!$AF$11)))</f>
        <v>0</v>
      </c>
    </row>
    <row r="226" spans="1:41" ht="13.8">
      <c r="A226" t="str">
        <f ca="1">ORÇAMENTO!C226</f>
        <v>S</v>
      </c>
      <c r="B226">
        <f ca="1">ORÇAMENTO!D226</f>
        <v>0</v>
      </c>
      <c r="C226" s="139" t="str">
        <f t="shared" ca="1" si="29"/>
        <v/>
      </c>
      <c r="D226" s="142" t="str">
        <f ca="1">ORÇAMENTO!O226</f>
        <v>-</v>
      </c>
      <c r="E226" s="202" t="str">
        <f t="shared" ca="1" si="30"/>
        <v>(abra o arquivo 'Referência 11-2024.xlsm)</v>
      </c>
      <c r="F226" s="203" t="str">
        <f ca="1">IF(RegimeExecucao="Global","",ORÇAMENTO.Unidade)</f>
        <v/>
      </c>
      <c r="G226" s="147" t="str">
        <f ca="1">IF(RegimeExecucao="Global","",ORÇAMENTO!T226)</f>
        <v/>
      </c>
      <c r="H226" s="147" t="str">
        <f ca="1">IF(RegimeExecucao="Global","",ORÇAMENTO!W226)</f>
        <v/>
      </c>
      <c r="I226" s="150">
        <f ca="1">ORÇAMENTO!X226</f>
        <v>0</v>
      </c>
      <c r="J226" s="423">
        <f ca="1">IF($A226="S",IF(CAIXA.Modo,BM.AFAnterior,BM.MEDAnterior),IF(AND(RegimeExecucao="Global",$I226&gt;0,COUNTIF($AB$13:$AM$13,BM.medicao-1)&gt;0),M226/$I226*100,0))</f>
        <v>0</v>
      </c>
      <c r="K226" s="147">
        <f t="shared" ca="1" si="31"/>
        <v>0</v>
      </c>
      <c r="L226" s="424">
        <f ca="1">IF($A226="S",IF(CAIXA.Modo,BM.AFAcumulado,BM.MEDAcumulado),IF(AND(RegimeExecucao="Global",$I226&gt;0,COUNTIF($AB$13:$AM$13,BM.medicao)&gt;0),O226/$I226*100,0))</f>
        <v>0</v>
      </c>
      <c r="M226" s="425">
        <f ca="1">IF($A226="S",VTOTALBM,IF($A226=0,0,ROUND(SomaAgrupBM,15-13*ORÇAMENTO!$AF$11)))</f>
        <v>0</v>
      </c>
      <c r="N226" s="426">
        <f t="shared" ca="1" si="32"/>
        <v>0</v>
      </c>
      <c r="O226" s="150">
        <f ca="1">IF($A226="S",VTOTALBM,IF($A226=0,0,ROUND(SomaAgrupBM,15-13*ORÇAMENTO!$AF$11)))</f>
        <v>0</v>
      </c>
      <c r="Q226" s="427"/>
      <c r="R226" s="428"/>
      <c r="T226" s="142" t="str">
        <f t="shared" ca="1" si="33"/>
        <v/>
      </c>
      <c r="U226" s="202" t="str">
        <f t="shared" ca="1" si="34"/>
        <v/>
      </c>
      <c r="V226" s="203" t="str">
        <f ca="1">IF(AND($W226&gt;0,RegimeExecucao="Unitário"),$F226,"")</f>
        <v/>
      </c>
      <c r="W226" s="629">
        <f ca="1">IF($Y226&gt;0,CHOOSE(MATCH(RegimeExecucao,{"Unitário","Global"},0),IF($A226="S",$Y226/$X226,""),($Y226/$X226)*100),0)</f>
        <v>0</v>
      </c>
      <c r="X226" s="429" t="str">
        <f ca="1">IF($Y226&gt;0,CHOOSE(MATCH(RegimeExecucao,{"Unitário","Global"},0),IF($A226="S",ROUND($H226,ORÇAMENTO!$AF$10),""),ROUND($I226,ORÇAMENTO!$AF$11)),"")</f>
        <v/>
      </c>
      <c r="Y226" s="429">
        <f t="shared" ca="1" si="35"/>
        <v>0</v>
      </c>
      <c r="Z226" s="656"/>
      <c r="AB226" s="427"/>
      <c r="AC226" s="594"/>
      <c r="AD226" s="594"/>
      <c r="AE226" s="594"/>
      <c r="AF226" s="594"/>
      <c r="AG226" s="594"/>
      <c r="AH226" s="594"/>
      <c r="AI226" s="594"/>
      <c r="AJ226" s="594"/>
      <c r="AK226" s="594"/>
      <c r="AL226" s="594"/>
      <c r="AM226" s="428"/>
      <c r="AO226">
        <f ca="1">IF($A226="S",IF(BM!$I226=0,0,CHOOSE(MATCH(RegimeExecucao,{"Global","Unitário"},0),ROUND(ROUND(BM.MEDAcumulado,15-13*BM!$A$9)/100*BM!$I226,15-13*ORÇAMENTO!$AF$11),ROUND(ROUND(BM.MEDAcumulado,15-13*BM!$A$9)*ROUND(BM!$H226,15-13*ORÇAMENTO!$AF$10),15-13*ORÇAMENTO!$AF$11))),IF($A226=0,0,ROUND(SomaAgrupBM,15-13*ORÇAMENTO!$AF$11)))</f>
        <v>0</v>
      </c>
    </row>
    <row r="227" spans="1:41" ht="13.8">
      <c r="A227" t="str">
        <f ca="1">ORÇAMENTO!C227</f>
        <v>S</v>
      </c>
      <c r="B227">
        <f ca="1">ORÇAMENTO!D227</f>
        <v>0</v>
      </c>
      <c r="C227" s="139" t="str">
        <f t="shared" ca="1" si="29"/>
        <v/>
      </c>
      <c r="D227" s="142" t="str">
        <f ca="1">ORÇAMENTO!O227</f>
        <v>-</v>
      </c>
      <c r="E227" s="202" t="str">
        <f t="shared" ca="1" si="30"/>
        <v>(abra o arquivo 'Referência 11-2024.xlsm)</v>
      </c>
      <c r="F227" s="203" t="str">
        <f ca="1">IF(RegimeExecucao="Global","",ORÇAMENTO.Unidade)</f>
        <v/>
      </c>
      <c r="G227" s="147" t="str">
        <f ca="1">IF(RegimeExecucao="Global","",ORÇAMENTO!T227)</f>
        <v/>
      </c>
      <c r="H227" s="147" t="str">
        <f ca="1">IF(RegimeExecucao="Global","",ORÇAMENTO!W227)</f>
        <v/>
      </c>
      <c r="I227" s="150">
        <f ca="1">ORÇAMENTO!X227</f>
        <v>0</v>
      </c>
      <c r="J227" s="423">
        <f ca="1">IF($A227="S",IF(CAIXA.Modo,BM.AFAnterior,BM.MEDAnterior),IF(AND(RegimeExecucao="Global",$I227&gt;0,COUNTIF($AB$13:$AM$13,BM.medicao-1)&gt;0),M227/$I227*100,0))</f>
        <v>0</v>
      </c>
      <c r="K227" s="147">
        <f t="shared" ca="1" si="31"/>
        <v>0</v>
      </c>
      <c r="L227" s="424">
        <f ca="1">IF($A227="S",IF(CAIXA.Modo,BM.AFAcumulado,BM.MEDAcumulado),IF(AND(RegimeExecucao="Global",$I227&gt;0,COUNTIF($AB$13:$AM$13,BM.medicao)&gt;0),O227/$I227*100,0))</f>
        <v>0</v>
      </c>
      <c r="M227" s="425">
        <f ca="1">IF($A227="S",VTOTALBM,IF($A227=0,0,ROUND(SomaAgrupBM,15-13*ORÇAMENTO!$AF$11)))</f>
        <v>0</v>
      </c>
      <c r="N227" s="426">
        <f t="shared" ca="1" si="32"/>
        <v>0</v>
      </c>
      <c r="O227" s="150">
        <f ca="1">IF($A227="S",VTOTALBM,IF($A227=0,0,ROUND(SomaAgrupBM,15-13*ORÇAMENTO!$AF$11)))</f>
        <v>0</v>
      </c>
      <c r="Q227" s="427"/>
      <c r="R227" s="428"/>
      <c r="T227" s="142" t="str">
        <f t="shared" ca="1" si="33"/>
        <v/>
      </c>
      <c r="U227" s="202" t="str">
        <f t="shared" ca="1" si="34"/>
        <v/>
      </c>
      <c r="V227" s="203" t="str">
        <f ca="1">IF(AND($W227&gt;0,RegimeExecucao="Unitário"),$F227,"")</f>
        <v/>
      </c>
      <c r="W227" s="629">
        <f ca="1">IF($Y227&gt;0,CHOOSE(MATCH(RegimeExecucao,{"Unitário","Global"},0),IF($A227="S",$Y227/$X227,""),($Y227/$X227)*100),0)</f>
        <v>0</v>
      </c>
      <c r="X227" s="429" t="str">
        <f ca="1">IF($Y227&gt;0,CHOOSE(MATCH(RegimeExecucao,{"Unitário","Global"},0),IF($A227="S",ROUND($H227,ORÇAMENTO!$AF$10),""),ROUND($I227,ORÇAMENTO!$AF$11)),"")</f>
        <v/>
      </c>
      <c r="Y227" s="429">
        <f t="shared" ca="1" si="35"/>
        <v>0</v>
      </c>
      <c r="Z227" s="656"/>
      <c r="AB227" s="427"/>
      <c r="AC227" s="594"/>
      <c r="AD227" s="594"/>
      <c r="AE227" s="594"/>
      <c r="AF227" s="594"/>
      <c r="AG227" s="594"/>
      <c r="AH227" s="594"/>
      <c r="AI227" s="594"/>
      <c r="AJ227" s="594"/>
      <c r="AK227" s="594"/>
      <c r="AL227" s="594"/>
      <c r="AM227" s="428"/>
      <c r="AO227">
        <f ca="1">IF($A227="S",IF(BM!$I227=0,0,CHOOSE(MATCH(RegimeExecucao,{"Global","Unitário"},0),ROUND(ROUND(BM.MEDAcumulado,15-13*BM!$A$9)/100*BM!$I227,15-13*ORÇAMENTO!$AF$11),ROUND(ROUND(BM.MEDAcumulado,15-13*BM!$A$9)*ROUND(BM!$H227,15-13*ORÇAMENTO!$AF$10),15-13*ORÇAMENTO!$AF$11))),IF($A227=0,0,ROUND(SomaAgrupBM,15-13*ORÇAMENTO!$AF$11)))</f>
        <v>0</v>
      </c>
    </row>
    <row r="228" spans="1:41" ht="13.8">
      <c r="A228" t="str">
        <f ca="1">ORÇAMENTO!C228</f>
        <v>S</v>
      </c>
      <c r="B228">
        <f ca="1">ORÇAMENTO!D228</f>
        <v>0</v>
      </c>
      <c r="C228" s="139" t="str">
        <f t="shared" ca="1" si="29"/>
        <v/>
      </c>
      <c r="D228" s="142" t="str">
        <f ca="1">ORÇAMENTO!O228</f>
        <v>-</v>
      </c>
      <c r="E228" s="202" t="str">
        <f t="shared" ca="1" si="30"/>
        <v>(abra o arquivo 'Referência 11-2024.xlsm)</v>
      </c>
      <c r="F228" s="203" t="str">
        <f ca="1">IF(RegimeExecucao="Global","",ORÇAMENTO.Unidade)</f>
        <v/>
      </c>
      <c r="G228" s="147" t="str">
        <f ca="1">IF(RegimeExecucao="Global","",ORÇAMENTO!T228)</f>
        <v/>
      </c>
      <c r="H228" s="147" t="str">
        <f ca="1">IF(RegimeExecucao="Global","",ORÇAMENTO!W228)</f>
        <v/>
      </c>
      <c r="I228" s="150">
        <f ca="1">ORÇAMENTO!X228</f>
        <v>0</v>
      </c>
      <c r="J228" s="423">
        <f ca="1">IF($A228="S",IF(CAIXA.Modo,BM.AFAnterior,BM.MEDAnterior),IF(AND(RegimeExecucao="Global",$I228&gt;0,COUNTIF($AB$13:$AM$13,BM.medicao-1)&gt;0),M228/$I228*100,0))</f>
        <v>0</v>
      </c>
      <c r="K228" s="147">
        <f t="shared" ca="1" si="31"/>
        <v>0</v>
      </c>
      <c r="L228" s="424">
        <f ca="1">IF($A228="S",IF(CAIXA.Modo,BM.AFAcumulado,BM.MEDAcumulado),IF(AND(RegimeExecucao="Global",$I228&gt;0,COUNTIF($AB$13:$AM$13,BM.medicao)&gt;0),O228/$I228*100,0))</f>
        <v>0</v>
      </c>
      <c r="M228" s="425">
        <f ca="1">IF($A228="S",VTOTALBM,IF($A228=0,0,ROUND(SomaAgrupBM,15-13*ORÇAMENTO!$AF$11)))</f>
        <v>0</v>
      </c>
      <c r="N228" s="426">
        <f t="shared" ca="1" si="32"/>
        <v>0</v>
      </c>
      <c r="O228" s="150">
        <f ca="1">IF($A228="S",VTOTALBM,IF($A228=0,0,ROUND(SomaAgrupBM,15-13*ORÇAMENTO!$AF$11)))</f>
        <v>0</v>
      </c>
      <c r="Q228" s="427"/>
      <c r="R228" s="428"/>
      <c r="T228" s="142" t="str">
        <f t="shared" ca="1" si="33"/>
        <v/>
      </c>
      <c r="U228" s="202" t="str">
        <f t="shared" ca="1" si="34"/>
        <v/>
      </c>
      <c r="V228" s="203" t="str">
        <f ca="1">IF(AND($W228&gt;0,RegimeExecucao="Unitário"),$F228,"")</f>
        <v/>
      </c>
      <c r="W228" s="629">
        <f ca="1">IF($Y228&gt;0,CHOOSE(MATCH(RegimeExecucao,{"Unitário","Global"},0),IF($A228="S",$Y228/$X228,""),($Y228/$X228)*100),0)</f>
        <v>0</v>
      </c>
      <c r="X228" s="429" t="str">
        <f ca="1">IF($Y228&gt;0,CHOOSE(MATCH(RegimeExecucao,{"Unitário","Global"},0),IF($A228="S",ROUND($H228,ORÇAMENTO!$AF$10),""),ROUND($I228,ORÇAMENTO!$AF$11)),"")</f>
        <v/>
      </c>
      <c r="Y228" s="429">
        <f t="shared" ca="1" si="35"/>
        <v>0</v>
      </c>
      <c r="Z228" s="656"/>
      <c r="AB228" s="427"/>
      <c r="AC228" s="594"/>
      <c r="AD228" s="594"/>
      <c r="AE228" s="594"/>
      <c r="AF228" s="594"/>
      <c r="AG228" s="594"/>
      <c r="AH228" s="594"/>
      <c r="AI228" s="594"/>
      <c r="AJ228" s="594"/>
      <c r="AK228" s="594"/>
      <c r="AL228" s="594"/>
      <c r="AM228" s="428"/>
      <c r="AO228">
        <f ca="1">IF($A228="S",IF(BM!$I228=0,0,CHOOSE(MATCH(RegimeExecucao,{"Global","Unitário"},0),ROUND(ROUND(BM.MEDAcumulado,15-13*BM!$A$9)/100*BM!$I228,15-13*ORÇAMENTO!$AF$11),ROUND(ROUND(BM.MEDAcumulado,15-13*BM!$A$9)*ROUND(BM!$H228,15-13*ORÇAMENTO!$AF$10),15-13*ORÇAMENTO!$AF$11))),IF($A228=0,0,ROUND(SomaAgrupBM,15-13*ORÇAMENTO!$AF$11)))</f>
        <v>0</v>
      </c>
    </row>
    <row r="229" spans="1:41" ht="13.8">
      <c r="A229" t="str">
        <f ca="1">ORÇAMENTO!C229</f>
        <v>S</v>
      </c>
      <c r="B229">
        <f ca="1">ORÇAMENTO!D229</f>
        <v>0</v>
      </c>
      <c r="C229" s="139" t="str">
        <f t="shared" ca="1" si="29"/>
        <v/>
      </c>
      <c r="D229" s="142" t="str">
        <f ca="1">ORÇAMENTO!O229</f>
        <v>-</v>
      </c>
      <c r="E229" s="202" t="str">
        <f t="shared" ca="1" si="30"/>
        <v>(abra o arquivo 'Referência 11-2024.xlsm)</v>
      </c>
      <c r="F229" s="203" t="str">
        <f ca="1">IF(RegimeExecucao="Global","",ORÇAMENTO.Unidade)</f>
        <v/>
      </c>
      <c r="G229" s="147" t="str">
        <f ca="1">IF(RegimeExecucao="Global","",ORÇAMENTO!T229)</f>
        <v/>
      </c>
      <c r="H229" s="147" t="str">
        <f ca="1">IF(RegimeExecucao="Global","",ORÇAMENTO!W229)</f>
        <v/>
      </c>
      <c r="I229" s="150">
        <f ca="1">ORÇAMENTO!X229</f>
        <v>0</v>
      </c>
      <c r="J229" s="423">
        <f ca="1">IF($A229="S",IF(CAIXA.Modo,BM.AFAnterior,BM.MEDAnterior),IF(AND(RegimeExecucao="Global",$I229&gt;0,COUNTIF($AB$13:$AM$13,BM.medicao-1)&gt;0),M229/$I229*100,0))</f>
        <v>0</v>
      </c>
      <c r="K229" s="147">
        <f t="shared" ca="1" si="31"/>
        <v>0</v>
      </c>
      <c r="L229" s="424">
        <f ca="1">IF($A229="S",IF(CAIXA.Modo,BM.AFAcumulado,BM.MEDAcumulado),IF(AND(RegimeExecucao="Global",$I229&gt;0,COUNTIF($AB$13:$AM$13,BM.medicao)&gt;0),O229/$I229*100,0))</f>
        <v>0</v>
      </c>
      <c r="M229" s="425">
        <f ca="1">IF($A229="S",VTOTALBM,IF($A229=0,0,ROUND(SomaAgrupBM,15-13*ORÇAMENTO!$AF$11)))</f>
        <v>0</v>
      </c>
      <c r="N229" s="426">
        <f t="shared" ca="1" si="32"/>
        <v>0</v>
      </c>
      <c r="O229" s="150">
        <f ca="1">IF($A229="S",VTOTALBM,IF($A229=0,0,ROUND(SomaAgrupBM,15-13*ORÇAMENTO!$AF$11)))</f>
        <v>0</v>
      </c>
      <c r="Q229" s="427"/>
      <c r="R229" s="428"/>
      <c r="T229" s="142" t="str">
        <f t="shared" ca="1" si="33"/>
        <v/>
      </c>
      <c r="U229" s="202" t="str">
        <f t="shared" ca="1" si="34"/>
        <v/>
      </c>
      <c r="V229" s="203" t="str">
        <f ca="1">IF(AND($W229&gt;0,RegimeExecucao="Unitário"),$F229,"")</f>
        <v/>
      </c>
      <c r="W229" s="629">
        <f ca="1">IF($Y229&gt;0,CHOOSE(MATCH(RegimeExecucao,{"Unitário","Global"},0),IF($A229="S",$Y229/$X229,""),($Y229/$X229)*100),0)</f>
        <v>0</v>
      </c>
      <c r="X229" s="429" t="str">
        <f ca="1">IF($Y229&gt;0,CHOOSE(MATCH(RegimeExecucao,{"Unitário","Global"},0),IF($A229="S",ROUND($H229,ORÇAMENTO!$AF$10),""),ROUND($I229,ORÇAMENTO!$AF$11)),"")</f>
        <v/>
      </c>
      <c r="Y229" s="429">
        <f t="shared" ca="1" si="35"/>
        <v>0</v>
      </c>
      <c r="Z229" s="656"/>
      <c r="AB229" s="427"/>
      <c r="AC229" s="594"/>
      <c r="AD229" s="594"/>
      <c r="AE229" s="594"/>
      <c r="AF229" s="594"/>
      <c r="AG229" s="594"/>
      <c r="AH229" s="594"/>
      <c r="AI229" s="594"/>
      <c r="AJ229" s="594"/>
      <c r="AK229" s="594"/>
      <c r="AL229" s="594"/>
      <c r="AM229" s="428"/>
      <c r="AO229">
        <f ca="1">IF($A229="S",IF(BM!$I229=0,0,CHOOSE(MATCH(RegimeExecucao,{"Global","Unitário"},0),ROUND(ROUND(BM.MEDAcumulado,15-13*BM!$A$9)/100*BM!$I229,15-13*ORÇAMENTO!$AF$11),ROUND(ROUND(BM.MEDAcumulado,15-13*BM!$A$9)*ROUND(BM!$H229,15-13*ORÇAMENTO!$AF$10),15-13*ORÇAMENTO!$AF$11))),IF($A229=0,0,ROUND(SomaAgrupBM,15-13*ORÇAMENTO!$AF$11)))</f>
        <v>0</v>
      </c>
    </row>
    <row r="230" spans="1:41" ht="13.8">
      <c r="A230" t="str">
        <f ca="1">ORÇAMENTO!C230</f>
        <v>S</v>
      </c>
      <c r="B230">
        <f ca="1">ORÇAMENTO!D230</f>
        <v>0</v>
      </c>
      <c r="C230" s="139" t="str">
        <f t="shared" ca="1" si="29"/>
        <v/>
      </c>
      <c r="D230" s="142" t="str">
        <f ca="1">ORÇAMENTO!O230</f>
        <v>-</v>
      </c>
      <c r="E230" s="202" t="str">
        <f t="shared" ca="1" si="30"/>
        <v>(abra o arquivo 'Referência 11-2024.xlsm)</v>
      </c>
      <c r="F230" s="203" t="str">
        <f ca="1">IF(RegimeExecucao="Global","",ORÇAMENTO.Unidade)</f>
        <v/>
      </c>
      <c r="G230" s="147" t="str">
        <f ca="1">IF(RegimeExecucao="Global","",ORÇAMENTO!T230)</f>
        <v/>
      </c>
      <c r="H230" s="147" t="str">
        <f ca="1">IF(RegimeExecucao="Global","",ORÇAMENTO!W230)</f>
        <v/>
      </c>
      <c r="I230" s="150">
        <f ca="1">ORÇAMENTO!X230</f>
        <v>0</v>
      </c>
      <c r="J230" s="423">
        <f ca="1">IF($A230="S",IF(CAIXA.Modo,BM.AFAnterior,BM.MEDAnterior),IF(AND(RegimeExecucao="Global",$I230&gt;0,COUNTIF($AB$13:$AM$13,BM.medicao-1)&gt;0),M230/$I230*100,0))</f>
        <v>0</v>
      </c>
      <c r="K230" s="147">
        <f t="shared" ca="1" si="31"/>
        <v>0</v>
      </c>
      <c r="L230" s="424">
        <f ca="1">IF($A230="S",IF(CAIXA.Modo,BM.AFAcumulado,BM.MEDAcumulado),IF(AND(RegimeExecucao="Global",$I230&gt;0,COUNTIF($AB$13:$AM$13,BM.medicao)&gt;0),O230/$I230*100,0))</f>
        <v>0</v>
      </c>
      <c r="M230" s="425">
        <f ca="1">IF($A230="S",VTOTALBM,IF($A230=0,0,ROUND(SomaAgrupBM,15-13*ORÇAMENTO!$AF$11)))</f>
        <v>0</v>
      </c>
      <c r="N230" s="426">
        <f t="shared" ca="1" si="32"/>
        <v>0</v>
      </c>
      <c r="O230" s="150">
        <f ca="1">IF($A230="S",VTOTALBM,IF($A230=0,0,ROUND(SomaAgrupBM,15-13*ORÇAMENTO!$AF$11)))</f>
        <v>0</v>
      </c>
      <c r="Q230" s="427"/>
      <c r="R230" s="428"/>
      <c r="T230" s="142" t="str">
        <f t="shared" ca="1" si="33"/>
        <v/>
      </c>
      <c r="U230" s="202" t="str">
        <f t="shared" ca="1" si="34"/>
        <v/>
      </c>
      <c r="V230" s="203" t="str">
        <f ca="1">IF(AND($W230&gt;0,RegimeExecucao="Unitário"),$F230,"")</f>
        <v/>
      </c>
      <c r="W230" s="629">
        <f ca="1">IF($Y230&gt;0,CHOOSE(MATCH(RegimeExecucao,{"Unitário","Global"},0),IF($A230="S",$Y230/$X230,""),($Y230/$X230)*100),0)</f>
        <v>0</v>
      </c>
      <c r="X230" s="429" t="str">
        <f ca="1">IF($Y230&gt;0,CHOOSE(MATCH(RegimeExecucao,{"Unitário","Global"},0),IF($A230="S",ROUND($H230,ORÇAMENTO!$AF$10),""),ROUND($I230,ORÇAMENTO!$AF$11)),"")</f>
        <v/>
      </c>
      <c r="Y230" s="429">
        <f t="shared" ca="1" si="35"/>
        <v>0</v>
      </c>
      <c r="Z230" s="656"/>
      <c r="AB230" s="427"/>
      <c r="AC230" s="594"/>
      <c r="AD230" s="594"/>
      <c r="AE230" s="594"/>
      <c r="AF230" s="594"/>
      <c r="AG230" s="594"/>
      <c r="AH230" s="594"/>
      <c r="AI230" s="594"/>
      <c r="AJ230" s="594"/>
      <c r="AK230" s="594"/>
      <c r="AL230" s="594"/>
      <c r="AM230" s="428"/>
      <c r="AO230">
        <f ca="1">IF($A230="S",IF(BM!$I230=0,0,CHOOSE(MATCH(RegimeExecucao,{"Global","Unitário"},0),ROUND(ROUND(BM.MEDAcumulado,15-13*BM!$A$9)/100*BM!$I230,15-13*ORÇAMENTO!$AF$11),ROUND(ROUND(BM.MEDAcumulado,15-13*BM!$A$9)*ROUND(BM!$H230,15-13*ORÇAMENTO!$AF$10),15-13*ORÇAMENTO!$AF$11))),IF($A230=0,0,ROUND(SomaAgrupBM,15-13*ORÇAMENTO!$AF$11)))</f>
        <v>0</v>
      </c>
    </row>
    <row r="231" spans="1:41" ht="13.8">
      <c r="A231" t="str">
        <f ca="1">ORÇAMENTO!C231</f>
        <v>S</v>
      </c>
      <c r="B231">
        <f ca="1">ORÇAMENTO!D231</f>
        <v>0</v>
      </c>
      <c r="C231" s="139" t="str">
        <f t="shared" ca="1" si="29"/>
        <v/>
      </c>
      <c r="D231" s="142" t="str">
        <f ca="1">ORÇAMENTO!O231</f>
        <v>-</v>
      </c>
      <c r="E231" s="202" t="str">
        <f t="shared" ca="1" si="30"/>
        <v>(abra o arquivo 'Referência 11-2024.xlsm)</v>
      </c>
      <c r="F231" s="203" t="str">
        <f ca="1">IF(RegimeExecucao="Global","",ORÇAMENTO.Unidade)</f>
        <v/>
      </c>
      <c r="G231" s="147" t="str">
        <f ca="1">IF(RegimeExecucao="Global","",ORÇAMENTO!T231)</f>
        <v/>
      </c>
      <c r="H231" s="147" t="str">
        <f ca="1">IF(RegimeExecucao="Global","",ORÇAMENTO!W231)</f>
        <v/>
      </c>
      <c r="I231" s="150">
        <f ca="1">ORÇAMENTO!X231</f>
        <v>0</v>
      </c>
      <c r="J231" s="423">
        <f ca="1">IF($A231="S",IF(CAIXA.Modo,BM.AFAnterior,BM.MEDAnterior),IF(AND(RegimeExecucao="Global",$I231&gt;0,COUNTIF($AB$13:$AM$13,BM.medicao-1)&gt;0),M231/$I231*100,0))</f>
        <v>0</v>
      </c>
      <c r="K231" s="147">
        <f t="shared" ca="1" si="31"/>
        <v>0</v>
      </c>
      <c r="L231" s="424">
        <f ca="1">IF($A231="S",IF(CAIXA.Modo,BM.AFAcumulado,BM.MEDAcumulado),IF(AND(RegimeExecucao="Global",$I231&gt;0,COUNTIF($AB$13:$AM$13,BM.medicao)&gt;0),O231/$I231*100,0))</f>
        <v>0</v>
      </c>
      <c r="M231" s="425">
        <f ca="1">IF($A231="S",VTOTALBM,IF($A231=0,0,ROUND(SomaAgrupBM,15-13*ORÇAMENTO!$AF$11)))</f>
        <v>0</v>
      </c>
      <c r="N231" s="426">
        <f t="shared" ca="1" si="32"/>
        <v>0</v>
      </c>
      <c r="O231" s="150">
        <f ca="1">IF($A231="S",VTOTALBM,IF($A231=0,0,ROUND(SomaAgrupBM,15-13*ORÇAMENTO!$AF$11)))</f>
        <v>0</v>
      </c>
      <c r="Q231" s="427"/>
      <c r="R231" s="428"/>
      <c r="T231" s="142" t="str">
        <f t="shared" ca="1" si="33"/>
        <v/>
      </c>
      <c r="U231" s="202" t="str">
        <f t="shared" ca="1" si="34"/>
        <v/>
      </c>
      <c r="V231" s="203" t="str">
        <f ca="1">IF(AND($W231&gt;0,RegimeExecucao="Unitário"),$F231,"")</f>
        <v/>
      </c>
      <c r="W231" s="629">
        <f ca="1">IF($Y231&gt;0,CHOOSE(MATCH(RegimeExecucao,{"Unitário","Global"},0),IF($A231="S",$Y231/$X231,""),($Y231/$X231)*100),0)</f>
        <v>0</v>
      </c>
      <c r="X231" s="429" t="str">
        <f ca="1">IF($Y231&gt;0,CHOOSE(MATCH(RegimeExecucao,{"Unitário","Global"},0),IF($A231="S",ROUND($H231,ORÇAMENTO!$AF$10),""),ROUND($I231,ORÇAMENTO!$AF$11)),"")</f>
        <v/>
      </c>
      <c r="Y231" s="429">
        <f t="shared" ca="1" si="35"/>
        <v>0</v>
      </c>
      <c r="Z231" s="656"/>
      <c r="AB231" s="427"/>
      <c r="AC231" s="594"/>
      <c r="AD231" s="594"/>
      <c r="AE231" s="594"/>
      <c r="AF231" s="594"/>
      <c r="AG231" s="594"/>
      <c r="AH231" s="594"/>
      <c r="AI231" s="594"/>
      <c r="AJ231" s="594"/>
      <c r="AK231" s="594"/>
      <c r="AL231" s="594"/>
      <c r="AM231" s="428"/>
      <c r="AO231">
        <f ca="1">IF($A231="S",IF(BM!$I231=0,0,CHOOSE(MATCH(RegimeExecucao,{"Global","Unitário"},0),ROUND(ROUND(BM.MEDAcumulado,15-13*BM!$A$9)/100*BM!$I231,15-13*ORÇAMENTO!$AF$11),ROUND(ROUND(BM.MEDAcumulado,15-13*BM!$A$9)*ROUND(BM!$H231,15-13*ORÇAMENTO!$AF$10),15-13*ORÇAMENTO!$AF$11))),IF($A231=0,0,ROUND(SomaAgrupBM,15-13*ORÇAMENTO!$AF$11)))</f>
        <v>0</v>
      </c>
    </row>
    <row r="232" spans="1:41" ht="13.8">
      <c r="A232" t="str">
        <f ca="1">ORÇAMENTO!C232</f>
        <v>S</v>
      </c>
      <c r="B232">
        <f ca="1">ORÇAMENTO!D232</f>
        <v>0</v>
      </c>
      <c r="C232" s="139" t="str">
        <f t="shared" ca="1" si="29"/>
        <v/>
      </c>
      <c r="D232" s="142" t="str">
        <f ca="1">ORÇAMENTO!O232</f>
        <v>-</v>
      </c>
      <c r="E232" s="202" t="str">
        <f t="shared" ca="1" si="30"/>
        <v>(abra o arquivo 'Referência 11-2024.xlsm)</v>
      </c>
      <c r="F232" s="203" t="str">
        <f ca="1">IF(RegimeExecucao="Global","",ORÇAMENTO.Unidade)</f>
        <v/>
      </c>
      <c r="G232" s="147" t="str">
        <f ca="1">IF(RegimeExecucao="Global","",ORÇAMENTO!T232)</f>
        <v/>
      </c>
      <c r="H232" s="147" t="str">
        <f ca="1">IF(RegimeExecucao="Global","",ORÇAMENTO!W232)</f>
        <v/>
      </c>
      <c r="I232" s="150">
        <f ca="1">ORÇAMENTO!X232</f>
        <v>0</v>
      </c>
      <c r="J232" s="423">
        <f ca="1">IF($A232="S",IF(CAIXA.Modo,BM.AFAnterior,BM.MEDAnterior),IF(AND(RegimeExecucao="Global",$I232&gt;0,COUNTIF($AB$13:$AM$13,BM.medicao-1)&gt;0),M232/$I232*100,0))</f>
        <v>0</v>
      </c>
      <c r="K232" s="147">
        <f t="shared" ca="1" si="31"/>
        <v>0</v>
      </c>
      <c r="L232" s="424">
        <f ca="1">IF($A232="S",IF(CAIXA.Modo,BM.AFAcumulado,BM.MEDAcumulado),IF(AND(RegimeExecucao="Global",$I232&gt;0,COUNTIF($AB$13:$AM$13,BM.medicao)&gt;0),O232/$I232*100,0))</f>
        <v>0</v>
      </c>
      <c r="M232" s="425">
        <f ca="1">IF($A232="S",VTOTALBM,IF($A232=0,0,ROUND(SomaAgrupBM,15-13*ORÇAMENTO!$AF$11)))</f>
        <v>0</v>
      </c>
      <c r="N232" s="426">
        <f t="shared" ca="1" si="32"/>
        <v>0</v>
      </c>
      <c r="O232" s="150">
        <f ca="1">IF($A232="S",VTOTALBM,IF($A232=0,0,ROUND(SomaAgrupBM,15-13*ORÇAMENTO!$AF$11)))</f>
        <v>0</v>
      </c>
      <c r="Q232" s="427"/>
      <c r="R232" s="428"/>
      <c r="T232" s="142" t="str">
        <f t="shared" ca="1" si="33"/>
        <v/>
      </c>
      <c r="U232" s="202" t="str">
        <f t="shared" ca="1" si="34"/>
        <v/>
      </c>
      <c r="V232" s="203" t="str">
        <f ca="1">IF(AND($W232&gt;0,RegimeExecucao="Unitário"),$F232,"")</f>
        <v/>
      </c>
      <c r="W232" s="629">
        <f ca="1">IF($Y232&gt;0,CHOOSE(MATCH(RegimeExecucao,{"Unitário","Global"},0),IF($A232="S",$Y232/$X232,""),($Y232/$X232)*100),0)</f>
        <v>0</v>
      </c>
      <c r="X232" s="429" t="str">
        <f ca="1">IF($Y232&gt;0,CHOOSE(MATCH(RegimeExecucao,{"Unitário","Global"},0),IF($A232="S",ROUND($H232,ORÇAMENTO!$AF$10),""),ROUND($I232,ORÇAMENTO!$AF$11)),"")</f>
        <v/>
      </c>
      <c r="Y232" s="429">
        <f t="shared" ca="1" si="35"/>
        <v>0</v>
      </c>
      <c r="Z232" s="656"/>
      <c r="AB232" s="427"/>
      <c r="AC232" s="594"/>
      <c r="AD232" s="594"/>
      <c r="AE232" s="594"/>
      <c r="AF232" s="594"/>
      <c r="AG232" s="594"/>
      <c r="AH232" s="594"/>
      <c r="AI232" s="594"/>
      <c r="AJ232" s="594"/>
      <c r="AK232" s="594"/>
      <c r="AL232" s="594"/>
      <c r="AM232" s="428"/>
      <c r="AO232">
        <f ca="1">IF($A232="S",IF(BM!$I232=0,0,CHOOSE(MATCH(RegimeExecucao,{"Global","Unitário"},0),ROUND(ROUND(BM.MEDAcumulado,15-13*BM!$A$9)/100*BM!$I232,15-13*ORÇAMENTO!$AF$11),ROUND(ROUND(BM.MEDAcumulado,15-13*BM!$A$9)*ROUND(BM!$H232,15-13*ORÇAMENTO!$AF$10),15-13*ORÇAMENTO!$AF$11))),IF($A232=0,0,ROUND(SomaAgrupBM,15-13*ORÇAMENTO!$AF$11)))</f>
        <v>0</v>
      </c>
    </row>
    <row r="233" spans="1:41" ht="13.8">
      <c r="A233" t="str">
        <f ca="1">ORÇAMENTO!C233</f>
        <v>S</v>
      </c>
      <c r="B233">
        <f ca="1">ORÇAMENTO!D233</f>
        <v>0</v>
      </c>
      <c r="C233" s="139" t="str">
        <f t="shared" ca="1" si="29"/>
        <v/>
      </c>
      <c r="D233" s="142" t="str">
        <f ca="1">ORÇAMENTO!O233</f>
        <v>-</v>
      </c>
      <c r="E233" s="202" t="str">
        <f t="shared" ca="1" si="30"/>
        <v>(abra o arquivo 'Referência 11-2024.xlsm)</v>
      </c>
      <c r="F233" s="203" t="str">
        <f ca="1">IF(RegimeExecucao="Global","",ORÇAMENTO.Unidade)</f>
        <v/>
      </c>
      <c r="G233" s="147" t="str">
        <f ca="1">IF(RegimeExecucao="Global","",ORÇAMENTO!T233)</f>
        <v/>
      </c>
      <c r="H233" s="147" t="str">
        <f ca="1">IF(RegimeExecucao="Global","",ORÇAMENTO!W233)</f>
        <v/>
      </c>
      <c r="I233" s="150">
        <f ca="1">ORÇAMENTO!X233</f>
        <v>0</v>
      </c>
      <c r="J233" s="423">
        <f ca="1">IF($A233="S",IF(CAIXA.Modo,BM.AFAnterior,BM.MEDAnterior),IF(AND(RegimeExecucao="Global",$I233&gt;0,COUNTIF($AB$13:$AM$13,BM.medicao-1)&gt;0),M233/$I233*100,0))</f>
        <v>0</v>
      </c>
      <c r="K233" s="147">
        <f t="shared" ca="1" si="31"/>
        <v>0</v>
      </c>
      <c r="L233" s="424">
        <f ca="1">IF($A233="S",IF(CAIXA.Modo,BM.AFAcumulado,BM.MEDAcumulado),IF(AND(RegimeExecucao="Global",$I233&gt;0,COUNTIF($AB$13:$AM$13,BM.medicao)&gt;0),O233/$I233*100,0))</f>
        <v>0</v>
      </c>
      <c r="M233" s="425">
        <f ca="1">IF($A233="S",VTOTALBM,IF($A233=0,0,ROUND(SomaAgrupBM,15-13*ORÇAMENTO!$AF$11)))</f>
        <v>0</v>
      </c>
      <c r="N233" s="426">
        <f t="shared" ca="1" si="32"/>
        <v>0</v>
      </c>
      <c r="O233" s="150">
        <f ca="1">IF($A233="S",VTOTALBM,IF($A233=0,0,ROUND(SomaAgrupBM,15-13*ORÇAMENTO!$AF$11)))</f>
        <v>0</v>
      </c>
      <c r="Q233" s="427"/>
      <c r="R233" s="428"/>
      <c r="T233" s="142" t="str">
        <f t="shared" ca="1" si="33"/>
        <v/>
      </c>
      <c r="U233" s="202" t="str">
        <f t="shared" ca="1" si="34"/>
        <v/>
      </c>
      <c r="V233" s="203" t="str">
        <f ca="1">IF(AND($W233&gt;0,RegimeExecucao="Unitário"),$F233,"")</f>
        <v/>
      </c>
      <c r="W233" s="629">
        <f ca="1">IF($Y233&gt;0,CHOOSE(MATCH(RegimeExecucao,{"Unitário","Global"},0),IF($A233="S",$Y233/$X233,""),($Y233/$X233)*100),0)</f>
        <v>0</v>
      </c>
      <c r="X233" s="429" t="str">
        <f ca="1">IF($Y233&gt;0,CHOOSE(MATCH(RegimeExecucao,{"Unitário","Global"},0),IF($A233="S",ROUND($H233,ORÇAMENTO!$AF$10),""),ROUND($I233,ORÇAMENTO!$AF$11)),"")</f>
        <v/>
      </c>
      <c r="Y233" s="429">
        <f t="shared" ca="1" si="35"/>
        <v>0</v>
      </c>
      <c r="Z233" s="656"/>
      <c r="AB233" s="427"/>
      <c r="AC233" s="594"/>
      <c r="AD233" s="594"/>
      <c r="AE233" s="594"/>
      <c r="AF233" s="594"/>
      <c r="AG233" s="594"/>
      <c r="AH233" s="594"/>
      <c r="AI233" s="594"/>
      <c r="AJ233" s="594"/>
      <c r="AK233" s="594"/>
      <c r="AL233" s="594"/>
      <c r="AM233" s="428"/>
      <c r="AO233">
        <f ca="1">IF($A233="S",IF(BM!$I233=0,0,CHOOSE(MATCH(RegimeExecucao,{"Global","Unitário"},0),ROUND(ROUND(BM.MEDAcumulado,15-13*BM!$A$9)/100*BM!$I233,15-13*ORÇAMENTO!$AF$11),ROUND(ROUND(BM.MEDAcumulado,15-13*BM!$A$9)*ROUND(BM!$H233,15-13*ORÇAMENTO!$AF$10),15-13*ORÇAMENTO!$AF$11))),IF($A233=0,0,ROUND(SomaAgrupBM,15-13*ORÇAMENTO!$AF$11)))</f>
        <v>0</v>
      </c>
    </row>
    <row r="234" spans="1:41" ht="13.8">
      <c r="A234" t="str">
        <f ca="1">ORÇAMENTO!C234</f>
        <v>S</v>
      </c>
      <c r="B234">
        <f ca="1">ORÇAMENTO!D234</f>
        <v>0</v>
      </c>
      <c r="C234" s="139" t="str">
        <f t="shared" ca="1" si="29"/>
        <v/>
      </c>
      <c r="D234" s="142" t="str">
        <f ca="1">ORÇAMENTO!O234</f>
        <v>-</v>
      </c>
      <c r="E234" s="202" t="str">
        <f t="shared" ca="1" si="30"/>
        <v>(abra o arquivo 'Referência 11-2024.xlsm)</v>
      </c>
      <c r="F234" s="203" t="str">
        <f ca="1">IF(RegimeExecucao="Global","",ORÇAMENTO.Unidade)</f>
        <v/>
      </c>
      <c r="G234" s="147" t="str">
        <f ca="1">IF(RegimeExecucao="Global","",ORÇAMENTO!T234)</f>
        <v/>
      </c>
      <c r="H234" s="147" t="str">
        <f ca="1">IF(RegimeExecucao="Global","",ORÇAMENTO!W234)</f>
        <v/>
      </c>
      <c r="I234" s="150">
        <f ca="1">ORÇAMENTO!X234</f>
        <v>0</v>
      </c>
      <c r="J234" s="423">
        <f ca="1">IF($A234="S",IF(CAIXA.Modo,BM.AFAnterior,BM.MEDAnterior),IF(AND(RegimeExecucao="Global",$I234&gt;0,COUNTIF($AB$13:$AM$13,BM.medicao-1)&gt;0),M234/$I234*100,0))</f>
        <v>0</v>
      </c>
      <c r="K234" s="147">
        <f t="shared" ca="1" si="31"/>
        <v>0</v>
      </c>
      <c r="L234" s="424">
        <f ca="1">IF($A234="S",IF(CAIXA.Modo,BM.AFAcumulado,BM.MEDAcumulado),IF(AND(RegimeExecucao="Global",$I234&gt;0,COUNTIF($AB$13:$AM$13,BM.medicao)&gt;0),O234/$I234*100,0))</f>
        <v>0</v>
      </c>
      <c r="M234" s="425">
        <f ca="1">IF($A234="S",VTOTALBM,IF($A234=0,0,ROUND(SomaAgrupBM,15-13*ORÇAMENTO!$AF$11)))</f>
        <v>0</v>
      </c>
      <c r="N234" s="426">
        <f t="shared" ca="1" si="32"/>
        <v>0</v>
      </c>
      <c r="O234" s="150">
        <f ca="1">IF($A234="S",VTOTALBM,IF($A234=0,0,ROUND(SomaAgrupBM,15-13*ORÇAMENTO!$AF$11)))</f>
        <v>0</v>
      </c>
      <c r="Q234" s="427"/>
      <c r="R234" s="428"/>
      <c r="T234" s="142" t="str">
        <f t="shared" ca="1" si="33"/>
        <v/>
      </c>
      <c r="U234" s="202" t="str">
        <f t="shared" ca="1" si="34"/>
        <v/>
      </c>
      <c r="V234" s="203" t="str">
        <f ca="1">IF(AND($W234&gt;0,RegimeExecucao="Unitário"),$F234,"")</f>
        <v/>
      </c>
      <c r="W234" s="629">
        <f ca="1">IF($Y234&gt;0,CHOOSE(MATCH(RegimeExecucao,{"Unitário","Global"},0),IF($A234="S",$Y234/$X234,""),($Y234/$X234)*100),0)</f>
        <v>0</v>
      </c>
      <c r="X234" s="429" t="str">
        <f ca="1">IF($Y234&gt;0,CHOOSE(MATCH(RegimeExecucao,{"Unitário","Global"},0),IF($A234="S",ROUND($H234,ORÇAMENTO!$AF$10),""),ROUND($I234,ORÇAMENTO!$AF$11)),"")</f>
        <v/>
      </c>
      <c r="Y234" s="429">
        <f t="shared" ca="1" si="35"/>
        <v>0</v>
      </c>
      <c r="Z234" s="656"/>
      <c r="AB234" s="427"/>
      <c r="AC234" s="594"/>
      <c r="AD234" s="594"/>
      <c r="AE234" s="594"/>
      <c r="AF234" s="594"/>
      <c r="AG234" s="594"/>
      <c r="AH234" s="594"/>
      <c r="AI234" s="594"/>
      <c r="AJ234" s="594"/>
      <c r="AK234" s="594"/>
      <c r="AL234" s="594"/>
      <c r="AM234" s="428"/>
      <c r="AO234">
        <f ca="1">IF($A234="S",IF(BM!$I234=0,0,CHOOSE(MATCH(RegimeExecucao,{"Global","Unitário"},0),ROUND(ROUND(BM.MEDAcumulado,15-13*BM!$A$9)/100*BM!$I234,15-13*ORÇAMENTO!$AF$11),ROUND(ROUND(BM.MEDAcumulado,15-13*BM!$A$9)*ROUND(BM!$H234,15-13*ORÇAMENTO!$AF$10),15-13*ORÇAMENTO!$AF$11))),IF($A234=0,0,ROUND(SomaAgrupBM,15-13*ORÇAMENTO!$AF$11)))</f>
        <v>0</v>
      </c>
    </row>
    <row r="235" spans="1:41" ht="13.8">
      <c r="A235" t="str">
        <f ca="1">ORÇAMENTO!C235</f>
        <v>S</v>
      </c>
      <c r="B235">
        <f ca="1">ORÇAMENTO!D235</f>
        <v>0</v>
      </c>
      <c r="C235" s="139" t="str">
        <f t="shared" ca="1" si="29"/>
        <v/>
      </c>
      <c r="D235" s="142" t="str">
        <f ca="1">ORÇAMENTO!O235</f>
        <v>-</v>
      </c>
      <c r="E235" s="202" t="str">
        <f t="shared" ca="1" si="30"/>
        <v>(abra o arquivo 'Referência 11-2024.xlsm)</v>
      </c>
      <c r="F235" s="203" t="str">
        <f ca="1">IF(RegimeExecucao="Global","",ORÇAMENTO.Unidade)</f>
        <v/>
      </c>
      <c r="G235" s="147" t="str">
        <f ca="1">IF(RegimeExecucao="Global","",ORÇAMENTO!T235)</f>
        <v/>
      </c>
      <c r="H235" s="147" t="str">
        <f ca="1">IF(RegimeExecucao="Global","",ORÇAMENTO!W235)</f>
        <v/>
      </c>
      <c r="I235" s="150">
        <f ca="1">ORÇAMENTO!X235</f>
        <v>0</v>
      </c>
      <c r="J235" s="423">
        <f ca="1">IF($A235="S",IF(CAIXA.Modo,BM.AFAnterior,BM.MEDAnterior),IF(AND(RegimeExecucao="Global",$I235&gt;0,COUNTIF($AB$13:$AM$13,BM.medicao-1)&gt;0),M235/$I235*100,0))</f>
        <v>0</v>
      </c>
      <c r="K235" s="147">
        <f t="shared" ca="1" si="31"/>
        <v>0</v>
      </c>
      <c r="L235" s="424">
        <f ca="1">IF($A235="S",IF(CAIXA.Modo,BM.AFAcumulado,BM.MEDAcumulado),IF(AND(RegimeExecucao="Global",$I235&gt;0,COUNTIF($AB$13:$AM$13,BM.medicao)&gt;0),O235/$I235*100,0))</f>
        <v>0</v>
      </c>
      <c r="M235" s="425">
        <f ca="1">IF($A235="S",VTOTALBM,IF($A235=0,0,ROUND(SomaAgrupBM,15-13*ORÇAMENTO!$AF$11)))</f>
        <v>0</v>
      </c>
      <c r="N235" s="426">
        <f t="shared" ca="1" si="32"/>
        <v>0</v>
      </c>
      <c r="O235" s="150">
        <f ca="1">IF($A235="S",VTOTALBM,IF($A235=0,0,ROUND(SomaAgrupBM,15-13*ORÇAMENTO!$AF$11)))</f>
        <v>0</v>
      </c>
      <c r="Q235" s="427"/>
      <c r="R235" s="428"/>
      <c r="T235" s="142" t="str">
        <f t="shared" ca="1" si="33"/>
        <v/>
      </c>
      <c r="U235" s="202" t="str">
        <f t="shared" ca="1" si="34"/>
        <v/>
      </c>
      <c r="V235" s="203" t="str">
        <f ca="1">IF(AND($W235&gt;0,RegimeExecucao="Unitário"),$F235,"")</f>
        <v/>
      </c>
      <c r="W235" s="629">
        <f ca="1">IF($Y235&gt;0,CHOOSE(MATCH(RegimeExecucao,{"Unitário","Global"},0),IF($A235="S",$Y235/$X235,""),($Y235/$X235)*100),0)</f>
        <v>0</v>
      </c>
      <c r="X235" s="429" t="str">
        <f ca="1">IF($Y235&gt;0,CHOOSE(MATCH(RegimeExecucao,{"Unitário","Global"},0),IF($A235="S",ROUND($H235,ORÇAMENTO!$AF$10),""),ROUND($I235,ORÇAMENTO!$AF$11)),"")</f>
        <v/>
      </c>
      <c r="Y235" s="429">
        <f t="shared" ca="1" si="35"/>
        <v>0</v>
      </c>
      <c r="Z235" s="656"/>
      <c r="AB235" s="427"/>
      <c r="AC235" s="594"/>
      <c r="AD235" s="594"/>
      <c r="AE235" s="594"/>
      <c r="AF235" s="594"/>
      <c r="AG235" s="594"/>
      <c r="AH235" s="594"/>
      <c r="AI235" s="594"/>
      <c r="AJ235" s="594"/>
      <c r="AK235" s="594"/>
      <c r="AL235" s="594"/>
      <c r="AM235" s="428"/>
      <c r="AO235">
        <f ca="1">IF($A235="S",IF(BM!$I235=0,0,CHOOSE(MATCH(RegimeExecucao,{"Global","Unitário"},0),ROUND(ROUND(BM.MEDAcumulado,15-13*BM!$A$9)/100*BM!$I235,15-13*ORÇAMENTO!$AF$11),ROUND(ROUND(BM.MEDAcumulado,15-13*BM!$A$9)*ROUND(BM!$H235,15-13*ORÇAMENTO!$AF$10),15-13*ORÇAMENTO!$AF$11))),IF($A235=0,0,ROUND(SomaAgrupBM,15-13*ORÇAMENTO!$AF$11)))</f>
        <v>0</v>
      </c>
    </row>
    <row r="236" spans="1:41" ht="13.8">
      <c r="A236" t="str">
        <f ca="1">ORÇAMENTO!C236</f>
        <v>S</v>
      </c>
      <c r="B236">
        <f ca="1">ORÇAMENTO!D236</f>
        <v>0</v>
      </c>
      <c r="C236" s="139" t="str">
        <f t="shared" ca="1" si="29"/>
        <v/>
      </c>
      <c r="D236" s="142" t="str">
        <f ca="1">ORÇAMENTO!O236</f>
        <v>-</v>
      </c>
      <c r="E236" s="202" t="str">
        <f t="shared" ca="1" si="30"/>
        <v>(abra o arquivo 'Referência 11-2024.xlsm)</v>
      </c>
      <c r="F236" s="203" t="str">
        <f ca="1">IF(RegimeExecucao="Global","",ORÇAMENTO.Unidade)</f>
        <v/>
      </c>
      <c r="G236" s="147" t="str">
        <f ca="1">IF(RegimeExecucao="Global","",ORÇAMENTO!T236)</f>
        <v/>
      </c>
      <c r="H236" s="147" t="str">
        <f ca="1">IF(RegimeExecucao="Global","",ORÇAMENTO!W236)</f>
        <v/>
      </c>
      <c r="I236" s="150">
        <f ca="1">ORÇAMENTO!X236</f>
        <v>0</v>
      </c>
      <c r="J236" s="423">
        <f ca="1">IF($A236="S",IF(CAIXA.Modo,BM.AFAnterior,BM.MEDAnterior),IF(AND(RegimeExecucao="Global",$I236&gt;0,COUNTIF($AB$13:$AM$13,BM.medicao-1)&gt;0),M236/$I236*100,0))</f>
        <v>0</v>
      </c>
      <c r="K236" s="147">
        <f t="shared" ca="1" si="31"/>
        <v>0</v>
      </c>
      <c r="L236" s="424">
        <f ca="1">IF($A236="S",IF(CAIXA.Modo,BM.AFAcumulado,BM.MEDAcumulado),IF(AND(RegimeExecucao="Global",$I236&gt;0,COUNTIF($AB$13:$AM$13,BM.medicao)&gt;0),O236/$I236*100,0))</f>
        <v>0</v>
      </c>
      <c r="M236" s="425">
        <f ca="1">IF($A236="S",VTOTALBM,IF($A236=0,0,ROUND(SomaAgrupBM,15-13*ORÇAMENTO!$AF$11)))</f>
        <v>0</v>
      </c>
      <c r="N236" s="426">
        <f t="shared" ca="1" si="32"/>
        <v>0</v>
      </c>
      <c r="O236" s="150">
        <f ca="1">IF($A236="S",VTOTALBM,IF($A236=0,0,ROUND(SomaAgrupBM,15-13*ORÇAMENTO!$AF$11)))</f>
        <v>0</v>
      </c>
      <c r="Q236" s="427"/>
      <c r="R236" s="428"/>
      <c r="T236" s="142" t="str">
        <f t="shared" ca="1" si="33"/>
        <v/>
      </c>
      <c r="U236" s="202" t="str">
        <f t="shared" ca="1" si="34"/>
        <v/>
      </c>
      <c r="V236" s="203" t="str">
        <f ca="1">IF(AND($W236&gt;0,RegimeExecucao="Unitário"),$F236,"")</f>
        <v/>
      </c>
      <c r="W236" s="629">
        <f ca="1">IF($Y236&gt;0,CHOOSE(MATCH(RegimeExecucao,{"Unitário","Global"},0),IF($A236="S",$Y236/$X236,""),($Y236/$X236)*100),0)</f>
        <v>0</v>
      </c>
      <c r="X236" s="429" t="str">
        <f ca="1">IF($Y236&gt;0,CHOOSE(MATCH(RegimeExecucao,{"Unitário","Global"},0),IF($A236="S",ROUND($H236,ORÇAMENTO!$AF$10),""),ROUND($I236,ORÇAMENTO!$AF$11)),"")</f>
        <v/>
      </c>
      <c r="Y236" s="429">
        <f t="shared" ca="1" si="35"/>
        <v>0</v>
      </c>
      <c r="Z236" s="656"/>
      <c r="AB236" s="427"/>
      <c r="AC236" s="594"/>
      <c r="AD236" s="594"/>
      <c r="AE236" s="594"/>
      <c r="AF236" s="594"/>
      <c r="AG236" s="594"/>
      <c r="AH236" s="594"/>
      <c r="AI236" s="594"/>
      <c r="AJ236" s="594"/>
      <c r="AK236" s="594"/>
      <c r="AL236" s="594"/>
      <c r="AM236" s="428"/>
      <c r="AO236">
        <f ca="1">IF($A236="S",IF(BM!$I236=0,0,CHOOSE(MATCH(RegimeExecucao,{"Global","Unitário"},0),ROUND(ROUND(BM.MEDAcumulado,15-13*BM!$A$9)/100*BM!$I236,15-13*ORÇAMENTO!$AF$11),ROUND(ROUND(BM.MEDAcumulado,15-13*BM!$A$9)*ROUND(BM!$H236,15-13*ORÇAMENTO!$AF$10),15-13*ORÇAMENTO!$AF$11))),IF($A236=0,0,ROUND(SomaAgrupBM,15-13*ORÇAMENTO!$AF$11)))</f>
        <v>0</v>
      </c>
    </row>
    <row r="237" spans="1:41" ht="13.8">
      <c r="A237" t="str">
        <f ca="1">ORÇAMENTO!C237</f>
        <v>S</v>
      </c>
      <c r="B237">
        <f ca="1">ORÇAMENTO!D237</f>
        <v>0</v>
      </c>
      <c r="C237" s="139" t="str">
        <f t="shared" ca="1" si="29"/>
        <v/>
      </c>
      <c r="D237" s="142" t="str">
        <f ca="1">ORÇAMENTO!O237</f>
        <v>-</v>
      </c>
      <c r="E237" s="202" t="str">
        <f t="shared" ca="1" si="30"/>
        <v>(abra o arquivo 'Referência 11-2024.xlsm)</v>
      </c>
      <c r="F237" s="203" t="str">
        <f ca="1">IF(RegimeExecucao="Global","",ORÇAMENTO.Unidade)</f>
        <v/>
      </c>
      <c r="G237" s="147" t="str">
        <f ca="1">IF(RegimeExecucao="Global","",ORÇAMENTO!T237)</f>
        <v/>
      </c>
      <c r="H237" s="147" t="str">
        <f ca="1">IF(RegimeExecucao="Global","",ORÇAMENTO!W237)</f>
        <v/>
      </c>
      <c r="I237" s="150">
        <f ca="1">ORÇAMENTO!X237</f>
        <v>0</v>
      </c>
      <c r="J237" s="423">
        <f ca="1">IF($A237="S",IF(CAIXA.Modo,BM.AFAnterior,BM.MEDAnterior),IF(AND(RegimeExecucao="Global",$I237&gt;0,COUNTIF($AB$13:$AM$13,BM.medicao-1)&gt;0),M237/$I237*100,0))</f>
        <v>0</v>
      </c>
      <c r="K237" s="147">
        <f t="shared" ca="1" si="31"/>
        <v>0</v>
      </c>
      <c r="L237" s="424">
        <f ca="1">IF($A237="S",IF(CAIXA.Modo,BM.AFAcumulado,BM.MEDAcumulado),IF(AND(RegimeExecucao="Global",$I237&gt;0,COUNTIF($AB$13:$AM$13,BM.medicao)&gt;0),O237/$I237*100,0))</f>
        <v>0</v>
      </c>
      <c r="M237" s="425">
        <f ca="1">IF($A237="S",VTOTALBM,IF($A237=0,0,ROUND(SomaAgrupBM,15-13*ORÇAMENTO!$AF$11)))</f>
        <v>0</v>
      </c>
      <c r="N237" s="426">
        <f t="shared" ca="1" si="32"/>
        <v>0</v>
      </c>
      <c r="O237" s="150">
        <f ca="1">IF($A237="S",VTOTALBM,IF($A237=0,0,ROUND(SomaAgrupBM,15-13*ORÇAMENTO!$AF$11)))</f>
        <v>0</v>
      </c>
      <c r="Q237" s="427"/>
      <c r="R237" s="428"/>
      <c r="T237" s="142" t="str">
        <f t="shared" ca="1" si="33"/>
        <v/>
      </c>
      <c r="U237" s="202" t="str">
        <f t="shared" ca="1" si="34"/>
        <v/>
      </c>
      <c r="V237" s="203" t="str">
        <f ca="1">IF(AND($W237&gt;0,RegimeExecucao="Unitário"),$F237,"")</f>
        <v/>
      </c>
      <c r="W237" s="629">
        <f ca="1">IF($Y237&gt;0,CHOOSE(MATCH(RegimeExecucao,{"Unitário","Global"},0),IF($A237="S",$Y237/$X237,""),($Y237/$X237)*100),0)</f>
        <v>0</v>
      </c>
      <c r="X237" s="429" t="str">
        <f ca="1">IF($Y237&gt;0,CHOOSE(MATCH(RegimeExecucao,{"Unitário","Global"},0),IF($A237="S",ROUND($H237,ORÇAMENTO!$AF$10),""),ROUND($I237,ORÇAMENTO!$AF$11)),"")</f>
        <v/>
      </c>
      <c r="Y237" s="429">
        <f t="shared" ca="1" si="35"/>
        <v>0</v>
      </c>
      <c r="Z237" s="656"/>
      <c r="AB237" s="427"/>
      <c r="AC237" s="594"/>
      <c r="AD237" s="594"/>
      <c r="AE237" s="594"/>
      <c r="AF237" s="594"/>
      <c r="AG237" s="594"/>
      <c r="AH237" s="594"/>
      <c r="AI237" s="594"/>
      <c r="AJ237" s="594"/>
      <c r="AK237" s="594"/>
      <c r="AL237" s="594"/>
      <c r="AM237" s="428"/>
      <c r="AO237">
        <f ca="1">IF($A237="S",IF(BM!$I237=0,0,CHOOSE(MATCH(RegimeExecucao,{"Global","Unitário"},0),ROUND(ROUND(BM.MEDAcumulado,15-13*BM!$A$9)/100*BM!$I237,15-13*ORÇAMENTO!$AF$11),ROUND(ROUND(BM.MEDAcumulado,15-13*BM!$A$9)*ROUND(BM!$H237,15-13*ORÇAMENTO!$AF$10),15-13*ORÇAMENTO!$AF$11))),IF($A237=0,0,ROUND(SomaAgrupBM,15-13*ORÇAMENTO!$AF$11)))</f>
        <v>0</v>
      </c>
    </row>
    <row r="238" spans="1:41" ht="13.8">
      <c r="A238" t="str">
        <f ca="1">ORÇAMENTO!C238</f>
        <v>S</v>
      </c>
      <c r="B238">
        <f ca="1">ORÇAMENTO!D238</f>
        <v>0</v>
      </c>
      <c r="C238" s="139" t="str">
        <f t="shared" ca="1" si="29"/>
        <v/>
      </c>
      <c r="D238" s="142" t="str">
        <f ca="1">ORÇAMENTO!O238</f>
        <v>-</v>
      </c>
      <c r="E238" s="202" t="str">
        <f t="shared" ca="1" si="30"/>
        <v>(abra o arquivo 'Referência 11-2024.xlsm)</v>
      </c>
      <c r="F238" s="203" t="str">
        <f ca="1">IF(RegimeExecucao="Global","",ORÇAMENTO.Unidade)</f>
        <v/>
      </c>
      <c r="G238" s="147" t="str">
        <f ca="1">IF(RegimeExecucao="Global","",ORÇAMENTO!T238)</f>
        <v/>
      </c>
      <c r="H238" s="147" t="str">
        <f ca="1">IF(RegimeExecucao="Global","",ORÇAMENTO!W238)</f>
        <v/>
      </c>
      <c r="I238" s="150">
        <f ca="1">ORÇAMENTO!X238</f>
        <v>0</v>
      </c>
      <c r="J238" s="423">
        <f ca="1">IF($A238="S",IF(CAIXA.Modo,BM.AFAnterior,BM.MEDAnterior),IF(AND(RegimeExecucao="Global",$I238&gt;0,COUNTIF($AB$13:$AM$13,BM.medicao-1)&gt;0),M238/$I238*100,0))</f>
        <v>0</v>
      </c>
      <c r="K238" s="147">
        <f t="shared" ca="1" si="31"/>
        <v>0</v>
      </c>
      <c r="L238" s="424">
        <f ca="1">IF($A238="S",IF(CAIXA.Modo,BM.AFAcumulado,BM.MEDAcumulado),IF(AND(RegimeExecucao="Global",$I238&gt;0,COUNTIF($AB$13:$AM$13,BM.medicao)&gt;0),O238/$I238*100,0))</f>
        <v>0</v>
      </c>
      <c r="M238" s="425">
        <f ca="1">IF($A238="S",VTOTALBM,IF($A238=0,0,ROUND(SomaAgrupBM,15-13*ORÇAMENTO!$AF$11)))</f>
        <v>0</v>
      </c>
      <c r="N238" s="426">
        <f t="shared" ca="1" si="32"/>
        <v>0</v>
      </c>
      <c r="O238" s="150">
        <f ca="1">IF($A238="S",VTOTALBM,IF($A238=0,0,ROUND(SomaAgrupBM,15-13*ORÇAMENTO!$AF$11)))</f>
        <v>0</v>
      </c>
      <c r="Q238" s="427"/>
      <c r="R238" s="428"/>
      <c r="T238" s="142" t="str">
        <f t="shared" ca="1" si="33"/>
        <v/>
      </c>
      <c r="U238" s="202" t="str">
        <f t="shared" ca="1" si="34"/>
        <v/>
      </c>
      <c r="V238" s="203" t="str">
        <f ca="1">IF(AND($W238&gt;0,RegimeExecucao="Unitário"),$F238,"")</f>
        <v/>
      </c>
      <c r="W238" s="629">
        <f ca="1">IF($Y238&gt;0,CHOOSE(MATCH(RegimeExecucao,{"Unitário","Global"},0),IF($A238="S",$Y238/$X238,""),($Y238/$X238)*100),0)</f>
        <v>0</v>
      </c>
      <c r="X238" s="429" t="str">
        <f ca="1">IF($Y238&gt;0,CHOOSE(MATCH(RegimeExecucao,{"Unitário","Global"},0),IF($A238="S",ROUND($H238,ORÇAMENTO!$AF$10),""),ROUND($I238,ORÇAMENTO!$AF$11)),"")</f>
        <v/>
      </c>
      <c r="Y238" s="429">
        <f t="shared" ca="1" si="35"/>
        <v>0</v>
      </c>
      <c r="Z238" s="656"/>
      <c r="AB238" s="427"/>
      <c r="AC238" s="594"/>
      <c r="AD238" s="594"/>
      <c r="AE238" s="594"/>
      <c r="AF238" s="594"/>
      <c r="AG238" s="594"/>
      <c r="AH238" s="594"/>
      <c r="AI238" s="594"/>
      <c r="AJ238" s="594"/>
      <c r="AK238" s="594"/>
      <c r="AL238" s="594"/>
      <c r="AM238" s="428"/>
      <c r="AO238">
        <f ca="1">IF($A238="S",IF(BM!$I238=0,0,CHOOSE(MATCH(RegimeExecucao,{"Global","Unitário"},0),ROUND(ROUND(BM.MEDAcumulado,15-13*BM!$A$9)/100*BM!$I238,15-13*ORÇAMENTO!$AF$11),ROUND(ROUND(BM.MEDAcumulado,15-13*BM!$A$9)*ROUND(BM!$H238,15-13*ORÇAMENTO!$AF$10),15-13*ORÇAMENTO!$AF$11))),IF($A238=0,0,ROUND(SomaAgrupBM,15-13*ORÇAMENTO!$AF$11)))</f>
        <v>0</v>
      </c>
    </row>
    <row r="239" spans="1:41" ht="13.8">
      <c r="A239" t="str">
        <f ca="1">ORÇAMENTO!C239</f>
        <v>S</v>
      </c>
      <c r="B239">
        <f ca="1">ORÇAMENTO!D239</f>
        <v>0</v>
      </c>
      <c r="C239" s="139" t="str">
        <f t="shared" ca="1" si="29"/>
        <v/>
      </c>
      <c r="D239" s="142" t="str">
        <f ca="1">ORÇAMENTO!O239</f>
        <v>-</v>
      </c>
      <c r="E239" s="202" t="str">
        <f t="shared" ca="1" si="30"/>
        <v>(abra o arquivo 'Referência 11-2024.xlsm)</v>
      </c>
      <c r="F239" s="203" t="str">
        <f ca="1">IF(RegimeExecucao="Global","",ORÇAMENTO.Unidade)</f>
        <v/>
      </c>
      <c r="G239" s="147" t="str">
        <f ca="1">IF(RegimeExecucao="Global","",ORÇAMENTO!T239)</f>
        <v/>
      </c>
      <c r="H239" s="147" t="str">
        <f ca="1">IF(RegimeExecucao="Global","",ORÇAMENTO!W239)</f>
        <v/>
      </c>
      <c r="I239" s="150">
        <f ca="1">ORÇAMENTO!X239</f>
        <v>0</v>
      </c>
      <c r="J239" s="423">
        <f ca="1">IF($A239="S",IF(CAIXA.Modo,BM.AFAnterior,BM.MEDAnterior),IF(AND(RegimeExecucao="Global",$I239&gt;0,COUNTIF($AB$13:$AM$13,BM.medicao-1)&gt;0),M239/$I239*100,0))</f>
        <v>0</v>
      </c>
      <c r="K239" s="147">
        <f t="shared" ca="1" si="31"/>
        <v>0</v>
      </c>
      <c r="L239" s="424">
        <f ca="1">IF($A239="S",IF(CAIXA.Modo,BM.AFAcumulado,BM.MEDAcumulado),IF(AND(RegimeExecucao="Global",$I239&gt;0,COUNTIF($AB$13:$AM$13,BM.medicao)&gt;0),O239/$I239*100,0))</f>
        <v>0</v>
      </c>
      <c r="M239" s="425">
        <f ca="1">IF($A239="S",VTOTALBM,IF($A239=0,0,ROUND(SomaAgrupBM,15-13*ORÇAMENTO!$AF$11)))</f>
        <v>0</v>
      </c>
      <c r="N239" s="426">
        <f t="shared" ca="1" si="32"/>
        <v>0</v>
      </c>
      <c r="O239" s="150">
        <f ca="1">IF($A239="S",VTOTALBM,IF($A239=0,0,ROUND(SomaAgrupBM,15-13*ORÇAMENTO!$AF$11)))</f>
        <v>0</v>
      </c>
      <c r="Q239" s="427"/>
      <c r="R239" s="428"/>
      <c r="T239" s="142" t="str">
        <f t="shared" ca="1" si="33"/>
        <v/>
      </c>
      <c r="U239" s="202" t="str">
        <f t="shared" ca="1" si="34"/>
        <v/>
      </c>
      <c r="V239" s="203" t="str">
        <f ca="1">IF(AND($W239&gt;0,RegimeExecucao="Unitário"),$F239,"")</f>
        <v/>
      </c>
      <c r="W239" s="629">
        <f ca="1">IF($Y239&gt;0,CHOOSE(MATCH(RegimeExecucao,{"Unitário","Global"},0),IF($A239="S",$Y239/$X239,""),($Y239/$X239)*100),0)</f>
        <v>0</v>
      </c>
      <c r="X239" s="429" t="str">
        <f ca="1">IF($Y239&gt;0,CHOOSE(MATCH(RegimeExecucao,{"Unitário","Global"},0),IF($A239="S",ROUND($H239,ORÇAMENTO!$AF$10),""),ROUND($I239,ORÇAMENTO!$AF$11)),"")</f>
        <v/>
      </c>
      <c r="Y239" s="429">
        <f t="shared" ca="1" si="35"/>
        <v>0</v>
      </c>
      <c r="Z239" s="656"/>
      <c r="AB239" s="427"/>
      <c r="AC239" s="594"/>
      <c r="AD239" s="594"/>
      <c r="AE239" s="594"/>
      <c r="AF239" s="594"/>
      <c r="AG239" s="594"/>
      <c r="AH239" s="594"/>
      <c r="AI239" s="594"/>
      <c r="AJ239" s="594"/>
      <c r="AK239" s="594"/>
      <c r="AL239" s="594"/>
      <c r="AM239" s="428"/>
      <c r="AO239">
        <f ca="1">IF($A239="S",IF(BM!$I239=0,0,CHOOSE(MATCH(RegimeExecucao,{"Global","Unitário"},0),ROUND(ROUND(BM.MEDAcumulado,15-13*BM!$A$9)/100*BM!$I239,15-13*ORÇAMENTO!$AF$11),ROUND(ROUND(BM.MEDAcumulado,15-13*BM!$A$9)*ROUND(BM!$H239,15-13*ORÇAMENTO!$AF$10),15-13*ORÇAMENTO!$AF$11))),IF($A239=0,0,ROUND(SomaAgrupBM,15-13*ORÇAMENTO!$AF$11)))</f>
        <v>0</v>
      </c>
    </row>
    <row r="240" spans="1:41" ht="13.8">
      <c r="A240" t="str">
        <f ca="1">ORÇAMENTO!C240</f>
        <v>S</v>
      </c>
      <c r="B240">
        <f ca="1">ORÇAMENTO!D240</f>
        <v>0</v>
      </c>
      <c r="C240" s="139" t="str">
        <f t="shared" ca="1" si="29"/>
        <v/>
      </c>
      <c r="D240" s="142" t="str">
        <f ca="1">ORÇAMENTO!O240</f>
        <v>-</v>
      </c>
      <c r="E240" s="202" t="str">
        <f t="shared" ca="1" si="30"/>
        <v>(abra o arquivo 'Referência 11-2024.xlsm)</v>
      </c>
      <c r="F240" s="203" t="str">
        <f ca="1">IF(RegimeExecucao="Global","",ORÇAMENTO.Unidade)</f>
        <v/>
      </c>
      <c r="G240" s="147" t="str">
        <f ca="1">IF(RegimeExecucao="Global","",ORÇAMENTO!T240)</f>
        <v/>
      </c>
      <c r="H240" s="147" t="str">
        <f ca="1">IF(RegimeExecucao="Global","",ORÇAMENTO!W240)</f>
        <v/>
      </c>
      <c r="I240" s="150">
        <f ca="1">ORÇAMENTO!X240</f>
        <v>0</v>
      </c>
      <c r="J240" s="423">
        <f ca="1">IF($A240="S",IF(CAIXA.Modo,BM.AFAnterior,BM.MEDAnterior),IF(AND(RegimeExecucao="Global",$I240&gt;0,COUNTIF($AB$13:$AM$13,BM.medicao-1)&gt;0),M240/$I240*100,0))</f>
        <v>0</v>
      </c>
      <c r="K240" s="147">
        <f t="shared" ca="1" si="31"/>
        <v>0</v>
      </c>
      <c r="L240" s="424">
        <f ca="1">IF($A240="S",IF(CAIXA.Modo,BM.AFAcumulado,BM.MEDAcumulado),IF(AND(RegimeExecucao="Global",$I240&gt;0,COUNTIF($AB$13:$AM$13,BM.medicao)&gt;0),O240/$I240*100,0))</f>
        <v>0</v>
      </c>
      <c r="M240" s="425">
        <f ca="1">IF($A240="S",VTOTALBM,IF($A240=0,0,ROUND(SomaAgrupBM,15-13*ORÇAMENTO!$AF$11)))</f>
        <v>0</v>
      </c>
      <c r="N240" s="426">
        <f t="shared" ca="1" si="32"/>
        <v>0</v>
      </c>
      <c r="O240" s="150">
        <f ca="1">IF($A240="S",VTOTALBM,IF($A240=0,0,ROUND(SomaAgrupBM,15-13*ORÇAMENTO!$AF$11)))</f>
        <v>0</v>
      </c>
      <c r="Q240" s="427"/>
      <c r="R240" s="428"/>
      <c r="T240" s="142" t="str">
        <f t="shared" ca="1" si="33"/>
        <v/>
      </c>
      <c r="U240" s="202" t="str">
        <f t="shared" ca="1" si="34"/>
        <v/>
      </c>
      <c r="V240" s="203" t="str">
        <f ca="1">IF(AND($W240&gt;0,RegimeExecucao="Unitário"),$F240,"")</f>
        <v/>
      </c>
      <c r="W240" s="629">
        <f ca="1">IF($Y240&gt;0,CHOOSE(MATCH(RegimeExecucao,{"Unitário","Global"},0),IF($A240="S",$Y240/$X240,""),($Y240/$X240)*100),0)</f>
        <v>0</v>
      </c>
      <c r="X240" s="429" t="str">
        <f ca="1">IF($Y240&gt;0,CHOOSE(MATCH(RegimeExecucao,{"Unitário","Global"},0),IF($A240="S",ROUND($H240,ORÇAMENTO!$AF$10),""),ROUND($I240,ORÇAMENTO!$AF$11)),"")</f>
        <v/>
      </c>
      <c r="Y240" s="429">
        <f t="shared" ca="1" si="35"/>
        <v>0</v>
      </c>
      <c r="Z240" s="656"/>
      <c r="AB240" s="427"/>
      <c r="AC240" s="594"/>
      <c r="AD240" s="594"/>
      <c r="AE240" s="594"/>
      <c r="AF240" s="594"/>
      <c r="AG240" s="594"/>
      <c r="AH240" s="594"/>
      <c r="AI240" s="594"/>
      <c r="AJ240" s="594"/>
      <c r="AK240" s="594"/>
      <c r="AL240" s="594"/>
      <c r="AM240" s="428"/>
      <c r="AO240">
        <f ca="1">IF($A240="S",IF(BM!$I240=0,0,CHOOSE(MATCH(RegimeExecucao,{"Global","Unitário"},0),ROUND(ROUND(BM.MEDAcumulado,15-13*BM!$A$9)/100*BM!$I240,15-13*ORÇAMENTO!$AF$11),ROUND(ROUND(BM.MEDAcumulado,15-13*BM!$A$9)*ROUND(BM!$H240,15-13*ORÇAMENTO!$AF$10),15-13*ORÇAMENTO!$AF$11))),IF($A240=0,0,ROUND(SomaAgrupBM,15-13*ORÇAMENTO!$AF$11)))</f>
        <v>0</v>
      </c>
    </row>
    <row r="241" spans="1:41" ht="13.8">
      <c r="A241" t="str">
        <f ca="1">ORÇAMENTO!C241</f>
        <v>S</v>
      </c>
      <c r="B241">
        <f ca="1">ORÇAMENTO!D241</f>
        <v>0</v>
      </c>
      <c r="C241" s="139" t="str">
        <f t="shared" ca="1" si="29"/>
        <v/>
      </c>
      <c r="D241" s="142" t="str">
        <f ca="1">ORÇAMENTO!O241</f>
        <v>-</v>
      </c>
      <c r="E241" s="202" t="str">
        <f t="shared" ca="1" si="30"/>
        <v>(abra o arquivo 'Referência 11-2024.xlsm)</v>
      </c>
      <c r="F241" s="203" t="str">
        <f ca="1">IF(RegimeExecucao="Global","",ORÇAMENTO.Unidade)</f>
        <v/>
      </c>
      <c r="G241" s="147" t="str">
        <f ca="1">IF(RegimeExecucao="Global","",ORÇAMENTO!T241)</f>
        <v/>
      </c>
      <c r="H241" s="147" t="str">
        <f ca="1">IF(RegimeExecucao="Global","",ORÇAMENTO!W241)</f>
        <v/>
      </c>
      <c r="I241" s="150">
        <f ca="1">ORÇAMENTO!X241</f>
        <v>0</v>
      </c>
      <c r="J241" s="423">
        <f ca="1">IF($A241="S",IF(CAIXA.Modo,BM.AFAnterior,BM.MEDAnterior),IF(AND(RegimeExecucao="Global",$I241&gt;0,COUNTIF($AB$13:$AM$13,BM.medicao-1)&gt;0),M241/$I241*100,0))</f>
        <v>0</v>
      </c>
      <c r="K241" s="147">
        <f t="shared" ca="1" si="31"/>
        <v>0</v>
      </c>
      <c r="L241" s="424">
        <f ca="1">IF($A241="S",IF(CAIXA.Modo,BM.AFAcumulado,BM.MEDAcumulado),IF(AND(RegimeExecucao="Global",$I241&gt;0,COUNTIF($AB$13:$AM$13,BM.medicao)&gt;0),O241/$I241*100,0))</f>
        <v>0</v>
      </c>
      <c r="M241" s="425">
        <f ca="1">IF($A241="S",VTOTALBM,IF($A241=0,0,ROUND(SomaAgrupBM,15-13*ORÇAMENTO!$AF$11)))</f>
        <v>0</v>
      </c>
      <c r="N241" s="426">
        <f t="shared" ca="1" si="32"/>
        <v>0</v>
      </c>
      <c r="O241" s="150">
        <f ca="1">IF($A241="S",VTOTALBM,IF($A241=0,0,ROUND(SomaAgrupBM,15-13*ORÇAMENTO!$AF$11)))</f>
        <v>0</v>
      </c>
      <c r="Q241" s="427"/>
      <c r="R241" s="428"/>
      <c r="T241" s="142" t="str">
        <f t="shared" ca="1" si="33"/>
        <v/>
      </c>
      <c r="U241" s="202" t="str">
        <f t="shared" ca="1" si="34"/>
        <v/>
      </c>
      <c r="V241" s="203" t="str">
        <f ca="1">IF(AND($W241&gt;0,RegimeExecucao="Unitário"),$F241,"")</f>
        <v/>
      </c>
      <c r="W241" s="629">
        <f ca="1">IF($Y241&gt;0,CHOOSE(MATCH(RegimeExecucao,{"Unitário","Global"},0),IF($A241="S",$Y241/$X241,""),($Y241/$X241)*100),0)</f>
        <v>0</v>
      </c>
      <c r="X241" s="429" t="str">
        <f ca="1">IF($Y241&gt;0,CHOOSE(MATCH(RegimeExecucao,{"Unitário","Global"},0),IF($A241="S",ROUND($H241,ORÇAMENTO!$AF$10),""),ROUND($I241,ORÇAMENTO!$AF$11)),"")</f>
        <v/>
      </c>
      <c r="Y241" s="429">
        <f t="shared" ca="1" si="35"/>
        <v>0</v>
      </c>
      <c r="Z241" s="656"/>
      <c r="AB241" s="427"/>
      <c r="AC241" s="594"/>
      <c r="AD241" s="594"/>
      <c r="AE241" s="594"/>
      <c r="AF241" s="594"/>
      <c r="AG241" s="594"/>
      <c r="AH241" s="594"/>
      <c r="AI241" s="594"/>
      <c r="AJ241" s="594"/>
      <c r="AK241" s="594"/>
      <c r="AL241" s="594"/>
      <c r="AM241" s="428"/>
      <c r="AO241">
        <f ca="1">IF($A241="S",IF(BM!$I241=0,0,CHOOSE(MATCH(RegimeExecucao,{"Global","Unitário"},0),ROUND(ROUND(BM.MEDAcumulado,15-13*BM!$A$9)/100*BM!$I241,15-13*ORÇAMENTO!$AF$11),ROUND(ROUND(BM.MEDAcumulado,15-13*BM!$A$9)*ROUND(BM!$H241,15-13*ORÇAMENTO!$AF$10),15-13*ORÇAMENTO!$AF$11))),IF($A241=0,0,ROUND(SomaAgrupBM,15-13*ORÇAMENTO!$AF$11)))</f>
        <v>0</v>
      </c>
    </row>
    <row r="242" spans="1:41" ht="13.8">
      <c r="A242" t="str">
        <f ca="1">ORÇAMENTO!C242</f>
        <v>S</v>
      </c>
      <c r="B242">
        <f ca="1">ORÇAMENTO!D242</f>
        <v>0</v>
      </c>
      <c r="C242" s="139" t="str">
        <f t="shared" ca="1" si="29"/>
        <v/>
      </c>
      <c r="D242" s="142" t="str">
        <f ca="1">ORÇAMENTO!O242</f>
        <v>-</v>
      </c>
      <c r="E242" s="202" t="str">
        <f t="shared" ca="1" si="30"/>
        <v>(abra o arquivo 'Referência 11-2024.xlsm)</v>
      </c>
      <c r="F242" s="203" t="str">
        <f ca="1">IF(RegimeExecucao="Global","",ORÇAMENTO.Unidade)</f>
        <v/>
      </c>
      <c r="G242" s="147" t="str">
        <f ca="1">IF(RegimeExecucao="Global","",ORÇAMENTO!T242)</f>
        <v/>
      </c>
      <c r="H242" s="147" t="str">
        <f ca="1">IF(RegimeExecucao="Global","",ORÇAMENTO!W242)</f>
        <v/>
      </c>
      <c r="I242" s="150">
        <f ca="1">ORÇAMENTO!X242</f>
        <v>0</v>
      </c>
      <c r="J242" s="423">
        <f ca="1">IF($A242="S",IF(CAIXA.Modo,BM.AFAnterior,BM.MEDAnterior),IF(AND(RegimeExecucao="Global",$I242&gt;0,COUNTIF($AB$13:$AM$13,BM.medicao-1)&gt;0),M242/$I242*100,0))</f>
        <v>0</v>
      </c>
      <c r="K242" s="147">
        <f t="shared" ca="1" si="31"/>
        <v>0</v>
      </c>
      <c r="L242" s="424">
        <f ca="1">IF($A242="S",IF(CAIXA.Modo,BM.AFAcumulado,BM.MEDAcumulado),IF(AND(RegimeExecucao="Global",$I242&gt;0,COUNTIF($AB$13:$AM$13,BM.medicao)&gt;0),O242/$I242*100,0))</f>
        <v>0</v>
      </c>
      <c r="M242" s="425">
        <f ca="1">IF($A242="S",VTOTALBM,IF($A242=0,0,ROUND(SomaAgrupBM,15-13*ORÇAMENTO!$AF$11)))</f>
        <v>0</v>
      </c>
      <c r="N242" s="426">
        <f t="shared" ca="1" si="32"/>
        <v>0</v>
      </c>
      <c r="O242" s="150">
        <f ca="1">IF($A242="S",VTOTALBM,IF($A242=0,0,ROUND(SomaAgrupBM,15-13*ORÇAMENTO!$AF$11)))</f>
        <v>0</v>
      </c>
      <c r="Q242" s="427"/>
      <c r="R242" s="428"/>
      <c r="T242" s="142" t="str">
        <f t="shared" ca="1" si="33"/>
        <v/>
      </c>
      <c r="U242" s="202" t="str">
        <f t="shared" ca="1" si="34"/>
        <v/>
      </c>
      <c r="V242" s="203" t="str">
        <f ca="1">IF(AND($W242&gt;0,RegimeExecucao="Unitário"),$F242,"")</f>
        <v/>
      </c>
      <c r="W242" s="629">
        <f ca="1">IF($Y242&gt;0,CHOOSE(MATCH(RegimeExecucao,{"Unitário","Global"},0),IF($A242="S",$Y242/$X242,""),($Y242/$X242)*100),0)</f>
        <v>0</v>
      </c>
      <c r="X242" s="429" t="str">
        <f ca="1">IF($Y242&gt;0,CHOOSE(MATCH(RegimeExecucao,{"Unitário","Global"},0),IF($A242="S",ROUND($H242,ORÇAMENTO!$AF$10),""),ROUND($I242,ORÇAMENTO!$AF$11)),"")</f>
        <v/>
      </c>
      <c r="Y242" s="429">
        <f t="shared" ca="1" si="35"/>
        <v>0</v>
      </c>
      <c r="Z242" s="656"/>
      <c r="AB242" s="427"/>
      <c r="AC242" s="594"/>
      <c r="AD242" s="594"/>
      <c r="AE242" s="594"/>
      <c r="AF242" s="594"/>
      <c r="AG242" s="594"/>
      <c r="AH242" s="594"/>
      <c r="AI242" s="594"/>
      <c r="AJ242" s="594"/>
      <c r="AK242" s="594"/>
      <c r="AL242" s="594"/>
      <c r="AM242" s="428"/>
      <c r="AO242">
        <f ca="1">IF($A242="S",IF(BM!$I242=0,0,CHOOSE(MATCH(RegimeExecucao,{"Global","Unitário"},0),ROUND(ROUND(BM.MEDAcumulado,15-13*BM!$A$9)/100*BM!$I242,15-13*ORÇAMENTO!$AF$11),ROUND(ROUND(BM.MEDAcumulado,15-13*BM!$A$9)*ROUND(BM!$H242,15-13*ORÇAMENTO!$AF$10),15-13*ORÇAMENTO!$AF$11))),IF($A242=0,0,ROUND(SomaAgrupBM,15-13*ORÇAMENTO!$AF$11)))</f>
        <v>0</v>
      </c>
    </row>
    <row r="243" spans="1:41" ht="13.8">
      <c r="A243" t="str">
        <f ca="1">ORÇAMENTO!C243</f>
        <v>S</v>
      </c>
      <c r="B243">
        <f ca="1">ORÇAMENTO!D243</f>
        <v>0</v>
      </c>
      <c r="C243" s="139" t="str">
        <f t="shared" ca="1" si="29"/>
        <v/>
      </c>
      <c r="D243" s="142" t="str">
        <f ca="1">ORÇAMENTO!O243</f>
        <v>-</v>
      </c>
      <c r="E243" s="202" t="str">
        <f t="shared" ca="1" si="30"/>
        <v>(abra o arquivo 'Referência 11-2024.xlsm)</v>
      </c>
      <c r="F243" s="203" t="str">
        <f ca="1">IF(RegimeExecucao="Global","",ORÇAMENTO.Unidade)</f>
        <v/>
      </c>
      <c r="G243" s="147" t="str">
        <f ca="1">IF(RegimeExecucao="Global","",ORÇAMENTO!T243)</f>
        <v/>
      </c>
      <c r="H243" s="147" t="str">
        <f ca="1">IF(RegimeExecucao="Global","",ORÇAMENTO!W243)</f>
        <v/>
      </c>
      <c r="I243" s="150">
        <f ca="1">ORÇAMENTO!X243</f>
        <v>0</v>
      </c>
      <c r="J243" s="423">
        <f ca="1">IF($A243="S",IF(CAIXA.Modo,BM.AFAnterior,BM.MEDAnterior),IF(AND(RegimeExecucao="Global",$I243&gt;0,COUNTIF($AB$13:$AM$13,BM.medicao-1)&gt;0),M243/$I243*100,0))</f>
        <v>0</v>
      </c>
      <c r="K243" s="147">
        <f t="shared" ca="1" si="31"/>
        <v>0</v>
      </c>
      <c r="L243" s="424">
        <f ca="1">IF($A243="S",IF(CAIXA.Modo,BM.AFAcumulado,BM.MEDAcumulado),IF(AND(RegimeExecucao="Global",$I243&gt;0,COUNTIF($AB$13:$AM$13,BM.medicao)&gt;0),O243/$I243*100,0))</f>
        <v>0</v>
      </c>
      <c r="M243" s="425">
        <f ca="1">IF($A243="S",VTOTALBM,IF($A243=0,0,ROUND(SomaAgrupBM,15-13*ORÇAMENTO!$AF$11)))</f>
        <v>0</v>
      </c>
      <c r="N243" s="426">
        <f t="shared" ca="1" si="32"/>
        <v>0</v>
      </c>
      <c r="O243" s="150">
        <f ca="1">IF($A243="S",VTOTALBM,IF($A243=0,0,ROUND(SomaAgrupBM,15-13*ORÇAMENTO!$AF$11)))</f>
        <v>0</v>
      </c>
      <c r="Q243" s="427"/>
      <c r="R243" s="428"/>
      <c r="T243" s="142" t="str">
        <f t="shared" ca="1" si="33"/>
        <v/>
      </c>
      <c r="U243" s="202" t="str">
        <f t="shared" ca="1" si="34"/>
        <v/>
      </c>
      <c r="V243" s="203" t="str">
        <f ca="1">IF(AND($W243&gt;0,RegimeExecucao="Unitário"),$F243,"")</f>
        <v/>
      </c>
      <c r="W243" s="629">
        <f ca="1">IF($Y243&gt;0,CHOOSE(MATCH(RegimeExecucao,{"Unitário","Global"},0),IF($A243="S",$Y243/$X243,""),($Y243/$X243)*100),0)</f>
        <v>0</v>
      </c>
      <c r="X243" s="429" t="str">
        <f ca="1">IF($Y243&gt;0,CHOOSE(MATCH(RegimeExecucao,{"Unitário","Global"},0),IF($A243="S",ROUND($H243,ORÇAMENTO!$AF$10),""),ROUND($I243,ORÇAMENTO!$AF$11)),"")</f>
        <v/>
      </c>
      <c r="Y243" s="429">
        <f t="shared" ca="1" si="35"/>
        <v>0</v>
      </c>
      <c r="Z243" s="656"/>
      <c r="AB243" s="427"/>
      <c r="AC243" s="594"/>
      <c r="AD243" s="594"/>
      <c r="AE243" s="594"/>
      <c r="AF243" s="594"/>
      <c r="AG243" s="594"/>
      <c r="AH243" s="594"/>
      <c r="AI243" s="594"/>
      <c r="AJ243" s="594"/>
      <c r="AK243" s="594"/>
      <c r="AL243" s="594"/>
      <c r="AM243" s="428"/>
      <c r="AO243">
        <f ca="1">IF($A243="S",IF(BM!$I243=0,0,CHOOSE(MATCH(RegimeExecucao,{"Global","Unitário"},0),ROUND(ROUND(BM.MEDAcumulado,15-13*BM!$A$9)/100*BM!$I243,15-13*ORÇAMENTO!$AF$11),ROUND(ROUND(BM.MEDAcumulado,15-13*BM!$A$9)*ROUND(BM!$H243,15-13*ORÇAMENTO!$AF$10),15-13*ORÇAMENTO!$AF$11))),IF($A243=0,0,ROUND(SomaAgrupBM,15-13*ORÇAMENTO!$AF$11)))</f>
        <v>0</v>
      </c>
    </row>
    <row r="244" spans="1:41" ht="13.8">
      <c r="A244" t="str">
        <f ca="1">ORÇAMENTO!C244</f>
        <v>S</v>
      </c>
      <c r="B244">
        <f ca="1">ORÇAMENTO!D244</f>
        <v>0</v>
      </c>
      <c r="C244" s="139" t="str">
        <f t="shared" ca="1" si="29"/>
        <v/>
      </c>
      <c r="D244" s="142" t="str">
        <f ca="1">ORÇAMENTO!O244</f>
        <v>-</v>
      </c>
      <c r="E244" s="202" t="str">
        <f t="shared" ca="1" si="30"/>
        <v>(abra o arquivo 'Referência 11-2024.xlsm)</v>
      </c>
      <c r="F244" s="203" t="str">
        <f ca="1">IF(RegimeExecucao="Global","",ORÇAMENTO.Unidade)</f>
        <v/>
      </c>
      <c r="G244" s="147" t="str">
        <f ca="1">IF(RegimeExecucao="Global","",ORÇAMENTO!T244)</f>
        <v/>
      </c>
      <c r="H244" s="147" t="str">
        <f ca="1">IF(RegimeExecucao="Global","",ORÇAMENTO!W244)</f>
        <v/>
      </c>
      <c r="I244" s="150">
        <f ca="1">ORÇAMENTO!X244</f>
        <v>0</v>
      </c>
      <c r="J244" s="423">
        <f ca="1">IF($A244="S",IF(CAIXA.Modo,BM.AFAnterior,BM.MEDAnterior),IF(AND(RegimeExecucao="Global",$I244&gt;0,COUNTIF($AB$13:$AM$13,BM.medicao-1)&gt;0),M244/$I244*100,0))</f>
        <v>0</v>
      </c>
      <c r="K244" s="147">
        <f t="shared" ca="1" si="31"/>
        <v>0</v>
      </c>
      <c r="L244" s="424">
        <f ca="1">IF($A244="S",IF(CAIXA.Modo,BM.AFAcumulado,BM.MEDAcumulado),IF(AND(RegimeExecucao="Global",$I244&gt;0,COUNTIF($AB$13:$AM$13,BM.medicao)&gt;0),O244/$I244*100,0))</f>
        <v>0</v>
      </c>
      <c r="M244" s="425">
        <f ca="1">IF($A244="S",VTOTALBM,IF($A244=0,0,ROUND(SomaAgrupBM,15-13*ORÇAMENTO!$AF$11)))</f>
        <v>0</v>
      </c>
      <c r="N244" s="426">
        <f t="shared" ca="1" si="32"/>
        <v>0</v>
      </c>
      <c r="O244" s="150">
        <f ca="1">IF($A244="S",VTOTALBM,IF($A244=0,0,ROUND(SomaAgrupBM,15-13*ORÇAMENTO!$AF$11)))</f>
        <v>0</v>
      </c>
      <c r="Q244" s="427"/>
      <c r="R244" s="428"/>
      <c r="T244" s="142" t="str">
        <f t="shared" ca="1" si="33"/>
        <v/>
      </c>
      <c r="U244" s="202" t="str">
        <f t="shared" ca="1" si="34"/>
        <v/>
      </c>
      <c r="V244" s="203" t="str">
        <f ca="1">IF(AND($W244&gt;0,RegimeExecucao="Unitário"),$F244,"")</f>
        <v/>
      </c>
      <c r="W244" s="629">
        <f ca="1">IF($Y244&gt;0,CHOOSE(MATCH(RegimeExecucao,{"Unitário","Global"},0),IF($A244="S",$Y244/$X244,""),($Y244/$X244)*100),0)</f>
        <v>0</v>
      </c>
      <c r="X244" s="429" t="str">
        <f ca="1">IF($Y244&gt;0,CHOOSE(MATCH(RegimeExecucao,{"Unitário","Global"},0),IF($A244="S",ROUND($H244,ORÇAMENTO!$AF$10),""),ROUND($I244,ORÇAMENTO!$AF$11)),"")</f>
        <v/>
      </c>
      <c r="Y244" s="429">
        <f t="shared" ca="1" si="35"/>
        <v>0</v>
      </c>
      <c r="Z244" s="656"/>
      <c r="AB244" s="427"/>
      <c r="AC244" s="594"/>
      <c r="AD244" s="594"/>
      <c r="AE244" s="594"/>
      <c r="AF244" s="594"/>
      <c r="AG244" s="594"/>
      <c r="AH244" s="594"/>
      <c r="AI244" s="594"/>
      <c r="AJ244" s="594"/>
      <c r="AK244" s="594"/>
      <c r="AL244" s="594"/>
      <c r="AM244" s="428"/>
      <c r="AO244">
        <f ca="1">IF($A244="S",IF(BM!$I244=0,0,CHOOSE(MATCH(RegimeExecucao,{"Global","Unitário"},0),ROUND(ROUND(BM.MEDAcumulado,15-13*BM!$A$9)/100*BM!$I244,15-13*ORÇAMENTO!$AF$11),ROUND(ROUND(BM.MEDAcumulado,15-13*BM!$A$9)*ROUND(BM!$H244,15-13*ORÇAMENTO!$AF$10),15-13*ORÇAMENTO!$AF$11))),IF($A244=0,0,ROUND(SomaAgrupBM,15-13*ORÇAMENTO!$AF$11)))</f>
        <v>0</v>
      </c>
    </row>
    <row r="245" spans="1:41" ht="13.8">
      <c r="A245" t="str">
        <f ca="1">ORÇAMENTO!C245</f>
        <v>S</v>
      </c>
      <c r="B245">
        <f ca="1">ORÇAMENTO!D245</f>
        <v>0</v>
      </c>
      <c r="C245" s="139" t="str">
        <f t="shared" ca="1" si="29"/>
        <v/>
      </c>
      <c r="D245" s="142" t="str">
        <f ca="1">ORÇAMENTO!O245</f>
        <v>-</v>
      </c>
      <c r="E245" s="202" t="str">
        <f t="shared" ca="1" si="30"/>
        <v>(abra o arquivo 'Referência 11-2024.xlsm)</v>
      </c>
      <c r="F245" s="203" t="str">
        <f ca="1">IF(RegimeExecucao="Global","",ORÇAMENTO.Unidade)</f>
        <v/>
      </c>
      <c r="G245" s="147" t="str">
        <f ca="1">IF(RegimeExecucao="Global","",ORÇAMENTO!T245)</f>
        <v/>
      </c>
      <c r="H245" s="147" t="str">
        <f ca="1">IF(RegimeExecucao="Global","",ORÇAMENTO!W245)</f>
        <v/>
      </c>
      <c r="I245" s="150">
        <f ca="1">ORÇAMENTO!X245</f>
        <v>0</v>
      </c>
      <c r="J245" s="423">
        <f ca="1">IF($A245="S",IF(CAIXA.Modo,BM.AFAnterior,BM.MEDAnterior),IF(AND(RegimeExecucao="Global",$I245&gt;0,COUNTIF($AB$13:$AM$13,BM.medicao-1)&gt;0),M245/$I245*100,0))</f>
        <v>0</v>
      </c>
      <c r="K245" s="147">
        <f t="shared" ca="1" si="31"/>
        <v>0</v>
      </c>
      <c r="L245" s="424">
        <f ca="1">IF($A245="S",IF(CAIXA.Modo,BM.AFAcumulado,BM.MEDAcumulado),IF(AND(RegimeExecucao="Global",$I245&gt;0,COUNTIF($AB$13:$AM$13,BM.medicao)&gt;0),O245/$I245*100,0))</f>
        <v>0</v>
      </c>
      <c r="M245" s="425">
        <f ca="1">IF($A245="S",VTOTALBM,IF($A245=0,0,ROUND(SomaAgrupBM,15-13*ORÇAMENTO!$AF$11)))</f>
        <v>0</v>
      </c>
      <c r="N245" s="426">
        <f t="shared" ca="1" si="32"/>
        <v>0</v>
      </c>
      <c r="O245" s="150">
        <f ca="1">IF($A245="S",VTOTALBM,IF($A245=0,0,ROUND(SomaAgrupBM,15-13*ORÇAMENTO!$AF$11)))</f>
        <v>0</v>
      </c>
      <c r="Q245" s="427"/>
      <c r="R245" s="428"/>
      <c r="T245" s="142" t="str">
        <f t="shared" ca="1" si="33"/>
        <v/>
      </c>
      <c r="U245" s="202" t="str">
        <f t="shared" ca="1" si="34"/>
        <v/>
      </c>
      <c r="V245" s="203" t="str">
        <f ca="1">IF(AND($W245&gt;0,RegimeExecucao="Unitário"),$F245,"")</f>
        <v/>
      </c>
      <c r="W245" s="629">
        <f ca="1">IF($Y245&gt;0,CHOOSE(MATCH(RegimeExecucao,{"Unitário","Global"},0),IF($A245="S",$Y245/$X245,""),($Y245/$X245)*100),0)</f>
        <v>0</v>
      </c>
      <c r="X245" s="429" t="str">
        <f ca="1">IF($Y245&gt;0,CHOOSE(MATCH(RegimeExecucao,{"Unitário","Global"},0),IF($A245="S",ROUND($H245,ORÇAMENTO!$AF$10),""),ROUND($I245,ORÇAMENTO!$AF$11)),"")</f>
        <v/>
      </c>
      <c r="Y245" s="429">
        <f t="shared" ca="1" si="35"/>
        <v>0</v>
      </c>
      <c r="Z245" s="656"/>
      <c r="AB245" s="427"/>
      <c r="AC245" s="594"/>
      <c r="AD245" s="594"/>
      <c r="AE245" s="594"/>
      <c r="AF245" s="594"/>
      <c r="AG245" s="594"/>
      <c r="AH245" s="594"/>
      <c r="AI245" s="594"/>
      <c r="AJ245" s="594"/>
      <c r="AK245" s="594"/>
      <c r="AL245" s="594"/>
      <c r="AM245" s="428"/>
      <c r="AO245">
        <f ca="1">IF($A245="S",IF(BM!$I245=0,0,CHOOSE(MATCH(RegimeExecucao,{"Global","Unitário"},0),ROUND(ROUND(BM.MEDAcumulado,15-13*BM!$A$9)/100*BM!$I245,15-13*ORÇAMENTO!$AF$11),ROUND(ROUND(BM.MEDAcumulado,15-13*BM!$A$9)*ROUND(BM!$H245,15-13*ORÇAMENTO!$AF$10),15-13*ORÇAMENTO!$AF$11))),IF($A245=0,0,ROUND(SomaAgrupBM,15-13*ORÇAMENTO!$AF$11)))</f>
        <v>0</v>
      </c>
    </row>
    <row r="246" spans="1:41" ht="13.8">
      <c r="A246" t="str">
        <f ca="1">ORÇAMENTO!C246</f>
        <v>S</v>
      </c>
      <c r="B246">
        <f ca="1">ORÇAMENTO!D246</f>
        <v>0</v>
      </c>
      <c r="C246" s="139" t="str">
        <f t="shared" ca="1" si="29"/>
        <v/>
      </c>
      <c r="D246" s="142" t="str">
        <f ca="1">ORÇAMENTO!O246</f>
        <v>-</v>
      </c>
      <c r="E246" s="202" t="str">
        <f t="shared" ca="1" si="30"/>
        <v>(abra o arquivo 'Referência 11-2024.xlsm)</v>
      </c>
      <c r="F246" s="203" t="str">
        <f ca="1">IF(RegimeExecucao="Global","",ORÇAMENTO.Unidade)</f>
        <v/>
      </c>
      <c r="G246" s="147" t="str">
        <f ca="1">IF(RegimeExecucao="Global","",ORÇAMENTO!T246)</f>
        <v/>
      </c>
      <c r="H246" s="147" t="str">
        <f ca="1">IF(RegimeExecucao="Global","",ORÇAMENTO!W246)</f>
        <v/>
      </c>
      <c r="I246" s="150">
        <f ca="1">ORÇAMENTO!X246</f>
        <v>0</v>
      </c>
      <c r="J246" s="423">
        <f ca="1">IF($A246="S",IF(CAIXA.Modo,BM.AFAnterior,BM.MEDAnterior),IF(AND(RegimeExecucao="Global",$I246&gt;0,COUNTIF($AB$13:$AM$13,BM.medicao-1)&gt;0),M246/$I246*100,0))</f>
        <v>0</v>
      </c>
      <c r="K246" s="147">
        <f t="shared" ca="1" si="31"/>
        <v>0</v>
      </c>
      <c r="L246" s="424">
        <f ca="1">IF($A246="S",IF(CAIXA.Modo,BM.AFAcumulado,BM.MEDAcumulado),IF(AND(RegimeExecucao="Global",$I246&gt;0,COUNTIF($AB$13:$AM$13,BM.medicao)&gt;0),O246/$I246*100,0))</f>
        <v>0</v>
      </c>
      <c r="M246" s="425">
        <f ca="1">IF($A246="S",VTOTALBM,IF($A246=0,0,ROUND(SomaAgrupBM,15-13*ORÇAMENTO!$AF$11)))</f>
        <v>0</v>
      </c>
      <c r="N246" s="426">
        <f t="shared" ca="1" si="32"/>
        <v>0</v>
      </c>
      <c r="O246" s="150">
        <f ca="1">IF($A246="S",VTOTALBM,IF($A246=0,0,ROUND(SomaAgrupBM,15-13*ORÇAMENTO!$AF$11)))</f>
        <v>0</v>
      </c>
      <c r="Q246" s="427"/>
      <c r="R246" s="428"/>
      <c r="T246" s="142" t="str">
        <f t="shared" ca="1" si="33"/>
        <v/>
      </c>
      <c r="U246" s="202" t="str">
        <f t="shared" ca="1" si="34"/>
        <v/>
      </c>
      <c r="V246" s="203" t="str">
        <f ca="1">IF(AND($W246&gt;0,RegimeExecucao="Unitário"),$F246,"")</f>
        <v/>
      </c>
      <c r="W246" s="629">
        <f ca="1">IF($Y246&gt;0,CHOOSE(MATCH(RegimeExecucao,{"Unitário","Global"},0),IF($A246="S",$Y246/$X246,""),($Y246/$X246)*100),0)</f>
        <v>0</v>
      </c>
      <c r="X246" s="429" t="str">
        <f ca="1">IF($Y246&gt;0,CHOOSE(MATCH(RegimeExecucao,{"Unitário","Global"},0),IF($A246="S",ROUND($H246,ORÇAMENTO!$AF$10),""),ROUND($I246,ORÇAMENTO!$AF$11)),"")</f>
        <v/>
      </c>
      <c r="Y246" s="429">
        <f t="shared" ca="1" si="35"/>
        <v>0</v>
      </c>
      <c r="Z246" s="656"/>
      <c r="AB246" s="427"/>
      <c r="AC246" s="594"/>
      <c r="AD246" s="594"/>
      <c r="AE246" s="594"/>
      <c r="AF246" s="594"/>
      <c r="AG246" s="594"/>
      <c r="AH246" s="594"/>
      <c r="AI246" s="594"/>
      <c r="AJ246" s="594"/>
      <c r="AK246" s="594"/>
      <c r="AL246" s="594"/>
      <c r="AM246" s="428"/>
      <c r="AO246">
        <f ca="1">IF($A246="S",IF(BM!$I246=0,0,CHOOSE(MATCH(RegimeExecucao,{"Global","Unitário"},0),ROUND(ROUND(BM.MEDAcumulado,15-13*BM!$A$9)/100*BM!$I246,15-13*ORÇAMENTO!$AF$11),ROUND(ROUND(BM.MEDAcumulado,15-13*BM!$A$9)*ROUND(BM!$H246,15-13*ORÇAMENTO!$AF$10),15-13*ORÇAMENTO!$AF$11))),IF($A246=0,0,ROUND(SomaAgrupBM,15-13*ORÇAMENTO!$AF$11)))</f>
        <v>0</v>
      </c>
    </row>
    <row r="247" spans="1:41" ht="13.8">
      <c r="A247" t="str">
        <f ca="1">ORÇAMENTO!C247</f>
        <v>S</v>
      </c>
      <c r="B247">
        <f ca="1">ORÇAMENTO!D247</f>
        <v>0</v>
      </c>
      <c r="C247" s="139" t="str">
        <f t="shared" ca="1" si="29"/>
        <v/>
      </c>
      <c r="D247" s="142" t="str">
        <f ca="1">ORÇAMENTO!O247</f>
        <v>-</v>
      </c>
      <c r="E247" s="202" t="str">
        <f t="shared" ca="1" si="30"/>
        <v>(abra o arquivo 'Referência 11-2024.xlsm)</v>
      </c>
      <c r="F247" s="203" t="str">
        <f ca="1">IF(RegimeExecucao="Global","",ORÇAMENTO.Unidade)</f>
        <v/>
      </c>
      <c r="G247" s="147" t="str">
        <f ca="1">IF(RegimeExecucao="Global","",ORÇAMENTO!T247)</f>
        <v/>
      </c>
      <c r="H247" s="147" t="str">
        <f ca="1">IF(RegimeExecucao="Global","",ORÇAMENTO!W247)</f>
        <v/>
      </c>
      <c r="I247" s="150">
        <f ca="1">ORÇAMENTO!X247</f>
        <v>0</v>
      </c>
      <c r="J247" s="423">
        <f ca="1">IF($A247="S",IF(CAIXA.Modo,BM.AFAnterior,BM.MEDAnterior),IF(AND(RegimeExecucao="Global",$I247&gt;0,COUNTIF($AB$13:$AM$13,BM.medicao-1)&gt;0),M247/$I247*100,0))</f>
        <v>0</v>
      </c>
      <c r="K247" s="147">
        <f t="shared" ca="1" si="31"/>
        <v>0</v>
      </c>
      <c r="L247" s="424">
        <f ca="1">IF($A247="S",IF(CAIXA.Modo,BM.AFAcumulado,BM.MEDAcumulado),IF(AND(RegimeExecucao="Global",$I247&gt;0,COUNTIF($AB$13:$AM$13,BM.medicao)&gt;0),O247/$I247*100,0))</f>
        <v>0</v>
      </c>
      <c r="M247" s="425">
        <f ca="1">IF($A247="S",VTOTALBM,IF($A247=0,0,ROUND(SomaAgrupBM,15-13*ORÇAMENTO!$AF$11)))</f>
        <v>0</v>
      </c>
      <c r="N247" s="426">
        <f t="shared" ca="1" si="32"/>
        <v>0</v>
      </c>
      <c r="O247" s="150">
        <f ca="1">IF($A247="S",VTOTALBM,IF($A247=0,0,ROUND(SomaAgrupBM,15-13*ORÇAMENTO!$AF$11)))</f>
        <v>0</v>
      </c>
      <c r="Q247" s="427"/>
      <c r="R247" s="428"/>
      <c r="T247" s="142" t="str">
        <f t="shared" ca="1" si="33"/>
        <v/>
      </c>
      <c r="U247" s="202" t="str">
        <f t="shared" ca="1" si="34"/>
        <v/>
      </c>
      <c r="V247" s="203" t="str">
        <f ca="1">IF(AND($W247&gt;0,RegimeExecucao="Unitário"),$F247,"")</f>
        <v/>
      </c>
      <c r="W247" s="629">
        <f ca="1">IF($Y247&gt;0,CHOOSE(MATCH(RegimeExecucao,{"Unitário","Global"},0),IF($A247="S",$Y247/$X247,""),($Y247/$X247)*100),0)</f>
        <v>0</v>
      </c>
      <c r="X247" s="429" t="str">
        <f ca="1">IF($Y247&gt;0,CHOOSE(MATCH(RegimeExecucao,{"Unitário","Global"},0),IF($A247="S",ROUND($H247,ORÇAMENTO!$AF$10),""),ROUND($I247,ORÇAMENTO!$AF$11)),"")</f>
        <v/>
      </c>
      <c r="Y247" s="429">
        <f t="shared" ca="1" si="35"/>
        <v>0</v>
      </c>
      <c r="Z247" s="656"/>
      <c r="AB247" s="427"/>
      <c r="AC247" s="594"/>
      <c r="AD247" s="594"/>
      <c r="AE247" s="594"/>
      <c r="AF247" s="594"/>
      <c r="AG247" s="594"/>
      <c r="AH247" s="594"/>
      <c r="AI247" s="594"/>
      <c r="AJ247" s="594"/>
      <c r="AK247" s="594"/>
      <c r="AL247" s="594"/>
      <c r="AM247" s="428"/>
      <c r="AO247">
        <f ca="1">IF($A247="S",IF(BM!$I247=0,0,CHOOSE(MATCH(RegimeExecucao,{"Global","Unitário"},0),ROUND(ROUND(BM.MEDAcumulado,15-13*BM!$A$9)/100*BM!$I247,15-13*ORÇAMENTO!$AF$11),ROUND(ROUND(BM.MEDAcumulado,15-13*BM!$A$9)*ROUND(BM!$H247,15-13*ORÇAMENTO!$AF$10),15-13*ORÇAMENTO!$AF$11))),IF($A247=0,0,ROUND(SomaAgrupBM,15-13*ORÇAMENTO!$AF$11)))</f>
        <v>0</v>
      </c>
    </row>
    <row r="248" spans="1:41" ht="13.8">
      <c r="A248" t="str">
        <f ca="1">ORÇAMENTO!C248</f>
        <v>S</v>
      </c>
      <c r="B248">
        <f ca="1">ORÇAMENTO!D248</f>
        <v>0</v>
      </c>
      <c r="C248" s="139" t="str">
        <f t="shared" ca="1" si="29"/>
        <v/>
      </c>
      <c r="D248" s="142" t="str">
        <f ca="1">ORÇAMENTO!O248</f>
        <v>-</v>
      </c>
      <c r="E248" s="202" t="str">
        <f t="shared" ca="1" si="30"/>
        <v>(abra o arquivo 'Referência 11-2024.xlsm)</v>
      </c>
      <c r="F248" s="203" t="str">
        <f ca="1">IF(RegimeExecucao="Global","",ORÇAMENTO.Unidade)</f>
        <v/>
      </c>
      <c r="G248" s="147" t="str">
        <f ca="1">IF(RegimeExecucao="Global","",ORÇAMENTO!T248)</f>
        <v/>
      </c>
      <c r="H248" s="147" t="str">
        <f ca="1">IF(RegimeExecucao="Global","",ORÇAMENTO!W248)</f>
        <v/>
      </c>
      <c r="I248" s="150">
        <f ca="1">ORÇAMENTO!X248</f>
        <v>0</v>
      </c>
      <c r="J248" s="423">
        <f ca="1">IF($A248="S",IF(CAIXA.Modo,BM.AFAnterior,BM.MEDAnterior),IF(AND(RegimeExecucao="Global",$I248&gt;0,COUNTIF($AB$13:$AM$13,BM.medicao-1)&gt;0),M248/$I248*100,0))</f>
        <v>0</v>
      </c>
      <c r="K248" s="147">
        <f t="shared" ca="1" si="31"/>
        <v>0</v>
      </c>
      <c r="L248" s="424">
        <f ca="1">IF($A248="S",IF(CAIXA.Modo,BM.AFAcumulado,BM.MEDAcumulado),IF(AND(RegimeExecucao="Global",$I248&gt;0,COUNTIF($AB$13:$AM$13,BM.medicao)&gt;0),O248/$I248*100,0))</f>
        <v>0</v>
      </c>
      <c r="M248" s="425">
        <f ca="1">IF($A248="S",VTOTALBM,IF($A248=0,0,ROUND(SomaAgrupBM,15-13*ORÇAMENTO!$AF$11)))</f>
        <v>0</v>
      </c>
      <c r="N248" s="426">
        <f t="shared" ca="1" si="32"/>
        <v>0</v>
      </c>
      <c r="O248" s="150">
        <f ca="1">IF($A248="S",VTOTALBM,IF($A248=0,0,ROUND(SomaAgrupBM,15-13*ORÇAMENTO!$AF$11)))</f>
        <v>0</v>
      </c>
      <c r="Q248" s="427"/>
      <c r="R248" s="428"/>
      <c r="T248" s="142" t="str">
        <f t="shared" ca="1" si="33"/>
        <v/>
      </c>
      <c r="U248" s="202" t="str">
        <f t="shared" ca="1" si="34"/>
        <v/>
      </c>
      <c r="V248" s="203" t="str">
        <f ca="1">IF(AND($W248&gt;0,RegimeExecucao="Unitário"),$F248,"")</f>
        <v/>
      </c>
      <c r="W248" s="629">
        <f ca="1">IF($Y248&gt;0,CHOOSE(MATCH(RegimeExecucao,{"Unitário","Global"},0),IF($A248="S",$Y248/$X248,""),($Y248/$X248)*100),0)</f>
        <v>0</v>
      </c>
      <c r="X248" s="429" t="str">
        <f ca="1">IF($Y248&gt;0,CHOOSE(MATCH(RegimeExecucao,{"Unitário","Global"},0),IF($A248="S",ROUND($H248,ORÇAMENTO!$AF$10),""),ROUND($I248,ORÇAMENTO!$AF$11)),"")</f>
        <v/>
      </c>
      <c r="Y248" s="429">
        <f t="shared" ca="1" si="35"/>
        <v>0</v>
      </c>
      <c r="Z248" s="656"/>
      <c r="AB248" s="427"/>
      <c r="AC248" s="594"/>
      <c r="AD248" s="594"/>
      <c r="AE248" s="594"/>
      <c r="AF248" s="594"/>
      <c r="AG248" s="594"/>
      <c r="AH248" s="594"/>
      <c r="AI248" s="594"/>
      <c r="AJ248" s="594"/>
      <c r="AK248" s="594"/>
      <c r="AL248" s="594"/>
      <c r="AM248" s="428"/>
      <c r="AO248">
        <f ca="1">IF($A248="S",IF(BM!$I248=0,0,CHOOSE(MATCH(RegimeExecucao,{"Global","Unitário"},0),ROUND(ROUND(BM.MEDAcumulado,15-13*BM!$A$9)/100*BM!$I248,15-13*ORÇAMENTO!$AF$11),ROUND(ROUND(BM.MEDAcumulado,15-13*BM!$A$9)*ROUND(BM!$H248,15-13*ORÇAMENTO!$AF$10),15-13*ORÇAMENTO!$AF$11))),IF($A248=0,0,ROUND(SomaAgrupBM,15-13*ORÇAMENTO!$AF$11)))</f>
        <v>0</v>
      </c>
    </row>
    <row r="249" spans="1:41" ht="13.8">
      <c r="A249" t="str">
        <f ca="1">ORÇAMENTO!C249</f>
        <v>S</v>
      </c>
      <c r="B249">
        <f ca="1">ORÇAMENTO!D249</f>
        <v>0</v>
      </c>
      <c r="C249" s="139" t="str">
        <f t="shared" ca="1" si="29"/>
        <v/>
      </c>
      <c r="D249" s="142" t="str">
        <f ca="1">ORÇAMENTO!O249</f>
        <v>-</v>
      </c>
      <c r="E249" s="202" t="str">
        <f t="shared" ca="1" si="30"/>
        <v>(abra o arquivo 'Referência 11-2024.xlsm)</v>
      </c>
      <c r="F249" s="203" t="str">
        <f ca="1">IF(RegimeExecucao="Global","",ORÇAMENTO.Unidade)</f>
        <v/>
      </c>
      <c r="G249" s="147" t="str">
        <f ca="1">IF(RegimeExecucao="Global","",ORÇAMENTO!T249)</f>
        <v/>
      </c>
      <c r="H249" s="147" t="str">
        <f ca="1">IF(RegimeExecucao="Global","",ORÇAMENTO!W249)</f>
        <v/>
      </c>
      <c r="I249" s="150">
        <f ca="1">ORÇAMENTO!X249</f>
        <v>0</v>
      </c>
      <c r="J249" s="423">
        <f ca="1">IF($A249="S",IF(CAIXA.Modo,BM.AFAnterior,BM.MEDAnterior),IF(AND(RegimeExecucao="Global",$I249&gt;0,COUNTIF($AB$13:$AM$13,BM.medicao-1)&gt;0),M249/$I249*100,0))</f>
        <v>0</v>
      </c>
      <c r="K249" s="147">
        <f t="shared" ca="1" si="31"/>
        <v>0</v>
      </c>
      <c r="L249" s="424">
        <f ca="1">IF($A249="S",IF(CAIXA.Modo,BM.AFAcumulado,BM.MEDAcumulado),IF(AND(RegimeExecucao="Global",$I249&gt;0,COUNTIF($AB$13:$AM$13,BM.medicao)&gt;0),O249/$I249*100,0))</f>
        <v>0</v>
      </c>
      <c r="M249" s="425">
        <f ca="1">IF($A249="S",VTOTALBM,IF($A249=0,0,ROUND(SomaAgrupBM,15-13*ORÇAMENTO!$AF$11)))</f>
        <v>0</v>
      </c>
      <c r="N249" s="426">
        <f t="shared" ca="1" si="32"/>
        <v>0</v>
      </c>
      <c r="O249" s="150">
        <f ca="1">IF($A249="S",VTOTALBM,IF($A249=0,0,ROUND(SomaAgrupBM,15-13*ORÇAMENTO!$AF$11)))</f>
        <v>0</v>
      </c>
      <c r="Q249" s="427"/>
      <c r="R249" s="428"/>
      <c r="T249" s="142" t="str">
        <f t="shared" ca="1" si="33"/>
        <v/>
      </c>
      <c r="U249" s="202" t="str">
        <f t="shared" ca="1" si="34"/>
        <v/>
      </c>
      <c r="V249" s="203" t="str">
        <f ca="1">IF(AND($W249&gt;0,RegimeExecucao="Unitário"),$F249,"")</f>
        <v/>
      </c>
      <c r="W249" s="629">
        <f ca="1">IF($Y249&gt;0,CHOOSE(MATCH(RegimeExecucao,{"Unitário","Global"},0),IF($A249="S",$Y249/$X249,""),($Y249/$X249)*100),0)</f>
        <v>0</v>
      </c>
      <c r="X249" s="429" t="str">
        <f ca="1">IF($Y249&gt;0,CHOOSE(MATCH(RegimeExecucao,{"Unitário","Global"},0),IF($A249="S",ROUND($H249,ORÇAMENTO!$AF$10),""),ROUND($I249,ORÇAMENTO!$AF$11)),"")</f>
        <v/>
      </c>
      <c r="Y249" s="429">
        <f t="shared" ca="1" si="35"/>
        <v>0</v>
      </c>
      <c r="Z249" s="656"/>
      <c r="AB249" s="427"/>
      <c r="AC249" s="594"/>
      <c r="AD249" s="594"/>
      <c r="AE249" s="594"/>
      <c r="AF249" s="594"/>
      <c r="AG249" s="594"/>
      <c r="AH249" s="594"/>
      <c r="AI249" s="594"/>
      <c r="AJ249" s="594"/>
      <c r="AK249" s="594"/>
      <c r="AL249" s="594"/>
      <c r="AM249" s="428"/>
      <c r="AO249">
        <f ca="1">IF($A249="S",IF(BM!$I249=0,0,CHOOSE(MATCH(RegimeExecucao,{"Global","Unitário"},0),ROUND(ROUND(BM.MEDAcumulado,15-13*BM!$A$9)/100*BM!$I249,15-13*ORÇAMENTO!$AF$11),ROUND(ROUND(BM.MEDAcumulado,15-13*BM!$A$9)*ROUND(BM!$H249,15-13*ORÇAMENTO!$AF$10),15-13*ORÇAMENTO!$AF$11))),IF($A249=0,0,ROUND(SomaAgrupBM,15-13*ORÇAMENTO!$AF$11)))</f>
        <v>0</v>
      </c>
    </row>
    <row r="250" spans="1:41" ht="13.8">
      <c r="A250" t="str">
        <f ca="1">ORÇAMENTO!C250</f>
        <v>S</v>
      </c>
      <c r="B250">
        <f ca="1">ORÇAMENTO!D250</f>
        <v>0</v>
      </c>
      <c r="C250" s="139" t="str">
        <f t="shared" ca="1" si="29"/>
        <v/>
      </c>
      <c r="D250" s="142" t="str">
        <f ca="1">ORÇAMENTO!O250</f>
        <v>-</v>
      </c>
      <c r="E250" s="202" t="str">
        <f t="shared" ca="1" si="30"/>
        <v>(abra o arquivo 'Referência 11-2024.xlsm)</v>
      </c>
      <c r="F250" s="203" t="str">
        <f ca="1">IF(RegimeExecucao="Global","",ORÇAMENTO.Unidade)</f>
        <v/>
      </c>
      <c r="G250" s="147" t="str">
        <f ca="1">IF(RegimeExecucao="Global","",ORÇAMENTO!T250)</f>
        <v/>
      </c>
      <c r="H250" s="147" t="str">
        <f ca="1">IF(RegimeExecucao="Global","",ORÇAMENTO!W250)</f>
        <v/>
      </c>
      <c r="I250" s="150">
        <f ca="1">ORÇAMENTO!X250</f>
        <v>0</v>
      </c>
      <c r="J250" s="423">
        <f ca="1">IF($A250="S",IF(CAIXA.Modo,BM.AFAnterior,BM.MEDAnterior),IF(AND(RegimeExecucao="Global",$I250&gt;0,COUNTIF($AB$13:$AM$13,BM.medicao-1)&gt;0),M250/$I250*100,0))</f>
        <v>0</v>
      </c>
      <c r="K250" s="147">
        <f t="shared" ca="1" si="31"/>
        <v>0</v>
      </c>
      <c r="L250" s="424">
        <f ca="1">IF($A250="S",IF(CAIXA.Modo,BM.AFAcumulado,BM.MEDAcumulado),IF(AND(RegimeExecucao="Global",$I250&gt;0,COUNTIF($AB$13:$AM$13,BM.medicao)&gt;0),O250/$I250*100,0))</f>
        <v>0</v>
      </c>
      <c r="M250" s="425">
        <f ca="1">IF($A250="S",VTOTALBM,IF($A250=0,0,ROUND(SomaAgrupBM,15-13*ORÇAMENTO!$AF$11)))</f>
        <v>0</v>
      </c>
      <c r="N250" s="426">
        <f t="shared" ca="1" si="32"/>
        <v>0</v>
      </c>
      <c r="O250" s="150">
        <f ca="1">IF($A250="S",VTOTALBM,IF($A250=0,0,ROUND(SomaAgrupBM,15-13*ORÇAMENTO!$AF$11)))</f>
        <v>0</v>
      </c>
      <c r="Q250" s="427"/>
      <c r="R250" s="428"/>
      <c r="T250" s="142" t="str">
        <f t="shared" ca="1" si="33"/>
        <v/>
      </c>
      <c r="U250" s="202" t="str">
        <f t="shared" ca="1" si="34"/>
        <v/>
      </c>
      <c r="V250" s="203" t="str">
        <f ca="1">IF(AND($W250&gt;0,RegimeExecucao="Unitário"),$F250,"")</f>
        <v/>
      </c>
      <c r="W250" s="629">
        <f ca="1">IF($Y250&gt;0,CHOOSE(MATCH(RegimeExecucao,{"Unitário","Global"},0),IF($A250="S",$Y250/$X250,""),($Y250/$X250)*100),0)</f>
        <v>0</v>
      </c>
      <c r="X250" s="429" t="str">
        <f ca="1">IF($Y250&gt;0,CHOOSE(MATCH(RegimeExecucao,{"Unitário","Global"},0),IF($A250="S",ROUND($H250,ORÇAMENTO!$AF$10),""),ROUND($I250,ORÇAMENTO!$AF$11)),"")</f>
        <v/>
      </c>
      <c r="Y250" s="429">
        <f t="shared" ca="1" si="35"/>
        <v>0</v>
      </c>
      <c r="Z250" s="656"/>
      <c r="AB250" s="427"/>
      <c r="AC250" s="594"/>
      <c r="AD250" s="594"/>
      <c r="AE250" s="594"/>
      <c r="AF250" s="594"/>
      <c r="AG250" s="594"/>
      <c r="AH250" s="594"/>
      <c r="AI250" s="594"/>
      <c r="AJ250" s="594"/>
      <c r="AK250" s="594"/>
      <c r="AL250" s="594"/>
      <c r="AM250" s="428"/>
      <c r="AO250">
        <f ca="1">IF($A250="S",IF(BM!$I250=0,0,CHOOSE(MATCH(RegimeExecucao,{"Global","Unitário"},0),ROUND(ROUND(BM.MEDAcumulado,15-13*BM!$A$9)/100*BM!$I250,15-13*ORÇAMENTO!$AF$11),ROUND(ROUND(BM.MEDAcumulado,15-13*BM!$A$9)*ROUND(BM!$H250,15-13*ORÇAMENTO!$AF$10),15-13*ORÇAMENTO!$AF$11))),IF($A250=0,0,ROUND(SomaAgrupBM,15-13*ORÇAMENTO!$AF$11)))</f>
        <v>0</v>
      </c>
    </row>
    <row r="251" spans="1:41" ht="13.8">
      <c r="A251" t="str">
        <f ca="1">ORÇAMENTO!C251</f>
        <v>S</v>
      </c>
      <c r="B251">
        <f ca="1">ORÇAMENTO!D251</f>
        <v>0</v>
      </c>
      <c r="C251" s="139" t="str">
        <f t="shared" ca="1" si="29"/>
        <v/>
      </c>
      <c r="D251" s="142" t="str">
        <f ca="1">ORÇAMENTO!O251</f>
        <v>-</v>
      </c>
      <c r="E251" s="202" t="str">
        <f t="shared" ca="1" si="30"/>
        <v>(abra o arquivo 'Referência 11-2024.xlsm)</v>
      </c>
      <c r="F251" s="203" t="str">
        <f ca="1">IF(RegimeExecucao="Global","",ORÇAMENTO.Unidade)</f>
        <v/>
      </c>
      <c r="G251" s="147" t="str">
        <f ca="1">IF(RegimeExecucao="Global","",ORÇAMENTO!T251)</f>
        <v/>
      </c>
      <c r="H251" s="147" t="str">
        <f ca="1">IF(RegimeExecucao="Global","",ORÇAMENTO!W251)</f>
        <v/>
      </c>
      <c r="I251" s="150">
        <f ca="1">ORÇAMENTO!X251</f>
        <v>0</v>
      </c>
      <c r="J251" s="423">
        <f ca="1">IF($A251="S",IF(CAIXA.Modo,BM.AFAnterior,BM.MEDAnterior),IF(AND(RegimeExecucao="Global",$I251&gt;0,COUNTIF($AB$13:$AM$13,BM.medicao-1)&gt;0),M251/$I251*100,0))</f>
        <v>0</v>
      </c>
      <c r="K251" s="147">
        <f t="shared" ca="1" si="31"/>
        <v>0</v>
      </c>
      <c r="L251" s="424">
        <f ca="1">IF($A251="S",IF(CAIXA.Modo,BM.AFAcumulado,BM.MEDAcumulado),IF(AND(RegimeExecucao="Global",$I251&gt;0,COUNTIF($AB$13:$AM$13,BM.medicao)&gt;0),O251/$I251*100,0))</f>
        <v>0</v>
      </c>
      <c r="M251" s="425">
        <f ca="1">IF($A251="S",VTOTALBM,IF($A251=0,0,ROUND(SomaAgrupBM,15-13*ORÇAMENTO!$AF$11)))</f>
        <v>0</v>
      </c>
      <c r="N251" s="426">
        <f t="shared" ca="1" si="32"/>
        <v>0</v>
      </c>
      <c r="O251" s="150">
        <f ca="1">IF($A251="S",VTOTALBM,IF($A251=0,0,ROUND(SomaAgrupBM,15-13*ORÇAMENTO!$AF$11)))</f>
        <v>0</v>
      </c>
      <c r="Q251" s="427"/>
      <c r="R251" s="428"/>
      <c r="T251" s="142" t="str">
        <f t="shared" ca="1" si="33"/>
        <v/>
      </c>
      <c r="U251" s="202" t="str">
        <f t="shared" ca="1" si="34"/>
        <v/>
      </c>
      <c r="V251" s="203" t="str">
        <f ca="1">IF(AND($W251&gt;0,RegimeExecucao="Unitário"),$F251,"")</f>
        <v/>
      </c>
      <c r="W251" s="629">
        <f ca="1">IF($Y251&gt;0,CHOOSE(MATCH(RegimeExecucao,{"Unitário","Global"},0),IF($A251="S",$Y251/$X251,""),($Y251/$X251)*100),0)</f>
        <v>0</v>
      </c>
      <c r="X251" s="429" t="str">
        <f ca="1">IF($Y251&gt;0,CHOOSE(MATCH(RegimeExecucao,{"Unitário","Global"},0),IF($A251="S",ROUND($H251,ORÇAMENTO!$AF$10),""),ROUND($I251,ORÇAMENTO!$AF$11)),"")</f>
        <v/>
      </c>
      <c r="Y251" s="429">
        <f t="shared" ca="1" si="35"/>
        <v>0</v>
      </c>
      <c r="Z251" s="656"/>
      <c r="AB251" s="427"/>
      <c r="AC251" s="594"/>
      <c r="AD251" s="594"/>
      <c r="AE251" s="594"/>
      <c r="AF251" s="594"/>
      <c r="AG251" s="594"/>
      <c r="AH251" s="594"/>
      <c r="AI251" s="594"/>
      <c r="AJ251" s="594"/>
      <c r="AK251" s="594"/>
      <c r="AL251" s="594"/>
      <c r="AM251" s="428"/>
      <c r="AO251">
        <f ca="1">IF($A251="S",IF(BM!$I251=0,0,CHOOSE(MATCH(RegimeExecucao,{"Global","Unitário"},0),ROUND(ROUND(BM.MEDAcumulado,15-13*BM!$A$9)/100*BM!$I251,15-13*ORÇAMENTO!$AF$11),ROUND(ROUND(BM.MEDAcumulado,15-13*BM!$A$9)*ROUND(BM!$H251,15-13*ORÇAMENTO!$AF$10),15-13*ORÇAMENTO!$AF$11))),IF($A251=0,0,ROUND(SomaAgrupBM,15-13*ORÇAMENTO!$AF$11)))</f>
        <v>0</v>
      </c>
    </row>
    <row r="252" spans="1:41" ht="13.8">
      <c r="A252" t="str">
        <f ca="1">ORÇAMENTO!C252</f>
        <v>S</v>
      </c>
      <c r="B252">
        <f ca="1">ORÇAMENTO!D252</f>
        <v>0</v>
      </c>
      <c r="C252" s="139" t="str">
        <f t="shared" ca="1" si="29"/>
        <v/>
      </c>
      <c r="D252" s="142" t="str">
        <f ca="1">ORÇAMENTO!O252</f>
        <v>-</v>
      </c>
      <c r="E252" s="202" t="str">
        <f t="shared" ca="1" si="30"/>
        <v>(abra o arquivo 'Referência 11-2024.xlsm)</v>
      </c>
      <c r="F252" s="203" t="str">
        <f ca="1">IF(RegimeExecucao="Global","",ORÇAMENTO.Unidade)</f>
        <v/>
      </c>
      <c r="G252" s="147" t="str">
        <f ca="1">IF(RegimeExecucao="Global","",ORÇAMENTO!T252)</f>
        <v/>
      </c>
      <c r="H252" s="147" t="str">
        <f ca="1">IF(RegimeExecucao="Global","",ORÇAMENTO!W252)</f>
        <v/>
      </c>
      <c r="I252" s="150">
        <f ca="1">ORÇAMENTO!X252</f>
        <v>0</v>
      </c>
      <c r="J252" s="423">
        <f ca="1">IF($A252="S",IF(CAIXA.Modo,BM.AFAnterior,BM.MEDAnterior),IF(AND(RegimeExecucao="Global",$I252&gt;0,COUNTIF($AB$13:$AM$13,BM.medicao-1)&gt;0),M252/$I252*100,0))</f>
        <v>0</v>
      </c>
      <c r="K252" s="147">
        <f t="shared" ca="1" si="31"/>
        <v>0</v>
      </c>
      <c r="L252" s="424">
        <f ca="1">IF($A252="S",IF(CAIXA.Modo,BM.AFAcumulado,BM.MEDAcumulado),IF(AND(RegimeExecucao="Global",$I252&gt;0,COUNTIF($AB$13:$AM$13,BM.medicao)&gt;0),O252/$I252*100,0))</f>
        <v>0</v>
      </c>
      <c r="M252" s="425">
        <f ca="1">IF($A252="S",VTOTALBM,IF($A252=0,0,ROUND(SomaAgrupBM,15-13*ORÇAMENTO!$AF$11)))</f>
        <v>0</v>
      </c>
      <c r="N252" s="426">
        <f t="shared" ca="1" si="32"/>
        <v>0</v>
      </c>
      <c r="O252" s="150">
        <f ca="1">IF($A252="S",VTOTALBM,IF($A252=0,0,ROUND(SomaAgrupBM,15-13*ORÇAMENTO!$AF$11)))</f>
        <v>0</v>
      </c>
      <c r="Q252" s="427"/>
      <c r="R252" s="428"/>
      <c r="T252" s="142" t="str">
        <f t="shared" ca="1" si="33"/>
        <v/>
      </c>
      <c r="U252" s="202" t="str">
        <f t="shared" ca="1" si="34"/>
        <v/>
      </c>
      <c r="V252" s="203" t="str">
        <f ca="1">IF(AND($W252&gt;0,RegimeExecucao="Unitário"),$F252,"")</f>
        <v/>
      </c>
      <c r="W252" s="629">
        <f ca="1">IF($Y252&gt;0,CHOOSE(MATCH(RegimeExecucao,{"Unitário","Global"},0),IF($A252="S",$Y252/$X252,""),($Y252/$X252)*100),0)</f>
        <v>0</v>
      </c>
      <c r="X252" s="429" t="str">
        <f ca="1">IF($Y252&gt;0,CHOOSE(MATCH(RegimeExecucao,{"Unitário","Global"},0),IF($A252="S",ROUND($H252,ORÇAMENTO!$AF$10),""),ROUND($I252,ORÇAMENTO!$AF$11)),"")</f>
        <v/>
      </c>
      <c r="Y252" s="429">
        <f t="shared" ca="1" si="35"/>
        <v>0</v>
      </c>
      <c r="Z252" s="656"/>
      <c r="AB252" s="427"/>
      <c r="AC252" s="594"/>
      <c r="AD252" s="594"/>
      <c r="AE252" s="594"/>
      <c r="AF252" s="594"/>
      <c r="AG252" s="594"/>
      <c r="AH252" s="594"/>
      <c r="AI252" s="594"/>
      <c r="AJ252" s="594"/>
      <c r="AK252" s="594"/>
      <c r="AL252" s="594"/>
      <c r="AM252" s="428"/>
      <c r="AO252">
        <f ca="1">IF($A252="S",IF(BM!$I252=0,0,CHOOSE(MATCH(RegimeExecucao,{"Global","Unitário"},0),ROUND(ROUND(BM.MEDAcumulado,15-13*BM!$A$9)/100*BM!$I252,15-13*ORÇAMENTO!$AF$11),ROUND(ROUND(BM.MEDAcumulado,15-13*BM!$A$9)*ROUND(BM!$H252,15-13*ORÇAMENTO!$AF$10),15-13*ORÇAMENTO!$AF$11))),IF($A252=0,0,ROUND(SomaAgrupBM,15-13*ORÇAMENTO!$AF$11)))</f>
        <v>0</v>
      </c>
    </row>
    <row r="253" spans="1:41" ht="13.8">
      <c r="A253" t="str">
        <f ca="1">ORÇAMENTO!C253</f>
        <v>S</v>
      </c>
      <c r="B253">
        <f ca="1">ORÇAMENTO!D253</f>
        <v>0</v>
      </c>
      <c r="C253" s="139" t="str">
        <f t="shared" ca="1" si="29"/>
        <v/>
      </c>
      <c r="D253" s="142" t="str">
        <f ca="1">ORÇAMENTO!O253</f>
        <v>-</v>
      </c>
      <c r="E253" s="202" t="str">
        <f t="shared" ca="1" si="30"/>
        <v>(abra o arquivo 'Referência 11-2024.xlsm)</v>
      </c>
      <c r="F253" s="203" t="str">
        <f ca="1">IF(RegimeExecucao="Global","",ORÇAMENTO.Unidade)</f>
        <v/>
      </c>
      <c r="G253" s="147" t="str">
        <f ca="1">IF(RegimeExecucao="Global","",ORÇAMENTO!T253)</f>
        <v/>
      </c>
      <c r="H253" s="147" t="str">
        <f ca="1">IF(RegimeExecucao="Global","",ORÇAMENTO!W253)</f>
        <v/>
      </c>
      <c r="I253" s="150">
        <f ca="1">ORÇAMENTO!X253</f>
        <v>0</v>
      </c>
      <c r="J253" s="423">
        <f ca="1">IF($A253="S",IF(CAIXA.Modo,BM.AFAnterior,BM.MEDAnterior),IF(AND(RegimeExecucao="Global",$I253&gt;0,COUNTIF($AB$13:$AM$13,BM.medicao-1)&gt;0),M253/$I253*100,0))</f>
        <v>0</v>
      </c>
      <c r="K253" s="147">
        <f t="shared" ca="1" si="31"/>
        <v>0</v>
      </c>
      <c r="L253" s="424">
        <f ca="1">IF($A253="S",IF(CAIXA.Modo,BM.AFAcumulado,BM.MEDAcumulado),IF(AND(RegimeExecucao="Global",$I253&gt;0,COUNTIF($AB$13:$AM$13,BM.medicao)&gt;0),O253/$I253*100,0))</f>
        <v>0</v>
      </c>
      <c r="M253" s="425">
        <f ca="1">IF($A253="S",VTOTALBM,IF($A253=0,0,ROUND(SomaAgrupBM,15-13*ORÇAMENTO!$AF$11)))</f>
        <v>0</v>
      </c>
      <c r="N253" s="426">
        <f t="shared" ca="1" si="32"/>
        <v>0</v>
      </c>
      <c r="O253" s="150">
        <f ca="1">IF($A253="S",VTOTALBM,IF($A253=0,0,ROUND(SomaAgrupBM,15-13*ORÇAMENTO!$AF$11)))</f>
        <v>0</v>
      </c>
      <c r="Q253" s="427"/>
      <c r="R253" s="428"/>
      <c r="T253" s="142" t="str">
        <f t="shared" ca="1" si="33"/>
        <v/>
      </c>
      <c r="U253" s="202" t="str">
        <f t="shared" ca="1" si="34"/>
        <v/>
      </c>
      <c r="V253" s="203" t="str">
        <f ca="1">IF(AND($W253&gt;0,RegimeExecucao="Unitário"),$F253,"")</f>
        <v/>
      </c>
      <c r="W253" s="629">
        <f ca="1">IF($Y253&gt;0,CHOOSE(MATCH(RegimeExecucao,{"Unitário","Global"},0),IF($A253="S",$Y253/$X253,""),($Y253/$X253)*100),0)</f>
        <v>0</v>
      </c>
      <c r="X253" s="429" t="str">
        <f ca="1">IF($Y253&gt;0,CHOOSE(MATCH(RegimeExecucao,{"Unitário","Global"},0),IF($A253="S",ROUND($H253,ORÇAMENTO!$AF$10),""),ROUND($I253,ORÇAMENTO!$AF$11)),"")</f>
        <v/>
      </c>
      <c r="Y253" s="429">
        <f t="shared" ca="1" si="35"/>
        <v>0</v>
      </c>
      <c r="Z253" s="656"/>
      <c r="AB253" s="427"/>
      <c r="AC253" s="594"/>
      <c r="AD253" s="594"/>
      <c r="AE253" s="594"/>
      <c r="AF253" s="594"/>
      <c r="AG253" s="594"/>
      <c r="AH253" s="594"/>
      <c r="AI253" s="594"/>
      <c r="AJ253" s="594"/>
      <c r="AK253" s="594"/>
      <c r="AL253" s="594"/>
      <c r="AM253" s="428"/>
      <c r="AO253">
        <f ca="1">IF($A253="S",IF(BM!$I253=0,0,CHOOSE(MATCH(RegimeExecucao,{"Global","Unitário"},0),ROUND(ROUND(BM.MEDAcumulado,15-13*BM!$A$9)/100*BM!$I253,15-13*ORÇAMENTO!$AF$11),ROUND(ROUND(BM.MEDAcumulado,15-13*BM!$A$9)*ROUND(BM!$H253,15-13*ORÇAMENTO!$AF$10),15-13*ORÇAMENTO!$AF$11))),IF($A253=0,0,ROUND(SomaAgrupBM,15-13*ORÇAMENTO!$AF$11)))</f>
        <v>0</v>
      </c>
    </row>
    <row r="254" spans="1:41" ht="13.8">
      <c r="A254" t="str">
        <f ca="1">ORÇAMENTO!C254</f>
        <v>S</v>
      </c>
      <c r="B254">
        <f ca="1">ORÇAMENTO!D254</f>
        <v>0</v>
      </c>
      <c r="C254" s="139" t="str">
        <f t="shared" ca="1" si="29"/>
        <v/>
      </c>
      <c r="D254" s="142" t="str">
        <f ca="1">ORÇAMENTO!O254</f>
        <v>-</v>
      </c>
      <c r="E254" s="202" t="str">
        <f t="shared" ca="1" si="30"/>
        <v>(abra o arquivo 'Referência 11-2024.xlsm)</v>
      </c>
      <c r="F254" s="203" t="str">
        <f ca="1">IF(RegimeExecucao="Global","",ORÇAMENTO.Unidade)</f>
        <v/>
      </c>
      <c r="G254" s="147" t="str">
        <f ca="1">IF(RegimeExecucao="Global","",ORÇAMENTO!T254)</f>
        <v/>
      </c>
      <c r="H254" s="147" t="str">
        <f ca="1">IF(RegimeExecucao="Global","",ORÇAMENTO!W254)</f>
        <v/>
      </c>
      <c r="I254" s="150">
        <f ca="1">ORÇAMENTO!X254</f>
        <v>0</v>
      </c>
      <c r="J254" s="423">
        <f ca="1">IF($A254="S",IF(CAIXA.Modo,BM.AFAnterior,BM.MEDAnterior),IF(AND(RegimeExecucao="Global",$I254&gt;0,COUNTIF($AB$13:$AM$13,BM.medicao-1)&gt;0),M254/$I254*100,0))</f>
        <v>0</v>
      </c>
      <c r="K254" s="147">
        <f t="shared" ca="1" si="31"/>
        <v>0</v>
      </c>
      <c r="L254" s="424">
        <f ca="1">IF($A254="S",IF(CAIXA.Modo,BM.AFAcumulado,BM.MEDAcumulado),IF(AND(RegimeExecucao="Global",$I254&gt;0,COUNTIF($AB$13:$AM$13,BM.medicao)&gt;0),O254/$I254*100,0))</f>
        <v>0</v>
      </c>
      <c r="M254" s="425">
        <f ca="1">IF($A254="S",VTOTALBM,IF($A254=0,0,ROUND(SomaAgrupBM,15-13*ORÇAMENTO!$AF$11)))</f>
        <v>0</v>
      </c>
      <c r="N254" s="426">
        <f t="shared" ca="1" si="32"/>
        <v>0</v>
      </c>
      <c r="O254" s="150">
        <f ca="1">IF($A254="S",VTOTALBM,IF($A254=0,0,ROUND(SomaAgrupBM,15-13*ORÇAMENTO!$AF$11)))</f>
        <v>0</v>
      </c>
      <c r="Q254" s="427"/>
      <c r="R254" s="428"/>
      <c r="T254" s="142" t="str">
        <f t="shared" ca="1" si="33"/>
        <v/>
      </c>
      <c r="U254" s="202" t="str">
        <f t="shared" ca="1" si="34"/>
        <v/>
      </c>
      <c r="V254" s="203" t="str">
        <f ca="1">IF(AND($W254&gt;0,RegimeExecucao="Unitário"),$F254,"")</f>
        <v/>
      </c>
      <c r="W254" s="629">
        <f ca="1">IF($Y254&gt;0,CHOOSE(MATCH(RegimeExecucao,{"Unitário","Global"},0),IF($A254="S",$Y254/$X254,""),($Y254/$X254)*100),0)</f>
        <v>0</v>
      </c>
      <c r="X254" s="429" t="str">
        <f ca="1">IF($Y254&gt;0,CHOOSE(MATCH(RegimeExecucao,{"Unitário","Global"},0),IF($A254="S",ROUND($H254,ORÇAMENTO!$AF$10),""),ROUND($I254,ORÇAMENTO!$AF$11)),"")</f>
        <v/>
      </c>
      <c r="Y254" s="429">
        <f t="shared" ca="1" si="35"/>
        <v>0</v>
      </c>
      <c r="Z254" s="656"/>
      <c r="AB254" s="427"/>
      <c r="AC254" s="594"/>
      <c r="AD254" s="594"/>
      <c r="AE254" s="594"/>
      <c r="AF254" s="594"/>
      <c r="AG254" s="594"/>
      <c r="AH254" s="594"/>
      <c r="AI254" s="594"/>
      <c r="AJ254" s="594"/>
      <c r="AK254" s="594"/>
      <c r="AL254" s="594"/>
      <c r="AM254" s="428"/>
      <c r="AO254">
        <f ca="1">IF($A254="S",IF(BM!$I254=0,0,CHOOSE(MATCH(RegimeExecucao,{"Global","Unitário"},0),ROUND(ROUND(BM.MEDAcumulado,15-13*BM!$A$9)/100*BM!$I254,15-13*ORÇAMENTO!$AF$11),ROUND(ROUND(BM.MEDAcumulado,15-13*BM!$A$9)*ROUND(BM!$H254,15-13*ORÇAMENTO!$AF$10),15-13*ORÇAMENTO!$AF$11))),IF($A254=0,0,ROUND(SomaAgrupBM,15-13*ORÇAMENTO!$AF$11)))</f>
        <v>0</v>
      </c>
    </row>
    <row r="255" spans="1:41" ht="13.8">
      <c r="A255" t="str">
        <f ca="1">ORÇAMENTO!C255</f>
        <v>S</v>
      </c>
      <c r="B255">
        <f ca="1">ORÇAMENTO!D255</f>
        <v>0</v>
      </c>
      <c r="C255" s="139" t="str">
        <f t="shared" ca="1" si="29"/>
        <v/>
      </c>
      <c r="D255" s="142" t="str">
        <f ca="1">ORÇAMENTO!O255</f>
        <v>-</v>
      </c>
      <c r="E255" s="202" t="str">
        <f t="shared" ca="1" si="30"/>
        <v>(abra o arquivo 'Referência 11-2024.xlsm)</v>
      </c>
      <c r="F255" s="203" t="str">
        <f ca="1">IF(RegimeExecucao="Global","",ORÇAMENTO.Unidade)</f>
        <v/>
      </c>
      <c r="G255" s="147" t="str">
        <f ca="1">IF(RegimeExecucao="Global","",ORÇAMENTO!T255)</f>
        <v/>
      </c>
      <c r="H255" s="147" t="str">
        <f ca="1">IF(RegimeExecucao="Global","",ORÇAMENTO!W255)</f>
        <v/>
      </c>
      <c r="I255" s="150">
        <f ca="1">ORÇAMENTO!X255</f>
        <v>0</v>
      </c>
      <c r="J255" s="423">
        <f ca="1">IF($A255="S",IF(CAIXA.Modo,BM.AFAnterior,BM.MEDAnterior),IF(AND(RegimeExecucao="Global",$I255&gt;0,COUNTIF($AB$13:$AM$13,BM.medicao-1)&gt;0),M255/$I255*100,0))</f>
        <v>0</v>
      </c>
      <c r="K255" s="147">
        <f t="shared" ca="1" si="31"/>
        <v>0</v>
      </c>
      <c r="L255" s="424">
        <f ca="1">IF($A255="S",IF(CAIXA.Modo,BM.AFAcumulado,BM.MEDAcumulado),IF(AND(RegimeExecucao="Global",$I255&gt;0,COUNTIF($AB$13:$AM$13,BM.medicao)&gt;0),O255/$I255*100,0))</f>
        <v>0</v>
      </c>
      <c r="M255" s="425">
        <f ca="1">IF($A255="S",VTOTALBM,IF($A255=0,0,ROUND(SomaAgrupBM,15-13*ORÇAMENTO!$AF$11)))</f>
        <v>0</v>
      </c>
      <c r="N255" s="426">
        <f t="shared" ca="1" si="32"/>
        <v>0</v>
      </c>
      <c r="O255" s="150">
        <f ca="1">IF($A255="S",VTOTALBM,IF($A255=0,0,ROUND(SomaAgrupBM,15-13*ORÇAMENTO!$AF$11)))</f>
        <v>0</v>
      </c>
      <c r="Q255" s="427"/>
      <c r="R255" s="428"/>
      <c r="T255" s="142" t="str">
        <f t="shared" ca="1" si="33"/>
        <v/>
      </c>
      <c r="U255" s="202" t="str">
        <f t="shared" ca="1" si="34"/>
        <v/>
      </c>
      <c r="V255" s="203" t="str">
        <f ca="1">IF(AND($W255&gt;0,RegimeExecucao="Unitário"),$F255,"")</f>
        <v/>
      </c>
      <c r="W255" s="629">
        <f ca="1">IF($Y255&gt;0,CHOOSE(MATCH(RegimeExecucao,{"Unitário","Global"},0),IF($A255="S",$Y255/$X255,""),($Y255/$X255)*100),0)</f>
        <v>0</v>
      </c>
      <c r="X255" s="429" t="str">
        <f ca="1">IF($Y255&gt;0,CHOOSE(MATCH(RegimeExecucao,{"Unitário","Global"},0),IF($A255="S",ROUND($H255,ORÇAMENTO!$AF$10),""),ROUND($I255,ORÇAMENTO!$AF$11)),"")</f>
        <v/>
      </c>
      <c r="Y255" s="429">
        <f t="shared" ca="1" si="35"/>
        <v>0</v>
      </c>
      <c r="Z255" s="656"/>
      <c r="AB255" s="427"/>
      <c r="AC255" s="594"/>
      <c r="AD255" s="594"/>
      <c r="AE255" s="594"/>
      <c r="AF255" s="594"/>
      <c r="AG255" s="594"/>
      <c r="AH255" s="594"/>
      <c r="AI255" s="594"/>
      <c r="AJ255" s="594"/>
      <c r="AK255" s="594"/>
      <c r="AL255" s="594"/>
      <c r="AM255" s="428"/>
      <c r="AO255">
        <f ca="1">IF($A255="S",IF(BM!$I255=0,0,CHOOSE(MATCH(RegimeExecucao,{"Global","Unitário"},0),ROUND(ROUND(BM.MEDAcumulado,15-13*BM!$A$9)/100*BM!$I255,15-13*ORÇAMENTO!$AF$11),ROUND(ROUND(BM.MEDAcumulado,15-13*BM!$A$9)*ROUND(BM!$H255,15-13*ORÇAMENTO!$AF$10),15-13*ORÇAMENTO!$AF$11))),IF($A255=0,0,ROUND(SomaAgrupBM,15-13*ORÇAMENTO!$AF$11)))</f>
        <v>0</v>
      </c>
    </row>
    <row r="256" spans="1:41" ht="13.8">
      <c r="A256" t="str">
        <f ca="1">ORÇAMENTO!C256</f>
        <v>S</v>
      </c>
      <c r="B256">
        <f ca="1">ORÇAMENTO!D256</f>
        <v>0</v>
      </c>
      <c r="C256" s="139" t="str">
        <f t="shared" ca="1" si="29"/>
        <v/>
      </c>
      <c r="D256" s="142" t="str">
        <f ca="1">ORÇAMENTO!O256</f>
        <v>-</v>
      </c>
      <c r="E256" s="202" t="str">
        <f t="shared" ca="1" si="30"/>
        <v>(abra o arquivo 'Referência 11-2024.xlsm)</v>
      </c>
      <c r="F256" s="203" t="str">
        <f ca="1">IF(RegimeExecucao="Global","",ORÇAMENTO.Unidade)</f>
        <v/>
      </c>
      <c r="G256" s="147" t="str">
        <f ca="1">IF(RegimeExecucao="Global","",ORÇAMENTO!T256)</f>
        <v/>
      </c>
      <c r="H256" s="147" t="str">
        <f ca="1">IF(RegimeExecucao="Global","",ORÇAMENTO!W256)</f>
        <v/>
      </c>
      <c r="I256" s="150">
        <f ca="1">ORÇAMENTO!X256</f>
        <v>0</v>
      </c>
      <c r="J256" s="423">
        <f ca="1">IF($A256="S",IF(CAIXA.Modo,BM.AFAnterior,BM.MEDAnterior),IF(AND(RegimeExecucao="Global",$I256&gt;0,COUNTIF($AB$13:$AM$13,BM.medicao-1)&gt;0),M256/$I256*100,0))</f>
        <v>0</v>
      </c>
      <c r="K256" s="147">
        <f t="shared" ca="1" si="31"/>
        <v>0</v>
      </c>
      <c r="L256" s="424">
        <f ca="1">IF($A256="S",IF(CAIXA.Modo,BM.AFAcumulado,BM.MEDAcumulado),IF(AND(RegimeExecucao="Global",$I256&gt;0,COUNTIF($AB$13:$AM$13,BM.medicao)&gt;0),O256/$I256*100,0))</f>
        <v>0</v>
      </c>
      <c r="M256" s="425">
        <f ca="1">IF($A256="S",VTOTALBM,IF($A256=0,0,ROUND(SomaAgrupBM,15-13*ORÇAMENTO!$AF$11)))</f>
        <v>0</v>
      </c>
      <c r="N256" s="426">
        <f t="shared" ca="1" si="32"/>
        <v>0</v>
      </c>
      <c r="O256" s="150">
        <f ca="1">IF($A256="S",VTOTALBM,IF($A256=0,0,ROUND(SomaAgrupBM,15-13*ORÇAMENTO!$AF$11)))</f>
        <v>0</v>
      </c>
      <c r="Q256" s="427"/>
      <c r="R256" s="428"/>
      <c r="T256" s="142" t="str">
        <f t="shared" ca="1" si="33"/>
        <v/>
      </c>
      <c r="U256" s="202" t="str">
        <f t="shared" ca="1" si="34"/>
        <v/>
      </c>
      <c r="V256" s="203" t="str">
        <f ca="1">IF(AND($W256&gt;0,RegimeExecucao="Unitário"),$F256,"")</f>
        <v/>
      </c>
      <c r="W256" s="629">
        <f ca="1">IF($Y256&gt;0,CHOOSE(MATCH(RegimeExecucao,{"Unitário","Global"},0),IF($A256="S",$Y256/$X256,""),($Y256/$X256)*100),0)</f>
        <v>0</v>
      </c>
      <c r="X256" s="429" t="str">
        <f ca="1">IF($Y256&gt;0,CHOOSE(MATCH(RegimeExecucao,{"Unitário","Global"},0),IF($A256="S",ROUND($H256,ORÇAMENTO!$AF$10),""),ROUND($I256,ORÇAMENTO!$AF$11)),"")</f>
        <v/>
      </c>
      <c r="Y256" s="429">
        <f t="shared" ca="1" si="35"/>
        <v>0</v>
      </c>
      <c r="Z256" s="656"/>
      <c r="AB256" s="427"/>
      <c r="AC256" s="594"/>
      <c r="AD256" s="594"/>
      <c r="AE256" s="594"/>
      <c r="AF256" s="594"/>
      <c r="AG256" s="594"/>
      <c r="AH256" s="594"/>
      <c r="AI256" s="594"/>
      <c r="AJ256" s="594"/>
      <c r="AK256" s="594"/>
      <c r="AL256" s="594"/>
      <c r="AM256" s="428"/>
      <c r="AO256">
        <f ca="1">IF($A256="S",IF(BM!$I256=0,0,CHOOSE(MATCH(RegimeExecucao,{"Global","Unitário"},0),ROUND(ROUND(BM.MEDAcumulado,15-13*BM!$A$9)/100*BM!$I256,15-13*ORÇAMENTO!$AF$11),ROUND(ROUND(BM.MEDAcumulado,15-13*BM!$A$9)*ROUND(BM!$H256,15-13*ORÇAMENTO!$AF$10),15-13*ORÇAMENTO!$AF$11))),IF($A256=0,0,ROUND(SomaAgrupBM,15-13*ORÇAMENTO!$AF$11)))</f>
        <v>0</v>
      </c>
    </row>
    <row r="257" spans="1:41" ht="13.8">
      <c r="A257" t="str">
        <f ca="1">ORÇAMENTO!C257</f>
        <v>S</v>
      </c>
      <c r="B257">
        <f ca="1">ORÇAMENTO!D257</f>
        <v>0</v>
      </c>
      <c r="C257" s="139" t="str">
        <f t="shared" ca="1" si="29"/>
        <v/>
      </c>
      <c r="D257" s="142" t="str">
        <f ca="1">ORÇAMENTO!O257</f>
        <v>-</v>
      </c>
      <c r="E257" s="202" t="str">
        <f t="shared" ca="1" si="30"/>
        <v>(abra o arquivo 'Referência 11-2024.xlsm)</v>
      </c>
      <c r="F257" s="203" t="str">
        <f ca="1">IF(RegimeExecucao="Global","",ORÇAMENTO.Unidade)</f>
        <v/>
      </c>
      <c r="G257" s="147" t="str">
        <f ca="1">IF(RegimeExecucao="Global","",ORÇAMENTO!T257)</f>
        <v/>
      </c>
      <c r="H257" s="147" t="str">
        <f ca="1">IF(RegimeExecucao="Global","",ORÇAMENTO!W257)</f>
        <v/>
      </c>
      <c r="I257" s="150">
        <f ca="1">ORÇAMENTO!X257</f>
        <v>0</v>
      </c>
      <c r="J257" s="423">
        <f ca="1">IF($A257="S",IF(CAIXA.Modo,BM.AFAnterior,BM.MEDAnterior),IF(AND(RegimeExecucao="Global",$I257&gt;0,COUNTIF($AB$13:$AM$13,BM.medicao-1)&gt;0),M257/$I257*100,0))</f>
        <v>0</v>
      </c>
      <c r="K257" s="147">
        <f t="shared" ca="1" si="31"/>
        <v>0</v>
      </c>
      <c r="L257" s="424">
        <f ca="1">IF($A257="S",IF(CAIXA.Modo,BM.AFAcumulado,BM.MEDAcumulado),IF(AND(RegimeExecucao="Global",$I257&gt;0,COUNTIF($AB$13:$AM$13,BM.medicao)&gt;0),O257/$I257*100,0))</f>
        <v>0</v>
      </c>
      <c r="M257" s="425">
        <f ca="1">IF($A257="S",VTOTALBM,IF($A257=0,0,ROUND(SomaAgrupBM,15-13*ORÇAMENTO!$AF$11)))</f>
        <v>0</v>
      </c>
      <c r="N257" s="426">
        <f t="shared" ca="1" si="32"/>
        <v>0</v>
      </c>
      <c r="O257" s="150">
        <f ca="1">IF($A257="S",VTOTALBM,IF($A257=0,0,ROUND(SomaAgrupBM,15-13*ORÇAMENTO!$AF$11)))</f>
        <v>0</v>
      </c>
      <c r="Q257" s="427"/>
      <c r="R257" s="428"/>
      <c r="T257" s="142" t="str">
        <f t="shared" ca="1" si="33"/>
        <v/>
      </c>
      <c r="U257" s="202" t="str">
        <f t="shared" ca="1" si="34"/>
        <v/>
      </c>
      <c r="V257" s="203" t="str">
        <f ca="1">IF(AND($W257&gt;0,RegimeExecucao="Unitário"),$F257,"")</f>
        <v/>
      </c>
      <c r="W257" s="629">
        <f ca="1">IF($Y257&gt;0,CHOOSE(MATCH(RegimeExecucao,{"Unitário","Global"},0),IF($A257="S",$Y257/$X257,""),($Y257/$X257)*100),0)</f>
        <v>0</v>
      </c>
      <c r="X257" s="429" t="str">
        <f ca="1">IF($Y257&gt;0,CHOOSE(MATCH(RegimeExecucao,{"Unitário","Global"},0),IF($A257="S",ROUND($H257,ORÇAMENTO!$AF$10),""),ROUND($I257,ORÇAMENTO!$AF$11)),"")</f>
        <v/>
      </c>
      <c r="Y257" s="429">
        <f t="shared" ca="1" si="35"/>
        <v>0</v>
      </c>
      <c r="Z257" s="656"/>
      <c r="AB257" s="427"/>
      <c r="AC257" s="594"/>
      <c r="AD257" s="594"/>
      <c r="AE257" s="594"/>
      <c r="AF257" s="594"/>
      <c r="AG257" s="594"/>
      <c r="AH257" s="594"/>
      <c r="AI257" s="594"/>
      <c r="AJ257" s="594"/>
      <c r="AK257" s="594"/>
      <c r="AL257" s="594"/>
      <c r="AM257" s="428"/>
      <c r="AO257">
        <f ca="1">IF($A257="S",IF(BM!$I257=0,0,CHOOSE(MATCH(RegimeExecucao,{"Global","Unitário"},0),ROUND(ROUND(BM.MEDAcumulado,15-13*BM!$A$9)/100*BM!$I257,15-13*ORÇAMENTO!$AF$11),ROUND(ROUND(BM.MEDAcumulado,15-13*BM!$A$9)*ROUND(BM!$H257,15-13*ORÇAMENTO!$AF$10),15-13*ORÇAMENTO!$AF$11))),IF($A257=0,0,ROUND(SomaAgrupBM,15-13*ORÇAMENTO!$AF$11)))</f>
        <v>0</v>
      </c>
    </row>
    <row r="258" spans="1:41" ht="13.8">
      <c r="A258" t="str">
        <f ca="1">ORÇAMENTO!C258</f>
        <v>S</v>
      </c>
      <c r="B258">
        <f ca="1">ORÇAMENTO!D258</f>
        <v>0</v>
      </c>
      <c r="C258" s="139" t="str">
        <f t="shared" ca="1" si="29"/>
        <v/>
      </c>
      <c r="D258" s="142" t="str">
        <f ca="1">ORÇAMENTO!O258</f>
        <v>-</v>
      </c>
      <c r="E258" s="202" t="str">
        <f t="shared" ca="1" si="30"/>
        <v>(abra o arquivo 'Referência 11-2024.xlsm)</v>
      </c>
      <c r="F258" s="203" t="str">
        <f ca="1">IF(RegimeExecucao="Global","",ORÇAMENTO.Unidade)</f>
        <v/>
      </c>
      <c r="G258" s="147" t="str">
        <f ca="1">IF(RegimeExecucao="Global","",ORÇAMENTO!T258)</f>
        <v/>
      </c>
      <c r="H258" s="147" t="str">
        <f ca="1">IF(RegimeExecucao="Global","",ORÇAMENTO!W258)</f>
        <v/>
      </c>
      <c r="I258" s="150">
        <f ca="1">ORÇAMENTO!X258</f>
        <v>0</v>
      </c>
      <c r="J258" s="423">
        <f ca="1">IF($A258="S",IF(CAIXA.Modo,BM.AFAnterior,BM.MEDAnterior),IF(AND(RegimeExecucao="Global",$I258&gt;0,COUNTIF($AB$13:$AM$13,BM.medicao-1)&gt;0),M258/$I258*100,0))</f>
        <v>0</v>
      </c>
      <c r="K258" s="147">
        <f t="shared" ca="1" si="31"/>
        <v>0</v>
      </c>
      <c r="L258" s="424">
        <f ca="1">IF($A258="S",IF(CAIXA.Modo,BM.AFAcumulado,BM.MEDAcumulado),IF(AND(RegimeExecucao="Global",$I258&gt;0,COUNTIF($AB$13:$AM$13,BM.medicao)&gt;0),O258/$I258*100,0))</f>
        <v>0</v>
      </c>
      <c r="M258" s="425">
        <f ca="1">IF($A258="S",VTOTALBM,IF($A258=0,0,ROUND(SomaAgrupBM,15-13*ORÇAMENTO!$AF$11)))</f>
        <v>0</v>
      </c>
      <c r="N258" s="426">
        <f t="shared" ca="1" si="32"/>
        <v>0</v>
      </c>
      <c r="O258" s="150">
        <f ca="1">IF($A258="S",VTOTALBM,IF($A258=0,0,ROUND(SomaAgrupBM,15-13*ORÇAMENTO!$AF$11)))</f>
        <v>0</v>
      </c>
      <c r="Q258" s="427"/>
      <c r="R258" s="428"/>
      <c r="T258" s="142" t="str">
        <f t="shared" ca="1" si="33"/>
        <v/>
      </c>
      <c r="U258" s="202" t="str">
        <f t="shared" ca="1" si="34"/>
        <v/>
      </c>
      <c r="V258" s="203" t="str">
        <f ca="1">IF(AND($W258&gt;0,RegimeExecucao="Unitário"),$F258,"")</f>
        <v/>
      </c>
      <c r="W258" s="629">
        <f ca="1">IF($Y258&gt;0,CHOOSE(MATCH(RegimeExecucao,{"Unitário","Global"},0),IF($A258="S",$Y258/$X258,""),($Y258/$X258)*100),0)</f>
        <v>0</v>
      </c>
      <c r="X258" s="429" t="str">
        <f ca="1">IF($Y258&gt;0,CHOOSE(MATCH(RegimeExecucao,{"Unitário","Global"},0),IF($A258="S",ROUND($H258,ORÇAMENTO!$AF$10),""),ROUND($I258,ORÇAMENTO!$AF$11)),"")</f>
        <v/>
      </c>
      <c r="Y258" s="429">
        <f t="shared" ca="1" si="35"/>
        <v>0</v>
      </c>
      <c r="Z258" s="656"/>
      <c r="AB258" s="427"/>
      <c r="AC258" s="594"/>
      <c r="AD258" s="594"/>
      <c r="AE258" s="594"/>
      <c r="AF258" s="594"/>
      <c r="AG258" s="594"/>
      <c r="AH258" s="594"/>
      <c r="AI258" s="594"/>
      <c r="AJ258" s="594"/>
      <c r="AK258" s="594"/>
      <c r="AL258" s="594"/>
      <c r="AM258" s="428"/>
      <c r="AO258">
        <f ca="1">IF($A258="S",IF(BM!$I258=0,0,CHOOSE(MATCH(RegimeExecucao,{"Global","Unitário"},0),ROUND(ROUND(BM.MEDAcumulado,15-13*BM!$A$9)/100*BM!$I258,15-13*ORÇAMENTO!$AF$11),ROUND(ROUND(BM.MEDAcumulado,15-13*BM!$A$9)*ROUND(BM!$H258,15-13*ORÇAMENTO!$AF$10),15-13*ORÇAMENTO!$AF$11))),IF($A258=0,0,ROUND(SomaAgrupBM,15-13*ORÇAMENTO!$AF$11)))</f>
        <v>0</v>
      </c>
    </row>
    <row r="259" spans="1:41" ht="13.8">
      <c r="A259" t="str">
        <f ca="1">ORÇAMENTO!C259</f>
        <v>S</v>
      </c>
      <c r="B259">
        <f ca="1">ORÇAMENTO!D259</f>
        <v>0</v>
      </c>
      <c r="C259" s="139" t="str">
        <f t="shared" ca="1" si="29"/>
        <v/>
      </c>
      <c r="D259" s="142" t="str">
        <f ca="1">ORÇAMENTO!O259</f>
        <v>-</v>
      </c>
      <c r="E259" s="202" t="str">
        <f t="shared" ca="1" si="30"/>
        <v>(abra o arquivo 'Referência 11-2024.xlsm)</v>
      </c>
      <c r="F259" s="203" t="str">
        <f ca="1">IF(RegimeExecucao="Global","",ORÇAMENTO.Unidade)</f>
        <v/>
      </c>
      <c r="G259" s="147" t="str">
        <f ca="1">IF(RegimeExecucao="Global","",ORÇAMENTO!T259)</f>
        <v/>
      </c>
      <c r="H259" s="147" t="str">
        <f ca="1">IF(RegimeExecucao="Global","",ORÇAMENTO!W259)</f>
        <v/>
      </c>
      <c r="I259" s="150">
        <f ca="1">ORÇAMENTO!X259</f>
        <v>0</v>
      </c>
      <c r="J259" s="423">
        <f ca="1">IF($A259="S",IF(CAIXA.Modo,BM.AFAnterior,BM.MEDAnterior),IF(AND(RegimeExecucao="Global",$I259&gt;0,COUNTIF($AB$13:$AM$13,BM.medicao-1)&gt;0),M259/$I259*100,0))</f>
        <v>0</v>
      </c>
      <c r="K259" s="147">
        <f t="shared" ca="1" si="31"/>
        <v>0</v>
      </c>
      <c r="L259" s="424">
        <f ca="1">IF($A259="S",IF(CAIXA.Modo,BM.AFAcumulado,BM.MEDAcumulado),IF(AND(RegimeExecucao="Global",$I259&gt;0,COUNTIF($AB$13:$AM$13,BM.medicao)&gt;0),O259/$I259*100,0))</f>
        <v>0</v>
      </c>
      <c r="M259" s="425">
        <f ca="1">IF($A259="S",VTOTALBM,IF($A259=0,0,ROUND(SomaAgrupBM,15-13*ORÇAMENTO!$AF$11)))</f>
        <v>0</v>
      </c>
      <c r="N259" s="426">
        <f t="shared" ca="1" si="32"/>
        <v>0</v>
      </c>
      <c r="O259" s="150">
        <f ca="1">IF($A259="S",VTOTALBM,IF($A259=0,0,ROUND(SomaAgrupBM,15-13*ORÇAMENTO!$AF$11)))</f>
        <v>0</v>
      </c>
      <c r="Q259" s="427"/>
      <c r="R259" s="428"/>
      <c r="T259" s="142" t="str">
        <f t="shared" ca="1" si="33"/>
        <v/>
      </c>
      <c r="U259" s="202" t="str">
        <f t="shared" ca="1" si="34"/>
        <v/>
      </c>
      <c r="V259" s="203" t="str">
        <f ca="1">IF(AND($W259&gt;0,RegimeExecucao="Unitário"),$F259,"")</f>
        <v/>
      </c>
      <c r="W259" s="629">
        <f ca="1">IF($Y259&gt;0,CHOOSE(MATCH(RegimeExecucao,{"Unitário","Global"},0),IF($A259="S",$Y259/$X259,""),($Y259/$X259)*100),0)</f>
        <v>0</v>
      </c>
      <c r="X259" s="429" t="str">
        <f ca="1">IF($Y259&gt;0,CHOOSE(MATCH(RegimeExecucao,{"Unitário","Global"},0),IF($A259="S",ROUND($H259,ORÇAMENTO!$AF$10),""),ROUND($I259,ORÇAMENTO!$AF$11)),"")</f>
        <v/>
      </c>
      <c r="Y259" s="429">
        <f t="shared" ca="1" si="35"/>
        <v>0</v>
      </c>
      <c r="Z259" s="656"/>
      <c r="AB259" s="427"/>
      <c r="AC259" s="594"/>
      <c r="AD259" s="594"/>
      <c r="AE259" s="594"/>
      <c r="AF259" s="594"/>
      <c r="AG259" s="594"/>
      <c r="AH259" s="594"/>
      <c r="AI259" s="594"/>
      <c r="AJ259" s="594"/>
      <c r="AK259" s="594"/>
      <c r="AL259" s="594"/>
      <c r="AM259" s="428"/>
      <c r="AO259">
        <f ca="1">IF($A259="S",IF(BM!$I259=0,0,CHOOSE(MATCH(RegimeExecucao,{"Global","Unitário"},0),ROUND(ROUND(BM.MEDAcumulado,15-13*BM!$A$9)/100*BM!$I259,15-13*ORÇAMENTO!$AF$11),ROUND(ROUND(BM.MEDAcumulado,15-13*BM!$A$9)*ROUND(BM!$H259,15-13*ORÇAMENTO!$AF$10),15-13*ORÇAMENTO!$AF$11))),IF($A259=0,0,ROUND(SomaAgrupBM,15-13*ORÇAMENTO!$AF$11)))</f>
        <v>0</v>
      </c>
    </row>
    <row r="260" spans="1:41" ht="13.8">
      <c r="A260" t="str">
        <f ca="1">ORÇAMENTO!C260</f>
        <v>S</v>
      </c>
      <c r="B260">
        <f ca="1">ORÇAMENTO!D260</f>
        <v>0</v>
      </c>
      <c r="C260" s="139" t="str">
        <f t="shared" ca="1" si="29"/>
        <v/>
      </c>
      <c r="D260" s="142" t="str">
        <f ca="1">ORÇAMENTO!O260</f>
        <v>-</v>
      </c>
      <c r="E260" s="202" t="str">
        <f t="shared" ca="1" si="30"/>
        <v>(abra o arquivo 'Referência 11-2024.xlsm)</v>
      </c>
      <c r="F260" s="203" t="str">
        <f ca="1">IF(RegimeExecucao="Global","",ORÇAMENTO.Unidade)</f>
        <v/>
      </c>
      <c r="G260" s="147" t="str">
        <f ca="1">IF(RegimeExecucao="Global","",ORÇAMENTO!T260)</f>
        <v/>
      </c>
      <c r="H260" s="147" t="str">
        <f ca="1">IF(RegimeExecucao="Global","",ORÇAMENTO!W260)</f>
        <v/>
      </c>
      <c r="I260" s="150">
        <f ca="1">ORÇAMENTO!X260</f>
        <v>0</v>
      </c>
      <c r="J260" s="423">
        <f ca="1">IF($A260="S",IF(CAIXA.Modo,BM.AFAnterior,BM.MEDAnterior),IF(AND(RegimeExecucao="Global",$I260&gt;0,COUNTIF($AB$13:$AM$13,BM.medicao-1)&gt;0),M260/$I260*100,0))</f>
        <v>0</v>
      </c>
      <c r="K260" s="147">
        <f t="shared" ca="1" si="31"/>
        <v>0</v>
      </c>
      <c r="L260" s="424">
        <f ca="1">IF($A260="S",IF(CAIXA.Modo,BM.AFAcumulado,BM.MEDAcumulado),IF(AND(RegimeExecucao="Global",$I260&gt;0,COUNTIF($AB$13:$AM$13,BM.medicao)&gt;0),O260/$I260*100,0))</f>
        <v>0</v>
      </c>
      <c r="M260" s="425">
        <f ca="1">IF($A260="S",VTOTALBM,IF($A260=0,0,ROUND(SomaAgrupBM,15-13*ORÇAMENTO!$AF$11)))</f>
        <v>0</v>
      </c>
      <c r="N260" s="426">
        <f t="shared" ca="1" si="32"/>
        <v>0</v>
      </c>
      <c r="O260" s="150">
        <f ca="1">IF($A260="S",VTOTALBM,IF($A260=0,0,ROUND(SomaAgrupBM,15-13*ORÇAMENTO!$AF$11)))</f>
        <v>0</v>
      </c>
      <c r="Q260" s="427"/>
      <c r="R260" s="428"/>
      <c r="T260" s="142" t="str">
        <f t="shared" ca="1" si="33"/>
        <v/>
      </c>
      <c r="U260" s="202" t="str">
        <f t="shared" ca="1" si="34"/>
        <v/>
      </c>
      <c r="V260" s="203" t="str">
        <f ca="1">IF(AND($W260&gt;0,RegimeExecucao="Unitário"),$F260,"")</f>
        <v/>
      </c>
      <c r="W260" s="629">
        <f ca="1">IF($Y260&gt;0,CHOOSE(MATCH(RegimeExecucao,{"Unitário","Global"},0),IF($A260="S",$Y260/$X260,""),($Y260/$X260)*100),0)</f>
        <v>0</v>
      </c>
      <c r="X260" s="429" t="str">
        <f ca="1">IF($Y260&gt;0,CHOOSE(MATCH(RegimeExecucao,{"Unitário","Global"},0),IF($A260="S",ROUND($H260,ORÇAMENTO!$AF$10),""),ROUND($I260,ORÇAMENTO!$AF$11)),"")</f>
        <v/>
      </c>
      <c r="Y260" s="429">
        <f t="shared" ca="1" si="35"/>
        <v>0</v>
      </c>
      <c r="Z260" s="656"/>
      <c r="AB260" s="427"/>
      <c r="AC260" s="594"/>
      <c r="AD260" s="594"/>
      <c r="AE260" s="594"/>
      <c r="AF260" s="594"/>
      <c r="AG260" s="594"/>
      <c r="AH260" s="594"/>
      <c r="AI260" s="594"/>
      <c r="AJ260" s="594"/>
      <c r="AK260" s="594"/>
      <c r="AL260" s="594"/>
      <c r="AM260" s="428"/>
      <c r="AO260">
        <f ca="1">IF($A260="S",IF(BM!$I260=0,0,CHOOSE(MATCH(RegimeExecucao,{"Global","Unitário"},0),ROUND(ROUND(BM.MEDAcumulado,15-13*BM!$A$9)/100*BM!$I260,15-13*ORÇAMENTO!$AF$11),ROUND(ROUND(BM.MEDAcumulado,15-13*BM!$A$9)*ROUND(BM!$H260,15-13*ORÇAMENTO!$AF$10),15-13*ORÇAMENTO!$AF$11))),IF($A260=0,0,ROUND(SomaAgrupBM,15-13*ORÇAMENTO!$AF$11)))</f>
        <v>0</v>
      </c>
    </row>
    <row r="261" spans="1:41" ht="13.8">
      <c r="A261" t="str">
        <f ca="1">ORÇAMENTO!C261</f>
        <v>S</v>
      </c>
      <c r="B261">
        <f ca="1">ORÇAMENTO!D261</f>
        <v>0</v>
      </c>
      <c r="C261" s="139" t="str">
        <f t="shared" ca="1" si="29"/>
        <v/>
      </c>
      <c r="D261" s="142" t="str">
        <f ca="1">ORÇAMENTO!O261</f>
        <v>-</v>
      </c>
      <c r="E261" s="202" t="str">
        <f t="shared" ca="1" si="30"/>
        <v>(abra o arquivo 'Referência 11-2024.xlsm)</v>
      </c>
      <c r="F261" s="203" t="str">
        <f ca="1">IF(RegimeExecucao="Global","",ORÇAMENTO.Unidade)</f>
        <v/>
      </c>
      <c r="G261" s="147" t="str">
        <f ca="1">IF(RegimeExecucao="Global","",ORÇAMENTO!T261)</f>
        <v/>
      </c>
      <c r="H261" s="147" t="str">
        <f ca="1">IF(RegimeExecucao="Global","",ORÇAMENTO!W261)</f>
        <v/>
      </c>
      <c r="I261" s="150">
        <f ca="1">ORÇAMENTO!X261</f>
        <v>0</v>
      </c>
      <c r="J261" s="423">
        <f ca="1">IF($A261="S",IF(CAIXA.Modo,BM.AFAnterior,BM.MEDAnterior),IF(AND(RegimeExecucao="Global",$I261&gt;0,COUNTIF($AB$13:$AM$13,BM.medicao-1)&gt;0),M261/$I261*100,0))</f>
        <v>0</v>
      </c>
      <c r="K261" s="147">
        <f t="shared" ca="1" si="31"/>
        <v>0</v>
      </c>
      <c r="L261" s="424">
        <f ca="1">IF($A261="S",IF(CAIXA.Modo,BM.AFAcumulado,BM.MEDAcumulado),IF(AND(RegimeExecucao="Global",$I261&gt;0,COUNTIF($AB$13:$AM$13,BM.medicao)&gt;0),O261/$I261*100,0))</f>
        <v>0</v>
      </c>
      <c r="M261" s="425">
        <f ca="1">IF($A261="S",VTOTALBM,IF($A261=0,0,ROUND(SomaAgrupBM,15-13*ORÇAMENTO!$AF$11)))</f>
        <v>0</v>
      </c>
      <c r="N261" s="426">
        <f t="shared" ca="1" si="32"/>
        <v>0</v>
      </c>
      <c r="O261" s="150">
        <f ca="1">IF($A261="S",VTOTALBM,IF($A261=0,0,ROUND(SomaAgrupBM,15-13*ORÇAMENTO!$AF$11)))</f>
        <v>0</v>
      </c>
      <c r="Q261" s="427"/>
      <c r="R261" s="428"/>
      <c r="T261" s="142" t="str">
        <f t="shared" ca="1" si="33"/>
        <v/>
      </c>
      <c r="U261" s="202" t="str">
        <f t="shared" ca="1" si="34"/>
        <v/>
      </c>
      <c r="V261" s="203" t="str">
        <f ca="1">IF(AND($W261&gt;0,RegimeExecucao="Unitário"),$F261,"")</f>
        <v/>
      </c>
      <c r="W261" s="629">
        <f ca="1">IF($Y261&gt;0,CHOOSE(MATCH(RegimeExecucao,{"Unitário","Global"},0),IF($A261="S",$Y261/$X261,""),($Y261/$X261)*100),0)</f>
        <v>0</v>
      </c>
      <c r="X261" s="429" t="str">
        <f ca="1">IF($Y261&gt;0,CHOOSE(MATCH(RegimeExecucao,{"Unitário","Global"},0),IF($A261="S",ROUND($H261,ORÇAMENTO!$AF$10),""),ROUND($I261,ORÇAMENTO!$AF$11)),"")</f>
        <v/>
      </c>
      <c r="Y261" s="429">
        <f t="shared" ca="1" si="35"/>
        <v>0</v>
      </c>
      <c r="Z261" s="656"/>
      <c r="AB261" s="427"/>
      <c r="AC261" s="594"/>
      <c r="AD261" s="594"/>
      <c r="AE261" s="594"/>
      <c r="AF261" s="594"/>
      <c r="AG261" s="594"/>
      <c r="AH261" s="594"/>
      <c r="AI261" s="594"/>
      <c r="AJ261" s="594"/>
      <c r="AK261" s="594"/>
      <c r="AL261" s="594"/>
      <c r="AM261" s="428"/>
      <c r="AO261">
        <f ca="1">IF($A261="S",IF(BM!$I261=0,0,CHOOSE(MATCH(RegimeExecucao,{"Global","Unitário"},0),ROUND(ROUND(BM.MEDAcumulado,15-13*BM!$A$9)/100*BM!$I261,15-13*ORÇAMENTO!$AF$11),ROUND(ROUND(BM.MEDAcumulado,15-13*BM!$A$9)*ROUND(BM!$H261,15-13*ORÇAMENTO!$AF$10),15-13*ORÇAMENTO!$AF$11))),IF($A261=0,0,ROUND(SomaAgrupBM,15-13*ORÇAMENTO!$AF$11)))</f>
        <v>0</v>
      </c>
    </row>
    <row r="262" spans="1:41" ht="13.8">
      <c r="A262" t="str">
        <f ca="1">ORÇAMENTO!C262</f>
        <v>S</v>
      </c>
      <c r="B262">
        <f ca="1">ORÇAMENTO!D262</f>
        <v>0</v>
      </c>
      <c r="C262" s="139" t="str">
        <f t="shared" ca="1" si="29"/>
        <v/>
      </c>
      <c r="D262" s="142" t="str">
        <f ca="1">ORÇAMENTO!O262</f>
        <v>-</v>
      </c>
      <c r="E262" s="202" t="str">
        <f t="shared" ca="1" si="30"/>
        <v>(abra o arquivo 'Referência 11-2024.xlsm)</v>
      </c>
      <c r="F262" s="203" t="str">
        <f ca="1">IF(RegimeExecucao="Global","",ORÇAMENTO.Unidade)</f>
        <v/>
      </c>
      <c r="G262" s="147" t="str">
        <f ca="1">IF(RegimeExecucao="Global","",ORÇAMENTO!T262)</f>
        <v/>
      </c>
      <c r="H262" s="147" t="str">
        <f ca="1">IF(RegimeExecucao="Global","",ORÇAMENTO!W262)</f>
        <v/>
      </c>
      <c r="I262" s="150">
        <f ca="1">ORÇAMENTO!X262</f>
        <v>0</v>
      </c>
      <c r="J262" s="423">
        <f ca="1">IF($A262="S",IF(CAIXA.Modo,BM.AFAnterior,BM.MEDAnterior),IF(AND(RegimeExecucao="Global",$I262&gt;0,COUNTIF($AB$13:$AM$13,BM.medicao-1)&gt;0),M262/$I262*100,0))</f>
        <v>0</v>
      </c>
      <c r="K262" s="147">
        <f t="shared" ca="1" si="31"/>
        <v>0</v>
      </c>
      <c r="L262" s="424">
        <f ca="1">IF($A262="S",IF(CAIXA.Modo,BM.AFAcumulado,BM.MEDAcumulado),IF(AND(RegimeExecucao="Global",$I262&gt;0,COUNTIF($AB$13:$AM$13,BM.medicao)&gt;0),O262/$I262*100,0))</f>
        <v>0</v>
      </c>
      <c r="M262" s="425">
        <f ca="1">IF($A262="S",VTOTALBM,IF($A262=0,0,ROUND(SomaAgrupBM,15-13*ORÇAMENTO!$AF$11)))</f>
        <v>0</v>
      </c>
      <c r="N262" s="426">
        <f t="shared" ca="1" si="32"/>
        <v>0</v>
      </c>
      <c r="O262" s="150">
        <f ca="1">IF($A262="S",VTOTALBM,IF($A262=0,0,ROUND(SomaAgrupBM,15-13*ORÇAMENTO!$AF$11)))</f>
        <v>0</v>
      </c>
      <c r="Q262" s="427"/>
      <c r="R262" s="428"/>
      <c r="T262" s="142" t="str">
        <f t="shared" ca="1" si="33"/>
        <v/>
      </c>
      <c r="U262" s="202" t="str">
        <f t="shared" ca="1" si="34"/>
        <v/>
      </c>
      <c r="V262" s="203" t="str">
        <f ca="1">IF(AND($W262&gt;0,RegimeExecucao="Unitário"),$F262,"")</f>
        <v/>
      </c>
      <c r="W262" s="629">
        <f ca="1">IF($Y262&gt;0,CHOOSE(MATCH(RegimeExecucao,{"Unitário","Global"},0),IF($A262="S",$Y262/$X262,""),($Y262/$X262)*100),0)</f>
        <v>0</v>
      </c>
      <c r="X262" s="429" t="str">
        <f ca="1">IF($Y262&gt;0,CHOOSE(MATCH(RegimeExecucao,{"Unitário","Global"},0),IF($A262="S",ROUND($H262,ORÇAMENTO!$AF$10),""),ROUND($I262,ORÇAMENTO!$AF$11)),"")</f>
        <v/>
      </c>
      <c r="Y262" s="429">
        <f t="shared" ca="1" si="35"/>
        <v>0</v>
      </c>
      <c r="Z262" s="656"/>
      <c r="AB262" s="427"/>
      <c r="AC262" s="594"/>
      <c r="AD262" s="594"/>
      <c r="AE262" s="594"/>
      <c r="AF262" s="594"/>
      <c r="AG262" s="594"/>
      <c r="AH262" s="594"/>
      <c r="AI262" s="594"/>
      <c r="AJ262" s="594"/>
      <c r="AK262" s="594"/>
      <c r="AL262" s="594"/>
      <c r="AM262" s="428"/>
      <c r="AO262">
        <f ca="1">IF($A262="S",IF(BM!$I262=0,0,CHOOSE(MATCH(RegimeExecucao,{"Global","Unitário"},0),ROUND(ROUND(BM.MEDAcumulado,15-13*BM!$A$9)/100*BM!$I262,15-13*ORÇAMENTO!$AF$11),ROUND(ROUND(BM.MEDAcumulado,15-13*BM!$A$9)*ROUND(BM!$H262,15-13*ORÇAMENTO!$AF$10),15-13*ORÇAMENTO!$AF$11))),IF($A262=0,0,ROUND(SomaAgrupBM,15-13*ORÇAMENTO!$AF$11)))</f>
        <v>0</v>
      </c>
    </row>
    <row r="263" spans="1:41" ht="13.8">
      <c r="A263" t="str">
        <f ca="1">ORÇAMENTO!C263</f>
        <v>S</v>
      </c>
      <c r="B263">
        <f ca="1">ORÇAMENTO!D263</f>
        <v>0</v>
      </c>
      <c r="C263" s="139" t="str">
        <f t="shared" ca="1" si="29"/>
        <v/>
      </c>
      <c r="D263" s="142" t="str">
        <f ca="1">ORÇAMENTO!O263</f>
        <v>-</v>
      </c>
      <c r="E263" s="202" t="str">
        <f t="shared" ca="1" si="30"/>
        <v>(abra o arquivo 'Referência 11-2024.xlsm)</v>
      </c>
      <c r="F263" s="203" t="str">
        <f ca="1">IF(RegimeExecucao="Global","",ORÇAMENTO.Unidade)</f>
        <v/>
      </c>
      <c r="G263" s="147" t="str">
        <f ca="1">IF(RegimeExecucao="Global","",ORÇAMENTO!T263)</f>
        <v/>
      </c>
      <c r="H263" s="147" t="str">
        <f ca="1">IF(RegimeExecucao="Global","",ORÇAMENTO!W263)</f>
        <v/>
      </c>
      <c r="I263" s="150">
        <f ca="1">ORÇAMENTO!X263</f>
        <v>0</v>
      </c>
      <c r="J263" s="423">
        <f ca="1">IF($A263="S",IF(CAIXA.Modo,BM.AFAnterior,BM.MEDAnterior),IF(AND(RegimeExecucao="Global",$I263&gt;0,COUNTIF($AB$13:$AM$13,BM.medicao-1)&gt;0),M263/$I263*100,0))</f>
        <v>0</v>
      </c>
      <c r="K263" s="147">
        <f t="shared" ca="1" si="31"/>
        <v>0</v>
      </c>
      <c r="L263" s="424">
        <f ca="1">IF($A263="S",IF(CAIXA.Modo,BM.AFAcumulado,BM.MEDAcumulado),IF(AND(RegimeExecucao="Global",$I263&gt;0,COUNTIF($AB$13:$AM$13,BM.medicao)&gt;0),O263/$I263*100,0))</f>
        <v>0</v>
      </c>
      <c r="M263" s="425">
        <f ca="1">IF($A263="S",VTOTALBM,IF($A263=0,0,ROUND(SomaAgrupBM,15-13*ORÇAMENTO!$AF$11)))</f>
        <v>0</v>
      </c>
      <c r="N263" s="426">
        <f t="shared" ca="1" si="32"/>
        <v>0</v>
      </c>
      <c r="O263" s="150">
        <f ca="1">IF($A263="S",VTOTALBM,IF($A263=0,0,ROUND(SomaAgrupBM,15-13*ORÇAMENTO!$AF$11)))</f>
        <v>0</v>
      </c>
      <c r="Q263" s="427"/>
      <c r="R263" s="428"/>
      <c r="T263" s="142" t="str">
        <f t="shared" ca="1" si="33"/>
        <v/>
      </c>
      <c r="U263" s="202" t="str">
        <f t="shared" ca="1" si="34"/>
        <v/>
      </c>
      <c r="V263" s="203" t="str">
        <f ca="1">IF(AND($W263&gt;0,RegimeExecucao="Unitário"),$F263,"")</f>
        <v/>
      </c>
      <c r="W263" s="629">
        <f ca="1">IF($Y263&gt;0,CHOOSE(MATCH(RegimeExecucao,{"Unitário","Global"},0),IF($A263="S",$Y263/$X263,""),($Y263/$X263)*100),0)</f>
        <v>0</v>
      </c>
      <c r="X263" s="429" t="str">
        <f ca="1">IF($Y263&gt;0,CHOOSE(MATCH(RegimeExecucao,{"Unitário","Global"},0),IF($A263="S",ROUND($H263,ORÇAMENTO!$AF$10),""),ROUND($I263,ORÇAMENTO!$AF$11)),"")</f>
        <v/>
      </c>
      <c r="Y263" s="429">
        <f t="shared" ca="1" si="35"/>
        <v>0</v>
      </c>
      <c r="Z263" s="656"/>
      <c r="AB263" s="427"/>
      <c r="AC263" s="594"/>
      <c r="AD263" s="594"/>
      <c r="AE263" s="594"/>
      <c r="AF263" s="594"/>
      <c r="AG263" s="594"/>
      <c r="AH263" s="594"/>
      <c r="AI263" s="594"/>
      <c r="AJ263" s="594"/>
      <c r="AK263" s="594"/>
      <c r="AL263" s="594"/>
      <c r="AM263" s="428"/>
      <c r="AO263">
        <f ca="1">IF($A263="S",IF(BM!$I263=0,0,CHOOSE(MATCH(RegimeExecucao,{"Global","Unitário"},0),ROUND(ROUND(BM.MEDAcumulado,15-13*BM!$A$9)/100*BM!$I263,15-13*ORÇAMENTO!$AF$11),ROUND(ROUND(BM.MEDAcumulado,15-13*BM!$A$9)*ROUND(BM!$H263,15-13*ORÇAMENTO!$AF$10),15-13*ORÇAMENTO!$AF$11))),IF($A263=0,0,ROUND(SomaAgrupBM,15-13*ORÇAMENTO!$AF$11)))</f>
        <v>0</v>
      </c>
    </row>
    <row r="264" spans="1:41" ht="5.0999999999999996" customHeight="1">
      <c r="C264" s="139" t="s">
        <v>246</v>
      </c>
      <c r="D264" s="562"/>
      <c r="E264" s="559"/>
      <c r="F264" s="559"/>
      <c r="G264" s="559"/>
      <c r="H264" s="559"/>
      <c r="I264" s="560"/>
      <c r="J264" s="562"/>
      <c r="K264" s="559"/>
      <c r="L264" s="560"/>
      <c r="M264" s="591"/>
      <c r="N264" s="592"/>
      <c r="O264" s="593"/>
      <c r="Q264" s="562"/>
      <c r="R264" s="560"/>
      <c r="T264" s="562"/>
      <c r="U264" s="559"/>
      <c r="V264" s="559"/>
      <c r="W264" s="559"/>
      <c r="X264" s="559"/>
      <c r="Y264" s="559"/>
      <c r="Z264" s="560"/>
      <c r="AB264" s="562"/>
      <c r="AC264" s="559"/>
      <c r="AD264" s="559"/>
      <c r="AE264" s="559"/>
      <c r="AF264" s="559"/>
      <c r="AG264" s="559"/>
      <c r="AH264" s="559"/>
      <c r="AI264" s="559"/>
      <c r="AJ264" s="559"/>
      <c r="AK264" s="559"/>
      <c r="AL264" s="559"/>
      <c r="AM264" s="560"/>
    </row>
    <row r="265" spans="1:41">
      <c r="D265" s="101"/>
      <c r="E265" s="101"/>
      <c r="F265" s="101"/>
      <c r="G265" s="101"/>
      <c r="H265" s="101"/>
      <c r="I265" s="101"/>
      <c r="J265" s="101"/>
      <c r="K265" s="101"/>
      <c r="L265" s="101"/>
      <c r="M265" s="101"/>
      <c r="N265" s="101"/>
      <c r="O265" s="101"/>
    </row>
    <row r="266" spans="1:41" ht="13.8">
      <c r="C266" s="100"/>
      <c r="D266" s="779" t="s">
        <v>187</v>
      </c>
      <c r="E266" s="779"/>
      <c r="F266" s="779"/>
      <c r="G266" s="779"/>
      <c r="H266" s="779"/>
      <c r="I266" s="779"/>
      <c r="J266" s="779"/>
      <c r="K266" s="779"/>
      <c r="L266" s="779"/>
      <c r="M266" s="779"/>
      <c r="N266" s="779"/>
      <c r="O266" s="779"/>
      <c r="T266" s="780" t="s">
        <v>353</v>
      </c>
      <c r="U266" s="780"/>
      <c r="V266" s="780"/>
      <c r="W266" s="780"/>
      <c r="X266" s="780"/>
      <c r="Y266" s="780"/>
      <c r="Z266" s="780"/>
    </row>
    <row r="267" spans="1:41" ht="12.75" customHeight="1">
      <c r="C267" s="100"/>
      <c r="D267" s="707"/>
      <c r="E267" s="707"/>
      <c r="F267" s="707"/>
      <c r="G267" s="707"/>
      <c r="H267" s="707"/>
      <c r="I267" s="707"/>
      <c r="J267" s="707"/>
      <c r="K267" s="707"/>
      <c r="L267" s="707"/>
      <c r="M267" s="707"/>
      <c r="N267" s="707"/>
      <c r="O267" s="707"/>
      <c r="T267" s="781"/>
      <c r="U267" s="781"/>
      <c r="V267" s="781"/>
      <c r="W267" s="781"/>
      <c r="X267" s="781"/>
      <c r="Y267" s="781"/>
      <c r="Z267" s="781"/>
    </row>
    <row r="268" spans="1:41" ht="12.75" customHeight="1">
      <c r="C268" s="100"/>
      <c r="D268" s="707"/>
      <c r="E268" s="707"/>
      <c r="F268" s="707"/>
      <c r="G268" s="707"/>
      <c r="H268" s="707"/>
      <c r="I268" s="707"/>
      <c r="J268" s="707"/>
      <c r="K268" s="707"/>
      <c r="L268" s="707"/>
      <c r="M268" s="707"/>
      <c r="N268" s="707"/>
      <c r="O268" s="707"/>
      <c r="T268" s="781"/>
      <c r="U268" s="781"/>
      <c r="V268" s="781"/>
      <c r="W268" s="781"/>
      <c r="X268" s="781"/>
      <c r="Y268" s="781"/>
      <c r="Z268" s="781"/>
    </row>
    <row r="269" spans="1:41" ht="12.75" customHeight="1">
      <c r="C269" s="100"/>
      <c r="D269" s="707"/>
      <c r="E269" s="707"/>
      <c r="F269" s="707"/>
      <c r="G269" s="707"/>
      <c r="H269" s="707"/>
      <c r="I269" s="707"/>
      <c r="J269" s="707"/>
      <c r="K269" s="707"/>
      <c r="L269" s="707"/>
      <c r="M269" s="707"/>
      <c r="N269" s="707"/>
      <c r="O269" s="707"/>
      <c r="T269" s="781"/>
      <c r="U269" s="781"/>
      <c r="V269" s="781"/>
      <c r="W269" s="781"/>
      <c r="X269" s="781"/>
      <c r="Y269" s="781"/>
      <c r="Z269" s="781"/>
    </row>
    <row r="270" spans="1:41" ht="13.8">
      <c r="C270" s="100"/>
      <c r="D270" s="614"/>
      <c r="E270" s="614"/>
      <c r="F270" s="614"/>
      <c r="G270" s="614"/>
      <c r="H270" s="614"/>
      <c r="I270" s="614"/>
      <c r="J270" s="614"/>
      <c r="K270" s="614"/>
      <c r="L270" s="614"/>
      <c r="M270" s="614"/>
      <c r="N270" s="614"/>
      <c r="O270" s="614"/>
    </row>
    <row r="271" spans="1:41" ht="15" customHeight="1">
      <c r="C271" s="100"/>
      <c r="D271" s="708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271" s="708"/>
      <c r="F271" s="708"/>
      <c r="G271" s="708"/>
      <c r="H271" s="708"/>
      <c r="I271" s="708"/>
      <c r="J271" s="708"/>
      <c r="K271" s="708"/>
      <c r="L271" s="708"/>
    </row>
    <row r="272" spans="1:41">
      <c r="C272" s="100"/>
      <c r="D272" s="777"/>
      <c r="E272" s="777"/>
      <c r="F272" s="777"/>
      <c r="G272" s="777"/>
      <c r="H272" s="777"/>
      <c r="I272" s="777"/>
    </row>
    <row r="273" spans="3:26">
      <c r="C273" s="100"/>
      <c r="D273" s="784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273" s="784"/>
      <c r="F273" s="784"/>
      <c r="G273" s="784"/>
      <c r="H273" s="784"/>
      <c r="I273" s="784"/>
      <c r="J273" s="784"/>
      <c r="K273" s="784"/>
      <c r="L273" s="784"/>
      <c r="M273" s="784"/>
      <c r="N273" s="784"/>
      <c r="O273" s="784"/>
    </row>
    <row r="274" spans="3:26" ht="39.9" customHeight="1">
      <c r="C274" s="100"/>
      <c r="E274" s="170" t="str">
        <f>Import.Município</f>
        <v>PONTAL - SP</v>
      </c>
      <c r="J274" s="785"/>
      <c r="K274" s="785"/>
      <c r="L274" s="785"/>
      <c r="M274" s="785"/>
      <c r="N274" s="100"/>
      <c r="O274" s="100"/>
      <c r="W274" s="785"/>
      <c r="X274" s="785"/>
      <c r="Y274" s="785"/>
      <c r="Z274" s="785"/>
    </row>
    <row r="275" spans="3:26">
      <c r="C275" s="100"/>
      <c r="E275" s="12" t="s">
        <v>188</v>
      </c>
      <c r="J275" s="225" t="s">
        <v>302</v>
      </c>
      <c r="K275" s="100"/>
      <c r="L275" s="100"/>
      <c r="M275" s="100"/>
      <c r="N275" s="100"/>
      <c r="O275" s="100"/>
      <c r="W275" s="225" t="s">
        <v>354</v>
      </c>
      <c r="X275" s="100"/>
      <c r="Y275" s="100"/>
      <c r="Z275" s="100"/>
    </row>
    <row r="276" spans="3:26">
      <c r="C276" s="100"/>
      <c r="E276" s="100"/>
      <c r="J276" s="90" t="s">
        <v>108</v>
      </c>
      <c r="K276" s="349" t="str">
        <f t="array" ref="K276:K279">Import.RespFiscalização</f>
        <v>ÉDIO QUARANTA JÚNIOR</v>
      </c>
      <c r="L276" s="91"/>
      <c r="M276" s="100"/>
      <c r="N276" s="100"/>
      <c r="O276" s="100"/>
      <c r="W276" s="90" t="s">
        <v>108</v>
      </c>
      <c r="X276" s="783"/>
      <c r="Y276" s="783"/>
      <c r="Z276" s="783"/>
    </row>
    <row r="277" spans="3:26">
      <c r="C277" s="100"/>
      <c r="E277" s="634">
        <f ca="1">DADOS!$F$48</f>
        <v>45797</v>
      </c>
      <c r="J277" s="90" t="s">
        <v>127</v>
      </c>
      <c r="K277" s="349" t="str">
        <v>ENGENHEIRO CIVIL</v>
      </c>
      <c r="L277" s="91"/>
      <c r="M277" s="100"/>
      <c r="N277" s="100"/>
      <c r="O277" s="100"/>
      <c r="W277" s="90" t="s">
        <v>355</v>
      </c>
      <c r="X277" s="783"/>
      <c r="Y277" s="783"/>
      <c r="Z277" s="783"/>
    </row>
    <row r="278" spans="3:26">
      <c r="C278" s="100"/>
      <c r="E278" s="173" t="s">
        <v>189</v>
      </c>
      <c r="J278" s="90" t="s">
        <v>109</v>
      </c>
      <c r="K278" s="349" t="str">
        <v>0600870441</v>
      </c>
      <c r="L278" s="91"/>
      <c r="M278" s="100"/>
      <c r="N278" s="100"/>
      <c r="O278" s="100"/>
      <c r="W278" s="90" t="s">
        <v>109</v>
      </c>
      <c r="X278" s="783"/>
      <c r="Y278" s="783"/>
      <c r="Z278" s="783"/>
    </row>
    <row r="279" spans="3:26">
      <c r="J279" s="90" t="s">
        <v>110</v>
      </c>
      <c r="K279" s="350">
        <v>0</v>
      </c>
      <c r="W279" s="90"/>
      <c r="X279" s="350"/>
    </row>
  </sheetData>
  <sheetProtection password="BD1F" sheet="1" objects="1" scenarios="1" autoFilter="0"/>
  <autoFilter ref="C15:C264"/>
  <mergeCells count="35">
    <mergeCell ref="X278:Z278"/>
    <mergeCell ref="D273:O273"/>
    <mergeCell ref="J274:M274"/>
    <mergeCell ref="W274:Z274"/>
    <mergeCell ref="X276:Z276"/>
    <mergeCell ref="X277:Z277"/>
    <mergeCell ref="D271:L271"/>
    <mergeCell ref="D272:I272"/>
    <mergeCell ref="AB15:AM15"/>
    <mergeCell ref="D266:O266"/>
    <mergeCell ref="T266:Z266"/>
    <mergeCell ref="D267:O269"/>
    <mergeCell ref="T267:Z269"/>
    <mergeCell ref="D15:E15"/>
    <mergeCell ref="AB11:AM11"/>
    <mergeCell ref="J12:L12"/>
    <mergeCell ref="M12:O12"/>
    <mergeCell ref="Q12:R12"/>
    <mergeCell ref="F7:H7"/>
    <mergeCell ref="I7:L7"/>
    <mergeCell ref="M7:N7"/>
    <mergeCell ref="T11:U11"/>
    <mergeCell ref="C8:C12"/>
    <mergeCell ref="F8:H8"/>
    <mergeCell ref="I8:L8"/>
    <mergeCell ref="M8:N8"/>
    <mergeCell ref="E10:I11"/>
    <mergeCell ref="N10:O11"/>
    <mergeCell ref="D5:E5"/>
    <mergeCell ref="F5:H5"/>
    <mergeCell ref="J5:N5"/>
    <mergeCell ref="A3:B3"/>
    <mergeCell ref="D4:E4"/>
    <mergeCell ref="F4:H4"/>
    <mergeCell ref="J4:N4"/>
  </mergeCells>
  <phoneticPr fontId="38" type="noConversion"/>
  <conditionalFormatting sqref="D14:O14 T14:Z14 D16:O40 T16:Z40">
    <cfRule type="expression" dxfId="147" priority="2433" stopIfTrue="1">
      <formula>OR(ACOMPANHAMENTO="PLE",TIPOORCAMENTO="Proposto",$L14&lt;0,AND($L14&gt;100,RegimeExecucao="Global"),$O14&gt;$I14,$O14&lt;0)</formula>
    </cfRule>
    <cfRule type="expression" dxfId="146" priority="2434" stopIfTrue="1">
      <formula>$A14=1</formula>
    </cfRule>
    <cfRule type="expression" dxfId="145" priority="2435" stopIfTrue="1">
      <formula>$A14&lt;&gt;"S"</formula>
    </cfRule>
  </conditionalFormatting>
  <conditionalFormatting sqref="Q14:R14 AB14:AM14 Q16:R40 AB16:AM40">
    <cfRule type="expression" dxfId="144" priority="2436" stopIfTrue="1">
      <formula>$A14=1</formula>
    </cfRule>
    <cfRule type="expression" dxfId="143" priority="2437" stopIfTrue="1">
      <formula>$A14&lt;&gt;"S"</formula>
    </cfRule>
  </conditionalFormatting>
  <conditionalFormatting sqref="E2">
    <cfRule type="expression" dxfId="142" priority="2438" stopIfTrue="1">
      <formula>Import.RegimeExecução="(SELECIONAR)"</formula>
    </cfRule>
  </conditionalFormatting>
  <conditionalFormatting sqref="F13:H13">
    <cfRule type="expression" dxfId="141" priority="2439" stopIfTrue="1">
      <formula>RegimeExecucao="Global"</formula>
    </cfRule>
  </conditionalFormatting>
  <conditionalFormatting sqref="D15:O15">
    <cfRule type="expression" dxfId="140" priority="2440" stopIfTrue="1">
      <formula>OR(ACOMPANHAMENTO="PLE",TIPOORCAMENTO="Proposto")</formula>
    </cfRule>
  </conditionalFormatting>
  <conditionalFormatting sqref="AB13">
    <cfRule type="cellIs" dxfId="139" priority="2441" stopIfTrue="1" operator="notEqual">
      <formula>1</formula>
    </cfRule>
  </conditionalFormatting>
  <conditionalFormatting sqref="D41:O49 T41:Z49">
    <cfRule type="expression" dxfId="138" priority="126" stopIfTrue="1">
      <formula>OR(ACOMPANHAMENTO="PLE",TIPOORCAMENTO="Proposto",$L41&lt;0,AND($L41&gt;100,RegimeExecucao="Global"),$O41&gt;$I41,$O41&lt;0)</formula>
    </cfRule>
    <cfRule type="expression" dxfId="137" priority="127" stopIfTrue="1">
      <formula>$A41=1</formula>
    </cfRule>
    <cfRule type="expression" dxfId="136" priority="128" stopIfTrue="1">
      <formula>$A41&lt;&gt;"S"</formula>
    </cfRule>
  </conditionalFormatting>
  <conditionalFormatting sqref="Q41:R49 AB41:AM49">
    <cfRule type="expression" dxfId="135" priority="129" stopIfTrue="1">
      <formula>$A41=1</formula>
    </cfRule>
    <cfRule type="expression" dxfId="134" priority="130" stopIfTrue="1">
      <formula>$A41&lt;&gt;"S"</formula>
    </cfRule>
  </conditionalFormatting>
  <conditionalFormatting sqref="D50:O58 T50:Z58">
    <cfRule type="expression" dxfId="133" priority="121" stopIfTrue="1">
      <formula>OR(ACOMPANHAMENTO="PLE",TIPOORCAMENTO="Proposto",$L50&lt;0,AND($L50&gt;100,RegimeExecucao="Global"),$O50&gt;$I50,$O50&lt;0)</formula>
    </cfRule>
    <cfRule type="expression" dxfId="132" priority="122" stopIfTrue="1">
      <formula>$A50=1</formula>
    </cfRule>
    <cfRule type="expression" dxfId="131" priority="123" stopIfTrue="1">
      <formula>$A50&lt;&gt;"S"</formula>
    </cfRule>
  </conditionalFormatting>
  <conditionalFormatting sqref="Q50:R58 AB50:AM58">
    <cfRule type="expression" dxfId="130" priority="124" stopIfTrue="1">
      <formula>$A50=1</formula>
    </cfRule>
    <cfRule type="expression" dxfId="129" priority="125" stopIfTrue="1">
      <formula>$A50&lt;&gt;"S"</formula>
    </cfRule>
  </conditionalFormatting>
  <conditionalFormatting sqref="D59:O67 T59:Z67">
    <cfRule type="expression" dxfId="128" priority="116" stopIfTrue="1">
      <formula>OR(ACOMPANHAMENTO="PLE",TIPOORCAMENTO="Proposto",$L59&lt;0,AND($L59&gt;100,RegimeExecucao="Global"),$O59&gt;$I59,$O59&lt;0)</formula>
    </cfRule>
    <cfRule type="expression" dxfId="127" priority="117" stopIfTrue="1">
      <formula>$A59=1</formula>
    </cfRule>
    <cfRule type="expression" dxfId="126" priority="118" stopIfTrue="1">
      <formula>$A59&lt;&gt;"S"</formula>
    </cfRule>
  </conditionalFormatting>
  <conditionalFormatting sqref="Q59:R67 AB59:AM67">
    <cfRule type="expression" dxfId="125" priority="119" stopIfTrue="1">
      <formula>$A59=1</formula>
    </cfRule>
    <cfRule type="expression" dxfId="124" priority="120" stopIfTrue="1">
      <formula>$A59&lt;&gt;"S"</formula>
    </cfRule>
  </conditionalFormatting>
  <conditionalFormatting sqref="D68:O76 T68:Z76">
    <cfRule type="expression" dxfId="123" priority="111" stopIfTrue="1">
      <formula>OR(ACOMPANHAMENTO="PLE",TIPOORCAMENTO="Proposto",$L68&lt;0,AND($L68&gt;100,RegimeExecucao="Global"),$O68&gt;$I68,$O68&lt;0)</formula>
    </cfRule>
    <cfRule type="expression" dxfId="122" priority="112" stopIfTrue="1">
      <formula>$A68=1</formula>
    </cfRule>
    <cfRule type="expression" dxfId="121" priority="113" stopIfTrue="1">
      <formula>$A68&lt;&gt;"S"</formula>
    </cfRule>
  </conditionalFormatting>
  <conditionalFormatting sqref="Q68:R76 AB68:AM76">
    <cfRule type="expression" dxfId="120" priority="114" stopIfTrue="1">
      <formula>$A68=1</formula>
    </cfRule>
    <cfRule type="expression" dxfId="119" priority="115" stopIfTrue="1">
      <formula>$A68&lt;&gt;"S"</formula>
    </cfRule>
  </conditionalFormatting>
  <conditionalFormatting sqref="D77:O85 T77:Z85">
    <cfRule type="expression" dxfId="118" priority="106" stopIfTrue="1">
      <formula>OR(ACOMPANHAMENTO="PLE",TIPOORCAMENTO="Proposto",$L77&lt;0,AND($L77&gt;100,RegimeExecucao="Global"),$O77&gt;$I77,$O77&lt;0)</formula>
    </cfRule>
    <cfRule type="expression" dxfId="117" priority="107" stopIfTrue="1">
      <formula>$A77=1</formula>
    </cfRule>
    <cfRule type="expression" dxfId="116" priority="108" stopIfTrue="1">
      <formula>$A77&lt;&gt;"S"</formula>
    </cfRule>
  </conditionalFormatting>
  <conditionalFormatting sqref="Q77:R85 AB77:AM85">
    <cfRule type="expression" dxfId="115" priority="109" stopIfTrue="1">
      <formula>$A77=1</formula>
    </cfRule>
    <cfRule type="expression" dxfId="114" priority="110" stopIfTrue="1">
      <formula>$A77&lt;&gt;"S"</formula>
    </cfRule>
  </conditionalFormatting>
  <conditionalFormatting sqref="D86:O94 T86:Z94">
    <cfRule type="expression" dxfId="113" priority="101" stopIfTrue="1">
      <formula>OR(ACOMPANHAMENTO="PLE",TIPOORCAMENTO="Proposto",$L86&lt;0,AND($L86&gt;100,RegimeExecucao="Global"),$O86&gt;$I86,$O86&lt;0)</formula>
    </cfRule>
    <cfRule type="expression" dxfId="112" priority="102" stopIfTrue="1">
      <formula>$A86=1</formula>
    </cfRule>
    <cfRule type="expression" dxfId="111" priority="103" stopIfTrue="1">
      <formula>$A86&lt;&gt;"S"</formula>
    </cfRule>
  </conditionalFormatting>
  <conditionalFormatting sqref="Q86:R94 AB86:AM94">
    <cfRule type="expression" dxfId="110" priority="104" stopIfTrue="1">
      <formula>$A86=1</formula>
    </cfRule>
    <cfRule type="expression" dxfId="109" priority="105" stopIfTrue="1">
      <formula>$A86&lt;&gt;"S"</formula>
    </cfRule>
  </conditionalFormatting>
  <conditionalFormatting sqref="D95:O103 T95:Z103">
    <cfRule type="expression" dxfId="108" priority="96" stopIfTrue="1">
      <formula>OR(ACOMPANHAMENTO="PLE",TIPOORCAMENTO="Proposto",$L95&lt;0,AND($L95&gt;100,RegimeExecucao="Global"),$O95&gt;$I95,$O95&lt;0)</formula>
    </cfRule>
    <cfRule type="expression" dxfId="107" priority="97" stopIfTrue="1">
      <formula>$A95=1</formula>
    </cfRule>
    <cfRule type="expression" dxfId="106" priority="98" stopIfTrue="1">
      <formula>$A95&lt;&gt;"S"</formula>
    </cfRule>
  </conditionalFormatting>
  <conditionalFormatting sqref="Q95:R103 AB95:AM103">
    <cfRule type="expression" dxfId="105" priority="99" stopIfTrue="1">
      <formula>$A95=1</formula>
    </cfRule>
    <cfRule type="expression" dxfId="104" priority="100" stopIfTrue="1">
      <formula>$A95&lt;&gt;"S"</formula>
    </cfRule>
  </conditionalFormatting>
  <conditionalFormatting sqref="D104:O112 T104:Z112">
    <cfRule type="expression" dxfId="103" priority="91" stopIfTrue="1">
      <formula>OR(ACOMPANHAMENTO="PLE",TIPOORCAMENTO="Proposto",$L104&lt;0,AND($L104&gt;100,RegimeExecucao="Global"),$O104&gt;$I104,$O104&lt;0)</formula>
    </cfRule>
    <cfRule type="expression" dxfId="102" priority="92" stopIfTrue="1">
      <formula>$A104=1</formula>
    </cfRule>
    <cfRule type="expression" dxfId="101" priority="93" stopIfTrue="1">
      <formula>$A104&lt;&gt;"S"</formula>
    </cfRule>
  </conditionalFormatting>
  <conditionalFormatting sqref="Q104:R112 AB104:AM112">
    <cfRule type="expression" dxfId="100" priority="94" stopIfTrue="1">
      <formula>$A104=1</formula>
    </cfRule>
    <cfRule type="expression" dxfId="99" priority="95" stopIfTrue="1">
      <formula>$A104&lt;&gt;"S"</formula>
    </cfRule>
  </conditionalFormatting>
  <conditionalFormatting sqref="D113:O121 T113:Z121">
    <cfRule type="expression" dxfId="98" priority="86" stopIfTrue="1">
      <formula>OR(ACOMPANHAMENTO="PLE",TIPOORCAMENTO="Proposto",$L113&lt;0,AND($L113&gt;100,RegimeExecucao="Global"),$O113&gt;$I113,$O113&lt;0)</formula>
    </cfRule>
    <cfRule type="expression" dxfId="97" priority="87" stopIfTrue="1">
      <formula>$A113=1</formula>
    </cfRule>
    <cfRule type="expression" dxfId="96" priority="88" stopIfTrue="1">
      <formula>$A113&lt;&gt;"S"</formula>
    </cfRule>
  </conditionalFormatting>
  <conditionalFormatting sqref="Q113:R121 AB113:AM121">
    <cfRule type="expression" dxfId="95" priority="89" stopIfTrue="1">
      <formula>$A113=1</formula>
    </cfRule>
    <cfRule type="expression" dxfId="94" priority="90" stopIfTrue="1">
      <formula>$A113&lt;&gt;"S"</formula>
    </cfRule>
  </conditionalFormatting>
  <conditionalFormatting sqref="D122:O130 T122:Z130">
    <cfRule type="expression" dxfId="93" priority="81" stopIfTrue="1">
      <formula>OR(ACOMPANHAMENTO="PLE",TIPOORCAMENTO="Proposto",$L122&lt;0,AND($L122&gt;100,RegimeExecucao="Global"),$O122&gt;$I122,$O122&lt;0)</formula>
    </cfRule>
    <cfRule type="expression" dxfId="92" priority="82" stopIfTrue="1">
      <formula>$A122=1</formula>
    </cfRule>
    <cfRule type="expression" dxfId="91" priority="83" stopIfTrue="1">
      <formula>$A122&lt;&gt;"S"</formula>
    </cfRule>
  </conditionalFormatting>
  <conditionalFormatting sqref="Q122:R130 AB122:AM130">
    <cfRule type="expression" dxfId="90" priority="84" stopIfTrue="1">
      <formula>$A122=1</formula>
    </cfRule>
    <cfRule type="expression" dxfId="89" priority="85" stopIfTrue="1">
      <formula>$A122&lt;&gt;"S"</formula>
    </cfRule>
  </conditionalFormatting>
  <conditionalFormatting sqref="D131:O139 T131:Z139">
    <cfRule type="expression" dxfId="88" priority="76" stopIfTrue="1">
      <formula>OR(ACOMPANHAMENTO="PLE",TIPOORCAMENTO="Proposto",$L131&lt;0,AND($L131&gt;100,RegimeExecucao="Global"),$O131&gt;$I131,$O131&lt;0)</formula>
    </cfRule>
    <cfRule type="expression" dxfId="87" priority="77" stopIfTrue="1">
      <formula>$A131=1</formula>
    </cfRule>
    <cfRule type="expression" dxfId="86" priority="78" stopIfTrue="1">
      <formula>$A131&lt;&gt;"S"</formula>
    </cfRule>
  </conditionalFormatting>
  <conditionalFormatting sqref="Q131:R139 AB131:AM139">
    <cfRule type="expression" dxfId="85" priority="79" stopIfTrue="1">
      <formula>$A131=1</formula>
    </cfRule>
    <cfRule type="expression" dxfId="84" priority="80" stopIfTrue="1">
      <formula>$A131&lt;&gt;"S"</formula>
    </cfRule>
  </conditionalFormatting>
  <conditionalFormatting sqref="D140:O148 T140:Z148">
    <cfRule type="expression" dxfId="83" priority="71" stopIfTrue="1">
      <formula>OR(ACOMPANHAMENTO="PLE",TIPOORCAMENTO="Proposto",$L140&lt;0,AND($L140&gt;100,RegimeExecucao="Global"),$O140&gt;$I140,$O140&lt;0)</formula>
    </cfRule>
    <cfRule type="expression" dxfId="82" priority="72" stopIfTrue="1">
      <formula>$A140=1</formula>
    </cfRule>
    <cfRule type="expression" dxfId="81" priority="73" stopIfTrue="1">
      <formula>$A140&lt;&gt;"S"</formula>
    </cfRule>
  </conditionalFormatting>
  <conditionalFormatting sqref="Q140:R148 AB140:AM148">
    <cfRule type="expression" dxfId="80" priority="74" stopIfTrue="1">
      <formula>$A140=1</formula>
    </cfRule>
    <cfRule type="expression" dxfId="79" priority="75" stopIfTrue="1">
      <formula>$A140&lt;&gt;"S"</formula>
    </cfRule>
  </conditionalFormatting>
  <conditionalFormatting sqref="D149:O157 T149:Z157">
    <cfRule type="expression" dxfId="78" priority="66" stopIfTrue="1">
      <formula>OR(ACOMPANHAMENTO="PLE",TIPOORCAMENTO="Proposto",$L149&lt;0,AND($L149&gt;100,RegimeExecucao="Global"),$O149&gt;$I149,$O149&lt;0)</formula>
    </cfRule>
    <cfRule type="expression" dxfId="77" priority="67" stopIfTrue="1">
      <formula>$A149=1</formula>
    </cfRule>
    <cfRule type="expression" dxfId="76" priority="68" stopIfTrue="1">
      <formula>$A149&lt;&gt;"S"</formula>
    </cfRule>
  </conditionalFormatting>
  <conditionalFormatting sqref="Q149:R157 AB149:AM157">
    <cfRule type="expression" dxfId="75" priority="69" stopIfTrue="1">
      <formula>$A149=1</formula>
    </cfRule>
    <cfRule type="expression" dxfId="74" priority="70" stopIfTrue="1">
      <formula>$A149&lt;&gt;"S"</formula>
    </cfRule>
  </conditionalFormatting>
  <conditionalFormatting sqref="D158:O166 T158:Z166">
    <cfRule type="expression" dxfId="73" priority="61" stopIfTrue="1">
      <formula>OR(ACOMPANHAMENTO="PLE",TIPOORCAMENTO="Proposto",$L158&lt;0,AND($L158&gt;100,RegimeExecucao="Global"),$O158&gt;$I158,$O158&lt;0)</formula>
    </cfRule>
    <cfRule type="expression" dxfId="72" priority="62" stopIfTrue="1">
      <formula>$A158=1</formula>
    </cfRule>
    <cfRule type="expression" dxfId="71" priority="63" stopIfTrue="1">
      <formula>$A158&lt;&gt;"S"</formula>
    </cfRule>
  </conditionalFormatting>
  <conditionalFormatting sqref="Q158:R166 AB158:AM166">
    <cfRule type="expression" dxfId="70" priority="64" stopIfTrue="1">
      <formula>$A158=1</formula>
    </cfRule>
    <cfRule type="expression" dxfId="69" priority="65" stopIfTrue="1">
      <formula>$A158&lt;&gt;"S"</formula>
    </cfRule>
  </conditionalFormatting>
  <conditionalFormatting sqref="D167:O175 T167:Z175">
    <cfRule type="expression" dxfId="68" priority="56" stopIfTrue="1">
      <formula>OR(ACOMPANHAMENTO="PLE",TIPOORCAMENTO="Proposto",$L167&lt;0,AND($L167&gt;100,RegimeExecucao="Global"),$O167&gt;$I167,$O167&lt;0)</formula>
    </cfRule>
    <cfRule type="expression" dxfId="67" priority="57" stopIfTrue="1">
      <formula>$A167=1</formula>
    </cfRule>
    <cfRule type="expression" dxfId="66" priority="58" stopIfTrue="1">
      <formula>$A167&lt;&gt;"S"</formula>
    </cfRule>
  </conditionalFormatting>
  <conditionalFormatting sqref="Q167:R175 AB167:AM175">
    <cfRule type="expression" dxfId="65" priority="59" stopIfTrue="1">
      <formula>$A167=1</formula>
    </cfRule>
    <cfRule type="expression" dxfId="64" priority="60" stopIfTrue="1">
      <formula>$A167&lt;&gt;"S"</formula>
    </cfRule>
  </conditionalFormatting>
  <conditionalFormatting sqref="D176:O184 T176:Z184">
    <cfRule type="expression" dxfId="63" priority="51" stopIfTrue="1">
      <formula>OR(ACOMPANHAMENTO="PLE",TIPOORCAMENTO="Proposto",$L176&lt;0,AND($L176&gt;100,RegimeExecucao="Global"),$O176&gt;$I176,$O176&lt;0)</formula>
    </cfRule>
    <cfRule type="expression" dxfId="62" priority="52" stopIfTrue="1">
      <formula>$A176=1</formula>
    </cfRule>
    <cfRule type="expression" dxfId="61" priority="53" stopIfTrue="1">
      <formula>$A176&lt;&gt;"S"</formula>
    </cfRule>
  </conditionalFormatting>
  <conditionalFormatting sqref="Q176:R184 AB176:AM184">
    <cfRule type="expression" dxfId="60" priority="54" stopIfTrue="1">
      <formula>$A176=1</formula>
    </cfRule>
    <cfRule type="expression" dxfId="59" priority="55" stopIfTrue="1">
      <formula>$A176&lt;&gt;"S"</formula>
    </cfRule>
  </conditionalFormatting>
  <conditionalFormatting sqref="D185:O193 T185:Z193">
    <cfRule type="expression" dxfId="58" priority="46" stopIfTrue="1">
      <formula>OR(ACOMPANHAMENTO="PLE",TIPOORCAMENTO="Proposto",$L185&lt;0,AND($L185&gt;100,RegimeExecucao="Global"),$O185&gt;$I185,$O185&lt;0)</formula>
    </cfRule>
    <cfRule type="expression" dxfId="57" priority="47" stopIfTrue="1">
      <formula>$A185=1</formula>
    </cfRule>
    <cfRule type="expression" dxfId="56" priority="48" stopIfTrue="1">
      <formula>$A185&lt;&gt;"S"</formula>
    </cfRule>
  </conditionalFormatting>
  <conditionalFormatting sqref="Q185:R193 AB185:AM193">
    <cfRule type="expression" dxfId="55" priority="49" stopIfTrue="1">
      <formula>$A185=1</formula>
    </cfRule>
    <cfRule type="expression" dxfId="54" priority="50" stopIfTrue="1">
      <formula>$A185&lt;&gt;"S"</formula>
    </cfRule>
  </conditionalFormatting>
  <conditionalFormatting sqref="D194:O202 T194:Z202">
    <cfRule type="expression" dxfId="53" priority="41" stopIfTrue="1">
      <formula>OR(ACOMPANHAMENTO="PLE",TIPOORCAMENTO="Proposto",$L194&lt;0,AND($L194&gt;100,RegimeExecucao="Global"),$O194&gt;$I194,$O194&lt;0)</formula>
    </cfRule>
    <cfRule type="expression" dxfId="52" priority="42" stopIfTrue="1">
      <formula>$A194=1</formula>
    </cfRule>
    <cfRule type="expression" dxfId="51" priority="43" stopIfTrue="1">
      <formula>$A194&lt;&gt;"S"</formula>
    </cfRule>
  </conditionalFormatting>
  <conditionalFormatting sqref="Q194:R202 AB194:AM202">
    <cfRule type="expression" dxfId="50" priority="44" stopIfTrue="1">
      <formula>$A194=1</formula>
    </cfRule>
    <cfRule type="expression" dxfId="49" priority="45" stopIfTrue="1">
      <formula>$A194&lt;&gt;"S"</formula>
    </cfRule>
  </conditionalFormatting>
  <conditionalFormatting sqref="D203:O211 T203:Z211">
    <cfRule type="expression" dxfId="48" priority="36" stopIfTrue="1">
      <formula>OR(ACOMPANHAMENTO="PLE",TIPOORCAMENTO="Proposto",$L203&lt;0,AND($L203&gt;100,RegimeExecucao="Global"),$O203&gt;$I203,$O203&lt;0)</formula>
    </cfRule>
    <cfRule type="expression" dxfId="47" priority="37" stopIfTrue="1">
      <formula>$A203=1</formula>
    </cfRule>
    <cfRule type="expression" dxfId="46" priority="38" stopIfTrue="1">
      <formula>$A203&lt;&gt;"S"</formula>
    </cfRule>
  </conditionalFormatting>
  <conditionalFormatting sqref="Q203:R211 AB203:AM211">
    <cfRule type="expression" dxfId="45" priority="39" stopIfTrue="1">
      <formula>$A203=1</formula>
    </cfRule>
    <cfRule type="expression" dxfId="44" priority="40" stopIfTrue="1">
      <formula>$A203&lt;&gt;"S"</formula>
    </cfRule>
  </conditionalFormatting>
  <conditionalFormatting sqref="D212:O220 T212:Z220">
    <cfRule type="expression" dxfId="43" priority="31" stopIfTrue="1">
      <formula>OR(ACOMPANHAMENTO="PLE",TIPOORCAMENTO="Proposto",$L212&lt;0,AND($L212&gt;100,RegimeExecucao="Global"),$O212&gt;$I212,$O212&lt;0)</formula>
    </cfRule>
    <cfRule type="expression" dxfId="42" priority="32" stopIfTrue="1">
      <formula>$A212=1</formula>
    </cfRule>
    <cfRule type="expression" dxfId="41" priority="33" stopIfTrue="1">
      <formula>$A212&lt;&gt;"S"</formula>
    </cfRule>
  </conditionalFormatting>
  <conditionalFormatting sqref="Q212:R220 AB212:AM220">
    <cfRule type="expression" dxfId="40" priority="34" stopIfTrue="1">
      <formula>$A212=1</formula>
    </cfRule>
    <cfRule type="expression" dxfId="39" priority="35" stopIfTrue="1">
      <formula>$A212&lt;&gt;"S"</formula>
    </cfRule>
  </conditionalFormatting>
  <conditionalFormatting sqref="D221:O229 T221:Z229">
    <cfRule type="expression" dxfId="38" priority="26" stopIfTrue="1">
      <formula>OR(ACOMPANHAMENTO="PLE",TIPOORCAMENTO="Proposto",$L221&lt;0,AND($L221&gt;100,RegimeExecucao="Global"),$O221&gt;$I221,$O221&lt;0)</formula>
    </cfRule>
    <cfRule type="expression" dxfId="37" priority="27" stopIfTrue="1">
      <formula>$A221=1</formula>
    </cfRule>
    <cfRule type="expression" dxfId="36" priority="28" stopIfTrue="1">
      <formula>$A221&lt;&gt;"S"</formula>
    </cfRule>
  </conditionalFormatting>
  <conditionalFormatting sqref="Q221:R229 AB221:AM229">
    <cfRule type="expression" dxfId="35" priority="29" stopIfTrue="1">
      <formula>$A221=1</formula>
    </cfRule>
    <cfRule type="expression" dxfId="34" priority="30" stopIfTrue="1">
      <formula>$A221&lt;&gt;"S"</formula>
    </cfRule>
  </conditionalFormatting>
  <conditionalFormatting sqref="D230:O238 T230:Z238">
    <cfRule type="expression" dxfId="33" priority="21" stopIfTrue="1">
      <formula>OR(ACOMPANHAMENTO="PLE",TIPOORCAMENTO="Proposto",$L230&lt;0,AND($L230&gt;100,RegimeExecucao="Global"),$O230&gt;$I230,$O230&lt;0)</formula>
    </cfRule>
    <cfRule type="expression" dxfId="32" priority="22" stopIfTrue="1">
      <formula>$A230=1</formula>
    </cfRule>
    <cfRule type="expression" dxfId="31" priority="23" stopIfTrue="1">
      <formula>$A230&lt;&gt;"S"</formula>
    </cfRule>
  </conditionalFormatting>
  <conditionalFormatting sqref="Q230:R238 AB230:AM238">
    <cfRule type="expression" dxfId="30" priority="24" stopIfTrue="1">
      <formula>$A230=1</formula>
    </cfRule>
    <cfRule type="expression" dxfId="29" priority="25" stopIfTrue="1">
      <formula>$A230&lt;&gt;"S"</formula>
    </cfRule>
  </conditionalFormatting>
  <conditionalFormatting sqref="D239:O247 T239:Z247">
    <cfRule type="expression" dxfId="28" priority="16" stopIfTrue="1">
      <formula>OR(ACOMPANHAMENTO="PLE",TIPOORCAMENTO="Proposto",$L239&lt;0,AND($L239&gt;100,RegimeExecucao="Global"),$O239&gt;$I239,$O239&lt;0)</formula>
    </cfRule>
    <cfRule type="expression" dxfId="27" priority="17" stopIfTrue="1">
      <formula>$A239=1</formula>
    </cfRule>
    <cfRule type="expression" dxfId="26" priority="18" stopIfTrue="1">
      <formula>$A239&lt;&gt;"S"</formula>
    </cfRule>
  </conditionalFormatting>
  <conditionalFormatting sqref="Q239:R247 AB239:AM247">
    <cfRule type="expression" dxfId="25" priority="19" stopIfTrue="1">
      <formula>$A239=1</formula>
    </cfRule>
    <cfRule type="expression" dxfId="24" priority="20" stopIfTrue="1">
      <formula>$A239&lt;&gt;"S"</formula>
    </cfRule>
  </conditionalFormatting>
  <conditionalFormatting sqref="D248:O256 T248:Z256">
    <cfRule type="expression" dxfId="23" priority="11" stopIfTrue="1">
      <formula>OR(ACOMPANHAMENTO="PLE",TIPOORCAMENTO="Proposto",$L248&lt;0,AND($L248&gt;100,RegimeExecucao="Global"),$O248&gt;$I248,$O248&lt;0)</formula>
    </cfRule>
    <cfRule type="expression" dxfId="22" priority="12" stopIfTrue="1">
      <formula>$A248=1</formula>
    </cfRule>
    <cfRule type="expression" dxfId="21" priority="13" stopIfTrue="1">
      <formula>$A248&lt;&gt;"S"</formula>
    </cfRule>
  </conditionalFormatting>
  <conditionalFormatting sqref="Q248:R256 AB248:AM256">
    <cfRule type="expression" dxfId="20" priority="14" stopIfTrue="1">
      <formula>$A248=1</formula>
    </cfRule>
    <cfRule type="expression" dxfId="19" priority="15" stopIfTrue="1">
      <formula>$A248&lt;&gt;"S"</formula>
    </cfRule>
  </conditionalFormatting>
  <conditionalFormatting sqref="D257:O263 T257:Z263">
    <cfRule type="expression" dxfId="18" priority="6" stopIfTrue="1">
      <formula>OR(ACOMPANHAMENTO="PLE",TIPOORCAMENTO="Proposto",$L257&lt;0,AND($L257&gt;100,RegimeExecucao="Global"),$O257&gt;$I257,$O257&lt;0)</formula>
    </cfRule>
    <cfRule type="expression" dxfId="17" priority="7" stopIfTrue="1">
      <formula>$A257=1</formula>
    </cfRule>
    <cfRule type="expression" dxfId="16" priority="8" stopIfTrue="1">
      <formula>$A257&lt;&gt;"S"</formula>
    </cfRule>
  </conditionalFormatting>
  <conditionalFormatting sqref="Q257:R263 AB257:AM263">
    <cfRule type="expression" dxfId="15" priority="9" stopIfTrue="1">
      <formula>$A257=1</formula>
    </cfRule>
    <cfRule type="expression" dxfId="14" priority="10" stopIfTrue="1">
      <formula>$A257&lt;&gt;"S"</formula>
    </cfRule>
  </conditionalFormatting>
  <conditionalFormatting sqref="D22:O27 T22:Z27">
    <cfRule type="expression" dxfId="13" priority="3" stopIfTrue="1">
      <formula>OR(ACOMPANHAMENTO="PLE",TIPOORCAMENTO="Proposto",$L22&lt;0,AND($L22&gt;100,RegimeExecucao="Global"),$O22&gt;$I22,$O22&lt;0)</formula>
    </cfRule>
    <cfRule type="expression" dxfId="12" priority="4" stopIfTrue="1">
      <formula>$A22=1</formula>
    </cfRule>
    <cfRule type="expression" dxfId="11" priority="5" stopIfTrue="1">
      <formula>$A22&lt;&gt;"S"</formula>
    </cfRule>
  </conditionalFormatting>
  <conditionalFormatting sqref="Q22:R27 AB22:AM27">
    <cfRule type="expression" dxfId="10" priority="1" stopIfTrue="1">
      <formula>$A22=1</formula>
    </cfRule>
    <cfRule type="expression" dxfId="9" priority="2" stopIfTrue="1">
      <formula>$A22&lt;&gt;"S"</formula>
    </cfRule>
  </conditionalFormatting>
  <dataValidations count="4">
    <dataValidation type="list" allowBlank="1" showErrorMessage="1" sqref="Z14 Z16:Z263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263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&#10;ou&#10;Quantidade é superior a contratada  (P. Unit)&#10;ou&#10;Evolução acumulada negativa" sqref="AB14:AM14 AB16:AM263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&amp;LPMv3.0.6&amp;R&amp;P / &amp;N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Plan14">
    <pageSetUpPr fitToPage="1"/>
  </sheetPr>
  <dimension ref="A1:AO52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/>
    </sheetView>
  </sheetViews>
  <sheetFormatPr defaultRowHeight="13.2"/>
  <cols>
    <col min="1" max="3" width="9.109375" hidden="1" customWidth="1"/>
    <col min="4" max="4" width="3.6640625" customWidth="1"/>
    <col min="5" max="5" width="7.6640625" customWidth="1"/>
    <col min="6" max="6" width="35.6640625" customWidth="1"/>
    <col min="7" max="7" width="15.6640625" customWidth="1"/>
    <col min="8" max="8" width="12.6640625" customWidth="1"/>
    <col min="9" max="9" width="7.6640625" customWidth="1"/>
    <col min="10" max="10" width="16.6640625" customWidth="1"/>
    <col min="11" max="11" width="5.6640625" customWidth="1"/>
    <col min="12" max="15" width="16.6640625" customWidth="1"/>
    <col min="16" max="16" width="11.6640625" customWidth="1"/>
    <col min="17" max="21" width="9.109375" hidden="1" customWidth="1"/>
    <col min="22" max="22" width="12.109375" hidden="1" customWidth="1"/>
    <col min="23" max="24" width="5.6640625" customWidth="1"/>
    <col min="25" max="26" width="16.6640625" customWidth="1"/>
    <col min="27" max="27" width="1.6640625" customWidth="1"/>
    <col min="29" max="41" width="9.109375" hidden="1" customWidth="1"/>
  </cols>
  <sheetData>
    <row r="1" spans="1:41" ht="30" customHeight="1">
      <c r="F1" s="436" t="str">
        <f>CONCATENATE("RRE - RELATÓRIO RESUMO DO EMPREENDIMENTO - ",IF(CAIXA.Modo,"CAIXA","TOMADOR"))</f>
        <v>RRE - RELATÓRIO RESUMO DO EMPREENDIMENTO - TOMADOR</v>
      </c>
      <c r="H1" s="10"/>
      <c r="I1" s="10"/>
      <c r="AC1" s="19"/>
      <c r="AD1" s="437" t="s">
        <v>356</v>
      </c>
      <c r="AE1" s="438" t="s">
        <v>357</v>
      </c>
    </row>
    <row r="2" spans="1:41">
      <c r="AC2" s="439" t="str">
        <f>J25</f>
        <v>Repasse</v>
      </c>
      <c r="AD2" s="440">
        <f ca="1">AD6-AD4-AD3</f>
        <v>0</v>
      </c>
      <c r="AE2" s="440">
        <f ca="1">AE6-AE4-AE3</f>
        <v>0</v>
      </c>
    </row>
    <row r="3" spans="1:41">
      <c r="E3" s="714" t="s">
        <v>147</v>
      </c>
      <c r="F3" s="714"/>
      <c r="G3" s="714"/>
      <c r="H3" s="714"/>
      <c r="I3" s="677" t="s">
        <v>146</v>
      </c>
      <c r="J3" s="677"/>
      <c r="K3" s="677"/>
      <c r="L3" s="107" t="s">
        <v>443</v>
      </c>
      <c r="M3" s="180"/>
      <c r="N3" s="441"/>
      <c r="O3" s="442"/>
      <c r="P3" s="354" t="s">
        <v>210</v>
      </c>
      <c r="R3" s="180"/>
      <c r="S3" s="180"/>
      <c r="T3" s="180"/>
      <c r="U3" s="180"/>
      <c r="AC3" s="439" t="s">
        <v>169</v>
      </c>
      <c r="AD3" s="440">
        <f ca="1">SUM(T13:OFFSET(T24,-1,0))</f>
        <v>0</v>
      </c>
      <c r="AE3" s="440">
        <f ca="1">IF(OR($O$28&lt;$M$28,$M$26&gt;$AD$3),MIN($M$26,$L$26),MIN($AD$3,$N$28-$N$27+$M$26))</f>
        <v>0</v>
      </c>
    </row>
    <row r="4" spans="1:41" ht="12.75" customHeight="1">
      <c r="E4" s="712" t="str">
        <f>Import.Proponente</f>
        <v>PREFEITURA MUNICIPAL DE PONTAL</v>
      </c>
      <c r="F4" s="712"/>
      <c r="G4" s="712"/>
      <c r="H4" s="712"/>
      <c r="I4" s="674">
        <f>Import.CR</f>
        <v>0</v>
      </c>
      <c r="J4" s="674"/>
      <c r="K4" s="674"/>
      <c r="L4" s="68" t="str">
        <f>Import.TransfereGOV</f>
        <v>953208-2023</v>
      </c>
      <c r="M4" s="798" t="s">
        <v>307</v>
      </c>
      <c r="N4" s="799"/>
      <c r="O4" s="800"/>
      <c r="P4" s="443" t="str">
        <f>import.recurso</f>
        <v>OGU</v>
      </c>
      <c r="R4" s="180"/>
      <c r="S4" s="180"/>
      <c r="T4" s="442"/>
      <c r="U4" s="442"/>
      <c r="AC4" s="439" t="s">
        <v>358</v>
      </c>
      <c r="AD4" s="440">
        <f ca="1">SUM(U13:OFFSET(U24,-1,0))</f>
        <v>0</v>
      </c>
      <c r="AE4" s="440">
        <f ca="1">IF(OR($O$28&lt;$M$28,$M$27&gt;$AD$4),MIN($M$27,$L$27),MIN($AD$4,$N$28+$M$27))</f>
        <v>0</v>
      </c>
    </row>
    <row r="5" spans="1:41" ht="5.0999999999999996" customHeight="1">
      <c r="H5" s="357"/>
      <c r="I5" s="357"/>
      <c r="J5" s="357"/>
      <c r="K5" s="357"/>
      <c r="L5" s="357"/>
      <c r="M5" s="444"/>
      <c r="N5" s="341"/>
      <c r="O5" s="55"/>
      <c r="R5" s="180"/>
      <c r="S5" s="180"/>
      <c r="T5" s="180"/>
      <c r="U5" s="180"/>
    </row>
    <row r="6" spans="1:41" ht="12.75" customHeight="1">
      <c r="E6" s="677" t="s">
        <v>202</v>
      </c>
      <c r="F6" s="677"/>
      <c r="G6" s="677"/>
      <c r="H6" s="677"/>
      <c r="I6" s="786" t="s">
        <v>306</v>
      </c>
      <c r="J6" s="786"/>
      <c r="K6" s="786"/>
      <c r="L6" s="786"/>
      <c r="M6" s="67" t="str">
        <f>IF(import.recurso="FGTS","FINANCIAMENTO","REPASSE")</f>
        <v>REPASSE</v>
      </c>
      <c r="N6" s="120" t="s">
        <v>308</v>
      </c>
      <c r="O6" s="67" t="s">
        <v>309</v>
      </c>
      <c r="P6" s="181" t="s">
        <v>359</v>
      </c>
      <c r="R6" s="180"/>
      <c r="S6" s="180"/>
      <c r="T6" s="180"/>
      <c r="U6" s="180"/>
      <c r="AC6" s="439" t="s">
        <v>360</v>
      </c>
      <c r="AD6" s="440">
        <f ca="1">$O$28</f>
        <v>0</v>
      </c>
      <c r="AE6" s="440">
        <f ca="1">AD6</f>
        <v>0</v>
      </c>
    </row>
    <row r="7" spans="1:41" ht="12.75" customHeight="1">
      <c r="D7" s="703" t="s">
        <v>209</v>
      </c>
      <c r="E7" s="674" t="str">
        <f>Import.Apelido</f>
        <v>RECAPE FEDERAL</v>
      </c>
      <c r="F7" s="674"/>
      <c r="G7" s="674"/>
      <c r="H7" s="674"/>
      <c r="I7" s="787" t="str">
        <f>Import.Município</f>
        <v>PONTAL - SP</v>
      </c>
      <c r="J7" s="787"/>
      <c r="K7" s="787"/>
      <c r="L7" s="787"/>
      <c r="M7" s="445">
        <f>Import.Repasse</f>
        <v>960019</v>
      </c>
      <c r="N7" s="446">
        <f>Import.Contrapartida</f>
        <v>88074.8</v>
      </c>
      <c r="O7" s="445">
        <f>M7+N7</f>
        <v>1048093.8</v>
      </c>
      <c r="P7" s="566">
        <f>IF(ACOMPANHAMENTO="PLE",PLE.Medicao,BM.medicao)</f>
        <v>1</v>
      </c>
      <c r="R7" s="180"/>
      <c r="S7" s="180"/>
      <c r="T7" s="180"/>
      <c r="U7" s="180"/>
    </row>
    <row r="8" spans="1:41">
      <c r="D8" s="703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R8" s="180"/>
      <c r="S8" s="180"/>
      <c r="T8" s="180"/>
      <c r="U8" s="180"/>
    </row>
    <row r="9" spans="1:41" ht="12.75" customHeight="1">
      <c r="D9" s="703"/>
      <c r="G9" s="788" t="s">
        <v>361</v>
      </c>
      <c r="H9" s="788"/>
      <c r="I9" s="788" t="s">
        <v>362</v>
      </c>
      <c r="J9" s="788"/>
      <c r="K9" s="447"/>
      <c r="L9" s="789" t="s">
        <v>313</v>
      </c>
      <c r="M9" s="448" t="s">
        <v>316</v>
      </c>
      <c r="N9" s="358" t="s">
        <v>238</v>
      </c>
      <c r="P9" s="449"/>
      <c r="R9" s="180"/>
      <c r="S9" s="180"/>
      <c r="T9" s="180"/>
      <c r="U9" s="180"/>
      <c r="V9" s="9" t="s">
        <v>363</v>
      </c>
    </row>
    <row r="10" spans="1:41" ht="12.75" customHeight="1">
      <c r="D10" s="703"/>
      <c r="G10" s="676" t="str">
        <f ca="1">IF(J10="-","-",IF($P$24&lt;J10,"Atrasada",IF($P$24&gt;J10,"Adiantada","Normal")))</f>
        <v>Atrasada</v>
      </c>
      <c r="H10" s="676"/>
      <c r="I10" s="450">
        <f ca="1">DATE(YEAR($L$35),MONTH($L$35),1)</f>
        <v>45778</v>
      </c>
      <c r="J10" s="451">
        <f ca="1">IF($I$10&lt;DATE(YEAR(CRONO!$T$13),MONTH(CRONO!$T$13),1),0,IF($I$10&gt;CRONO!$AE$13,1,INDEX(CRONO!$S$38:$AG$38,MATCH(RRE!$I$10,CRONO!$S$13:$AG$13,0))))</f>
        <v>1</v>
      </c>
      <c r="K10" s="447"/>
      <c r="L10" s="789"/>
      <c r="M10" s="452">
        <f ca="1">QCI!L10</f>
        <v>0</v>
      </c>
      <c r="N10" s="360">
        <f ca="1">QCI!M10</f>
        <v>0</v>
      </c>
      <c r="P10" s="449"/>
      <c r="R10" s="180"/>
      <c r="S10" s="180"/>
      <c r="T10" s="180"/>
      <c r="U10" s="180"/>
      <c r="AC10" s="790" t="s">
        <v>364</v>
      </c>
      <c r="AD10" s="790"/>
      <c r="AE10" s="790"/>
      <c r="AF10" s="790"/>
      <c r="AG10" s="790"/>
      <c r="AH10" s="790"/>
      <c r="AJ10" s="790" t="s">
        <v>4</v>
      </c>
      <c r="AK10" s="790"/>
      <c r="AL10" s="790"/>
      <c r="AM10" s="790"/>
      <c r="AN10" s="790"/>
      <c r="AO10" s="790"/>
    </row>
    <row r="11" spans="1:41" ht="20.100000000000001" customHeight="1">
      <c r="D11" s="703"/>
      <c r="M11" s="623" t="str">
        <f>IF(CAIXA.Modo,"Valores Aferidos (R$)","Valores Medidos (R$)")</f>
        <v>Valores Medidos (R$)</v>
      </c>
      <c r="N11" s="623"/>
      <c r="O11" s="623"/>
      <c r="R11" s="453"/>
      <c r="S11" s="453"/>
      <c r="T11" s="623"/>
      <c r="U11" s="623"/>
      <c r="V11" s="620" t="s">
        <v>411</v>
      </c>
      <c r="Y11" s="791" t="str">
        <f>IF(CAIXA.Modo,"Valores Aferidos (R$)","Valores Medidos (R$)")</f>
        <v>Valores Medidos (R$)</v>
      </c>
      <c r="Z11" s="791"/>
      <c r="AC11" s="792" t="s">
        <v>365</v>
      </c>
      <c r="AD11" s="792"/>
      <c r="AE11" s="792"/>
      <c r="AF11" s="792" t="s">
        <v>366</v>
      </c>
      <c r="AG11" s="792"/>
      <c r="AH11" s="792"/>
      <c r="AJ11" s="792" t="s">
        <v>365</v>
      </c>
      <c r="AK11" s="792"/>
      <c r="AL11" s="792"/>
      <c r="AM11" s="792" t="s">
        <v>366</v>
      </c>
      <c r="AN11" s="792"/>
      <c r="AO11" s="792"/>
    </row>
    <row r="12" spans="1:41" hidden="1">
      <c r="A12" t="e">
        <f ca="1">MATCH(E12,ORÇAMENTO!$E$15:$E$264,0)-1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455">
        <f>QCI!D12</f>
        <v>-1</v>
      </c>
      <c r="F12" s="456" t="str">
        <f ca="1">QCI!G12</f>
        <v/>
      </c>
      <c r="G12" s="457">
        <f>QCI!H12</f>
        <v>0</v>
      </c>
      <c r="H12" s="458">
        <f>QCI!I12</f>
        <v>0</v>
      </c>
      <c r="I12" s="459" t="str">
        <f ca="1">QCI!J12</f>
        <v/>
      </c>
      <c r="J12" s="460" t="str">
        <f ca="1">QCI!K12</f>
        <v/>
      </c>
      <c r="K12" s="461" t="str">
        <f ca="1">IF($C12="Automático",IF(ACOMPANHAMENTO="BM",BM.medicao,PLE.Medicao),IF(ISBLANK($X12),"",$X12))</f>
        <v/>
      </c>
      <c r="L12" s="462">
        <f ca="1">QCI!$O12</f>
        <v>0</v>
      </c>
      <c r="M12" s="464">
        <f ca="1">ROUND(IF(C12="Automático",AE12+AL12,Y12),2)</f>
        <v>0</v>
      </c>
      <c r="N12" s="465">
        <f ca="1">O12-M12</f>
        <v>0</v>
      </c>
      <c r="O12" s="466">
        <f ca="1">ROUND(IF(C12="Automático",AH12+AO12,Z12),2)</f>
        <v>0</v>
      </c>
      <c r="P12" s="467">
        <f ca="1">O12/(L12+10^-12)</f>
        <v>0</v>
      </c>
      <c r="R12" s="463">
        <f ca="1">ROUND(IF($C12="Automático",AC12+AJ12,$Y12*IF(ISERROR(QCI!$AA12/QCI!$O12),0,QCI!$AA12/QCI!$O12)),2)</f>
        <v>0</v>
      </c>
      <c r="S12" s="463">
        <f ca="1">ROUND(IF($C12="Automático",AD12+AK12,$Y12*IF(ISERROR(QCI!$AB12/QCI!$O12),0,QCI!$AB12/QCI!$O12)),2)</f>
        <v>0</v>
      </c>
      <c r="T12" s="463">
        <f ca="1">ROUND(IF($C12="Automático",AF12+AM12,$Z12*IF(ISERROR(QCI!$AA12/QCI!$O12),0,QCI!$AA12/QCI!$O12)),2)</f>
        <v>0</v>
      </c>
      <c r="U12" s="463">
        <f ca="1">ROUND(IF($C12="Automático",AG12+AN12,$Z12*IF(ISERROR(QCI!$AB12/QCI!$O12),0,QCI!$AB12/QCI!$O12)),2)</f>
        <v>0</v>
      </c>
      <c r="V12" s="621" t="str">
        <f ca="1">IF(AND($L12&gt;0,$J12&lt;&gt;0,$J12&lt;&gt;"",COUNTIF($J12:$J$13,$J12)=1),OFFSET(V12,-1,0)+1,OFFSET(V12,-1,0))</f>
        <v>Lista CTEFs</v>
      </c>
      <c r="X12" s="368"/>
      <c r="Y12" s="369"/>
      <c r="Z12" s="371"/>
      <c r="AC12" s="229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229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229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229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229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229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229">
        <f ca="1">IF(ACOMPANHAMENTO&lt;&gt;"BM",0,SUMPRODUCT(OFFSET(BM!$M$15,$A12,0,$B12)*(OFFSET(BM!$A$15,$A12,0,$B12)="S")*OFFSET(ORÇAMENTO!AA$15,$A12,0,$B12)/(OFFSET(ORÇAMENTO!$X$15,$A12,0,$B12)+10^-12)))</f>
        <v>0</v>
      </c>
      <c r="AK12" s="229">
        <f ca="1">IF(ACOMPANHAMENTO&lt;&gt;"BM",0,SUMPRODUCT(OFFSET(BM!$M$15,$A12,0,$B12)*(OFFSET(BM!$A$15,$A12,0,$B12)="S")*OFFSET(ORÇAMENTO!AB$15,$A12,0,$B12)/(OFFSET(ORÇAMENTO!$X$15,$A12,0,$B12)+10^-12)))</f>
        <v>0</v>
      </c>
      <c r="AL12" s="229">
        <f ca="1">IF(ACOMPANHAMENTO&lt;&gt;"BM",0,OFFSET(BM!$M$15,$A12,0))</f>
        <v>0</v>
      </c>
      <c r="AM12" s="229">
        <f ca="1">IF(ACOMPANHAMENTO&lt;&gt;"BM",0,SUMPRODUCT(OFFSET(BM!$O$15,$A12,0,$B12)*(OFFSET(BM!$A$15,$A12,0,$B12)="S")*OFFSET(ORÇAMENTO!AA$15,$A12,0,$B12)/(OFFSET(ORÇAMENTO!$X$15,$A12,0,$B12)+10^-12)))</f>
        <v>0</v>
      </c>
      <c r="AN12" s="229">
        <f ca="1">IF(ACOMPANHAMENTO&lt;&gt;"BM",0,SUMPRODUCT(OFFSET(BM!$O$15,$A12,0,$B12)*(OFFSET(BM!$A$15,$A12,0,$B12)="S")*OFFSET(ORÇAMENTO!AB$15,$A12,0,$B12)/(OFFSET(ORÇAMENTO!$X$15,$A12,0,$B12)+10^-12)))</f>
        <v>0</v>
      </c>
      <c r="AO12" s="229">
        <f ca="1">IF(ACOMPANHAMENTO&lt;&gt;"BM",0,OFFSET(BM!$O$15,$A12,0))</f>
        <v>0</v>
      </c>
    </row>
    <row r="13" spans="1:41" ht="39.9" customHeight="1">
      <c r="A13" s="375" t="s">
        <v>367</v>
      </c>
      <c r="B13" s="12" t="s">
        <v>221</v>
      </c>
      <c r="C13" s="375" t="s">
        <v>318</v>
      </c>
      <c r="D13" s="131" t="s">
        <v>217</v>
      </c>
      <c r="E13" s="132" t="s">
        <v>195</v>
      </c>
      <c r="F13" s="132" t="s">
        <v>321</v>
      </c>
      <c r="G13" s="132" t="s">
        <v>161</v>
      </c>
      <c r="H13" s="132" t="s">
        <v>203</v>
      </c>
      <c r="I13" s="132" t="s">
        <v>322</v>
      </c>
      <c r="J13" s="132" t="s">
        <v>323</v>
      </c>
      <c r="K13" s="376" t="s">
        <v>368</v>
      </c>
      <c r="L13" s="132" t="s">
        <v>369</v>
      </c>
      <c r="M13" s="376" t="s">
        <v>365</v>
      </c>
      <c r="N13" s="377" t="s">
        <v>372</v>
      </c>
      <c r="O13" s="378" t="s">
        <v>366</v>
      </c>
      <c r="P13" s="132" t="s">
        <v>375</v>
      </c>
      <c r="R13" s="468" t="s">
        <v>370</v>
      </c>
      <c r="S13" s="468" t="s">
        <v>371</v>
      </c>
      <c r="T13" s="468" t="s">
        <v>373</v>
      </c>
      <c r="U13" s="468" t="s">
        <v>374</v>
      </c>
      <c r="V13" s="622"/>
      <c r="X13" s="376" t="s">
        <v>368</v>
      </c>
      <c r="Y13" s="197" t="s">
        <v>365</v>
      </c>
      <c r="Z13" s="198" t="s">
        <v>366</v>
      </c>
      <c r="AC13" s="454" t="s">
        <v>169</v>
      </c>
      <c r="AD13" s="454" t="s">
        <v>358</v>
      </c>
      <c r="AE13" s="454" t="s">
        <v>360</v>
      </c>
      <c r="AF13" s="454" t="s">
        <v>169</v>
      </c>
      <c r="AG13" s="454" t="s">
        <v>358</v>
      </c>
      <c r="AH13" s="454" t="s">
        <v>360</v>
      </c>
      <c r="AJ13" s="454" t="s">
        <v>169</v>
      </c>
      <c r="AK13" s="454" t="s">
        <v>358</v>
      </c>
      <c r="AL13" s="454" t="s">
        <v>360</v>
      </c>
      <c r="AM13" s="454" t="s">
        <v>169</v>
      </c>
      <c r="AN13" s="454" t="s">
        <v>358</v>
      </c>
      <c r="AO13" s="454" t="s">
        <v>360</v>
      </c>
    </row>
    <row r="14" spans="1:41">
      <c r="A14">
        <f ca="1">MATCH(E14,ORÇAMENTO!$E$15:$E$264,0)-1</f>
        <v>1</v>
      </c>
      <c r="B14">
        <f ca="1">IF(ISERROR($A14),NA(),OFFSET(ORÇAMENTO!$D$15,$A14,0))</f>
        <v>248</v>
      </c>
      <c r="C14" t="str">
        <f ca="1">QCI!B14</f>
        <v>Automático</v>
      </c>
      <c r="D14" t="str">
        <f t="shared" ref="D14:D22" ca="1" si="0">IF(L14&gt;0,"F","")</f>
        <v>F</v>
      </c>
      <c r="E14" s="455">
        <f>QCI!D14</f>
        <v>1</v>
      </c>
      <c r="F14" s="456" t="str">
        <f ca="1">QCI!G14</f>
        <v>RECAPEAMENTO ASFALTICO EM DIVERSAS RUAS</v>
      </c>
      <c r="G14" s="457" t="str">
        <f>QCI!H14</f>
        <v>Em Análise</v>
      </c>
      <c r="H14" s="458">
        <f>QCI!I14</f>
        <v>1</v>
      </c>
      <c r="I14" s="459" t="str">
        <f ca="1">QCI!J14</f>
        <v>m²</v>
      </c>
      <c r="J14" s="460" t="str">
        <f ca="1">QCI!K14</f>
        <v>LOTE 1</v>
      </c>
      <c r="K14" s="461">
        <f ca="1">IF($C14="Automático",IF(ACOMPANHAMENTO="BM",BM.medicao,PLE.Medicao),IF(ISBLANK($X14),"",$X14))</f>
        <v>1</v>
      </c>
      <c r="L14" s="462">
        <f ca="1">QCI!$O14</f>
        <v>1048093.8</v>
      </c>
      <c r="M14" s="464">
        <f t="shared" ref="M14:M22" ca="1" si="1">ROUND(IF(C14="Automático",AE14+AL14,Y14),2)</f>
        <v>0</v>
      </c>
      <c r="N14" s="465">
        <f t="shared" ref="N14:N22" ca="1" si="2">O14-M14</f>
        <v>0</v>
      </c>
      <c r="O14" s="466">
        <f t="shared" ref="O14:O22" ca="1" si="3">ROUND(IF(C14="Automático",AH14+AO14,Z14),2)</f>
        <v>0</v>
      </c>
      <c r="P14" s="467">
        <f t="shared" ref="P14:P22" ca="1" si="4">O14/(L14+10^-12)</f>
        <v>0</v>
      </c>
      <c r="R14" s="463">
        <f ca="1">ROUND(IF($C14="Automático",AC14+AJ14,$Y14*IF(ISERROR(QCI!$AA14/QCI!$O14),0,QCI!$AA14/QCI!$O14)),2)</f>
        <v>0</v>
      </c>
      <c r="S14" s="463">
        <f ca="1">ROUND(IF($C14="Automático",AD14+AK14,$Y14*IF(ISERROR(QCI!$AB14/QCI!$O14),0,QCI!$AB14/QCI!$O14)),2)</f>
        <v>0</v>
      </c>
      <c r="T14" s="463">
        <f ca="1">ROUND(IF($C14="Automático",AF14+AM14,$Z14*IF(ISERROR(QCI!$AA14/QCI!$O14),0,QCI!$AA14/QCI!$O14)),2)</f>
        <v>0</v>
      </c>
      <c r="U14" s="463">
        <f ca="1">ROUND(IF($C14="Automático",AG14+AN14,$Z14*IF(ISERROR(QCI!$AB14/QCI!$O14),0,QCI!$AB14/QCI!$O14)),2)</f>
        <v>0</v>
      </c>
      <c r="V14" s="621">
        <f ca="1">IF(AND($L14&gt;0,$J14&lt;&gt;0,$J14&lt;&gt;"",COUNTIF($J$13:$J14,$J14)=1),OFFSET(V14,-1,0)+1,OFFSET(V14,-1,0))</f>
        <v>1</v>
      </c>
      <c r="X14" s="368"/>
      <c r="Y14" s="369"/>
      <c r="Z14" s="371"/>
      <c r="AC14" s="229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0</v>
      </c>
      <c r="AD14" s="229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0</v>
      </c>
      <c r="AE14" s="229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0</v>
      </c>
      <c r="AF14" s="229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0</v>
      </c>
      <c r="AG14" s="229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0</v>
      </c>
      <c r="AH14" s="229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0</v>
      </c>
      <c r="AJ14" s="229">
        <f ca="1">IF(ACOMPANHAMENTO&lt;&gt;"BM",0,SUMPRODUCT(OFFSET(BM!$M$15,$A14,0,$B14)*(OFFSET(BM!$A$15,$A14,0,$B14)="S")*OFFSET(ORÇAMENTO!AA$15,$A14,0,$B14)/(OFFSET(ORÇAMENTO!$X$15,$A14,0,$B14)+10^-12)))</f>
        <v>0</v>
      </c>
      <c r="AK14" s="229">
        <f ca="1">IF(ACOMPANHAMENTO&lt;&gt;"BM",0,SUMPRODUCT(OFFSET(BM!$M$15,$A14,0,$B14)*(OFFSET(BM!$A$15,$A14,0,$B14)="S")*OFFSET(ORÇAMENTO!AB$15,$A14,0,$B14)/(OFFSET(ORÇAMENTO!$X$15,$A14,0,$B14)+10^-12)))</f>
        <v>0</v>
      </c>
      <c r="AL14" s="229">
        <f ca="1">IF(ACOMPANHAMENTO&lt;&gt;"BM",0,OFFSET(BM!$M$15,$A14,0))</f>
        <v>0</v>
      </c>
      <c r="AM14" s="229">
        <f ca="1">IF(ACOMPANHAMENTO&lt;&gt;"BM",0,SUMPRODUCT(OFFSET(BM!$O$15,$A14,0,$B14)*(OFFSET(BM!$A$15,$A14,0,$B14)="S")*OFFSET(ORÇAMENTO!AA$15,$A14,0,$B14)/(OFFSET(ORÇAMENTO!$X$15,$A14,0,$B14)+10^-12)))</f>
        <v>0</v>
      </c>
      <c r="AN14" s="229">
        <f ca="1">IF(ACOMPANHAMENTO&lt;&gt;"BM",0,SUMPRODUCT(OFFSET(BM!$O$15,$A14,0,$B14)*(OFFSET(BM!$A$15,$A14,0,$B14)="S")*OFFSET(ORÇAMENTO!AB$15,$A14,0,$B14)/(OFFSET(ORÇAMENTO!$X$15,$A14,0,$B14)+10^-12)))</f>
        <v>0</v>
      </c>
      <c r="AO14" s="229">
        <f ca="1">IF(ACOMPANHAMENTO&lt;&gt;"BM",0,OFFSET(BM!$O$15,$A14,0))</f>
        <v>0</v>
      </c>
    </row>
    <row r="15" spans="1:41">
      <c r="A15" t="e">
        <f ca="1">MATCH(E15,ORÇAMENTO!$E$15:$E$264,0)-1</f>
        <v>#N/A</v>
      </c>
      <c r="B15" t="e">
        <f ca="1">IF(ISERROR($A15),NA(),OFFSET(ORÇAMENTO!$D$15,$A15,0))</f>
        <v>#N/A</v>
      </c>
      <c r="C15" t="str">
        <f ca="1">QCI!B15</f>
        <v>Branco</v>
      </c>
      <c r="D15" t="str">
        <f t="shared" ca="1" si="0"/>
        <v/>
      </c>
      <c r="E15" s="455">
        <f>QCI!D15</f>
        <v>2</v>
      </c>
      <c r="F15" s="456" t="str">
        <f ca="1">QCI!G15</f>
        <v/>
      </c>
      <c r="G15" s="457">
        <f>QCI!H15</f>
        <v>0</v>
      </c>
      <c r="H15" s="458">
        <f>QCI!I15</f>
        <v>0</v>
      </c>
      <c r="I15" s="459" t="str">
        <f ca="1">QCI!J15</f>
        <v/>
      </c>
      <c r="J15" s="460" t="str">
        <f ca="1">QCI!K15</f>
        <v/>
      </c>
      <c r="K15" s="461" t="str">
        <f ca="1">IF($C15="Automático",IF(ACOMPANHAMENTO="BM",BM.medicao,PLE.Medicao),IF(ISBLANK($X15),"",$X15))</f>
        <v/>
      </c>
      <c r="L15" s="462">
        <f ca="1">QCI!$O15</f>
        <v>0</v>
      </c>
      <c r="M15" s="464">
        <f t="shared" ca="1" si="1"/>
        <v>0</v>
      </c>
      <c r="N15" s="465">
        <f t="shared" ca="1" si="2"/>
        <v>0</v>
      </c>
      <c r="O15" s="466">
        <f t="shared" ca="1" si="3"/>
        <v>0</v>
      </c>
      <c r="P15" s="467">
        <f t="shared" ca="1" si="4"/>
        <v>0</v>
      </c>
      <c r="R15" s="463">
        <f ca="1">ROUND(IF($C15="Automático",AC15+AJ15,$Y15*IF(ISERROR(QCI!$AA15/QCI!$O15),0,QCI!$AA15/QCI!$O15)),2)</f>
        <v>0</v>
      </c>
      <c r="S15" s="463">
        <f ca="1">ROUND(IF($C15="Automático",AD15+AK15,$Y15*IF(ISERROR(QCI!$AB15/QCI!$O15),0,QCI!$AB15/QCI!$O15)),2)</f>
        <v>0</v>
      </c>
      <c r="T15" s="463">
        <f ca="1">ROUND(IF($C15="Automático",AF15+AM15,$Z15*IF(ISERROR(QCI!$AA15/QCI!$O15),0,QCI!$AA15/QCI!$O15)),2)</f>
        <v>0</v>
      </c>
      <c r="U15" s="463">
        <f ca="1">ROUND(IF($C15="Automático",AG15+AN15,$Z15*IF(ISERROR(QCI!$AB15/QCI!$O15),0,QCI!$AB15/QCI!$O15)),2)</f>
        <v>0</v>
      </c>
      <c r="V15" s="621">
        <f ca="1">IF(AND($L15&gt;0,$J15&lt;&gt;0,$J15&lt;&gt;"",COUNTIF($J$13:$J15,$J15)=1),OFFSET(V15,-1,0)+1,OFFSET(V15,-1,0))</f>
        <v>1</v>
      </c>
      <c r="X15" s="368"/>
      <c r="Y15" s="369"/>
      <c r="Z15" s="371"/>
      <c r="AC15" s="229" t="e">
        <f ca="1">IF(ACOMPANHAMENTO&lt;&gt;"PLE",0,SUMPRODUCT((OFFSET(CÁLCULO!$AX$15:$BH$15,$A15,0,$B15)&lt;=(PLE.Medicao-1))*OFFSET(CÁLCULO!$AB$15:$AL$15,$A15,0,$B15)*OFFSET(ORÇAMENTO!$AA$15,$A15,0,$B15)/(OFFSET(ORÇAMENTO!$X$15,$A15,0,$B15)+10^-12))+IF(AUTOEVENTO="Manual",SUMPRODUCT((OFFSET(CÁLCULO!$M$15,$A15,0,$B15)=1)*OFFSET(ORÇAMENTO!$AA$15,$A15,0,$B15)*(PLE!$AE$9-PLE!$Y$9)),0))</f>
        <v>#N/A</v>
      </c>
      <c r="AD15" s="229" t="e">
        <f ca="1">IF(ACOMPANHAMENTO&lt;&gt;"PLE",0,SUMPRODUCT((OFFSET(CÁLCULO!$AX$15:$BH$15,$A15,0,$B15)&lt;=(PLE.Medicao-1))*OFFSET(CÁLCULO!$AB$15:$AL$15,$A15,0,$B15)*OFFSET(ORÇAMENTO!$AB$15,$A15,0,$B15)/(OFFSET(ORÇAMENTO!$X$15,$A15,0,$B15)+10^-12))+IF(AUTOEVENTO="Manual",SUMPRODUCT((OFFSET(CÁLCULO!$M$15,$A15,0,$B15)=1)*OFFSET(ORÇAMENTO!$AB$15,$A15,0,$B15)*(PLE!$AE$9-PLE!$Y$9)),0))</f>
        <v>#N/A</v>
      </c>
      <c r="AE15" s="229" t="e">
        <f ca="1">ROUND(IF(ACOMPANHAMENTO&lt;&gt;"PLE",0,SUMIF(OFFSET(CÁLCULO!$AX$15:$BH$15,$A15,0,$B15),"&lt;="&amp;(PLE.Medicao-1),OFFSET(CÁLCULO!$AB$15:$AL$15,$A15,0,$B15))+IF(AUTOEVENTO="Manual",SUMIF(OFFSET(CÁLCULO!$M$15,$A15,0,$B15),1,OFFSET(ORÇAMENTO!$X$15,$A15,0,$B15))*(PLE!$AE$9-PLE!$Y$9),0)),2)</f>
        <v>#N/A</v>
      </c>
      <c r="AF15" s="229" t="e">
        <f ca="1">IF(ACOMPANHAMENTO&lt;&gt;"PLE",0,SUMPRODUCT((OFFSET(CÁLCULO!$AX$15:$BH$15,$A15,0,$B15)&lt;=PLE.Medicao)*OFFSET(CÁLCULO!$AB$15:$AL$15,$A15,0,$B15)*OFFSET(ORÇAMENTO!$AA$15,$A15,0,$B15)/(OFFSET(ORÇAMENTO!$X$15,$A15,0,$B15)+10^-12))+IF(AUTOEVENTO="Manual",SUMPRODUCT((OFFSET(CÁLCULO!$M$15,$A15,0,$B15)=1)*OFFSET(ORÇAMENTO!$AA$15,$A15,0,$B15)*PLE!$AE$9),0))</f>
        <v>#N/A</v>
      </c>
      <c r="AG15" s="229" t="e">
        <f ca="1">IF(ACOMPANHAMENTO&lt;&gt;"PLE",0,SUMPRODUCT((OFFSET(CÁLCULO!$AX$15:$BH$15,$A15,0,$B15)&lt;=PLE.Medicao)*OFFSET(CÁLCULO!$AB$15:$AL$15,$A15,0,$B15)*OFFSET(ORÇAMENTO!$AB$15,$A15,0,$B15)/(OFFSET(ORÇAMENTO!$X$15,$A15,0,$B15)+10^-12))+IF(AUTOEVENTO="Manual",SUMPRODUCT((OFFSET(CÁLCULO!$M$15,$A15,0,$B15)=1)*OFFSET(ORÇAMENTO!$AB$15,$A15,0,$B15)*PLE!$AE$9),0))</f>
        <v>#N/A</v>
      </c>
      <c r="AH15" s="229" t="e">
        <f ca="1">ROUND(IF(ACOMPANHAMENTO&lt;&gt;"PLE",0,SUMIF(OFFSET(CÁLCULO!$AX$15:$BH$15,$A15,0,$B15),"&lt;="&amp;PLE.Medicao,OFFSET(CÁLCULO!$AB$15:$AL$15,$A15,0,$B15))+IF(AUTOEVENTO="Manual",SUMIF(OFFSET(CÁLCULO!$M$15,$A15,0,$B15),1,OFFSET(ORÇAMENTO!$X$15,$A15,0,$B15))*PLE!$AE$9,0)),2)</f>
        <v>#N/A</v>
      </c>
      <c r="AJ15" s="229">
        <f ca="1">IF(ACOMPANHAMENTO&lt;&gt;"BM",0,SUMPRODUCT(OFFSET(BM!$M$15,$A15,0,$B15)*(OFFSET(BM!$A$15,$A15,0,$B15)="S")*OFFSET(ORÇAMENTO!AA$15,$A15,0,$B15)/(OFFSET(ORÇAMENTO!$X$15,$A15,0,$B15)+10^-12)))</f>
        <v>0</v>
      </c>
      <c r="AK15" s="229">
        <f ca="1">IF(ACOMPANHAMENTO&lt;&gt;"BM",0,SUMPRODUCT(OFFSET(BM!$M$15,$A15,0,$B15)*(OFFSET(BM!$A$15,$A15,0,$B15)="S")*OFFSET(ORÇAMENTO!AB$15,$A15,0,$B15)/(OFFSET(ORÇAMENTO!$X$15,$A15,0,$B15)+10^-12)))</f>
        <v>0</v>
      </c>
      <c r="AL15" s="229">
        <f ca="1">IF(ACOMPANHAMENTO&lt;&gt;"BM",0,OFFSET(BM!$M$15,$A15,0))</f>
        <v>0</v>
      </c>
      <c r="AM15" s="229">
        <f ca="1">IF(ACOMPANHAMENTO&lt;&gt;"BM",0,SUMPRODUCT(OFFSET(BM!$O$15,$A15,0,$B15)*(OFFSET(BM!$A$15,$A15,0,$B15)="S")*OFFSET(ORÇAMENTO!AA$15,$A15,0,$B15)/(OFFSET(ORÇAMENTO!$X$15,$A15,0,$B15)+10^-12)))</f>
        <v>0</v>
      </c>
      <c r="AN15" s="229">
        <f ca="1">IF(ACOMPANHAMENTO&lt;&gt;"BM",0,SUMPRODUCT(OFFSET(BM!$O$15,$A15,0,$B15)*(OFFSET(BM!$A$15,$A15,0,$B15)="S")*OFFSET(ORÇAMENTO!AB$15,$A15,0,$B15)/(OFFSET(ORÇAMENTO!$X$15,$A15,0,$B15)+10^-12)))</f>
        <v>0</v>
      </c>
      <c r="AO15" s="229">
        <f ca="1">IF(ACOMPANHAMENTO&lt;&gt;"BM",0,OFFSET(BM!$O$15,$A15,0))</f>
        <v>0</v>
      </c>
    </row>
    <row r="16" spans="1:41">
      <c r="A16" t="e">
        <f ca="1">MATCH(E16,ORÇAMENTO!$E$15:$E$264,0)-1</f>
        <v>#N/A</v>
      </c>
      <c r="B16" t="e">
        <f ca="1">IF(ISERROR($A16),NA(),OFFSET(ORÇAMENTO!$D$15,$A16,0))</f>
        <v>#N/A</v>
      </c>
      <c r="C16" t="str">
        <f ca="1">QCI!B16</f>
        <v>Branco</v>
      </c>
      <c r="D16" t="str">
        <f t="shared" ca="1" si="0"/>
        <v/>
      </c>
      <c r="E16" s="455">
        <f>QCI!D16</f>
        <v>3</v>
      </c>
      <c r="F16" s="456" t="str">
        <f ca="1">QCI!G16</f>
        <v/>
      </c>
      <c r="G16" s="457">
        <f>QCI!H16</f>
        <v>0</v>
      </c>
      <c r="H16" s="458">
        <f>QCI!I16</f>
        <v>0</v>
      </c>
      <c r="I16" s="459" t="str">
        <f ca="1">QCI!J16</f>
        <v/>
      </c>
      <c r="J16" s="460" t="str">
        <f ca="1">QCI!K16</f>
        <v/>
      </c>
      <c r="K16" s="461" t="str">
        <f ca="1">IF($C16="Automático",IF(ACOMPANHAMENTO="BM",BM.medicao,PLE.Medicao),IF(ISBLANK($X16),"",$X16))</f>
        <v/>
      </c>
      <c r="L16" s="462">
        <f ca="1">QCI!$O16</f>
        <v>0</v>
      </c>
      <c r="M16" s="464">
        <f t="shared" ca="1" si="1"/>
        <v>0</v>
      </c>
      <c r="N16" s="465">
        <f t="shared" ca="1" si="2"/>
        <v>0</v>
      </c>
      <c r="O16" s="466">
        <f t="shared" ca="1" si="3"/>
        <v>0</v>
      </c>
      <c r="P16" s="467">
        <f t="shared" ca="1" si="4"/>
        <v>0</v>
      </c>
      <c r="R16" s="463">
        <f ca="1">ROUND(IF($C16="Automático",AC16+AJ16,$Y16*IF(ISERROR(QCI!$AA16/QCI!$O16),0,QCI!$AA16/QCI!$O16)),2)</f>
        <v>0</v>
      </c>
      <c r="S16" s="463">
        <f ca="1">ROUND(IF($C16="Automático",AD16+AK16,$Y16*IF(ISERROR(QCI!$AB16/QCI!$O16),0,QCI!$AB16/QCI!$O16)),2)</f>
        <v>0</v>
      </c>
      <c r="T16" s="463">
        <f ca="1">ROUND(IF($C16="Automático",AF16+AM16,$Z16*IF(ISERROR(QCI!$AA16/QCI!$O16),0,QCI!$AA16/QCI!$O16)),2)</f>
        <v>0</v>
      </c>
      <c r="U16" s="463">
        <f ca="1">ROUND(IF($C16="Automático",AG16+AN16,$Z16*IF(ISERROR(QCI!$AB16/QCI!$O16),0,QCI!$AB16/QCI!$O16)),2)</f>
        <v>0</v>
      </c>
      <c r="V16" s="621">
        <f ca="1">IF(AND($L16&gt;0,$J16&lt;&gt;0,$J16&lt;&gt;"",COUNTIF($J$13:$J16,$J16)=1),OFFSET(V16,-1,0)+1,OFFSET(V16,-1,0))</f>
        <v>1</v>
      </c>
      <c r="X16" s="368"/>
      <c r="Y16" s="369"/>
      <c r="Z16" s="371"/>
      <c r="AC16" s="229" t="e">
        <f ca="1">IF(ACOMPANHAMENTO&lt;&gt;"PLE",0,SUMPRODUCT((OFFSET(CÁLCULO!$AX$15:$BH$15,$A16,0,$B16)&lt;=(PLE.Medicao-1))*OFFSET(CÁLCULO!$AB$15:$AL$15,$A16,0,$B16)*OFFSET(ORÇAMENTO!$AA$15,$A16,0,$B16)/(OFFSET(ORÇAMENTO!$X$15,$A16,0,$B16)+10^-12))+IF(AUTOEVENTO="Manual",SUMPRODUCT((OFFSET(CÁLCULO!$M$15,$A16,0,$B16)=1)*OFFSET(ORÇAMENTO!$AA$15,$A16,0,$B16)*(PLE!$AE$9-PLE!$Y$9)),0))</f>
        <v>#N/A</v>
      </c>
      <c r="AD16" s="229" t="e">
        <f ca="1">IF(ACOMPANHAMENTO&lt;&gt;"PLE",0,SUMPRODUCT((OFFSET(CÁLCULO!$AX$15:$BH$15,$A16,0,$B16)&lt;=(PLE.Medicao-1))*OFFSET(CÁLCULO!$AB$15:$AL$15,$A16,0,$B16)*OFFSET(ORÇAMENTO!$AB$15,$A16,0,$B16)/(OFFSET(ORÇAMENTO!$X$15,$A16,0,$B16)+10^-12))+IF(AUTOEVENTO="Manual",SUMPRODUCT((OFFSET(CÁLCULO!$M$15,$A16,0,$B16)=1)*OFFSET(ORÇAMENTO!$AB$15,$A16,0,$B16)*(PLE!$AE$9-PLE!$Y$9)),0))</f>
        <v>#N/A</v>
      </c>
      <c r="AE16" s="229" t="e">
        <f ca="1">ROUND(IF(ACOMPANHAMENTO&lt;&gt;"PLE",0,SUMIF(OFFSET(CÁLCULO!$AX$15:$BH$15,$A16,0,$B16),"&lt;="&amp;(PLE.Medicao-1),OFFSET(CÁLCULO!$AB$15:$AL$15,$A16,0,$B16))+IF(AUTOEVENTO="Manual",SUMIF(OFFSET(CÁLCULO!$M$15,$A16,0,$B16),1,OFFSET(ORÇAMENTO!$X$15,$A16,0,$B16))*(PLE!$AE$9-PLE!$Y$9),0)),2)</f>
        <v>#N/A</v>
      </c>
      <c r="AF16" s="229" t="e">
        <f ca="1">IF(ACOMPANHAMENTO&lt;&gt;"PLE",0,SUMPRODUCT((OFFSET(CÁLCULO!$AX$15:$BH$15,$A16,0,$B16)&lt;=PLE.Medicao)*OFFSET(CÁLCULO!$AB$15:$AL$15,$A16,0,$B16)*OFFSET(ORÇAMENTO!$AA$15,$A16,0,$B16)/(OFFSET(ORÇAMENTO!$X$15,$A16,0,$B16)+10^-12))+IF(AUTOEVENTO="Manual",SUMPRODUCT((OFFSET(CÁLCULO!$M$15,$A16,0,$B16)=1)*OFFSET(ORÇAMENTO!$AA$15,$A16,0,$B16)*PLE!$AE$9),0))</f>
        <v>#N/A</v>
      </c>
      <c r="AG16" s="229" t="e">
        <f ca="1">IF(ACOMPANHAMENTO&lt;&gt;"PLE",0,SUMPRODUCT((OFFSET(CÁLCULO!$AX$15:$BH$15,$A16,0,$B16)&lt;=PLE.Medicao)*OFFSET(CÁLCULO!$AB$15:$AL$15,$A16,0,$B16)*OFFSET(ORÇAMENTO!$AB$15,$A16,0,$B16)/(OFFSET(ORÇAMENTO!$X$15,$A16,0,$B16)+10^-12))+IF(AUTOEVENTO="Manual",SUMPRODUCT((OFFSET(CÁLCULO!$M$15,$A16,0,$B16)=1)*OFFSET(ORÇAMENTO!$AB$15,$A16,0,$B16)*PLE!$AE$9),0))</f>
        <v>#N/A</v>
      </c>
      <c r="AH16" s="229" t="e">
        <f ca="1">ROUND(IF(ACOMPANHAMENTO&lt;&gt;"PLE",0,SUMIF(OFFSET(CÁLCULO!$AX$15:$BH$15,$A16,0,$B16),"&lt;="&amp;PLE.Medicao,OFFSET(CÁLCULO!$AB$15:$AL$15,$A16,0,$B16))+IF(AUTOEVENTO="Manual",SUMIF(OFFSET(CÁLCULO!$M$15,$A16,0,$B16),1,OFFSET(ORÇAMENTO!$X$15,$A16,0,$B16))*PLE!$AE$9,0)),2)</f>
        <v>#N/A</v>
      </c>
      <c r="AJ16" s="229">
        <f ca="1">IF(ACOMPANHAMENTO&lt;&gt;"BM",0,SUMPRODUCT(OFFSET(BM!$M$15,$A16,0,$B16)*(OFFSET(BM!$A$15,$A16,0,$B16)="S")*OFFSET(ORÇAMENTO!AA$15,$A16,0,$B16)/(OFFSET(ORÇAMENTO!$X$15,$A16,0,$B16)+10^-12)))</f>
        <v>0</v>
      </c>
      <c r="AK16" s="229">
        <f ca="1">IF(ACOMPANHAMENTO&lt;&gt;"BM",0,SUMPRODUCT(OFFSET(BM!$M$15,$A16,0,$B16)*(OFFSET(BM!$A$15,$A16,0,$B16)="S")*OFFSET(ORÇAMENTO!AB$15,$A16,0,$B16)/(OFFSET(ORÇAMENTO!$X$15,$A16,0,$B16)+10^-12)))</f>
        <v>0</v>
      </c>
      <c r="AL16" s="229">
        <f ca="1">IF(ACOMPANHAMENTO&lt;&gt;"BM",0,OFFSET(BM!$M$15,$A16,0))</f>
        <v>0</v>
      </c>
      <c r="AM16" s="229">
        <f ca="1">IF(ACOMPANHAMENTO&lt;&gt;"BM",0,SUMPRODUCT(OFFSET(BM!$O$15,$A16,0,$B16)*(OFFSET(BM!$A$15,$A16,0,$B16)="S")*OFFSET(ORÇAMENTO!AA$15,$A16,0,$B16)/(OFFSET(ORÇAMENTO!$X$15,$A16,0,$B16)+10^-12)))</f>
        <v>0</v>
      </c>
      <c r="AN16" s="229">
        <f ca="1">IF(ACOMPANHAMENTO&lt;&gt;"BM",0,SUMPRODUCT(OFFSET(BM!$O$15,$A16,0,$B16)*(OFFSET(BM!$A$15,$A16,0,$B16)="S")*OFFSET(ORÇAMENTO!AB$15,$A16,0,$B16)/(OFFSET(ORÇAMENTO!$X$15,$A16,0,$B16)+10^-12)))</f>
        <v>0</v>
      </c>
      <c r="AO16" s="229">
        <f ca="1">IF(ACOMPANHAMENTO&lt;&gt;"BM",0,OFFSET(BM!$O$15,$A16,0))</f>
        <v>0</v>
      </c>
    </row>
    <row r="17" spans="1:41">
      <c r="A17" t="e">
        <f ca="1">MATCH(E17,ORÇAMENTO!$E$15:$E$264,0)-1</f>
        <v>#N/A</v>
      </c>
      <c r="B17" t="e">
        <f ca="1">IF(ISERROR($A17),NA(),OFFSET(ORÇAMENTO!$D$15,$A17,0))</f>
        <v>#N/A</v>
      </c>
      <c r="C17" t="str">
        <f ca="1">QCI!B17</f>
        <v>Branco</v>
      </c>
      <c r="D17" t="str">
        <f t="shared" ca="1" si="0"/>
        <v/>
      </c>
      <c r="E17" s="455">
        <f>QCI!D17</f>
        <v>4</v>
      </c>
      <c r="F17" s="456" t="str">
        <f ca="1">QCI!G17</f>
        <v/>
      </c>
      <c r="G17" s="457">
        <f>QCI!H17</f>
        <v>0</v>
      </c>
      <c r="H17" s="458">
        <f>QCI!I17</f>
        <v>0</v>
      </c>
      <c r="I17" s="459" t="str">
        <f ca="1">QCI!J17</f>
        <v/>
      </c>
      <c r="J17" s="460" t="str">
        <f ca="1">QCI!K17</f>
        <v/>
      </c>
      <c r="K17" s="461" t="str">
        <f ca="1">IF($C17="Automático",IF(ACOMPANHAMENTO="BM",BM.medicao,PLE.Medicao),IF(ISBLANK($X17),"",$X17))</f>
        <v/>
      </c>
      <c r="L17" s="462">
        <f ca="1">QCI!$O17</f>
        <v>0</v>
      </c>
      <c r="M17" s="464">
        <f t="shared" ca="1" si="1"/>
        <v>0</v>
      </c>
      <c r="N17" s="465">
        <f t="shared" ca="1" si="2"/>
        <v>0</v>
      </c>
      <c r="O17" s="466">
        <f t="shared" ca="1" si="3"/>
        <v>0</v>
      </c>
      <c r="P17" s="467">
        <f t="shared" ca="1" si="4"/>
        <v>0</v>
      </c>
      <c r="R17" s="463">
        <f ca="1">ROUND(IF($C17="Automático",AC17+AJ17,$Y17*IF(ISERROR(QCI!$AA17/QCI!$O17),0,QCI!$AA17/QCI!$O17)),2)</f>
        <v>0</v>
      </c>
      <c r="S17" s="463">
        <f ca="1">ROUND(IF($C17="Automático",AD17+AK17,$Y17*IF(ISERROR(QCI!$AB17/QCI!$O17),0,QCI!$AB17/QCI!$O17)),2)</f>
        <v>0</v>
      </c>
      <c r="T17" s="463">
        <f ca="1">ROUND(IF($C17="Automático",AF17+AM17,$Z17*IF(ISERROR(QCI!$AA17/QCI!$O17),0,QCI!$AA17/QCI!$O17)),2)</f>
        <v>0</v>
      </c>
      <c r="U17" s="463">
        <f ca="1">ROUND(IF($C17="Automático",AG17+AN17,$Z17*IF(ISERROR(QCI!$AB17/QCI!$O17),0,QCI!$AB17/QCI!$O17)),2)</f>
        <v>0</v>
      </c>
      <c r="V17" s="621">
        <f ca="1">IF(AND($L17&gt;0,$J17&lt;&gt;0,$J17&lt;&gt;"",COUNTIF($J$13:$J17,$J17)=1),OFFSET(V17,-1,0)+1,OFFSET(V17,-1,0))</f>
        <v>1</v>
      </c>
      <c r="X17" s="368"/>
      <c r="Y17" s="369"/>
      <c r="Z17" s="371"/>
      <c r="AC17" s="229" t="e">
        <f ca="1">IF(ACOMPANHAMENTO&lt;&gt;"PLE",0,SUMPRODUCT((OFFSET(CÁLCULO!$AX$15:$BH$15,$A17,0,$B17)&lt;=(PLE.Medicao-1))*OFFSET(CÁLCULO!$AB$15:$AL$15,$A17,0,$B17)*OFFSET(ORÇAMENTO!$AA$15,$A17,0,$B17)/(OFFSET(ORÇAMENTO!$X$15,$A17,0,$B17)+10^-12))+IF(AUTOEVENTO="Manual",SUMPRODUCT((OFFSET(CÁLCULO!$M$15,$A17,0,$B17)=1)*OFFSET(ORÇAMENTO!$AA$15,$A17,0,$B17)*(PLE!$AE$9-PLE!$Y$9)),0))</f>
        <v>#N/A</v>
      </c>
      <c r="AD17" s="229" t="e">
        <f ca="1">IF(ACOMPANHAMENTO&lt;&gt;"PLE",0,SUMPRODUCT((OFFSET(CÁLCULO!$AX$15:$BH$15,$A17,0,$B17)&lt;=(PLE.Medicao-1))*OFFSET(CÁLCULO!$AB$15:$AL$15,$A17,0,$B17)*OFFSET(ORÇAMENTO!$AB$15,$A17,0,$B17)/(OFFSET(ORÇAMENTO!$X$15,$A17,0,$B17)+10^-12))+IF(AUTOEVENTO="Manual",SUMPRODUCT((OFFSET(CÁLCULO!$M$15,$A17,0,$B17)=1)*OFFSET(ORÇAMENTO!$AB$15,$A17,0,$B17)*(PLE!$AE$9-PLE!$Y$9)),0))</f>
        <v>#N/A</v>
      </c>
      <c r="AE17" s="229" t="e">
        <f ca="1">ROUND(IF(ACOMPANHAMENTO&lt;&gt;"PLE",0,SUMIF(OFFSET(CÁLCULO!$AX$15:$BH$15,$A17,0,$B17),"&lt;="&amp;(PLE.Medicao-1),OFFSET(CÁLCULO!$AB$15:$AL$15,$A17,0,$B17))+IF(AUTOEVENTO="Manual",SUMIF(OFFSET(CÁLCULO!$M$15,$A17,0,$B17),1,OFFSET(ORÇAMENTO!$X$15,$A17,0,$B17))*(PLE!$AE$9-PLE!$Y$9),0)),2)</f>
        <v>#N/A</v>
      </c>
      <c r="AF17" s="229" t="e">
        <f ca="1">IF(ACOMPANHAMENTO&lt;&gt;"PLE",0,SUMPRODUCT((OFFSET(CÁLCULO!$AX$15:$BH$15,$A17,0,$B17)&lt;=PLE.Medicao)*OFFSET(CÁLCULO!$AB$15:$AL$15,$A17,0,$B17)*OFFSET(ORÇAMENTO!$AA$15,$A17,0,$B17)/(OFFSET(ORÇAMENTO!$X$15,$A17,0,$B17)+10^-12))+IF(AUTOEVENTO="Manual",SUMPRODUCT((OFFSET(CÁLCULO!$M$15,$A17,0,$B17)=1)*OFFSET(ORÇAMENTO!$AA$15,$A17,0,$B17)*PLE!$AE$9),0))</f>
        <v>#N/A</v>
      </c>
      <c r="AG17" s="229" t="e">
        <f ca="1">IF(ACOMPANHAMENTO&lt;&gt;"PLE",0,SUMPRODUCT((OFFSET(CÁLCULO!$AX$15:$BH$15,$A17,0,$B17)&lt;=PLE.Medicao)*OFFSET(CÁLCULO!$AB$15:$AL$15,$A17,0,$B17)*OFFSET(ORÇAMENTO!$AB$15,$A17,0,$B17)/(OFFSET(ORÇAMENTO!$X$15,$A17,0,$B17)+10^-12))+IF(AUTOEVENTO="Manual",SUMPRODUCT((OFFSET(CÁLCULO!$M$15,$A17,0,$B17)=1)*OFFSET(ORÇAMENTO!$AB$15,$A17,0,$B17)*PLE!$AE$9),0))</f>
        <v>#N/A</v>
      </c>
      <c r="AH17" s="229" t="e">
        <f ca="1">ROUND(IF(ACOMPANHAMENTO&lt;&gt;"PLE",0,SUMIF(OFFSET(CÁLCULO!$AX$15:$BH$15,$A17,0,$B17),"&lt;="&amp;PLE.Medicao,OFFSET(CÁLCULO!$AB$15:$AL$15,$A17,0,$B17))+IF(AUTOEVENTO="Manual",SUMIF(OFFSET(CÁLCULO!$M$15,$A17,0,$B17),1,OFFSET(ORÇAMENTO!$X$15,$A17,0,$B17))*PLE!$AE$9,0)),2)</f>
        <v>#N/A</v>
      </c>
      <c r="AJ17" s="229">
        <f ca="1">IF(ACOMPANHAMENTO&lt;&gt;"BM",0,SUMPRODUCT(OFFSET(BM!$M$15,$A17,0,$B17)*(OFFSET(BM!$A$15,$A17,0,$B17)="S")*OFFSET(ORÇAMENTO!AA$15,$A17,0,$B17)/(OFFSET(ORÇAMENTO!$X$15,$A17,0,$B17)+10^-12)))</f>
        <v>0</v>
      </c>
      <c r="AK17" s="229">
        <f ca="1">IF(ACOMPANHAMENTO&lt;&gt;"BM",0,SUMPRODUCT(OFFSET(BM!$M$15,$A17,0,$B17)*(OFFSET(BM!$A$15,$A17,0,$B17)="S")*OFFSET(ORÇAMENTO!AB$15,$A17,0,$B17)/(OFFSET(ORÇAMENTO!$X$15,$A17,0,$B17)+10^-12)))</f>
        <v>0</v>
      </c>
      <c r="AL17" s="229">
        <f ca="1">IF(ACOMPANHAMENTO&lt;&gt;"BM",0,OFFSET(BM!$M$15,$A17,0))</f>
        <v>0</v>
      </c>
      <c r="AM17" s="229">
        <f ca="1">IF(ACOMPANHAMENTO&lt;&gt;"BM",0,SUMPRODUCT(OFFSET(BM!$O$15,$A17,0,$B17)*(OFFSET(BM!$A$15,$A17,0,$B17)="S")*OFFSET(ORÇAMENTO!AA$15,$A17,0,$B17)/(OFFSET(ORÇAMENTO!$X$15,$A17,0,$B17)+10^-12)))</f>
        <v>0</v>
      </c>
      <c r="AN17" s="229">
        <f ca="1">IF(ACOMPANHAMENTO&lt;&gt;"BM",0,SUMPRODUCT(OFFSET(BM!$O$15,$A17,0,$B17)*(OFFSET(BM!$A$15,$A17,0,$B17)="S")*OFFSET(ORÇAMENTO!AB$15,$A17,0,$B17)/(OFFSET(ORÇAMENTO!$X$15,$A17,0,$B17)+10^-12)))</f>
        <v>0</v>
      </c>
      <c r="AO17" s="229">
        <f ca="1">IF(ACOMPANHAMENTO&lt;&gt;"BM",0,OFFSET(BM!$O$15,$A17,0))</f>
        <v>0</v>
      </c>
    </row>
    <row r="18" spans="1:41">
      <c r="A18" t="e">
        <f ca="1">MATCH(E18,ORÇAMENTO!$E$15:$E$264,0)-1</f>
        <v>#N/A</v>
      </c>
      <c r="B18" t="e">
        <f ca="1">IF(ISERROR($A18),NA(),OFFSET(ORÇAMENTO!$D$15,$A18,0))</f>
        <v>#N/A</v>
      </c>
      <c r="C18" t="str">
        <f ca="1">QCI!B18</f>
        <v>Branco</v>
      </c>
      <c r="D18" t="str">
        <f t="shared" ca="1" si="0"/>
        <v/>
      </c>
      <c r="E18" s="455">
        <f>QCI!D18</f>
        <v>5</v>
      </c>
      <c r="F18" s="456" t="str">
        <f ca="1">QCI!G18</f>
        <v/>
      </c>
      <c r="G18" s="457">
        <f>QCI!H18</f>
        <v>0</v>
      </c>
      <c r="H18" s="458">
        <f>QCI!I18</f>
        <v>0</v>
      </c>
      <c r="I18" s="459" t="str">
        <f ca="1">QCI!J18</f>
        <v/>
      </c>
      <c r="J18" s="460" t="str">
        <f ca="1">QCI!K18</f>
        <v/>
      </c>
      <c r="K18" s="461" t="str">
        <f ca="1">IF($C18="Automático",IF(ACOMPANHAMENTO="BM",BM.medicao,PLE.Medicao),IF(ISBLANK($X18),"",$X18))</f>
        <v/>
      </c>
      <c r="L18" s="462">
        <f ca="1">QCI!$O18</f>
        <v>0</v>
      </c>
      <c r="M18" s="464">
        <f t="shared" ca="1" si="1"/>
        <v>0</v>
      </c>
      <c r="N18" s="465">
        <f t="shared" ca="1" si="2"/>
        <v>0</v>
      </c>
      <c r="O18" s="466">
        <f t="shared" ca="1" si="3"/>
        <v>0</v>
      </c>
      <c r="P18" s="467">
        <f t="shared" ca="1" si="4"/>
        <v>0</v>
      </c>
      <c r="R18" s="463">
        <f ca="1">ROUND(IF($C18="Automático",AC18+AJ18,$Y18*IF(ISERROR(QCI!$AA18/QCI!$O18),0,QCI!$AA18/QCI!$O18)),2)</f>
        <v>0</v>
      </c>
      <c r="S18" s="463">
        <f ca="1">ROUND(IF($C18="Automático",AD18+AK18,$Y18*IF(ISERROR(QCI!$AB18/QCI!$O18),0,QCI!$AB18/QCI!$O18)),2)</f>
        <v>0</v>
      </c>
      <c r="T18" s="463">
        <f ca="1">ROUND(IF($C18="Automático",AF18+AM18,$Z18*IF(ISERROR(QCI!$AA18/QCI!$O18),0,QCI!$AA18/QCI!$O18)),2)</f>
        <v>0</v>
      </c>
      <c r="U18" s="463">
        <f ca="1">ROUND(IF($C18="Automático",AG18+AN18,$Z18*IF(ISERROR(QCI!$AB18/QCI!$O18),0,QCI!$AB18/QCI!$O18)),2)</f>
        <v>0</v>
      </c>
      <c r="V18" s="621">
        <f ca="1">IF(AND($L18&gt;0,$J18&lt;&gt;0,$J18&lt;&gt;"",COUNTIF($J$13:$J18,$J18)=1),OFFSET(V18,-1,0)+1,OFFSET(V18,-1,0))</f>
        <v>1</v>
      </c>
      <c r="X18" s="368"/>
      <c r="Y18" s="369"/>
      <c r="Z18" s="371"/>
      <c r="AC18" s="229" t="e">
        <f ca="1">IF(ACOMPANHAMENTO&lt;&gt;"PLE",0,SUMPRODUCT((OFFSET(CÁLCULO!$AX$15:$BH$15,$A18,0,$B18)&lt;=(PLE.Medicao-1))*OFFSET(CÁLCULO!$AB$15:$AL$15,$A18,0,$B18)*OFFSET(ORÇAMENTO!$AA$15,$A18,0,$B18)/(OFFSET(ORÇAMENTO!$X$15,$A18,0,$B18)+10^-12))+IF(AUTOEVENTO="Manual",SUMPRODUCT((OFFSET(CÁLCULO!$M$15,$A18,0,$B18)=1)*OFFSET(ORÇAMENTO!$AA$15,$A18,0,$B18)*(PLE!$AE$9-PLE!$Y$9)),0))</f>
        <v>#N/A</v>
      </c>
      <c r="AD18" s="229" t="e">
        <f ca="1">IF(ACOMPANHAMENTO&lt;&gt;"PLE",0,SUMPRODUCT((OFFSET(CÁLCULO!$AX$15:$BH$15,$A18,0,$B18)&lt;=(PLE.Medicao-1))*OFFSET(CÁLCULO!$AB$15:$AL$15,$A18,0,$B18)*OFFSET(ORÇAMENTO!$AB$15,$A18,0,$B18)/(OFFSET(ORÇAMENTO!$X$15,$A18,0,$B18)+10^-12))+IF(AUTOEVENTO="Manual",SUMPRODUCT((OFFSET(CÁLCULO!$M$15,$A18,0,$B18)=1)*OFFSET(ORÇAMENTO!$AB$15,$A18,0,$B18)*(PLE!$AE$9-PLE!$Y$9)),0))</f>
        <v>#N/A</v>
      </c>
      <c r="AE18" s="229" t="e">
        <f ca="1">ROUND(IF(ACOMPANHAMENTO&lt;&gt;"PLE",0,SUMIF(OFFSET(CÁLCULO!$AX$15:$BH$15,$A18,0,$B18),"&lt;="&amp;(PLE.Medicao-1),OFFSET(CÁLCULO!$AB$15:$AL$15,$A18,0,$B18))+IF(AUTOEVENTO="Manual",SUMIF(OFFSET(CÁLCULO!$M$15,$A18,0,$B18),1,OFFSET(ORÇAMENTO!$X$15,$A18,0,$B18))*(PLE!$AE$9-PLE!$Y$9),0)),2)</f>
        <v>#N/A</v>
      </c>
      <c r="AF18" s="229" t="e">
        <f ca="1">IF(ACOMPANHAMENTO&lt;&gt;"PLE",0,SUMPRODUCT((OFFSET(CÁLCULO!$AX$15:$BH$15,$A18,0,$B18)&lt;=PLE.Medicao)*OFFSET(CÁLCULO!$AB$15:$AL$15,$A18,0,$B18)*OFFSET(ORÇAMENTO!$AA$15,$A18,0,$B18)/(OFFSET(ORÇAMENTO!$X$15,$A18,0,$B18)+10^-12))+IF(AUTOEVENTO="Manual",SUMPRODUCT((OFFSET(CÁLCULO!$M$15,$A18,0,$B18)=1)*OFFSET(ORÇAMENTO!$AA$15,$A18,0,$B18)*PLE!$AE$9),0))</f>
        <v>#N/A</v>
      </c>
      <c r="AG18" s="229" t="e">
        <f ca="1">IF(ACOMPANHAMENTO&lt;&gt;"PLE",0,SUMPRODUCT((OFFSET(CÁLCULO!$AX$15:$BH$15,$A18,0,$B18)&lt;=PLE.Medicao)*OFFSET(CÁLCULO!$AB$15:$AL$15,$A18,0,$B18)*OFFSET(ORÇAMENTO!$AB$15,$A18,0,$B18)/(OFFSET(ORÇAMENTO!$X$15,$A18,0,$B18)+10^-12))+IF(AUTOEVENTO="Manual",SUMPRODUCT((OFFSET(CÁLCULO!$M$15,$A18,0,$B18)=1)*OFFSET(ORÇAMENTO!$AB$15,$A18,0,$B18)*PLE!$AE$9),0))</f>
        <v>#N/A</v>
      </c>
      <c r="AH18" s="229" t="e">
        <f ca="1">ROUND(IF(ACOMPANHAMENTO&lt;&gt;"PLE",0,SUMIF(OFFSET(CÁLCULO!$AX$15:$BH$15,$A18,0,$B18),"&lt;="&amp;PLE.Medicao,OFFSET(CÁLCULO!$AB$15:$AL$15,$A18,0,$B18))+IF(AUTOEVENTO="Manual",SUMIF(OFFSET(CÁLCULO!$M$15,$A18,0,$B18),1,OFFSET(ORÇAMENTO!$X$15,$A18,0,$B18))*PLE!$AE$9,0)),2)</f>
        <v>#N/A</v>
      </c>
      <c r="AJ18" s="229">
        <f ca="1">IF(ACOMPANHAMENTO&lt;&gt;"BM",0,SUMPRODUCT(OFFSET(BM!$M$15,$A18,0,$B18)*(OFFSET(BM!$A$15,$A18,0,$B18)="S")*OFFSET(ORÇAMENTO!AA$15,$A18,0,$B18)/(OFFSET(ORÇAMENTO!$X$15,$A18,0,$B18)+10^-12)))</f>
        <v>0</v>
      </c>
      <c r="AK18" s="229">
        <f ca="1">IF(ACOMPANHAMENTO&lt;&gt;"BM",0,SUMPRODUCT(OFFSET(BM!$M$15,$A18,0,$B18)*(OFFSET(BM!$A$15,$A18,0,$B18)="S")*OFFSET(ORÇAMENTO!AB$15,$A18,0,$B18)/(OFFSET(ORÇAMENTO!$X$15,$A18,0,$B18)+10^-12)))</f>
        <v>0</v>
      </c>
      <c r="AL18" s="229">
        <f ca="1">IF(ACOMPANHAMENTO&lt;&gt;"BM",0,OFFSET(BM!$M$15,$A18,0))</f>
        <v>0</v>
      </c>
      <c r="AM18" s="229">
        <f ca="1">IF(ACOMPANHAMENTO&lt;&gt;"BM",0,SUMPRODUCT(OFFSET(BM!$O$15,$A18,0,$B18)*(OFFSET(BM!$A$15,$A18,0,$B18)="S")*OFFSET(ORÇAMENTO!AA$15,$A18,0,$B18)/(OFFSET(ORÇAMENTO!$X$15,$A18,0,$B18)+10^-12)))</f>
        <v>0</v>
      </c>
      <c r="AN18" s="229">
        <f ca="1">IF(ACOMPANHAMENTO&lt;&gt;"BM",0,SUMPRODUCT(OFFSET(BM!$O$15,$A18,0,$B18)*(OFFSET(BM!$A$15,$A18,0,$B18)="S")*OFFSET(ORÇAMENTO!AB$15,$A18,0,$B18)/(OFFSET(ORÇAMENTO!$X$15,$A18,0,$B18)+10^-12)))</f>
        <v>0</v>
      </c>
      <c r="AO18" s="229">
        <f ca="1">IF(ACOMPANHAMENTO&lt;&gt;"BM",0,OFFSET(BM!$O$15,$A18,0))</f>
        <v>0</v>
      </c>
    </row>
    <row r="19" spans="1:41">
      <c r="A19" t="e">
        <f ca="1">MATCH(E19,ORÇAMENTO!$E$15:$E$264,0)-1</f>
        <v>#N/A</v>
      </c>
      <c r="B19" t="e">
        <f ca="1">IF(ISERROR($A19),NA(),OFFSET(ORÇAMENTO!$D$15,$A19,0))</f>
        <v>#N/A</v>
      </c>
      <c r="C19" t="str">
        <f ca="1">QCI!B19</f>
        <v>Branco</v>
      </c>
      <c r="D19" t="str">
        <f t="shared" ca="1" si="0"/>
        <v/>
      </c>
      <c r="E19" s="455">
        <f>QCI!D19</f>
        <v>6</v>
      </c>
      <c r="F19" s="456" t="str">
        <f ca="1">QCI!G19</f>
        <v/>
      </c>
      <c r="G19" s="457">
        <f>QCI!H19</f>
        <v>0</v>
      </c>
      <c r="H19" s="458">
        <f>QCI!I19</f>
        <v>0</v>
      </c>
      <c r="I19" s="459" t="str">
        <f ca="1">QCI!J19</f>
        <v/>
      </c>
      <c r="J19" s="460" t="str">
        <f ca="1">QCI!K19</f>
        <v/>
      </c>
      <c r="K19" s="461" t="str">
        <f ca="1">IF($C19="Automático",IF(ACOMPANHAMENTO="BM",BM.medicao,PLE.Medicao),IF(ISBLANK($X19),"",$X19))</f>
        <v/>
      </c>
      <c r="L19" s="462">
        <f ca="1">QCI!$O19</f>
        <v>0</v>
      </c>
      <c r="M19" s="464">
        <f t="shared" ca="1" si="1"/>
        <v>0</v>
      </c>
      <c r="N19" s="465">
        <f t="shared" ca="1" si="2"/>
        <v>0</v>
      </c>
      <c r="O19" s="466">
        <f t="shared" ca="1" si="3"/>
        <v>0</v>
      </c>
      <c r="P19" s="467">
        <f t="shared" ca="1" si="4"/>
        <v>0</v>
      </c>
      <c r="R19" s="463">
        <f ca="1">ROUND(IF($C19="Automático",AC19+AJ19,$Y19*IF(ISERROR(QCI!$AA19/QCI!$O19),0,QCI!$AA19/QCI!$O19)),2)</f>
        <v>0</v>
      </c>
      <c r="S19" s="463">
        <f ca="1">ROUND(IF($C19="Automático",AD19+AK19,$Y19*IF(ISERROR(QCI!$AB19/QCI!$O19),0,QCI!$AB19/QCI!$O19)),2)</f>
        <v>0</v>
      </c>
      <c r="T19" s="463">
        <f ca="1">ROUND(IF($C19="Automático",AF19+AM19,$Z19*IF(ISERROR(QCI!$AA19/QCI!$O19),0,QCI!$AA19/QCI!$O19)),2)</f>
        <v>0</v>
      </c>
      <c r="U19" s="463">
        <f ca="1">ROUND(IF($C19="Automático",AG19+AN19,$Z19*IF(ISERROR(QCI!$AB19/QCI!$O19),0,QCI!$AB19/QCI!$O19)),2)</f>
        <v>0</v>
      </c>
      <c r="V19" s="621">
        <f ca="1">IF(AND($L19&gt;0,$J19&lt;&gt;0,$J19&lt;&gt;"",COUNTIF($J$13:$J19,$J19)=1),OFFSET(V19,-1,0)+1,OFFSET(V19,-1,0))</f>
        <v>1</v>
      </c>
      <c r="X19" s="368"/>
      <c r="Y19" s="369"/>
      <c r="Z19" s="371"/>
      <c r="AC19" s="229" t="e">
        <f ca="1">IF(ACOMPANHAMENTO&lt;&gt;"PLE",0,SUMPRODUCT((OFFSET(CÁLCULO!$AX$15:$BH$15,$A19,0,$B19)&lt;=(PLE.Medicao-1))*OFFSET(CÁLCULO!$AB$15:$AL$15,$A19,0,$B19)*OFFSET(ORÇAMENTO!$AA$15,$A19,0,$B19)/(OFFSET(ORÇAMENTO!$X$15,$A19,0,$B19)+10^-12))+IF(AUTOEVENTO="Manual",SUMPRODUCT((OFFSET(CÁLCULO!$M$15,$A19,0,$B19)=1)*OFFSET(ORÇAMENTO!$AA$15,$A19,0,$B19)*(PLE!$AE$9-PLE!$Y$9)),0))</f>
        <v>#N/A</v>
      </c>
      <c r="AD19" s="229" t="e">
        <f ca="1">IF(ACOMPANHAMENTO&lt;&gt;"PLE",0,SUMPRODUCT((OFFSET(CÁLCULO!$AX$15:$BH$15,$A19,0,$B19)&lt;=(PLE.Medicao-1))*OFFSET(CÁLCULO!$AB$15:$AL$15,$A19,0,$B19)*OFFSET(ORÇAMENTO!$AB$15,$A19,0,$B19)/(OFFSET(ORÇAMENTO!$X$15,$A19,0,$B19)+10^-12))+IF(AUTOEVENTO="Manual",SUMPRODUCT((OFFSET(CÁLCULO!$M$15,$A19,0,$B19)=1)*OFFSET(ORÇAMENTO!$AB$15,$A19,0,$B19)*(PLE!$AE$9-PLE!$Y$9)),0))</f>
        <v>#N/A</v>
      </c>
      <c r="AE19" s="229" t="e">
        <f ca="1">ROUND(IF(ACOMPANHAMENTO&lt;&gt;"PLE",0,SUMIF(OFFSET(CÁLCULO!$AX$15:$BH$15,$A19,0,$B19),"&lt;="&amp;(PLE.Medicao-1),OFFSET(CÁLCULO!$AB$15:$AL$15,$A19,0,$B19))+IF(AUTOEVENTO="Manual",SUMIF(OFFSET(CÁLCULO!$M$15,$A19,0,$B19),1,OFFSET(ORÇAMENTO!$X$15,$A19,0,$B19))*(PLE!$AE$9-PLE!$Y$9),0)),2)</f>
        <v>#N/A</v>
      </c>
      <c r="AF19" s="229" t="e">
        <f ca="1">IF(ACOMPANHAMENTO&lt;&gt;"PLE",0,SUMPRODUCT((OFFSET(CÁLCULO!$AX$15:$BH$15,$A19,0,$B19)&lt;=PLE.Medicao)*OFFSET(CÁLCULO!$AB$15:$AL$15,$A19,0,$B19)*OFFSET(ORÇAMENTO!$AA$15,$A19,0,$B19)/(OFFSET(ORÇAMENTO!$X$15,$A19,0,$B19)+10^-12))+IF(AUTOEVENTO="Manual",SUMPRODUCT((OFFSET(CÁLCULO!$M$15,$A19,0,$B19)=1)*OFFSET(ORÇAMENTO!$AA$15,$A19,0,$B19)*PLE!$AE$9),0))</f>
        <v>#N/A</v>
      </c>
      <c r="AG19" s="229" t="e">
        <f ca="1">IF(ACOMPANHAMENTO&lt;&gt;"PLE",0,SUMPRODUCT((OFFSET(CÁLCULO!$AX$15:$BH$15,$A19,0,$B19)&lt;=PLE.Medicao)*OFFSET(CÁLCULO!$AB$15:$AL$15,$A19,0,$B19)*OFFSET(ORÇAMENTO!$AB$15,$A19,0,$B19)/(OFFSET(ORÇAMENTO!$X$15,$A19,0,$B19)+10^-12))+IF(AUTOEVENTO="Manual",SUMPRODUCT((OFFSET(CÁLCULO!$M$15,$A19,0,$B19)=1)*OFFSET(ORÇAMENTO!$AB$15,$A19,0,$B19)*PLE!$AE$9),0))</f>
        <v>#N/A</v>
      </c>
      <c r="AH19" s="229" t="e">
        <f ca="1">ROUND(IF(ACOMPANHAMENTO&lt;&gt;"PLE",0,SUMIF(OFFSET(CÁLCULO!$AX$15:$BH$15,$A19,0,$B19),"&lt;="&amp;PLE.Medicao,OFFSET(CÁLCULO!$AB$15:$AL$15,$A19,0,$B19))+IF(AUTOEVENTO="Manual",SUMIF(OFFSET(CÁLCULO!$M$15,$A19,0,$B19),1,OFFSET(ORÇAMENTO!$X$15,$A19,0,$B19))*PLE!$AE$9,0)),2)</f>
        <v>#N/A</v>
      </c>
      <c r="AJ19" s="229">
        <f ca="1">IF(ACOMPANHAMENTO&lt;&gt;"BM",0,SUMPRODUCT(OFFSET(BM!$M$15,$A19,0,$B19)*(OFFSET(BM!$A$15,$A19,0,$B19)="S")*OFFSET(ORÇAMENTO!AA$15,$A19,0,$B19)/(OFFSET(ORÇAMENTO!$X$15,$A19,0,$B19)+10^-12)))</f>
        <v>0</v>
      </c>
      <c r="AK19" s="229">
        <f ca="1">IF(ACOMPANHAMENTO&lt;&gt;"BM",0,SUMPRODUCT(OFFSET(BM!$M$15,$A19,0,$B19)*(OFFSET(BM!$A$15,$A19,0,$B19)="S")*OFFSET(ORÇAMENTO!AB$15,$A19,0,$B19)/(OFFSET(ORÇAMENTO!$X$15,$A19,0,$B19)+10^-12)))</f>
        <v>0</v>
      </c>
      <c r="AL19" s="229">
        <f ca="1">IF(ACOMPANHAMENTO&lt;&gt;"BM",0,OFFSET(BM!$M$15,$A19,0))</f>
        <v>0</v>
      </c>
      <c r="AM19" s="229">
        <f ca="1">IF(ACOMPANHAMENTO&lt;&gt;"BM",0,SUMPRODUCT(OFFSET(BM!$O$15,$A19,0,$B19)*(OFFSET(BM!$A$15,$A19,0,$B19)="S")*OFFSET(ORÇAMENTO!AA$15,$A19,0,$B19)/(OFFSET(ORÇAMENTO!$X$15,$A19,0,$B19)+10^-12)))</f>
        <v>0</v>
      </c>
      <c r="AN19" s="229">
        <f ca="1">IF(ACOMPANHAMENTO&lt;&gt;"BM",0,SUMPRODUCT(OFFSET(BM!$O$15,$A19,0,$B19)*(OFFSET(BM!$A$15,$A19,0,$B19)="S")*OFFSET(ORÇAMENTO!AB$15,$A19,0,$B19)/(OFFSET(ORÇAMENTO!$X$15,$A19,0,$B19)+10^-12)))</f>
        <v>0</v>
      </c>
      <c r="AO19" s="229">
        <f ca="1">IF(ACOMPANHAMENTO&lt;&gt;"BM",0,OFFSET(BM!$O$15,$A19,0))</f>
        <v>0</v>
      </c>
    </row>
    <row r="20" spans="1:41">
      <c r="A20" t="e">
        <f ca="1">MATCH(E20,ORÇAMENTO!$E$15:$E$264,0)-1</f>
        <v>#N/A</v>
      </c>
      <c r="B20" t="e">
        <f ca="1">IF(ISERROR($A20),NA(),OFFSET(ORÇAMENTO!$D$15,$A20,0))</f>
        <v>#N/A</v>
      </c>
      <c r="C20" t="str">
        <f ca="1">QCI!B20</f>
        <v>Branco</v>
      </c>
      <c r="D20" t="str">
        <f t="shared" ca="1" si="0"/>
        <v/>
      </c>
      <c r="E20" s="455">
        <f>QCI!D20</f>
        <v>7</v>
      </c>
      <c r="F20" s="456" t="str">
        <f ca="1">QCI!G20</f>
        <v/>
      </c>
      <c r="G20" s="457">
        <f>QCI!H20</f>
        <v>0</v>
      </c>
      <c r="H20" s="458">
        <f>QCI!I20</f>
        <v>0</v>
      </c>
      <c r="I20" s="459" t="str">
        <f ca="1">QCI!J20</f>
        <v/>
      </c>
      <c r="J20" s="460" t="str">
        <f ca="1">QCI!K20</f>
        <v/>
      </c>
      <c r="K20" s="461" t="str">
        <f ca="1">IF($C20="Automático",IF(ACOMPANHAMENTO="BM",BM.medicao,PLE.Medicao),IF(ISBLANK($X20),"",$X20))</f>
        <v/>
      </c>
      <c r="L20" s="462">
        <f ca="1">QCI!$O20</f>
        <v>0</v>
      </c>
      <c r="M20" s="464">
        <f t="shared" ca="1" si="1"/>
        <v>0</v>
      </c>
      <c r="N20" s="465">
        <f t="shared" ca="1" si="2"/>
        <v>0</v>
      </c>
      <c r="O20" s="466">
        <f t="shared" ca="1" si="3"/>
        <v>0</v>
      </c>
      <c r="P20" s="467">
        <f t="shared" ca="1" si="4"/>
        <v>0</v>
      </c>
      <c r="R20" s="463">
        <f ca="1">ROUND(IF($C20="Automático",AC20+AJ20,$Y20*IF(ISERROR(QCI!$AA20/QCI!$O20),0,QCI!$AA20/QCI!$O20)),2)</f>
        <v>0</v>
      </c>
      <c r="S20" s="463">
        <f ca="1">ROUND(IF($C20="Automático",AD20+AK20,$Y20*IF(ISERROR(QCI!$AB20/QCI!$O20),0,QCI!$AB20/QCI!$O20)),2)</f>
        <v>0</v>
      </c>
      <c r="T20" s="463">
        <f ca="1">ROUND(IF($C20="Automático",AF20+AM20,$Z20*IF(ISERROR(QCI!$AA20/QCI!$O20),0,QCI!$AA20/QCI!$O20)),2)</f>
        <v>0</v>
      </c>
      <c r="U20" s="463">
        <f ca="1">ROUND(IF($C20="Automático",AG20+AN20,$Z20*IF(ISERROR(QCI!$AB20/QCI!$O20),0,QCI!$AB20/QCI!$O20)),2)</f>
        <v>0</v>
      </c>
      <c r="V20" s="621">
        <f ca="1">IF(AND($L20&gt;0,$J20&lt;&gt;0,$J20&lt;&gt;"",COUNTIF($J$13:$J20,$J20)=1),OFFSET(V20,-1,0)+1,OFFSET(V20,-1,0))</f>
        <v>1</v>
      </c>
      <c r="X20" s="368"/>
      <c r="Y20" s="369"/>
      <c r="Z20" s="371"/>
      <c r="AC20" s="229" t="e">
        <f ca="1">IF(ACOMPANHAMENTO&lt;&gt;"PLE",0,SUMPRODUCT((OFFSET(CÁLCULO!$AX$15:$BH$15,$A20,0,$B20)&lt;=(PLE.Medicao-1))*OFFSET(CÁLCULO!$AB$15:$AL$15,$A20,0,$B20)*OFFSET(ORÇAMENTO!$AA$15,$A20,0,$B20)/(OFFSET(ORÇAMENTO!$X$15,$A20,0,$B20)+10^-12))+IF(AUTOEVENTO="Manual",SUMPRODUCT((OFFSET(CÁLCULO!$M$15,$A20,0,$B20)=1)*OFFSET(ORÇAMENTO!$AA$15,$A20,0,$B20)*(PLE!$AE$9-PLE!$Y$9)),0))</f>
        <v>#N/A</v>
      </c>
      <c r="AD20" s="229" t="e">
        <f ca="1">IF(ACOMPANHAMENTO&lt;&gt;"PLE",0,SUMPRODUCT((OFFSET(CÁLCULO!$AX$15:$BH$15,$A20,0,$B20)&lt;=(PLE.Medicao-1))*OFFSET(CÁLCULO!$AB$15:$AL$15,$A20,0,$B20)*OFFSET(ORÇAMENTO!$AB$15,$A20,0,$B20)/(OFFSET(ORÇAMENTO!$X$15,$A20,0,$B20)+10^-12))+IF(AUTOEVENTO="Manual",SUMPRODUCT((OFFSET(CÁLCULO!$M$15,$A20,0,$B20)=1)*OFFSET(ORÇAMENTO!$AB$15,$A20,0,$B20)*(PLE!$AE$9-PLE!$Y$9)),0))</f>
        <v>#N/A</v>
      </c>
      <c r="AE20" s="229" t="e">
        <f ca="1">ROUND(IF(ACOMPANHAMENTO&lt;&gt;"PLE",0,SUMIF(OFFSET(CÁLCULO!$AX$15:$BH$15,$A20,0,$B20),"&lt;="&amp;(PLE.Medicao-1),OFFSET(CÁLCULO!$AB$15:$AL$15,$A20,0,$B20))+IF(AUTOEVENTO="Manual",SUMIF(OFFSET(CÁLCULO!$M$15,$A20,0,$B20),1,OFFSET(ORÇAMENTO!$X$15,$A20,0,$B20))*(PLE!$AE$9-PLE!$Y$9),0)),2)</f>
        <v>#N/A</v>
      </c>
      <c r="AF20" s="229" t="e">
        <f ca="1">IF(ACOMPANHAMENTO&lt;&gt;"PLE",0,SUMPRODUCT((OFFSET(CÁLCULO!$AX$15:$BH$15,$A20,0,$B20)&lt;=PLE.Medicao)*OFFSET(CÁLCULO!$AB$15:$AL$15,$A20,0,$B20)*OFFSET(ORÇAMENTO!$AA$15,$A20,0,$B20)/(OFFSET(ORÇAMENTO!$X$15,$A20,0,$B20)+10^-12))+IF(AUTOEVENTO="Manual",SUMPRODUCT((OFFSET(CÁLCULO!$M$15,$A20,0,$B20)=1)*OFFSET(ORÇAMENTO!$AA$15,$A20,0,$B20)*PLE!$AE$9),0))</f>
        <v>#N/A</v>
      </c>
      <c r="AG20" s="229" t="e">
        <f ca="1">IF(ACOMPANHAMENTO&lt;&gt;"PLE",0,SUMPRODUCT((OFFSET(CÁLCULO!$AX$15:$BH$15,$A20,0,$B20)&lt;=PLE.Medicao)*OFFSET(CÁLCULO!$AB$15:$AL$15,$A20,0,$B20)*OFFSET(ORÇAMENTO!$AB$15,$A20,0,$B20)/(OFFSET(ORÇAMENTO!$X$15,$A20,0,$B20)+10^-12))+IF(AUTOEVENTO="Manual",SUMPRODUCT((OFFSET(CÁLCULO!$M$15,$A20,0,$B20)=1)*OFFSET(ORÇAMENTO!$AB$15,$A20,0,$B20)*PLE!$AE$9),0))</f>
        <v>#N/A</v>
      </c>
      <c r="AH20" s="229" t="e">
        <f ca="1">ROUND(IF(ACOMPANHAMENTO&lt;&gt;"PLE",0,SUMIF(OFFSET(CÁLCULO!$AX$15:$BH$15,$A20,0,$B20),"&lt;="&amp;PLE.Medicao,OFFSET(CÁLCULO!$AB$15:$AL$15,$A20,0,$B20))+IF(AUTOEVENTO="Manual",SUMIF(OFFSET(CÁLCULO!$M$15,$A20,0,$B20),1,OFFSET(ORÇAMENTO!$X$15,$A20,0,$B20))*PLE!$AE$9,0)),2)</f>
        <v>#N/A</v>
      </c>
      <c r="AJ20" s="229">
        <f ca="1">IF(ACOMPANHAMENTO&lt;&gt;"BM",0,SUMPRODUCT(OFFSET(BM!$M$15,$A20,0,$B20)*(OFFSET(BM!$A$15,$A20,0,$B20)="S")*OFFSET(ORÇAMENTO!AA$15,$A20,0,$B20)/(OFFSET(ORÇAMENTO!$X$15,$A20,0,$B20)+10^-12)))</f>
        <v>0</v>
      </c>
      <c r="AK20" s="229">
        <f ca="1">IF(ACOMPANHAMENTO&lt;&gt;"BM",0,SUMPRODUCT(OFFSET(BM!$M$15,$A20,0,$B20)*(OFFSET(BM!$A$15,$A20,0,$B20)="S")*OFFSET(ORÇAMENTO!AB$15,$A20,0,$B20)/(OFFSET(ORÇAMENTO!$X$15,$A20,0,$B20)+10^-12)))</f>
        <v>0</v>
      </c>
      <c r="AL20" s="229">
        <f ca="1">IF(ACOMPANHAMENTO&lt;&gt;"BM",0,OFFSET(BM!$M$15,$A20,0))</f>
        <v>0</v>
      </c>
      <c r="AM20" s="229">
        <f ca="1">IF(ACOMPANHAMENTO&lt;&gt;"BM",0,SUMPRODUCT(OFFSET(BM!$O$15,$A20,0,$B20)*(OFFSET(BM!$A$15,$A20,0,$B20)="S")*OFFSET(ORÇAMENTO!AA$15,$A20,0,$B20)/(OFFSET(ORÇAMENTO!$X$15,$A20,0,$B20)+10^-12)))</f>
        <v>0</v>
      </c>
      <c r="AN20" s="229">
        <f ca="1">IF(ACOMPANHAMENTO&lt;&gt;"BM",0,SUMPRODUCT(OFFSET(BM!$O$15,$A20,0,$B20)*(OFFSET(BM!$A$15,$A20,0,$B20)="S")*OFFSET(ORÇAMENTO!AB$15,$A20,0,$B20)/(OFFSET(ORÇAMENTO!$X$15,$A20,0,$B20)+10^-12)))</f>
        <v>0</v>
      </c>
      <c r="AO20" s="229">
        <f ca="1">IF(ACOMPANHAMENTO&lt;&gt;"BM",0,OFFSET(BM!$O$15,$A20,0))</f>
        <v>0</v>
      </c>
    </row>
    <row r="21" spans="1:41">
      <c r="A21" t="e">
        <f ca="1">MATCH(E21,ORÇAMENTO!$E$15:$E$264,0)-1</f>
        <v>#N/A</v>
      </c>
      <c r="B21" t="e">
        <f ca="1">IF(ISERROR($A21),NA(),OFFSET(ORÇAMENTO!$D$15,$A21,0))</f>
        <v>#N/A</v>
      </c>
      <c r="C21" t="str">
        <f ca="1">QCI!B21</f>
        <v>Branco</v>
      </c>
      <c r="D21" t="str">
        <f t="shared" ca="1" si="0"/>
        <v/>
      </c>
      <c r="E21" s="455">
        <f>QCI!D21</f>
        <v>8</v>
      </c>
      <c r="F21" s="456" t="str">
        <f ca="1">QCI!G21</f>
        <v/>
      </c>
      <c r="G21" s="457">
        <f>QCI!H21</f>
        <v>0</v>
      </c>
      <c r="H21" s="458">
        <f>QCI!I21</f>
        <v>0</v>
      </c>
      <c r="I21" s="459" t="str">
        <f ca="1">QCI!J21</f>
        <v/>
      </c>
      <c r="J21" s="460" t="str">
        <f ca="1">QCI!K21</f>
        <v/>
      </c>
      <c r="K21" s="461" t="str">
        <f ca="1">IF($C21="Automático",IF(ACOMPANHAMENTO="BM",BM.medicao,PLE.Medicao),IF(ISBLANK($X21),"",$X21))</f>
        <v/>
      </c>
      <c r="L21" s="462">
        <f ca="1">QCI!$O21</f>
        <v>0</v>
      </c>
      <c r="M21" s="464">
        <f t="shared" ca="1" si="1"/>
        <v>0</v>
      </c>
      <c r="N21" s="465">
        <f t="shared" ca="1" si="2"/>
        <v>0</v>
      </c>
      <c r="O21" s="466">
        <f t="shared" ca="1" si="3"/>
        <v>0</v>
      </c>
      <c r="P21" s="467">
        <f t="shared" ca="1" si="4"/>
        <v>0</v>
      </c>
      <c r="R21" s="463">
        <f ca="1">ROUND(IF($C21="Automático",AC21+AJ21,$Y21*IF(ISERROR(QCI!$AA21/QCI!$O21),0,QCI!$AA21/QCI!$O21)),2)</f>
        <v>0</v>
      </c>
      <c r="S21" s="463">
        <f ca="1">ROUND(IF($C21="Automático",AD21+AK21,$Y21*IF(ISERROR(QCI!$AB21/QCI!$O21),0,QCI!$AB21/QCI!$O21)),2)</f>
        <v>0</v>
      </c>
      <c r="T21" s="463">
        <f ca="1">ROUND(IF($C21="Automático",AF21+AM21,$Z21*IF(ISERROR(QCI!$AA21/QCI!$O21),0,QCI!$AA21/QCI!$O21)),2)</f>
        <v>0</v>
      </c>
      <c r="U21" s="463">
        <f ca="1">ROUND(IF($C21="Automático",AG21+AN21,$Z21*IF(ISERROR(QCI!$AB21/QCI!$O21),0,QCI!$AB21/QCI!$O21)),2)</f>
        <v>0</v>
      </c>
      <c r="V21" s="621">
        <f ca="1">IF(AND($L21&gt;0,$J21&lt;&gt;0,$J21&lt;&gt;"",COUNTIF($J$13:$J21,$J21)=1),OFFSET(V21,-1,0)+1,OFFSET(V21,-1,0))</f>
        <v>1</v>
      </c>
      <c r="X21" s="368"/>
      <c r="Y21" s="369"/>
      <c r="Z21" s="371"/>
      <c r="AC21" s="229" t="e">
        <f ca="1">IF(ACOMPANHAMENTO&lt;&gt;"PLE",0,SUMPRODUCT((OFFSET(CÁLCULO!$AX$15:$BH$15,$A21,0,$B21)&lt;=(PLE.Medicao-1))*OFFSET(CÁLCULO!$AB$15:$AL$15,$A21,0,$B21)*OFFSET(ORÇAMENTO!$AA$15,$A21,0,$B21)/(OFFSET(ORÇAMENTO!$X$15,$A21,0,$B21)+10^-12))+IF(AUTOEVENTO="Manual",SUMPRODUCT((OFFSET(CÁLCULO!$M$15,$A21,0,$B21)=1)*OFFSET(ORÇAMENTO!$AA$15,$A21,0,$B21)*(PLE!$AE$9-PLE!$Y$9)),0))</f>
        <v>#N/A</v>
      </c>
      <c r="AD21" s="229" t="e">
        <f ca="1">IF(ACOMPANHAMENTO&lt;&gt;"PLE",0,SUMPRODUCT((OFFSET(CÁLCULO!$AX$15:$BH$15,$A21,0,$B21)&lt;=(PLE.Medicao-1))*OFFSET(CÁLCULO!$AB$15:$AL$15,$A21,0,$B21)*OFFSET(ORÇAMENTO!$AB$15,$A21,0,$B21)/(OFFSET(ORÇAMENTO!$X$15,$A21,0,$B21)+10^-12))+IF(AUTOEVENTO="Manual",SUMPRODUCT((OFFSET(CÁLCULO!$M$15,$A21,0,$B21)=1)*OFFSET(ORÇAMENTO!$AB$15,$A21,0,$B21)*(PLE!$AE$9-PLE!$Y$9)),0))</f>
        <v>#N/A</v>
      </c>
      <c r="AE21" s="229" t="e">
        <f ca="1">ROUND(IF(ACOMPANHAMENTO&lt;&gt;"PLE",0,SUMIF(OFFSET(CÁLCULO!$AX$15:$BH$15,$A21,0,$B21),"&lt;="&amp;(PLE.Medicao-1),OFFSET(CÁLCULO!$AB$15:$AL$15,$A21,0,$B21))+IF(AUTOEVENTO="Manual",SUMIF(OFFSET(CÁLCULO!$M$15,$A21,0,$B21),1,OFFSET(ORÇAMENTO!$X$15,$A21,0,$B21))*(PLE!$AE$9-PLE!$Y$9),0)),2)</f>
        <v>#N/A</v>
      </c>
      <c r="AF21" s="229" t="e">
        <f ca="1">IF(ACOMPANHAMENTO&lt;&gt;"PLE",0,SUMPRODUCT((OFFSET(CÁLCULO!$AX$15:$BH$15,$A21,0,$B21)&lt;=PLE.Medicao)*OFFSET(CÁLCULO!$AB$15:$AL$15,$A21,0,$B21)*OFFSET(ORÇAMENTO!$AA$15,$A21,0,$B21)/(OFFSET(ORÇAMENTO!$X$15,$A21,0,$B21)+10^-12))+IF(AUTOEVENTO="Manual",SUMPRODUCT((OFFSET(CÁLCULO!$M$15,$A21,0,$B21)=1)*OFFSET(ORÇAMENTO!$AA$15,$A21,0,$B21)*PLE!$AE$9),0))</f>
        <v>#N/A</v>
      </c>
      <c r="AG21" s="229" t="e">
        <f ca="1">IF(ACOMPANHAMENTO&lt;&gt;"PLE",0,SUMPRODUCT((OFFSET(CÁLCULO!$AX$15:$BH$15,$A21,0,$B21)&lt;=PLE.Medicao)*OFFSET(CÁLCULO!$AB$15:$AL$15,$A21,0,$B21)*OFFSET(ORÇAMENTO!$AB$15,$A21,0,$B21)/(OFFSET(ORÇAMENTO!$X$15,$A21,0,$B21)+10^-12))+IF(AUTOEVENTO="Manual",SUMPRODUCT((OFFSET(CÁLCULO!$M$15,$A21,0,$B21)=1)*OFFSET(ORÇAMENTO!$AB$15,$A21,0,$B21)*PLE!$AE$9),0))</f>
        <v>#N/A</v>
      </c>
      <c r="AH21" s="229" t="e">
        <f ca="1">ROUND(IF(ACOMPANHAMENTO&lt;&gt;"PLE",0,SUMIF(OFFSET(CÁLCULO!$AX$15:$BH$15,$A21,0,$B21),"&lt;="&amp;PLE.Medicao,OFFSET(CÁLCULO!$AB$15:$AL$15,$A21,0,$B21))+IF(AUTOEVENTO="Manual",SUMIF(OFFSET(CÁLCULO!$M$15,$A21,0,$B21),1,OFFSET(ORÇAMENTO!$X$15,$A21,0,$B21))*PLE!$AE$9,0)),2)</f>
        <v>#N/A</v>
      </c>
      <c r="AJ21" s="229">
        <f ca="1">IF(ACOMPANHAMENTO&lt;&gt;"BM",0,SUMPRODUCT(OFFSET(BM!$M$15,$A21,0,$B21)*(OFFSET(BM!$A$15,$A21,0,$B21)="S")*OFFSET(ORÇAMENTO!AA$15,$A21,0,$B21)/(OFFSET(ORÇAMENTO!$X$15,$A21,0,$B21)+10^-12)))</f>
        <v>0</v>
      </c>
      <c r="AK21" s="229">
        <f ca="1">IF(ACOMPANHAMENTO&lt;&gt;"BM",0,SUMPRODUCT(OFFSET(BM!$M$15,$A21,0,$B21)*(OFFSET(BM!$A$15,$A21,0,$B21)="S")*OFFSET(ORÇAMENTO!AB$15,$A21,0,$B21)/(OFFSET(ORÇAMENTO!$X$15,$A21,0,$B21)+10^-12)))</f>
        <v>0</v>
      </c>
      <c r="AL21" s="229">
        <f ca="1">IF(ACOMPANHAMENTO&lt;&gt;"BM",0,OFFSET(BM!$M$15,$A21,0))</f>
        <v>0</v>
      </c>
      <c r="AM21" s="229">
        <f ca="1">IF(ACOMPANHAMENTO&lt;&gt;"BM",0,SUMPRODUCT(OFFSET(BM!$O$15,$A21,0,$B21)*(OFFSET(BM!$A$15,$A21,0,$B21)="S")*OFFSET(ORÇAMENTO!AA$15,$A21,0,$B21)/(OFFSET(ORÇAMENTO!$X$15,$A21,0,$B21)+10^-12)))</f>
        <v>0</v>
      </c>
      <c r="AN21" s="229">
        <f ca="1">IF(ACOMPANHAMENTO&lt;&gt;"BM",0,SUMPRODUCT(OFFSET(BM!$O$15,$A21,0,$B21)*(OFFSET(BM!$A$15,$A21,0,$B21)="S")*OFFSET(ORÇAMENTO!AB$15,$A21,0,$B21)/(OFFSET(ORÇAMENTO!$X$15,$A21,0,$B21)+10^-12)))</f>
        <v>0</v>
      </c>
      <c r="AO21" s="229">
        <f ca="1">IF(ACOMPANHAMENTO&lt;&gt;"BM",0,OFFSET(BM!$O$15,$A21,0))</f>
        <v>0</v>
      </c>
    </row>
    <row r="22" spans="1:41">
      <c r="A22" t="e">
        <f ca="1">MATCH(E22,ORÇAMENTO!$E$15:$E$264,0)-1</f>
        <v>#N/A</v>
      </c>
      <c r="B22" t="e">
        <f ca="1">IF(ISERROR($A22),NA(),OFFSET(ORÇAMENTO!$D$15,$A22,0))</f>
        <v>#N/A</v>
      </c>
      <c r="C22" t="str">
        <f ca="1">QCI!B22</f>
        <v>Branco</v>
      </c>
      <c r="D22" t="str">
        <f t="shared" ca="1" si="0"/>
        <v/>
      </c>
      <c r="E22" s="455">
        <f>QCI!D22</f>
        <v>9</v>
      </c>
      <c r="F22" s="456" t="str">
        <f ca="1">QCI!G22</f>
        <v/>
      </c>
      <c r="G22" s="457">
        <f>QCI!H22</f>
        <v>0</v>
      </c>
      <c r="H22" s="458">
        <f>QCI!I22</f>
        <v>0</v>
      </c>
      <c r="I22" s="459" t="str">
        <f ca="1">QCI!J22</f>
        <v/>
      </c>
      <c r="J22" s="460" t="str">
        <f ca="1">QCI!K22</f>
        <v/>
      </c>
      <c r="K22" s="461" t="str">
        <f ca="1">IF($C22="Automático",IF(ACOMPANHAMENTO="BM",BM.medicao,PLE.Medicao),IF(ISBLANK($X22),"",$X22))</f>
        <v/>
      </c>
      <c r="L22" s="462">
        <f ca="1">QCI!$O22</f>
        <v>0</v>
      </c>
      <c r="M22" s="464">
        <f t="shared" ca="1" si="1"/>
        <v>0</v>
      </c>
      <c r="N22" s="465">
        <f t="shared" ca="1" si="2"/>
        <v>0</v>
      </c>
      <c r="O22" s="466">
        <f t="shared" ca="1" si="3"/>
        <v>0</v>
      </c>
      <c r="P22" s="467">
        <f t="shared" ca="1" si="4"/>
        <v>0</v>
      </c>
      <c r="R22" s="463">
        <f ca="1">ROUND(IF($C22="Automático",AC22+AJ22,$Y22*IF(ISERROR(QCI!$AA22/QCI!$O22),0,QCI!$AA22/QCI!$O22)),2)</f>
        <v>0</v>
      </c>
      <c r="S22" s="463">
        <f ca="1">ROUND(IF($C22="Automático",AD22+AK22,$Y22*IF(ISERROR(QCI!$AB22/QCI!$O22),0,QCI!$AB22/QCI!$O22)),2)</f>
        <v>0</v>
      </c>
      <c r="T22" s="463">
        <f ca="1">ROUND(IF($C22="Automático",AF22+AM22,$Z22*IF(ISERROR(QCI!$AA22/QCI!$O22),0,QCI!$AA22/QCI!$O22)),2)</f>
        <v>0</v>
      </c>
      <c r="U22" s="463">
        <f ca="1">ROUND(IF($C22="Automático",AG22+AN22,$Z22*IF(ISERROR(QCI!$AB22/QCI!$O22),0,QCI!$AB22/QCI!$O22)),2)</f>
        <v>0</v>
      </c>
      <c r="V22" s="621">
        <f ca="1">IF(AND($L22&gt;0,$J22&lt;&gt;0,$J22&lt;&gt;"",COUNTIF($J$13:$J22,$J22)=1),OFFSET(V22,-1,0)+1,OFFSET(V22,-1,0))</f>
        <v>1</v>
      </c>
      <c r="X22" s="368"/>
      <c r="Y22" s="369"/>
      <c r="Z22" s="371"/>
      <c r="AC22" s="229" t="e">
        <f ca="1">IF(ACOMPANHAMENTO&lt;&gt;"PLE",0,SUMPRODUCT((OFFSET(CÁLCULO!$AX$15:$BH$15,$A22,0,$B22)&lt;=(PLE.Medicao-1))*OFFSET(CÁLCULO!$AB$15:$AL$15,$A22,0,$B22)*OFFSET(ORÇAMENTO!$AA$15,$A22,0,$B22)/(OFFSET(ORÇAMENTO!$X$15,$A22,0,$B22)+10^-12))+IF(AUTOEVENTO="Manual",SUMPRODUCT((OFFSET(CÁLCULO!$M$15,$A22,0,$B22)=1)*OFFSET(ORÇAMENTO!$AA$15,$A22,0,$B22)*(PLE!$AE$9-PLE!$Y$9)),0))</f>
        <v>#N/A</v>
      </c>
      <c r="AD22" s="229" t="e">
        <f ca="1">IF(ACOMPANHAMENTO&lt;&gt;"PLE",0,SUMPRODUCT((OFFSET(CÁLCULO!$AX$15:$BH$15,$A22,0,$B22)&lt;=(PLE.Medicao-1))*OFFSET(CÁLCULO!$AB$15:$AL$15,$A22,0,$B22)*OFFSET(ORÇAMENTO!$AB$15,$A22,0,$B22)/(OFFSET(ORÇAMENTO!$X$15,$A22,0,$B22)+10^-12))+IF(AUTOEVENTO="Manual",SUMPRODUCT((OFFSET(CÁLCULO!$M$15,$A22,0,$B22)=1)*OFFSET(ORÇAMENTO!$AB$15,$A22,0,$B22)*(PLE!$AE$9-PLE!$Y$9)),0))</f>
        <v>#N/A</v>
      </c>
      <c r="AE22" s="229" t="e">
        <f ca="1">ROUND(IF(ACOMPANHAMENTO&lt;&gt;"PLE",0,SUMIF(OFFSET(CÁLCULO!$AX$15:$BH$15,$A22,0,$B22),"&lt;="&amp;(PLE.Medicao-1),OFFSET(CÁLCULO!$AB$15:$AL$15,$A22,0,$B22))+IF(AUTOEVENTO="Manual",SUMIF(OFFSET(CÁLCULO!$M$15,$A22,0,$B22),1,OFFSET(ORÇAMENTO!$X$15,$A22,0,$B22))*(PLE!$AE$9-PLE!$Y$9),0)),2)</f>
        <v>#N/A</v>
      </c>
      <c r="AF22" s="229" t="e">
        <f ca="1">IF(ACOMPANHAMENTO&lt;&gt;"PLE",0,SUMPRODUCT((OFFSET(CÁLCULO!$AX$15:$BH$15,$A22,0,$B22)&lt;=PLE.Medicao)*OFFSET(CÁLCULO!$AB$15:$AL$15,$A22,0,$B22)*OFFSET(ORÇAMENTO!$AA$15,$A22,0,$B22)/(OFFSET(ORÇAMENTO!$X$15,$A22,0,$B22)+10^-12))+IF(AUTOEVENTO="Manual",SUMPRODUCT((OFFSET(CÁLCULO!$M$15,$A22,0,$B22)=1)*OFFSET(ORÇAMENTO!$AA$15,$A22,0,$B22)*PLE!$AE$9),0))</f>
        <v>#N/A</v>
      </c>
      <c r="AG22" s="229" t="e">
        <f ca="1">IF(ACOMPANHAMENTO&lt;&gt;"PLE",0,SUMPRODUCT((OFFSET(CÁLCULO!$AX$15:$BH$15,$A22,0,$B22)&lt;=PLE.Medicao)*OFFSET(CÁLCULO!$AB$15:$AL$15,$A22,0,$B22)*OFFSET(ORÇAMENTO!$AB$15,$A22,0,$B22)/(OFFSET(ORÇAMENTO!$X$15,$A22,0,$B22)+10^-12))+IF(AUTOEVENTO="Manual",SUMPRODUCT((OFFSET(CÁLCULO!$M$15,$A22,0,$B22)=1)*OFFSET(ORÇAMENTO!$AB$15,$A22,0,$B22)*PLE!$AE$9),0))</f>
        <v>#N/A</v>
      </c>
      <c r="AH22" s="229" t="e">
        <f ca="1">ROUND(IF(ACOMPANHAMENTO&lt;&gt;"PLE",0,SUMIF(OFFSET(CÁLCULO!$AX$15:$BH$15,$A22,0,$B22),"&lt;="&amp;PLE.Medicao,OFFSET(CÁLCULO!$AB$15:$AL$15,$A22,0,$B22))+IF(AUTOEVENTO="Manual",SUMIF(OFFSET(CÁLCULO!$M$15,$A22,0,$B22),1,OFFSET(ORÇAMENTO!$X$15,$A22,0,$B22))*PLE!$AE$9,0)),2)</f>
        <v>#N/A</v>
      </c>
      <c r="AJ22" s="229">
        <f ca="1">IF(ACOMPANHAMENTO&lt;&gt;"BM",0,SUMPRODUCT(OFFSET(BM!$M$15,$A22,0,$B22)*(OFFSET(BM!$A$15,$A22,0,$B22)="S")*OFFSET(ORÇAMENTO!AA$15,$A22,0,$B22)/(OFFSET(ORÇAMENTO!$X$15,$A22,0,$B22)+10^-12)))</f>
        <v>0</v>
      </c>
      <c r="AK22" s="229">
        <f ca="1">IF(ACOMPANHAMENTO&lt;&gt;"BM",0,SUMPRODUCT(OFFSET(BM!$M$15,$A22,0,$B22)*(OFFSET(BM!$A$15,$A22,0,$B22)="S")*OFFSET(ORÇAMENTO!AB$15,$A22,0,$B22)/(OFFSET(ORÇAMENTO!$X$15,$A22,0,$B22)+10^-12)))</f>
        <v>0</v>
      </c>
      <c r="AL22" s="229">
        <f ca="1">IF(ACOMPANHAMENTO&lt;&gt;"BM",0,OFFSET(BM!$M$15,$A22,0))</f>
        <v>0</v>
      </c>
      <c r="AM22" s="229">
        <f ca="1">IF(ACOMPANHAMENTO&lt;&gt;"BM",0,SUMPRODUCT(OFFSET(BM!$O$15,$A22,0,$B22)*(OFFSET(BM!$A$15,$A22,0,$B22)="S")*OFFSET(ORÇAMENTO!AA$15,$A22,0,$B22)/(OFFSET(ORÇAMENTO!$X$15,$A22,0,$B22)+10^-12)))</f>
        <v>0</v>
      </c>
      <c r="AN22" s="229">
        <f ca="1">IF(ACOMPANHAMENTO&lt;&gt;"BM",0,SUMPRODUCT(OFFSET(BM!$O$15,$A22,0,$B22)*(OFFSET(BM!$A$15,$A22,0,$B22)="S")*OFFSET(ORÇAMENTO!AB$15,$A22,0,$B22)/(OFFSET(ORÇAMENTO!$X$15,$A22,0,$B22)+10^-12)))</f>
        <v>0</v>
      </c>
      <c r="AO22" s="229">
        <f ca="1">IF(ACOMPANHAMENTO&lt;&gt;"BM",0,OFFSET(BM!$O$15,$A22,0))</f>
        <v>0</v>
      </c>
    </row>
    <row r="23" spans="1:41">
      <c r="A23" t="e">
        <f ca="1">MATCH(E23,ORÇAMENTO!$E$15:$E$264,0)-1</f>
        <v>#N/A</v>
      </c>
      <c r="B23" t="e">
        <f ca="1">IF(ISERROR($A23),NA(),OFFSET(ORÇAMENTO!$D$15,$A23,0))</f>
        <v>#N/A</v>
      </c>
      <c r="C23" t="str">
        <f ca="1">QCI!B23</f>
        <v>Branco</v>
      </c>
      <c r="D23" t="str">
        <f ca="1">IF(L23&gt;0,"F","")</f>
        <v/>
      </c>
      <c r="E23" s="455">
        <f>QCI!D23</f>
        <v>10</v>
      </c>
      <c r="F23" s="456" t="str">
        <f ca="1">QCI!G23</f>
        <v/>
      </c>
      <c r="G23" s="457">
        <f>QCI!H23</f>
        <v>0</v>
      </c>
      <c r="H23" s="458">
        <f>QCI!I23</f>
        <v>0</v>
      </c>
      <c r="I23" s="459" t="str">
        <f ca="1">QCI!J23</f>
        <v/>
      </c>
      <c r="J23" s="460" t="str">
        <f ca="1">QCI!K23</f>
        <v/>
      </c>
      <c r="K23" s="461" t="str">
        <f ca="1">IF($C23="Automático",IF(ACOMPANHAMENTO="BM",BM.medicao,PLE.Medicao),IF(ISBLANK($X23),"",$X23))</f>
        <v/>
      </c>
      <c r="L23" s="462">
        <f ca="1">QCI!$O23</f>
        <v>0</v>
      </c>
      <c r="M23" s="464">
        <f ca="1">ROUND(IF(C23="Automático",AE23+AL23,Y23),2)</f>
        <v>0</v>
      </c>
      <c r="N23" s="465">
        <f ca="1">O23-M23</f>
        <v>0</v>
      </c>
      <c r="O23" s="466">
        <f ca="1">ROUND(IF(C23="Automático",AH23+AO23,Z23),2)</f>
        <v>0</v>
      </c>
      <c r="P23" s="467">
        <f ca="1">O23/(L23+10^-12)</f>
        <v>0</v>
      </c>
      <c r="R23" s="463">
        <f ca="1">ROUND(IF($C23="Automático",AC23+AJ23,$Y23*IF(ISERROR(QCI!$AA23/QCI!$O23),0,QCI!$AA23/QCI!$O23)),2)</f>
        <v>0</v>
      </c>
      <c r="S23" s="463">
        <f ca="1">ROUND(IF($C23="Automático",AD23+AK23,$Y23*IF(ISERROR(QCI!$AB23/QCI!$O23),0,QCI!$AB23/QCI!$O23)),2)</f>
        <v>0</v>
      </c>
      <c r="T23" s="463">
        <f ca="1">ROUND(IF($C23="Automático",AF23+AM23,$Z23*IF(ISERROR(QCI!$AA23/QCI!$O23),0,QCI!$AA23/QCI!$O23)),2)</f>
        <v>0</v>
      </c>
      <c r="U23" s="463">
        <f ca="1">ROUND(IF($C23="Automático",AG23+AN23,$Z23*IF(ISERROR(QCI!$AB23/QCI!$O23),0,QCI!$AB23/QCI!$O23)),2)</f>
        <v>0</v>
      </c>
      <c r="V23" s="621">
        <f ca="1">IF(AND($L23&gt;0,$J23&lt;&gt;0,$J23&lt;&gt;"",COUNTIF($J$13:$J23,$J23)=1),OFFSET(V23,-1,0)+1,OFFSET(V23,-1,0))</f>
        <v>1</v>
      </c>
      <c r="X23" s="368"/>
      <c r="Y23" s="369"/>
      <c r="Z23" s="371"/>
      <c r="AC23" s="229" t="e">
        <f ca="1">IF(ACOMPANHAMENTO&lt;&gt;"PLE",0,SUMPRODUCT((OFFSET(CÁLCULO!$AX$15:$BH$15,$A23,0,$B23)&lt;=(PLE.Medicao-1))*OFFSET(CÁLCULO!$AB$15:$AL$15,$A23,0,$B23)*OFFSET(ORÇAMENTO!$AA$15,$A23,0,$B23)/(OFFSET(ORÇAMENTO!$X$15,$A23,0,$B23)+10^-12))+IF(AUTOEVENTO="Manual",SUMPRODUCT((OFFSET(CÁLCULO!$M$15,$A23,0,$B23)=1)*OFFSET(ORÇAMENTO!$AA$15,$A23,0,$B23)*(PLE!$AE$9-PLE!$Y$9)),0))</f>
        <v>#N/A</v>
      </c>
      <c r="AD23" s="229" t="e">
        <f ca="1">IF(ACOMPANHAMENTO&lt;&gt;"PLE",0,SUMPRODUCT((OFFSET(CÁLCULO!$AX$15:$BH$15,$A23,0,$B23)&lt;=(PLE.Medicao-1))*OFFSET(CÁLCULO!$AB$15:$AL$15,$A23,0,$B23)*OFFSET(ORÇAMENTO!$AB$15,$A23,0,$B23)/(OFFSET(ORÇAMENTO!$X$15,$A23,0,$B23)+10^-12))+IF(AUTOEVENTO="Manual",SUMPRODUCT((OFFSET(CÁLCULO!$M$15,$A23,0,$B23)=1)*OFFSET(ORÇAMENTO!$AB$15,$A23,0,$B23)*(PLE!$AE$9-PLE!$Y$9)),0))</f>
        <v>#N/A</v>
      </c>
      <c r="AE23" s="229" t="e">
        <f ca="1">ROUND(IF(ACOMPANHAMENTO&lt;&gt;"PLE",0,SUMIF(OFFSET(CÁLCULO!$AX$15:$BH$15,$A23,0,$B23),"&lt;="&amp;(PLE.Medicao-1),OFFSET(CÁLCULO!$AB$15:$AL$15,$A23,0,$B23))+IF(AUTOEVENTO="Manual",SUMIF(OFFSET(CÁLCULO!$M$15,$A23,0,$B23),1,OFFSET(ORÇAMENTO!$X$15,$A23,0,$B23))*(PLE!$AE$9-PLE!$Y$9),0)),2)</f>
        <v>#N/A</v>
      </c>
      <c r="AF23" s="229" t="e">
        <f ca="1">IF(ACOMPANHAMENTO&lt;&gt;"PLE",0,SUMPRODUCT((OFFSET(CÁLCULO!$AX$15:$BH$15,$A23,0,$B23)&lt;=PLE.Medicao)*OFFSET(CÁLCULO!$AB$15:$AL$15,$A23,0,$B23)*OFFSET(ORÇAMENTO!$AA$15,$A23,0,$B23)/(OFFSET(ORÇAMENTO!$X$15,$A23,0,$B23)+10^-12))+IF(AUTOEVENTO="Manual",SUMPRODUCT((OFFSET(CÁLCULO!$M$15,$A23,0,$B23)=1)*OFFSET(ORÇAMENTO!$AA$15,$A23,0,$B23)*PLE!$AE$9),0))</f>
        <v>#N/A</v>
      </c>
      <c r="AG23" s="229" t="e">
        <f ca="1">IF(ACOMPANHAMENTO&lt;&gt;"PLE",0,SUMPRODUCT((OFFSET(CÁLCULO!$AX$15:$BH$15,$A23,0,$B23)&lt;=PLE.Medicao)*OFFSET(CÁLCULO!$AB$15:$AL$15,$A23,0,$B23)*OFFSET(ORÇAMENTO!$AB$15,$A23,0,$B23)/(OFFSET(ORÇAMENTO!$X$15,$A23,0,$B23)+10^-12))+IF(AUTOEVENTO="Manual",SUMPRODUCT((OFFSET(CÁLCULO!$M$15,$A23,0,$B23)=1)*OFFSET(ORÇAMENTO!$AB$15,$A23,0,$B23)*PLE!$AE$9),0))</f>
        <v>#N/A</v>
      </c>
      <c r="AH23" s="229" t="e">
        <f ca="1">ROUND(IF(ACOMPANHAMENTO&lt;&gt;"PLE",0,SUMIF(OFFSET(CÁLCULO!$AX$15:$BH$15,$A23,0,$B23),"&lt;="&amp;PLE.Medicao,OFFSET(CÁLCULO!$AB$15:$AL$15,$A23,0,$B23))+IF(AUTOEVENTO="Manual",SUMIF(OFFSET(CÁLCULO!$M$15,$A23,0,$B23),1,OFFSET(ORÇAMENTO!$X$15,$A23,0,$B23))*PLE!$AE$9,0)),2)</f>
        <v>#N/A</v>
      </c>
      <c r="AJ23" s="229">
        <f ca="1">IF(ACOMPANHAMENTO&lt;&gt;"BM",0,SUMPRODUCT(OFFSET(BM!$M$15,$A23,0,$B23)*(OFFSET(BM!$A$15,$A23,0,$B23)="S")*OFFSET(ORÇAMENTO!AA$15,$A23,0,$B23)/(OFFSET(ORÇAMENTO!$X$15,$A23,0,$B23)+10^-12)))</f>
        <v>0</v>
      </c>
      <c r="AK23" s="229">
        <f ca="1">IF(ACOMPANHAMENTO&lt;&gt;"BM",0,SUMPRODUCT(OFFSET(BM!$M$15,$A23,0,$B23)*(OFFSET(BM!$A$15,$A23,0,$B23)="S")*OFFSET(ORÇAMENTO!AB$15,$A23,0,$B23)/(OFFSET(ORÇAMENTO!$X$15,$A23,0,$B23)+10^-12)))</f>
        <v>0</v>
      </c>
      <c r="AL23" s="229">
        <f ca="1">IF(ACOMPANHAMENTO&lt;&gt;"BM",0,OFFSET(BM!$M$15,$A23,0))</f>
        <v>0</v>
      </c>
      <c r="AM23" s="229">
        <f ca="1">IF(ACOMPANHAMENTO&lt;&gt;"BM",0,SUMPRODUCT(OFFSET(BM!$O$15,$A23,0,$B23)*(OFFSET(BM!$A$15,$A23,0,$B23)="S")*OFFSET(ORÇAMENTO!AA$15,$A23,0,$B23)/(OFFSET(ORÇAMENTO!$X$15,$A23,0,$B23)+10^-12)))</f>
        <v>0</v>
      </c>
      <c r="AN23" s="229">
        <f ca="1">IF(ACOMPANHAMENTO&lt;&gt;"BM",0,SUMPRODUCT(OFFSET(BM!$O$15,$A23,0,$B23)*(OFFSET(BM!$A$15,$A23,0,$B23)="S")*OFFSET(ORÇAMENTO!AB$15,$A23,0,$B23)/(OFFSET(ORÇAMENTO!$X$15,$A23,0,$B23)+10^-12)))</f>
        <v>0</v>
      </c>
      <c r="AO23" s="229">
        <f ca="1">IF(ACOMPANHAMENTO&lt;&gt;"BM",0,OFFSET(BM!$O$15,$A23,0))</f>
        <v>0</v>
      </c>
    </row>
    <row r="24" spans="1:41" ht="12.9" customHeight="1">
      <c r="D24" t="s">
        <v>246</v>
      </c>
      <c r="E24" s="1"/>
      <c r="F24" s="1"/>
      <c r="G24" s="1"/>
      <c r="H24" s="1"/>
      <c r="I24" s="2"/>
      <c r="J24" s="808" t="s">
        <v>376</v>
      </c>
      <c r="K24" s="809"/>
      <c r="L24" s="469">
        <f ca="1">IF(ISERROR(L28/$L28),0,ROUND(L28/$L28,4))</f>
        <v>1</v>
      </c>
      <c r="M24" s="471">
        <f ca="1">IF(ISERROR(M28/$L28),0,ROUND(M28/$L28,4))</f>
        <v>0</v>
      </c>
      <c r="N24" s="470">
        <f ca="1">IF(ISERROR(N28/$L28),0,ROUND(N28/$L28,4))</f>
        <v>0</v>
      </c>
      <c r="O24" s="472">
        <f ca="1">IF(ISERROR(O28/$L28),0,ROUND(O28/$L28,4))</f>
        <v>0</v>
      </c>
      <c r="P24" s="810">
        <f ca="1">O28/(L28+10^-12)</f>
        <v>0</v>
      </c>
      <c r="X24" s="473"/>
      <c r="Y24" s="474"/>
      <c r="Z24" s="475"/>
    </row>
    <row r="25" spans="1:41" ht="12.9" customHeight="1">
      <c r="D25" t="s">
        <v>246</v>
      </c>
      <c r="E25" s="523"/>
      <c r="F25" s="523"/>
      <c r="G25" s="523"/>
      <c r="H25" s="523"/>
      <c r="I25" s="5"/>
      <c r="J25" s="811" t="str">
        <f>IF(import.recurso="FGTS","Financiamento","Repasse")</f>
        <v>Repasse</v>
      </c>
      <c r="K25" s="812"/>
      <c r="L25" s="476">
        <f ca="1">QCI!L24</f>
        <v>960019</v>
      </c>
      <c r="M25" s="477">
        <f ca="1">M28-M27-M26</f>
        <v>0</v>
      </c>
      <c r="N25" s="478">
        <f ca="1">O25-M25</f>
        <v>0</v>
      </c>
      <c r="O25" s="479">
        <f ca="1">O28-O27-O26</f>
        <v>0</v>
      </c>
      <c r="P25" s="810"/>
      <c r="X25" s="480"/>
      <c r="Y25" s="481" t="s">
        <v>377</v>
      </c>
      <c r="Z25" s="482" t="s">
        <v>378</v>
      </c>
      <c r="AC25" s="483" t="s">
        <v>379</v>
      </c>
      <c r="AD25" s="483" t="s">
        <v>380</v>
      </c>
    </row>
    <row r="26" spans="1:41" ht="12.9" customHeight="1">
      <c r="D26" t="s">
        <v>246</v>
      </c>
      <c r="E26" s="523"/>
      <c r="F26" s="523"/>
      <c r="G26" s="523"/>
      <c r="H26" s="523"/>
      <c r="I26" s="5"/>
      <c r="J26" s="813" t="s">
        <v>381</v>
      </c>
      <c r="K26" s="814"/>
      <c r="L26" s="484">
        <f ca="1">QCI!M24</f>
        <v>88074.8</v>
      </c>
      <c r="M26" s="485">
        <f ca="1">ROUND(IF(OFFSET($X$26,0,1)&lt;&gt;"",OFFSET($X$26,0,1),SUM(R13:OFFSET(R24,-1,0))),2)</f>
        <v>0</v>
      </c>
      <c r="N26" s="486">
        <f ca="1">O26-M26</f>
        <v>0</v>
      </c>
      <c r="O26" s="487">
        <f ca="1">IF(OFFSET($X$26,0,2)&lt;&gt;"",OFFSET($X$26,0,2),$AE$3)</f>
        <v>0</v>
      </c>
      <c r="P26" s="810"/>
      <c r="X26" s="488" t="s">
        <v>169</v>
      </c>
      <c r="Y26" s="616"/>
      <c r="Z26" s="617"/>
      <c r="AC26" s="489">
        <f ca="1">MIN($L26,$O$28-OFFSET($X$27,0,1))</f>
        <v>0</v>
      </c>
      <c r="AD26" s="489">
        <f ca="1">MIN($L26,$O$28-OFFSET($X$27,0,2))</f>
        <v>0</v>
      </c>
    </row>
    <row r="27" spans="1:41" ht="12.9" customHeight="1">
      <c r="D27" t="s">
        <v>246</v>
      </c>
      <c r="E27" s="523"/>
      <c r="F27" s="523"/>
      <c r="G27" s="523"/>
      <c r="H27" s="523"/>
      <c r="I27" s="5"/>
      <c r="J27" s="793" t="s">
        <v>358</v>
      </c>
      <c r="K27" s="794"/>
      <c r="L27" s="490">
        <f ca="1">QCI!N24</f>
        <v>0</v>
      </c>
      <c r="M27" s="491">
        <f ca="1">ROUND(IF(OFFSET($X$27,0,1)&lt;&gt;"",OFFSET($X$27,0,1),SUM(S13:OFFSET(S24,-1,0))),2)</f>
        <v>0</v>
      </c>
      <c r="N27" s="492">
        <f ca="1">O27-M27</f>
        <v>0</v>
      </c>
      <c r="O27" s="493">
        <f ca="1">IF(OFFSET($X$27,0,2)&lt;&gt;"",OFFSET($X$27,0,2),$AE$4)</f>
        <v>0</v>
      </c>
      <c r="P27" s="810"/>
      <c r="X27" s="494" t="s">
        <v>278</v>
      </c>
      <c r="Y27" s="618"/>
      <c r="Z27" s="619"/>
      <c r="AC27" s="489">
        <f ca="1">MIN($L27,$O$28-OFFSET($X$26,0,1))</f>
        <v>0</v>
      </c>
      <c r="AD27" s="489">
        <f ca="1">MIN($L27,$O$28-OFFSET($X$26,0,2))</f>
        <v>0</v>
      </c>
    </row>
    <row r="28" spans="1:41" ht="13.8">
      <c r="D28" t="s">
        <v>246</v>
      </c>
      <c r="E28" s="523"/>
      <c r="F28" s="523"/>
      <c r="G28" s="523"/>
      <c r="H28" s="523"/>
      <c r="I28" s="5"/>
      <c r="J28" s="795" t="s">
        <v>360</v>
      </c>
      <c r="K28" s="796"/>
      <c r="L28" s="495">
        <f ca="1">SUM(L13:OFFSET(L24,-1,0))</f>
        <v>1048093.8</v>
      </c>
      <c r="M28" s="496">
        <f ca="1">ROUND(SUM(M13:OFFSET(M24,-1,0)),2)</f>
        <v>0</v>
      </c>
      <c r="N28" s="497">
        <f ca="1">O28-M28</f>
        <v>0</v>
      </c>
      <c r="O28" s="498">
        <f ca="1">SUM(O13:OFFSET(O24,-1,0))</f>
        <v>0</v>
      </c>
      <c r="P28" s="810"/>
      <c r="X28" s="499"/>
      <c r="Y28" s="500"/>
      <c r="Z28" s="501"/>
    </row>
    <row r="29" spans="1:41">
      <c r="O29" s="797" t="str">
        <f ca="1">"Acumulado Anterior:  "&amp;TEXT($M$28/($L$28+10^-12),"0,00%")</f>
        <v>Acumulado Anterior:  0,00%</v>
      </c>
      <c r="P29" s="797"/>
    </row>
    <row r="30" spans="1:41" ht="13.8">
      <c r="E30" s="166" t="s">
        <v>187</v>
      </c>
      <c r="F30" s="101"/>
      <c r="G30" s="101"/>
      <c r="H30" s="101"/>
      <c r="I30" s="101"/>
      <c r="J30" s="101"/>
      <c r="K30" s="101"/>
      <c r="M30" s="101"/>
      <c r="N30" s="101"/>
      <c r="P30" s="624"/>
      <c r="R30" s="101"/>
      <c r="S30" s="101"/>
      <c r="T30" s="101"/>
      <c r="U30" s="101"/>
    </row>
    <row r="31" spans="1:41" ht="12.75" customHeight="1">
      <c r="E31" s="801"/>
      <c r="F31" s="802"/>
      <c r="G31" s="802"/>
      <c r="H31" s="802"/>
      <c r="I31" s="802"/>
      <c r="J31" s="802"/>
      <c r="K31" s="802"/>
      <c r="L31" s="802"/>
      <c r="M31" s="802"/>
      <c r="N31" s="802"/>
      <c r="O31" s="802"/>
      <c r="P31" s="803"/>
      <c r="R31" s="101"/>
      <c r="S31" s="101"/>
      <c r="T31" s="101"/>
      <c r="U31" s="101"/>
    </row>
    <row r="32" spans="1:41" ht="12.75" customHeight="1">
      <c r="E32" s="801"/>
      <c r="F32" s="802"/>
      <c r="G32" s="802"/>
      <c r="H32" s="802"/>
      <c r="I32" s="802"/>
      <c r="J32" s="802"/>
      <c r="K32" s="802"/>
      <c r="L32" s="802"/>
      <c r="M32" s="802"/>
      <c r="N32" s="802"/>
      <c r="O32" s="802"/>
      <c r="P32" s="803"/>
      <c r="R32" s="101"/>
      <c r="S32" s="101"/>
      <c r="T32" s="101"/>
      <c r="U32" s="101"/>
      <c r="Y32" s="502"/>
      <c r="Z32" s="502"/>
    </row>
    <row r="33" spans="5:21" ht="12.75" customHeight="1">
      <c r="E33" s="804"/>
      <c r="F33" s="805"/>
      <c r="G33" s="805"/>
      <c r="H33" s="805"/>
      <c r="I33" s="805"/>
      <c r="J33" s="805"/>
      <c r="K33" s="805"/>
      <c r="L33" s="805"/>
      <c r="M33" s="805"/>
      <c r="N33" s="805"/>
      <c r="O33" s="805"/>
      <c r="P33" s="806"/>
      <c r="R33" s="101"/>
      <c r="S33" s="101"/>
      <c r="T33" s="101"/>
      <c r="U33" s="101"/>
    </row>
    <row r="34" spans="5:21">
      <c r="R34" s="101"/>
      <c r="S34" s="101"/>
      <c r="T34" s="101"/>
      <c r="U34" s="101"/>
    </row>
    <row r="35" spans="5:21" ht="13.8">
      <c r="E35" s="709" t="str">
        <f>Import.Município</f>
        <v>PONTAL - SP</v>
      </c>
      <c r="F35" s="709"/>
      <c r="G35" s="709"/>
      <c r="I35" s="503"/>
      <c r="J35" s="96"/>
      <c r="L35" s="732">
        <f ca="1">DADOS!$F$25</f>
        <v>45797</v>
      </c>
      <c r="M35" s="732"/>
      <c r="N35" s="732"/>
      <c r="O35" s="732"/>
      <c r="R35" s="101"/>
      <c r="S35" s="101"/>
      <c r="T35" s="101"/>
      <c r="U35" s="101"/>
    </row>
    <row r="36" spans="5:21">
      <c r="E36" s="12" t="s">
        <v>188</v>
      </c>
      <c r="F36" s="100"/>
      <c r="G36" s="100"/>
      <c r="L36" s="321" t="s">
        <v>189</v>
      </c>
      <c r="R36" s="101"/>
      <c r="S36" s="101"/>
      <c r="T36" s="101"/>
      <c r="U36" s="101"/>
    </row>
    <row r="37" spans="5:21">
      <c r="E37" s="100"/>
      <c r="F37" s="100"/>
      <c r="G37" s="100"/>
      <c r="R37" s="101"/>
      <c r="S37" s="101"/>
      <c r="T37" s="101"/>
      <c r="U37" s="101"/>
    </row>
    <row r="38" spans="5:21">
      <c r="E38" s="224"/>
      <c r="F38" s="224"/>
      <c r="G38" s="224"/>
      <c r="L38" s="224"/>
      <c r="M38" s="224"/>
      <c r="N38" s="224"/>
      <c r="O38" s="224"/>
      <c r="R38" s="101"/>
      <c r="S38" s="101"/>
      <c r="T38" s="101"/>
      <c r="U38" s="101"/>
    </row>
    <row r="39" spans="5:21">
      <c r="E39" s="504" t="str">
        <f>IF(CAIXA.Modo,"Responsável Gerencial CAIXA","Representante Tomador")</f>
        <v>Representante Tomador</v>
      </c>
      <c r="F39" s="9"/>
      <c r="L39" s="504" t="str">
        <f>IF(CAIXA.Modo,"Responsável Técnico CAIXA","Responsável Técnico pela Fiscalização")</f>
        <v>Responsável Técnico pela Fiscalização</v>
      </c>
      <c r="R39" s="101"/>
      <c r="S39" s="101"/>
      <c r="T39" s="101"/>
      <c r="U39" s="101"/>
    </row>
    <row r="40" spans="5:21">
      <c r="E40" s="90" t="s">
        <v>108</v>
      </c>
      <c r="F40" s="349" t="str">
        <f>IF(CAIXA.Modo,DADOS!F60,DADOS!F28)</f>
        <v>JOSÉ CARLOS NEVES SILVA</v>
      </c>
      <c r="L40" s="90" t="s">
        <v>108</v>
      </c>
      <c r="M40" s="807" t="str">
        <f>IF(CAIXA.Modo,BM!X276,DADOS!F51)</f>
        <v>ÉDIO QUARANTA JÚNIOR</v>
      </c>
      <c r="N40" s="807"/>
      <c r="O40" s="807"/>
      <c r="R40" s="101"/>
      <c r="S40" s="101"/>
      <c r="T40" s="101"/>
      <c r="U40" s="101"/>
    </row>
    <row r="41" spans="5:21">
      <c r="E41" s="90" t="str">
        <f>IF(CAIXA.Modo,"Função:","Cargo:")</f>
        <v>Cargo:</v>
      </c>
      <c r="F41" s="349" t="str">
        <f>IF(CAIXA.Modo,DADOS!F61,DADOS!F29)</f>
        <v>PREFEITO</v>
      </c>
      <c r="L41" s="90" t="str">
        <f>IF(CAIXA.Modo,"Matrícula:","Profissão:")</f>
        <v>Profissão:</v>
      </c>
      <c r="M41" s="807" t="str">
        <f>IF(CAIXA.Modo,BM!X277,DADOS!F52)</f>
        <v>ENGENHEIRO CIVIL</v>
      </c>
      <c r="N41" s="807"/>
      <c r="O41" s="807"/>
      <c r="R41" s="101"/>
      <c r="S41" s="101"/>
      <c r="T41" s="101"/>
      <c r="U41" s="101"/>
    </row>
    <row r="42" spans="5:21">
      <c r="L42" s="90" t="s">
        <v>109</v>
      </c>
      <c r="M42" s="807" t="str">
        <f>IF(CAIXA.Modo,BM!X278,DADOS!F53)</f>
        <v>0600870441</v>
      </c>
      <c r="N42" s="807"/>
      <c r="O42" s="807"/>
      <c r="R42" s="101"/>
      <c r="S42" s="101"/>
      <c r="T42" s="101"/>
      <c r="U42" s="101"/>
    </row>
    <row r="43" spans="5:21">
      <c r="L43" s="90" t="str">
        <f>IF(CAIXA.Modo,"","ART/RRT:")</f>
        <v>ART/RRT:</v>
      </c>
      <c r="M43" s="350">
        <f>IF(CAIXA.Modo,"",DADOS!F54)</f>
        <v>0</v>
      </c>
      <c r="R43" s="101"/>
      <c r="S43" s="101"/>
      <c r="T43" s="101"/>
      <c r="U43" s="101"/>
    </row>
    <row r="44" spans="5:21">
      <c r="R44" s="101"/>
      <c r="S44" s="101"/>
      <c r="T44" s="101"/>
      <c r="U44" s="101"/>
    </row>
    <row r="45" spans="5:21">
      <c r="E45" s="224"/>
      <c r="F45" s="224"/>
      <c r="G45" s="224"/>
      <c r="L45" s="224"/>
      <c r="M45" s="224"/>
      <c r="N45" s="224"/>
      <c r="O45" s="224"/>
      <c r="R45" s="101"/>
      <c r="S45" s="101"/>
      <c r="T45" s="101"/>
      <c r="U45" s="101"/>
    </row>
    <row r="46" spans="5:21">
      <c r="E46" t="str">
        <f>IF(CAIXA.Modo,"Responsável Social CAIXA","Responsável Social")</f>
        <v>Responsável Social</v>
      </c>
      <c r="L46" t="str">
        <f>IF(CAIXA.Modo,"Responsável Operacional CAIXA","Responsável Financeiro")</f>
        <v>Responsável Financeiro</v>
      </c>
      <c r="R46" s="101"/>
      <c r="S46" s="101"/>
      <c r="T46" s="101"/>
      <c r="U46" s="101"/>
    </row>
    <row r="47" spans="5:21">
      <c r="E47" s="90" t="s">
        <v>108</v>
      </c>
      <c r="F47" s="783"/>
      <c r="G47" s="783"/>
      <c r="L47" s="90" t="s">
        <v>108</v>
      </c>
      <c r="M47" s="783"/>
      <c r="N47" s="783"/>
      <c r="O47" s="783"/>
      <c r="R47" s="101"/>
      <c r="S47" s="101"/>
      <c r="T47" s="101"/>
      <c r="U47" s="101"/>
    </row>
    <row r="48" spans="5:21">
      <c r="E48" s="90" t="str">
        <f>IF(CAIXA.Modo,"Função:","Cargo:")</f>
        <v>Cargo:</v>
      </c>
      <c r="F48" s="783"/>
      <c r="G48" s="783"/>
      <c r="L48" s="90" t="str">
        <f>IF(CAIXA.Modo,"Função:","Cargo:")</f>
        <v>Cargo:</v>
      </c>
      <c r="M48" s="783"/>
      <c r="N48" s="783"/>
      <c r="O48" s="783"/>
      <c r="R48" s="101"/>
      <c r="S48" s="101"/>
      <c r="T48" s="101"/>
      <c r="U48" s="101"/>
    </row>
    <row r="49" spans="5:21">
      <c r="E49" s="90" t="str">
        <f>IF(CAIXA.Modo,"Matr:","")</f>
        <v/>
      </c>
      <c r="F49" s="783"/>
      <c r="G49" s="783"/>
      <c r="L49" s="90" t="str">
        <f>IF(CAIXA.Modo,"Matrícula:","")</f>
        <v/>
      </c>
      <c r="M49" s="783"/>
      <c r="N49" s="783"/>
      <c r="O49" s="783"/>
      <c r="R49" s="101"/>
      <c r="S49" s="101"/>
      <c r="T49" s="101"/>
      <c r="U49" s="101"/>
    </row>
    <row r="50" spans="5:21">
      <c r="R50" s="101"/>
      <c r="S50" s="101"/>
      <c r="T50" s="101"/>
      <c r="U50" s="101"/>
    </row>
    <row r="51" spans="5:21">
      <c r="R51" s="101"/>
      <c r="S51" s="101"/>
      <c r="T51" s="101"/>
      <c r="U51" s="101"/>
    </row>
    <row r="52" spans="5:21">
      <c r="R52" s="101"/>
      <c r="S52" s="101"/>
      <c r="T52" s="101"/>
      <c r="U52" s="101"/>
    </row>
  </sheetData>
  <sheetProtection sheet="1" objects="1" scenarios="1" autoFilter="0"/>
  <autoFilter ref="D13:D30"/>
  <mergeCells count="40">
    <mergeCell ref="M4:O4"/>
    <mergeCell ref="M49:O49"/>
    <mergeCell ref="E31:P33"/>
    <mergeCell ref="L35:O35"/>
    <mergeCell ref="M40:O40"/>
    <mergeCell ref="M41:O41"/>
    <mergeCell ref="M42:O42"/>
    <mergeCell ref="M47:O47"/>
    <mergeCell ref="F49:G49"/>
    <mergeCell ref="E35:G35"/>
    <mergeCell ref="F47:G47"/>
    <mergeCell ref="F48:G48"/>
    <mergeCell ref="J24:K24"/>
    <mergeCell ref="P24:P28"/>
    <mergeCell ref="J25:K25"/>
    <mergeCell ref="J26:K26"/>
    <mergeCell ref="J27:K27"/>
    <mergeCell ref="J28:K28"/>
    <mergeCell ref="O29:P29"/>
    <mergeCell ref="M48:O48"/>
    <mergeCell ref="AC10:AH10"/>
    <mergeCell ref="AJ10:AO10"/>
    <mergeCell ref="Y11:Z11"/>
    <mergeCell ref="AC11:AE11"/>
    <mergeCell ref="AF11:AH11"/>
    <mergeCell ref="AJ11:AL11"/>
    <mergeCell ref="AM11:AO11"/>
    <mergeCell ref="D7:D11"/>
    <mergeCell ref="E7:H7"/>
    <mergeCell ref="I7:L7"/>
    <mergeCell ref="G9:H9"/>
    <mergeCell ref="I9:J9"/>
    <mergeCell ref="L9:L10"/>
    <mergeCell ref="G10:H10"/>
    <mergeCell ref="E6:H6"/>
    <mergeCell ref="I6:L6"/>
    <mergeCell ref="E3:H3"/>
    <mergeCell ref="I3:K3"/>
    <mergeCell ref="E4:H4"/>
    <mergeCell ref="I4:K4"/>
  </mergeCells>
  <phoneticPr fontId="38" type="noConversion"/>
  <conditionalFormatting sqref="X12:Z12">
    <cfRule type="expression" dxfId="8" priority="82" stopIfTrue="1">
      <formula>OR($C12="Automático",$C12="Branco")</formula>
    </cfRule>
  </conditionalFormatting>
  <conditionalFormatting sqref="F49:G49 M49:O49">
    <cfRule type="expression" dxfId="7" priority="83" stopIfTrue="1">
      <formula>CAIXA.Modo=FALSE</formula>
    </cfRule>
  </conditionalFormatting>
  <conditionalFormatting sqref="M12 M25:M28 O12 O25:O28">
    <cfRule type="cellIs" dxfId="6" priority="84" stopIfTrue="1" operator="notBetween">
      <formula>0</formula>
      <formula>$L12</formula>
    </cfRule>
  </conditionalFormatting>
  <conditionalFormatting sqref="M10:N10">
    <cfRule type="cellIs" dxfId="5" priority="85" stopIfTrue="1" operator="lessThan">
      <formula>0</formula>
    </cfRule>
  </conditionalFormatting>
  <conditionalFormatting sqref="X14:Z22">
    <cfRule type="expression" dxfId="4" priority="3" stopIfTrue="1">
      <formula>OR($C14="Automático",$C14="Branco")</formula>
    </cfRule>
  </conditionalFormatting>
  <conditionalFormatting sqref="M14:M22 O14:O22">
    <cfRule type="cellIs" dxfId="3" priority="4" stopIfTrue="1" operator="notBetween">
      <formula>0</formula>
      <formula>$L14</formula>
    </cfRule>
  </conditionalFormatting>
  <conditionalFormatting sqref="X23:Z23">
    <cfRule type="expression" dxfId="2" priority="1" stopIfTrue="1">
      <formula>OR($C23="Automático",$C23="Branco")</formula>
    </cfRule>
  </conditionalFormatting>
  <conditionalFormatting sqref="M23 O23">
    <cfRule type="cellIs" dxfId="1" priority="2" stopIfTrue="1" operator="notBetween">
      <formula>0</formula>
      <formula>$L23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26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26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27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27">
      <formula1>0</formula1>
      <formula2>RRE.MaxOUAcum</formula2>
    </dataValidation>
    <dataValidation type="decimal" allowBlank="1" showInputMessage="1" showErrorMessage="1" sqref="Y12:Z12 Y14:Z23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Plan12"/>
  <dimension ref="A1:Q56"/>
  <sheetViews>
    <sheetView showGridLines="0" zoomScale="90" zoomScaleNormal="90" zoomScaleSheetLayoutView="100" workbookViewId="0">
      <selection activeCell="B50" sqref="B50"/>
    </sheetView>
  </sheetViews>
  <sheetFormatPr defaultRowHeight="13.2"/>
  <cols>
    <col min="1" max="1" width="2" style="100" customWidth="1"/>
    <col min="2" max="2" width="15.6640625" style="100" customWidth="1"/>
    <col min="3" max="3" width="6.6640625" style="100" customWidth="1"/>
    <col min="4" max="5" width="20.6640625" style="100" customWidth="1"/>
    <col min="6" max="6" width="8.6640625" style="100" customWidth="1"/>
    <col min="7" max="7" width="12.6640625" style="100" customWidth="1"/>
    <col min="8" max="8" width="20.6640625" customWidth="1"/>
    <col min="9" max="9" width="13.6640625" customWidth="1"/>
    <col min="10" max="12" width="16.6640625" customWidth="1"/>
    <col min="14" max="14" width="14.109375" customWidth="1"/>
  </cols>
  <sheetData>
    <row r="1" spans="2:17">
      <c r="B1" s="820"/>
      <c r="C1" s="820"/>
      <c r="D1" s="61"/>
      <c r="E1" s="61"/>
      <c r="F1" s="61"/>
      <c r="G1" s="64" t="s">
        <v>140</v>
      </c>
    </row>
    <row r="2" spans="2:17">
      <c r="B2" s="820"/>
      <c r="C2" s="820"/>
      <c r="D2" s="505"/>
      <c r="E2" s="505"/>
      <c r="F2" s="505"/>
      <c r="G2" s="14" t="s">
        <v>382</v>
      </c>
    </row>
    <row r="3" spans="2:17" ht="26.1" customHeight="1" thickBot="1">
      <c r="B3" s="820"/>
      <c r="C3" s="820"/>
      <c r="D3" s="506"/>
      <c r="E3" s="506"/>
      <c r="F3" s="506"/>
      <c r="G3" s="507"/>
      <c r="I3" s="508" t="s">
        <v>383</v>
      </c>
      <c r="J3" s="172"/>
      <c r="K3" s="172"/>
      <c r="L3" s="172"/>
    </row>
    <row r="4" spans="2:17" ht="12.75" customHeight="1">
      <c r="B4" s="820"/>
      <c r="C4" s="820"/>
      <c r="D4" s="505"/>
      <c r="E4" s="505"/>
      <c r="F4" s="505"/>
      <c r="G4" s="505"/>
      <c r="I4" s="821" t="s">
        <v>384</v>
      </c>
      <c r="J4" s="823" t="s">
        <v>385</v>
      </c>
      <c r="K4" s="823" t="s">
        <v>386</v>
      </c>
      <c r="L4" s="815" t="s">
        <v>387</v>
      </c>
    </row>
    <row r="5" spans="2:17">
      <c r="I5" s="822"/>
      <c r="J5" s="824"/>
      <c r="K5" s="824"/>
      <c r="L5" s="816"/>
    </row>
    <row r="6" spans="2:17">
      <c r="B6" s="509" t="s">
        <v>388</v>
      </c>
      <c r="C6" s="817"/>
      <c r="D6" s="817"/>
      <c r="E6" s="509"/>
      <c r="F6" s="509"/>
      <c r="G6" s="61"/>
      <c r="I6" s="601" t="str">
        <f ca="1">IF(ROW(I6)-ROW(L$5)&gt;MAX(RRE!$V$13:$V$24),"",INDEX(RRE!$J$13:$J$24,MATCH(ROW(I6)-ROW(I$5),RRE!$V$13:$V$24,0)))</f>
        <v>LOTE 1</v>
      </c>
      <c r="J6" s="602">
        <f ca="1">IF(I6="","",SUMIF(RRE!$J$13:$J$24,OFÍCIO!$I6,RRE!$L$13:$L$24))</f>
        <v>1048093.8</v>
      </c>
      <c r="K6" s="602">
        <f ca="1">IF(J6="","",SUMIF(RRE!$J$13:$J$24,OFÍCIO!$I6,RRE!$N$13:$N$24))</f>
        <v>0</v>
      </c>
      <c r="L6" s="603">
        <f ca="1">IF(K6="","",SUMIF(RRE!$J$13:$J$24,OFÍCIO!$I6,RRE!$O$13:$O$24))</f>
        <v>0</v>
      </c>
      <c r="N6" s="12"/>
    </row>
    <row r="7" spans="2:17">
      <c r="B7" s="510"/>
      <c r="C7" s="510"/>
      <c r="D7" s="505"/>
      <c r="E7" s="505"/>
      <c r="F7" s="505"/>
      <c r="G7" s="505"/>
      <c r="I7" s="595" t="str">
        <f ca="1">IF(ROW(I7)-ROW(L$5)&gt;MAX(RRE!$V$13:$V$24),"",INDEX(RRE!$J$13:$J$24,MATCH(ROW(I7)-ROW(I$5),RRE!$V$13:$V$24,0)))</f>
        <v/>
      </c>
      <c r="J7" s="596" t="str">
        <f ca="1">IF(I7="","",SUMIF(RRE!$J$13:$J$24,OFÍCIO!$I7,RRE!$L$13:$L$24))</f>
        <v/>
      </c>
      <c r="K7" s="596" t="str">
        <f ca="1">IF(J7="","",SUMIF(RRE!$J$13:$J$24,OFÍCIO!$I7,RRE!$N$13:$N$24))</f>
        <v/>
      </c>
      <c r="L7" s="597" t="str">
        <f ca="1">IF(K7="","",SUMIF(RRE!$J$13:$J$24,OFÍCIO!$I7,RRE!$O$13:$O$24))</f>
        <v/>
      </c>
    </row>
    <row r="8" spans="2:17">
      <c r="B8" s="818" t="str">
        <f ca="1">CONCATENATE(RRE!$E$35,", ",TEXT(RRE!$L$35,"dd"" de ""mmmm"" de ""aaaa"))</f>
        <v>PONTAL - SP, 20 de maio de 2025</v>
      </c>
      <c r="C8" s="818"/>
      <c r="D8" s="818"/>
      <c r="E8" s="818"/>
      <c r="F8" s="818"/>
      <c r="G8" s="818"/>
      <c r="H8" s="511"/>
      <c r="I8" s="595" t="str">
        <f ca="1">IF(ROW(I8)-ROW(L$5)&gt;MAX(RRE!$V$13:$V$24),"",INDEX(RRE!$J$13:$J$24,MATCH(ROW(I8)-ROW(I$5),RRE!$V$13:$V$24,0)))</f>
        <v/>
      </c>
      <c r="J8" s="596" t="str">
        <f ca="1">IF(I8="","",SUMIF(RRE!$J$13:$J$24,OFÍCIO!$I8,RRE!$L$13:$L$24))</f>
        <v/>
      </c>
      <c r="K8" s="596" t="str">
        <f ca="1">IF(J8="","",SUMIF(RRE!$J$13:$J$24,OFÍCIO!$I8,RRE!$N$13:$N$24))</f>
        <v/>
      </c>
      <c r="L8" s="597" t="str">
        <f ca="1">IF(K8="","",SUMIF(RRE!$J$13:$J$24,OFÍCIO!$I8,RRE!$O$13:$O$24))</f>
        <v/>
      </c>
      <c r="N8" s="511"/>
      <c r="O8" s="511"/>
      <c r="P8" s="511"/>
      <c r="Q8" s="511"/>
    </row>
    <row r="9" spans="2:17">
      <c r="B9" s="512" t="s">
        <v>389</v>
      </c>
      <c r="C9" s="61"/>
      <c r="D9" s="61"/>
      <c r="G9" s="61"/>
      <c r="H9" s="511"/>
      <c r="I9" s="595" t="str">
        <f ca="1">IF(ROW(I9)-ROW(L$5)&gt;MAX(RRE!$V$13:$V$24),"",INDEX(RRE!$J$13:$J$24,MATCH(ROW(I9)-ROW(I$5),RRE!$V$13:$V$24,0)))</f>
        <v/>
      </c>
      <c r="J9" s="596" t="str">
        <f ca="1">IF(I9="","",SUMIF(RRE!$J$13:$J$24,OFÍCIO!$I9,RRE!$L$13:$L$24))</f>
        <v/>
      </c>
      <c r="K9" s="596" t="str">
        <f ca="1">IF(J9="","",SUMIF(RRE!$J$13:$J$24,OFÍCIO!$I9,RRE!$N$13:$N$24))</f>
        <v/>
      </c>
      <c r="L9" s="597" t="str">
        <f ca="1">IF(K9="","",SUMIF(RRE!$J$13:$J$24,OFÍCIO!$I9,RRE!$O$13:$O$24))</f>
        <v/>
      </c>
      <c r="N9" s="511"/>
      <c r="O9" s="511"/>
      <c r="P9" s="511"/>
      <c r="Q9" s="511"/>
    </row>
    <row r="10" spans="2:17">
      <c r="B10" s="819" t="s">
        <v>390</v>
      </c>
      <c r="C10" s="819"/>
      <c r="D10" s="819"/>
      <c r="G10" s="61"/>
      <c r="H10" s="511"/>
      <c r="I10" s="595" t="str">
        <f ca="1">IF(ROW(I10)-ROW(L$5)&gt;MAX(RRE!$V$13:$V$24),"",INDEX(RRE!$J$13:$J$24,MATCH(ROW(I10)-ROW(I$5),RRE!$V$13:$V$24,0)))</f>
        <v/>
      </c>
      <c r="J10" s="596" t="str">
        <f ca="1">IF(I10="","",SUMIF(RRE!$J$13:$J$24,OFÍCIO!$I10,RRE!$L$13:$L$24))</f>
        <v/>
      </c>
      <c r="K10" s="596" t="str">
        <f ca="1">IF(J10="","",SUMIF(RRE!$J$13:$J$24,OFÍCIO!$I10,RRE!$N$13:$N$24))</f>
        <v/>
      </c>
      <c r="L10" s="597" t="str">
        <f ca="1">IF(K10="","",SUMIF(RRE!$J$13:$J$24,OFÍCIO!$I10,RRE!$O$13:$O$24))</f>
        <v/>
      </c>
      <c r="N10" s="511"/>
      <c r="O10" s="511"/>
      <c r="P10" s="511"/>
      <c r="Q10" s="511"/>
    </row>
    <row r="11" spans="2:17">
      <c r="B11" s="513" t="s">
        <v>410</v>
      </c>
      <c r="C11" s="829"/>
      <c r="D11" s="829"/>
      <c r="G11" s="61"/>
      <c r="H11" s="511"/>
      <c r="I11" s="595" t="str">
        <f ca="1">IF(ROW(I11)-ROW(L$5)&gt;MAX(RRE!$V$13:$V$24),"",INDEX(RRE!$J$13:$J$24,MATCH(ROW(I11)-ROW(I$5),RRE!$V$13:$V$24,0)))</f>
        <v/>
      </c>
      <c r="J11" s="596" t="str">
        <f ca="1">IF(I11="","",SUMIF(RRE!$J$13:$J$24,OFÍCIO!$I11,RRE!$L$13:$L$24))</f>
        <v/>
      </c>
      <c r="K11" s="596" t="str">
        <f ca="1">IF(J11="","",SUMIF(RRE!$J$13:$J$24,OFÍCIO!$I11,RRE!$N$13:$N$24))</f>
        <v/>
      </c>
      <c r="L11" s="597" t="str">
        <f ca="1">IF(K11="","",SUMIF(RRE!$J$13:$J$24,OFÍCIO!$I11,RRE!$O$13:$O$24))</f>
        <v/>
      </c>
      <c r="N11" s="511"/>
      <c r="O11" s="511"/>
      <c r="P11" s="511"/>
      <c r="Q11" s="511"/>
    </row>
    <row r="12" spans="2:17">
      <c r="B12" s="514"/>
      <c r="C12" s="514"/>
      <c r="D12" s="514"/>
      <c r="E12" s="514"/>
      <c r="F12" s="514"/>
      <c r="G12" s="61"/>
      <c r="H12" s="511"/>
      <c r="I12" s="595" t="str">
        <f ca="1">IF(ROW(I12)-ROW(L$5)&gt;MAX(RRE!$V$13:$V$24),"",INDEX(RRE!$J$13:$J$24,MATCH(ROW(I12)-ROW(I$5),RRE!$V$13:$V$24,0)))</f>
        <v/>
      </c>
      <c r="J12" s="596" t="str">
        <f ca="1">IF(I12="","",SUMIF(RRE!$J$13:$J$24,OFÍCIO!$I12,RRE!$L$13:$L$24))</f>
        <v/>
      </c>
      <c r="K12" s="596" t="str">
        <f ca="1">IF(J12="","",SUMIF(RRE!$J$13:$J$24,OFÍCIO!$I12,RRE!$N$13:$N$24))</f>
        <v/>
      </c>
      <c r="L12" s="597" t="str">
        <f ca="1">IF(K12="","",SUMIF(RRE!$J$13:$J$24,OFÍCIO!$I12,RRE!$O$13:$O$24))</f>
        <v/>
      </c>
      <c r="N12" s="511"/>
      <c r="O12" s="511"/>
      <c r="P12" s="511"/>
      <c r="Q12" s="511"/>
    </row>
    <row r="13" spans="2:17">
      <c r="B13" s="61"/>
      <c r="C13" s="61"/>
      <c r="D13" s="61"/>
      <c r="E13" s="61"/>
      <c r="F13" s="61"/>
      <c r="G13" s="61"/>
      <c r="I13" s="595" t="str">
        <f ca="1">IF(ROW(I13)-ROW(L$5)&gt;MAX(RRE!$V$13:$V$24),"",INDEX(RRE!$J$13:$J$24,MATCH(ROW(I13)-ROW(I$5),RRE!$V$13:$V$24,0)))</f>
        <v/>
      </c>
      <c r="J13" s="596" t="str">
        <f ca="1">IF(I13="","",SUMIF(RRE!$J$13:$J$24,OFÍCIO!$I13,RRE!$L$13:$L$24))</f>
        <v/>
      </c>
      <c r="K13" s="596" t="str">
        <f ca="1">IF(J13="","",SUMIF(RRE!$J$13:$J$24,OFÍCIO!$I13,RRE!$N$13:$N$24))</f>
        <v/>
      </c>
      <c r="L13" s="597" t="str">
        <f ca="1">IF(K13="","",SUMIF(RRE!$J$13:$J$24,OFÍCIO!$I13,RRE!$O$13:$O$24))</f>
        <v/>
      </c>
    </row>
    <row r="14" spans="2:17">
      <c r="B14" s="512" t="s">
        <v>391</v>
      </c>
      <c r="C14" s="819" t="str">
        <f ca="1">CONCATENATE(RRE.Numero,"ª"," Solicitação de ",IF(import.recurso="OGU","Desbloqueio","Desembolso")," de Recursos.")</f>
        <v>1ª Solicitação de Desbloqueio de Recursos.</v>
      </c>
      <c r="D14" s="819"/>
      <c r="E14" s="819"/>
      <c r="F14" s="819"/>
      <c r="G14" s="819"/>
      <c r="I14" s="595" t="str">
        <f ca="1">IF(ROW(I14)-ROW(L$5)&gt;MAX(RRE!$V$13:$V$24),"",INDEX(RRE!$J$13:$J$24,MATCH(ROW(I14)-ROW(I$5),RRE!$V$13:$V$24,0)))</f>
        <v/>
      </c>
      <c r="J14" s="596" t="str">
        <f ca="1">IF(I14="","",SUMIF(RRE!$J$13:$J$24,OFÍCIO!$I14,RRE!$L$13:$L$24))</f>
        <v/>
      </c>
      <c r="K14" s="596" t="str">
        <f ca="1">IF(J14="","",SUMIF(RRE!$J$13:$J$24,OFÍCIO!$I14,RRE!$N$13:$N$24))</f>
        <v/>
      </c>
      <c r="L14" s="597" t="str">
        <f ca="1">IF(K14="","",SUMIF(RRE!$J$13:$J$24,OFÍCIO!$I14,RRE!$O$13:$O$24))</f>
        <v/>
      </c>
    </row>
    <row r="15" spans="2:17" ht="12.75" customHeight="1">
      <c r="B15" s="512" t="s">
        <v>392</v>
      </c>
      <c r="C15" s="830" t="str">
        <f>CONCATENATE("Contrato de ",IF(import.recurso="OGU","Repasse","Financiamento")," - Operação nº ",Import.CR,IF(Import.TransfereGOV="","",CONCATENATE(" - TransfereGOV nº ",Import.TransfereGOV)))</f>
        <v>Contrato de Repasse - Operação nº  - TransfereGOV nº 953208-2023</v>
      </c>
      <c r="D15" s="830"/>
      <c r="E15" s="830"/>
      <c r="F15" s="830"/>
      <c r="G15" s="830"/>
      <c r="I15" s="595" t="str">
        <f ca="1">IF(ROW(I15)-ROW(L$5)&gt;MAX(RRE!$V$13:$V$24),"",INDEX(RRE!$J$13:$J$24,MATCH(ROW(I15)-ROW(I$5),RRE!$V$13:$V$24,0)))</f>
        <v/>
      </c>
      <c r="J15" s="596" t="str">
        <f ca="1">IF(I15="","",SUMIF(RRE!$J$13:$J$24,OFÍCIO!$I15,RRE!$L$13:$L$24))</f>
        <v/>
      </c>
      <c r="K15" s="596" t="str">
        <f ca="1">IF(J15="","",SUMIF(RRE!$J$13:$J$24,OFÍCIO!$I15,RRE!$N$13:$N$24))</f>
        <v/>
      </c>
      <c r="L15" s="597" t="str">
        <f ca="1">IF(K15="","",SUMIF(RRE!$J$13:$J$24,OFÍCIO!$I15,RRE!$O$13:$O$24))</f>
        <v/>
      </c>
    </row>
    <row r="16" spans="2:17">
      <c r="B16" s="512"/>
      <c r="C16" s="830"/>
      <c r="D16" s="830"/>
      <c r="E16" s="830"/>
      <c r="F16" s="830"/>
      <c r="G16" s="830"/>
      <c r="I16" s="595" t="str">
        <f ca="1">IF(ROW(I16)-ROW(L$5)&gt;MAX(RRE!$V$13:$V$24),"",INDEX(RRE!$J$13:$J$24,MATCH(ROW(I16)-ROW(I$5),RRE!$V$13:$V$24,0)))</f>
        <v/>
      </c>
      <c r="J16" s="596" t="str">
        <f ca="1">IF(I16="","",SUMIF(RRE!$J$13:$J$24,OFÍCIO!$I16,RRE!$L$13:$L$24))</f>
        <v/>
      </c>
      <c r="K16" s="596" t="str">
        <f ca="1">IF(J16="","",SUMIF(RRE!$J$13:$J$24,OFÍCIO!$I16,RRE!$N$13:$N$24))</f>
        <v/>
      </c>
      <c r="L16" s="597" t="str">
        <f ca="1">IF(K16="","",SUMIF(RRE!$J$13:$J$24,OFÍCIO!$I16,RRE!$O$13:$O$24))</f>
        <v/>
      </c>
    </row>
    <row r="17" spans="2:12">
      <c r="B17" s="61"/>
      <c r="C17" s="61"/>
      <c r="D17" s="61"/>
      <c r="E17" s="61"/>
      <c r="F17" s="61"/>
      <c r="G17" s="61"/>
      <c r="I17" s="595" t="str">
        <f ca="1">IF(ROW(I17)-ROW(L$5)&gt;MAX(RRE!$V$13:$V$24),"",INDEX(RRE!$J$13:$J$24,MATCH(ROW(I17)-ROW(I$5),RRE!$V$13:$V$24,0)))</f>
        <v/>
      </c>
      <c r="J17" s="596" t="str">
        <f ca="1">IF(I17="","",SUMIF(RRE!$J$13:$J$24,OFÍCIO!$I17,RRE!$L$13:$L$24))</f>
        <v/>
      </c>
      <c r="K17" s="596" t="str">
        <f ca="1">IF(J17="","",SUMIF(RRE!$J$13:$J$24,OFÍCIO!$I17,RRE!$N$13:$N$24))</f>
        <v/>
      </c>
      <c r="L17" s="597" t="str">
        <f ca="1">IF(K17="","",SUMIF(RRE!$J$13:$J$24,OFÍCIO!$I17,RRE!$O$13:$O$24))</f>
        <v/>
      </c>
    </row>
    <row r="18" spans="2:12" ht="12.75" customHeight="1">
      <c r="B18" s="515" t="s">
        <v>393</v>
      </c>
      <c r="C18" s="831">
        <f>Import.DescLote</f>
        <v>0</v>
      </c>
      <c r="D18" s="831"/>
      <c r="E18" s="831"/>
      <c r="F18" s="831"/>
      <c r="G18" s="831"/>
      <c r="I18" s="595" t="str">
        <f ca="1">IF(ROW(I18)-ROW(L$5)&gt;MAX(RRE!$V$13:$V$24),"",INDEX(RRE!$J$13:$J$24,MATCH(ROW(I18)-ROW(I$5),RRE!$V$13:$V$24,0)))</f>
        <v/>
      </c>
      <c r="J18" s="596" t="str">
        <f ca="1">IF(I18="","",SUMIF(RRE!$J$13:$J$24,OFÍCIO!$I18,RRE!$L$13:$L$24))</f>
        <v/>
      </c>
      <c r="K18" s="596" t="str">
        <f ca="1">IF(J18="","",SUMIF(RRE!$J$13:$J$24,OFÍCIO!$I18,RRE!$N$13:$N$24))</f>
        <v/>
      </c>
      <c r="L18" s="597" t="str">
        <f ca="1">IF(K18="","",SUMIF(RRE!$J$13:$J$24,OFÍCIO!$I18,RRE!$O$13:$O$24))</f>
        <v/>
      </c>
    </row>
    <row r="19" spans="2:12" ht="12.75" customHeight="1">
      <c r="B19" s="827" t="s">
        <v>394</v>
      </c>
      <c r="C19" s="828" t="str">
        <f>Import.Proponente</f>
        <v>PREFEITURA MUNICIPAL DE PONTAL</v>
      </c>
      <c r="D19" s="828"/>
      <c r="E19" s="828"/>
      <c r="F19" s="828"/>
      <c r="G19" s="828"/>
      <c r="I19" s="595" t="str">
        <f ca="1">IF(ROW(I19)-ROW(L$5)&gt;MAX(RRE!$V$13:$V$24),"",INDEX(RRE!$J$13:$J$24,MATCH(ROW(I19)-ROW(I$5),RRE!$V$13:$V$24,0)))</f>
        <v/>
      </c>
      <c r="J19" s="596" t="str">
        <f ca="1">IF(I19="","",SUMIF(RRE!$J$13:$J$24,OFÍCIO!$I19,RRE!$L$13:$L$24))</f>
        <v/>
      </c>
      <c r="K19" s="596" t="str">
        <f ca="1">IF(J19="","",SUMIF(RRE!$J$13:$J$24,OFÍCIO!$I19,RRE!$N$13:$N$24))</f>
        <v/>
      </c>
      <c r="L19" s="597" t="str">
        <f ca="1">IF(K19="","",SUMIF(RRE!$J$13:$J$24,OFÍCIO!$I19,RRE!$O$13:$O$24))</f>
        <v/>
      </c>
    </row>
    <row r="20" spans="2:12">
      <c r="B20" s="827"/>
      <c r="C20" s="828"/>
      <c r="D20" s="828"/>
      <c r="E20" s="828"/>
      <c r="F20" s="828"/>
      <c r="G20" s="828"/>
      <c r="I20" s="595" t="str">
        <f ca="1">IF(ROW(I20)-ROW(L$5)&gt;MAX(RRE!$V$13:$V$24),"",INDEX(RRE!$J$13:$J$24,MATCH(ROW(I20)-ROW(I$5),RRE!$V$13:$V$24,0)))</f>
        <v/>
      </c>
      <c r="J20" s="596" t="str">
        <f ca="1">IF(I20="","",SUMIF(RRE!$J$13:$J$24,OFÍCIO!$I20,RRE!$L$13:$L$24))</f>
        <v/>
      </c>
      <c r="K20" s="596" t="str">
        <f ca="1">IF(J20="","",SUMIF(RRE!$J$13:$J$24,OFÍCIO!$I20,RRE!$N$13:$N$24))</f>
        <v/>
      </c>
      <c r="L20" s="597" t="str">
        <f ca="1">IF(K20="","",SUMIF(RRE!$J$13:$J$24,OFÍCIO!$I20,RRE!$O$13:$O$24))</f>
        <v/>
      </c>
    </row>
    <row r="21" spans="2:12">
      <c r="B21" s="61"/>
      <c r="C21" s="61"/>
      <c r="D21" s="61"/>
      <c r="E21" s="61"/>
      <c r="F21" s="61"/>
      <c r="G21" s="61"/>
      <c r="I21" s="595" t="str">
        <f ca="1">IF(ROW(I21)-ROW(L$5)&gt;MAX(RRE!$V$13:$V$24),"",INDEX(RRE!$J$13:$J$24,MATCH(ROW(I21)-ROW(I$5),RRE!$V$13:$V$24,0)))</f>
        <v/>
      </c>
      <c r="J21" s="596" t="str">
        <f ca="1">IF(I21="","",SUMIF(RRE!$J$13:$J$24,OFÍCIO!$I21,RRE!$L$13:$L$24))</f>
        <v/>
      </c>
      <c r="K21" s="596" t="str">
        <f ca="1">IF(J21="","",SUMIF(RRE!$J$13:$J$24,OFÍCIO!$I21,RRE!$N$13:$N$24))</f>
        <v/>
      </c>
      <c r="L21" s="597" t="str">
        <f ca="1">IF(K21="","",SUMIF(RRE!$J$13:$J$24,OFÍCIO!$I21,RRE!$O$13:$O$24))</f>
        <v/>
      </c>
    </row>
    <row r="22" spans="2:12">
      <c r="B22" s="100" t="str">
        <f>IF(B11="GIGOV","Senhor Gerente","Senhor Superintendente")</f>
        <v>Senhor Gerente</v>
      </c>
      <c r="D22" s="61"/>
      <c r="E22" s="61"/>
      <c r="F22" s="61"/>
      <c r="G22" s="61"/>
      <c r="I22" s="595" t="str">
        <f ca="1">IF(ROW(I22)-ROW(L$5)&gt;MAX(RRE!$V$13:$V$24),"",INDEX(RRE!$J$13:$J$24,MATCH(ROW(I22)-ROW(I$5),RRE!$V$13:$V$24,0)))</f>
        <v/>
      </c>
      <c r="J22" s="596" t="str">
        <f ca="1">IF(I22="","",SUMIF(RRE!$J$13:$J$24,OFÍCIO!$I22,RRE!$L$13:$L$24))</f>
        <v/>
      </c>
      <c r="K22" s="596" t="str">
        <f ca="1">IF(J22="","",SUMIF(RRE!$J$13:$J$24,OFÍCIO!$I22,RRE!$N$13:$N$24))</f>
        <v/>
      </c>
      <c r="L22" s="597" t="str">
        <f ca="1">IF(K22="","",SUMIF(RRE!$J$13:$J$24,OFÍCIO!$I22,RRE!$O$13:$O$24))</f>
        <v/>
      </c>
    </row>
    <row r="23" spans="2:12">
      <c r="B23" s="61"/>
      <c r="C23" s="61"/>
      <c r="D23" s="61"/>
      <c r="E23" s="61"/>
      <c r="F23" s="61"/>
      <c r="G23" s="61"/>
      <c r="I23" s="595" t="str">
        <f ca="1">IF(ROW(I23)-ROW(L$5)&gt;MAX(RRE!$V$13:$V$24),"",INDEX(RRE!$J$13:$J$24,MATCH(ROW(I23)-ROW(I$5),RRE!$V$13:$V$24,0)))</f>
        <v/>
      </c>
      <c r="J23" s="596" t="str">
        <f ca="1">IF(I23="","",SUMIF(RRE!$J$13:$J$24,OFÍCIO!$I23,RRE!$L$13:$L$24))</f>
        <v/>
      </c>
      <c r="K23" s="596" t="str">
        <f ca="1">IF(J23="","",SUMIF(RRE!$J$13:$J$24,OFÍCIO!$I23,RRE!$N$13:$N$24))</f>
        <v/>
      </c>
      <c r="L23" s="597" t="str">
        <f ca="1">IF(K23="","",SUMIF(RRE!$J$13:$J$24,OFÍCIO!$I23,RRE!$O$13:$O$24))</f>
        <v/>
      </c>
    </row>
    <row r="24" spans="2:12" ht="12.75" customHeight="1">
      <c r="B24" s="825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825"/>
      <c r="D24" s="825"/>
      <c r="E24" s="825"/>
      <c r="F24" s="825"/>
      <c r="G24" s="825"/>
      <c r="I24" s="595" t="str">
        <f ca="1">IF(ROW(I24)-ROW(L$5)&gt;MAX(RRE!$V$13:$V$24),"",INDEX(RRE!$J$13:$J$24,MATCH(ROW(I24)-ROW(I$5),RRE!$V$13:$V$24,0)))</f>
        <v/>
      </c>
      <c r="J24" s="596" t="str">
        <f ca="1">IF(I24="","",SUMIF(RRE!$J$13:$J$24,OFÍCIO!$I24,RRE!$L$13:$L$24))</f>
        <v/>
      </c>
      <c r="K24" s="596" t="str">
        <f ca="1">IF(J24="","",SUMIF(RRE!$J$13:$J$24,OFÍCIO!$I24,RRE!$N$13:$N$24))</f>
        <v/>
      </c>
      <c r="L24" s="597" t="str">
        <f ca="1">IF(K24="","",SUMIF(RRE!$J$13:$J$24,OFÍCIO!$I24,RRE!$O$13:$O$24))</f>
        <v/>
      </c>
    </row>
    <row r="25" spans="2:12">
      <c r="B25" s="825"/>
      <c r="C25" s="825"/>
      <c r="D25" s="825"/>
      <c r="E25" s="825"/>
      <c r="F25" s="825"/>
      <c r="G25" s="825"/>
      <c r="I25" s="595" t="str">
        <f ca="1">IF(ROW(I25)-ROW(L$5)&gt;MAX(RRE!$V$13:$V$24),"",INDEX(RRE!$J$13:$J$24,MATCH(ROW(I25)-ROW(I$5),RRE!$V$13:$V$24,0)))</f>
        <v/>
      </c>
      <c r="J25" s="596" t="str">
        <f ca="1">IF(I25="","",SUMIF(RRE!$J$13:$J$24,OFÍCIO!$I25,RRE!$L$13:$L$24))</f>
        <v/>
      </c>
      <c r="K25" s="596" t="str">
        <f ca="1">IF(J25="","",SUMIF(RRE!$J$13:$J$24,OFÍCIO!$I25,RRE!$N$13:$N$24))</f>
        <v/>
      </c>
      <c r="L25" s="597" t="str">
        <f ca="1">IF(K25="","",SUMIF(RRE!$J$13:$J$24,OFÍCIO!$I25,RRE!$O$13:$O$24))</f>
        <v/>
      </c>
    </row>
    <row r="26" spans="2:12">
      <c r="B26" s="825"/>
      <c r="C26" s="825"/>
      <c r="D26" s="825"/>
      <c r="E26" s="825"/>
      <c r="F26" s="825"/>
      <c r="G26" s="825"/>
      <c r="I26" s="595" t="str">
        <f ca="1">IF(ROW(I26)-ROW(L$5)&gt;MAX(RRE!$V$13:$V$24),"",INDEX(RRE!$J$13:$J$24,MATCH(ROW(I26)-ROW(I$5),RRE!$V$13:$V$24,0)))</f>
        <v/>
      </c>
      <c r="J26" s="596" t="str">
        <f ca="1">IF(I26="","",SUMIF(RRE!$J$13:$J$24,OFÍCIO!$I26,RRE!$L$13:$L$24))</f>
        <v/>
      </c>
      <c r="K26" s="596" t="str">
        <f ca="1">IF(J26="","",SUMIF(RRE!$J$13:$J$24,OFÍCIO!$I26,RRE!$N$13:$N$24))</f>
        <v/>
      </c>
      <c r="L26" s="597" t="str">
        <f ca="1">IF(K26="","",SUMIF(RRE!$J$13:$J$24,OFÍCIO!$I26,RRE!$O$13:$O$24))</f>
        <v/>
      </c>
    </row>
    <row r="27" spans="2:12">
      <c r="B27" s="61"/>
      <c r="C27" s="61"/>
      <c r="D27" s="61"/>
      <c r="E27" s="61"/>
      <c r="F27" s="61"/>
      <c r="G27" s="61"/>
      <c r="I27" s="595" t="str">
        <f ca="1">IF(ROW(I27)-ROW(L$5)&gt;MAX(RRE!$V$13:$V$24),"",INDEX(RRE!$J$13:$J$24,MATCH(ROW(I27)-ROW(I$5),RRE!$V$13:$V$24,0)))</f>
        <v/>
      </c>
      <c r="J27" s="596" t="str">
        <f ca="1">IF(I27="","",SUMIF(RRE!$J$13:$J$24,OFÍCIO!$I27,RRE!$L$13:$L$24))</f>
        <v/>
      </c>
      <c r="K27" s="596" t="str">
        <f ca="1">IF(J27="","",SUMIF(RRE!$J$13:$J$24,OFÍCIO!$I27,RRE!$N$13:$N$24))</f>
        <v/>
      </c>
      <c r="L27" s="597" t="str">
        <f ca="1">IF(K27="","",SUMIF(RRE!$J$13:$J$24,OFÍCIO!$I27,RRE!$O$13:$O$24))</f>
        <v/>
      </c>
    </row>
    <row r="28" spans="2:12" ht="12.75" customHeight="1">
      <c r="B28" s="826"/>
      <c r="C28" s="826"/>
      <c r="D28" s="832" t="s">
        <v>395</v>
      </c>
      <c r="E28" s="832" t="str">
        <f ca="1">"Evolução da "&amp;RRE.Numero&amp;"ª Medição"</f>
        <v>Evolução da 1ª Medição</v>
      </c>
      <c r="F28" s="833" t="s">
        <v>396</v>
      </c>
      <c r="G28" s="833"/>
      <c r="I28" s="595" t="str">
        <f ca="1">IF(ROW(I28)-ROW(L$5)&gt;MAX(RRE!$V$13:$V$24),"",INDEX(RRE!$J$13:$J$24,MATCH(ROW(I28)-ROW(I$5),RRE!$V$13:$V$24,0)))</f>
        <v/>
      </c>
      <c r="J28" s="596" t="str">
        <f ca="1">IF(I28="","",SUMIF(RRE!$J$13:$J$24,OFÍCIO!$I28,RRE!$L$13:$L$24))</f>
        <v/>
      </c>
      <c r="K28" s="596" t="str">
        <f ca="1">IF(J28="","",SUMIF(RRE!$J$13:$J$24,OFÍCIO!$I28,RRE!$N$13:$N$24))</f>
        <v/>
      </c>
      <c r="L28" s="597" t="str">
        <f ca="1">IF(K28="","",SUMIF(RRE!$J$13:$J$24,OFÍCIO!$I28,RRE!$O$13:$O$24))</f>
        <v/>
      </c>
    </row>
    <row r="29" spans="2:12">
      <c r="B29" s="826"/>
      <c r="C29" s="826"/>
      <c r="D29" s="832"/>
      <c r="E29" s="832"/>
      <c r="F29" s="833"/>
      <c r="G29" s="833"/>
      <c r="I29" s="595" t="str">
        <f ca="1">IF(ROW(I29)-ROW(L$5)&gt;MAX(RRE!$V$13:$V$24),"",INDEX(RRE!$J$13:$J$24,MATCH(ROW(I29)-ROW(I$5),RRE!$V$13:$V$24,0)))</f>
        <v/>
      </c>
      <c r="J29" s="596" t="str">
        <f ca="1">IF(I29="","",SUMIF(RRE!$J$13:$J$24,OFÍCIO!$I29,RRE!$L$13:$L$24))</f>
        <v/>
      </c>
      <c r="K29" s="596" t="str">
        <f ca="1">IF(J29="","",SUMIF(RRE!$J$13:$J$24,OFÍCIO!$I29,RRE!$N$13:$N$24))</f>
        <v/>
      </c>
      <c r="L29" s="597" t="str">
        <f ca="1">IF(K29="","",SUMIF(RRE!$J$13:$J$24,OFÍCIO!$I29,RRE!$O$13:$O$24))</f>
        <v/>
      </c>
    </row>
    <row r="30" spans="2:12">
      <c r="B30" s="834" t="str">
        <f>IF(import.recurso="FGTS","Financiamento:","Repasse:")</f>
        <v>Repasse:</v>
      </c>
      <c r="C30" s="834"/>
      <c r="D30" s="516">
        <f ca="1">RRE!L25</f>
        <v>960019</v>
      </c>
      <c r="E30" s="516">
        <f ca="1">RRE!N25</f>
        <v>0</v>
      </c>
      <c r="F30" s="835">
        <f ca="1">RRE!O25</f>
        <v>0</v>
      </c>
      <c r="G30" s="835"/>
      <c r="I30" s="595" t="str">
        <f ca="1">IF(ROW(I30)-ROW(L$5)&gt;MAX(RRE!$V$13:$V$24),"",INDEX(RRE!$J$13:$J$24,MATCH(ROW(I30)-ROW(I$5),RRE!$V$13:$V$24,0)))</f>
        <v/>
      </c>
      <c r="J30" s="596" t="str">
        <f ca="1">IF(I30="","",SUMIF(RRE!$J$13:$J$24,OFÍCIO!$I30,RRE!$L$13:$L$24))</f>
        <v/>
      </c>
      <c r="K30" s="596" t="str">
        <f ca="1">IF(J30="","",SUMIF(RRE!$J$13:$J$24,OFÍCIO!$I30,RRE!$N$13:$N$24))</f>
        <v/>
      </c>
      <c r="L30" s="597" t="str">
        <f ca="1">IF(K30="","",SUMIF(RRE!$J$13:$J$24,OFÍCIO!$I30,RRE!$O$13:$O$24))</f>
        <v/>
      </c>
    </row>
    <row r="31" spans="2:12">
      <c r="B31" s="834" t="s">
        <v>397</v>
      </c>
      <c r="C31" s="834"/>
      <c r="D31" s="516">
        <f ca="1">RRE!L26</f>
        <v>88074.8</v>
      </c>
      <c r="E31" s="516">
        <f ca="1">RRE!N26</f>
        <v>0</v>
      </c>
      <c r="F31" s="835">
        <f ca="1">RRE!O26</f>
        <v>0</v>
      </c>
      <c r="G31" s="835"/>
      <c r="I31" s="595" t="str">
        <f ca="1">IF(ROW(I31)-ROW(L$5)&gt;MAX(RRE!$V$13:$V$24),"",INDEX(RRE!$J$13:$J$24,MATCH(ROW(I31)-ROW(I$5),RRE!$V$13:$V$24,0)))</f>
        <v/>
      </c>
      <c r="J31" s="596" t="str">
        <f ca="1">IF(I31="","",SUMIF(RRE!$J$13:$J$24,OFÍCIO!$I31,RRE!$L$13:$L$24))</f>
        <v/>
      </c>
      <c r="K31" s="596" t="str">
        <f ca="1">IF(J31="","",SUMIF(RRE!$J$13:$J$24,OFÍCIO!$I31,RRE!$N$13:$N$24))</f>
        <v/>
      </c>
      <c r="L31" s="597" t="str">
        <f ca="1">IF(K31="","",SUMIF(RRE!$J$13:$J$24,OFÍCIO!$I31,RRE!$O$13:$O$24))</f>
        <v/>
      </c>
    </row>
    <row r="32" spans="2:12">
      <c r="B32" s="834" t="s">
        <v>285</v>
      </c>
      <c r="C32" s="834"/>
      <c r="D32" s="516">
        <f ca="1">RRE!L27</f>
        <v>0</v>
      </c>
      <c r="E32" s="516">
        <f ca="1">RRE!N27</f>
        <v>0</v>
      </c>
      <c r="F32" s="835">
        <f ca="1">RRE!O27</f>
        <v>0</v>
      </c>
      <c r="G32" s="835"/>
      <c r="I32" s="595" t="str">
        <f ca="1">IF(ROW(I32)-ROW(L$5)&gt;MAX(RRE!$V$13:$V$24),"",INDEX(RRE!$J$13:$J$24,MATCH(ROW(I32)-ROW(I$5),RRE!$V$13:$V$24,0)))</f>
        <v/>
      </c>
      <c r="J32" s="596" t="str">
        <f ca="1">IF(I32="","",SUMIF(RRE!$J$13:$J$24,OFÍCIO!$I32,RRE!$L$13:$L$24))</f>
        <v/>
      </c>
      <c r="K32" s="596" t="str">
        <f ca="1">IF(J32="","",SUMIF(RRE!$J$13:$J$24,OFÍCIO!$I32,RRE!$N$13:$N$24))</f>
        <v/>
      </c>
      <c r="L32" s="597" t="str">
        <f ca="1">IF(K32="","",SUMIF(RRE!$J$13:$J$24,OFÍCIO!$I32,RRE!$O$13:$O$24))</f>
        <v/>
      </c>
    </row>
    <row r="33" spans="2:12">
      <c r="B33" s="834" t="s">
        <v>286</v>
      </c>
      <c r="C33" s="834"/>
      <c r="D33" s="516">
        <f ca="1">RRE!L28</f>
        <v>1048093.8</v>
      </c>
      <c r="E33" s="516">
        <f ca="1">RRE!N28</f>
        <v>0</v>
      </c>
      <c r="F33" s="835">
        <f ca="1">RRE!O28</f>
        <v>0</v>
      </c>
      <c r="G33" s="835"/>
      <c r="I33" s="595" t="str">
        <f ca="1">IF(ROW(I33)-ROW(L$5)&gt;MAX(RRE!$V$13:$V$24),"",INDEX(RRE!$J$13:$J$24,MATCH(ROW(I33)-ROW(I$5),RRE!$V$13:$V$24,0)))</f>
        <v/>
      </c>
      <c r="J33" s="596" t="str">
        <f ca="1">IF(I33="","",SUMIF(RRE!$J$13:$J$24,OFÍCIO!$I33,RRE!$L$13:$L$24))</f>
        <v/>
      </c>
      <c r="K33" s="596" t="str">
        <f ca="1">IF(J33="","",SUMIF(RRE!$J$13:$J$24,OFÍCIO!$I33,RRE!$N$13:$N$24))</f>
        <v/>
      </c>
      <c r="L33" s="597" t="str">
        <f ca="1">IF(K33="","",SUMIF(RRE!$J$13:$J$24,OFÍCIO!$I33,RRE!$O$13:$O$24))</f>
        <v/>
      </c>
    </row>
    <row r="34" spans="2:12">
      <c r="B34" s="838" t="s">
        <v>398</v>
      </c>
      <c r="C34" s="838"/>
      <c r="D34" s="517" t="s">
        <v>166</v>
      </c>
      <c r="E34" s="518">
        <f ca="1">RRE!$N$28/(RRE!$L$28+10^-12)</f>
        <v>0</v>
      </c>
      <c r="F34" s="839">
        <f ca="1">RRE!P24</f>
        <v>0</v>
      </c>
      <c r="G34" s="839"/>
      <c r="I34" s="595" t="str">
        <f ca="1">IF(ROW(I34)-ROW(L$5)&gt;MAX(RRE!$V$13:$V$24),"",INDEX(RRE!$J$13:$J$24,MATCH(ROW(I34)-ROW(I$5),RRE!$V$13:$V$24,0)))</f>
        <v/>
      </c>
      <c r="J34" s="596" t="str">
        <f ca="1">IF(I34="","",SUMIF(RRE!$J$13:$J$24,OFÍCIO!$I34,RRE!$L$13:$L$24))</f>
        <v/>
      </c>
      <c r="K34" s="596" t="str">
        <f ca="1">IF(J34="","",SUMIF(RRE!$J$13:$J$24,OFÍCIO!$I34,RRE!$N$13:$N$24))</f>
        <v/>
      </c>
      <c r="L34" s="597" t="str">
        <f ca="1">IF(K34="","",SUMIF(RRE!$J$13:$J$24,OFÍCIO!$I34,RRE!$O$13:$O$24))</f>
        <v/>
      </c>
    </row>
    <row r="35" spans="2:12">
      <c r="B35" s="225"/>
      <c r="C35" s="61"/>
      <c r="D35" s="61"/>
      <c r="E35" s="61"/>
      <c r="F35" s="61"/>
      <c r="G35" s="61"/>
      <c r="I35" s="595" t="str">
        <f ca="1">IF(ROW(I35)-ROW(L$5)&gt;MAX(RRE!$V$13:$V$24),"",INDEX(RRE!$J$13:$J$24,MATCH(ROW(I35)-ROW(I$5),RRE!$V$13:$V$24,0)))</f>
        <v/>
      </c>
      <c r="J35" s="596" t="str">
        <f ca="1">IF(I35="","",SUMIF(RRE!$J$13:$J$24,OFÍCIO!$I35,RRE!$L$13:$L$24))</f>
        <v/>
      </c>
      <c r="K35" s="596" t="str">
        <f ca="1">IF(J35="","",SUMIF(RRE!$J$13:$J$24,OFÍCIO!$I35,RRE!$N$13:$N$24))</f>
        <v/>
      </c>
      <c r="L35" s="597" t="str">
        <f ca="1">IF(K35="","",SUMIF(RRE!$J$13:$J$24,OFÍCIO!$I35,RRE!$O$13:$O$24))</f>
        <v/>
      </c>
    </row>
    <row r="36" spans="2:12">
      <c r="B36" s="225"/>
      <c r="C36" s="225"/>
      <c r="D36" s="225"/>
      <c r="E36" s="225"/>
      <c r="F36" s="225"/>
      <c r="G36" s="61"/>
      <c r="I36" s="595" t="str">
        <f ca="1">IF(ROW(I36)-ROW(L$5)&gt;MAX(RRE!$V$13:$V$24),"",INDEX(RRE!$J$13:$J$24,MATCH(ROW(I36)-ROW(I$5),RRE!$V$13:$V$24,0)))</f>
        <v/>
      </c>
      <c r="J36" s="596" t="str">
        <f ca="1">IF(I36="","",SUMIF(RRE!$J$13:$J$24,OFÍCIO!$I36,RRE!$L$13:$L$24))</f>
        <v/>
      </c>
      <c r="K36" s="596" t="str">
        <f ca="1">IF(J36="","",SUMIF(RRE!$J$13:$J$24,OFÍCIO!$I36,RRE!$N$13:$N$24))</f>
        <v/>
      </c>
      <c r="L36" s="597" t="str">
        <f ca="1">IF(K36="","",SUMIF(RRE!$J$13:$J$24,OFÍCIO!$I36,RRE!$O$13:$O$24))</f>
        <v/>
      </c>
    </row>
    <row r="37" spans="2:12">
      <c r="B37" s="840" t="str">
        <f ca="1">IF(RRE.Numero&gt;1,"2. Encaminhamos ainda a documentação relativa à prestação de contas da etapa físico-financeira anterior.","")</f>
        <v/>
      </c>
      <c r="C37" s="840"/>
      <c r="D37" s="840"/>
      <c r="E37" s="840"/>
      <c r="F37" s="840"/>
      <c r="G37" s="840"/>
      <c r="I37" s="595" t="str">
        <f ca="1">IF(ROW(I37)-ROW(L$5)&gt;MAX(RRE!$V$13:$V$24),"",INDEX(RRE!$J$13:$J$24,MATCH(ROW(I37)-ROW(I$5),RRE!$V$13:$V$24,0)))</f>
        <v/>
      </c>
      <c r="J37" s="596" t="str">
        <f ca="1">IF(I37="","",SUMIF(RRE!$J$13:$J$24,OFÍCIO!$I37,RRE!$L$13:$L$24))</f>
        <v/>
      </c>
      <c r="K37" s="596" t="str">
        <f ca="1">IF(J37="","",SUMIF(RRE!$J$13:$J$24,OFÍCIO!$I37,RRE!$N$13:$N$24))</f>
        <v/>
      </c>
      <c r="L37" s="597" t="str">
        <f ca="1">IF(K37="","",SUMIF(RRE!$J$13:$J$24,OFÍCIO!$I37,RRE!$O$13:$O$24))</f>
        <v/>
      </c>
    </row>
    <row r="38" spans="2:12">
      <c r="B38" s="840"/>
      <c r="C38" s="840"/>
      <c r="D38" s="840"/>
      <c r="E38" s="840"/>
      <c r="F38" s="840"/>
      <c r="G38" s="840"/>
      <c r="I38" s="595" t="str">
        <f ca="1">IF(ROW(I38)-ROW(L$5)&gt;MAX(RRE!$V$13:$V$24),"",INDEX(RRE!$J$13:$J$24,MATCH(ROW(I38)-ROW(I$5),RRE!$V$13:$V$24,0)))</f>
        <v/>
      </c>
      <c r="J38" s="596" t="str">
        <f ca="1">IF(I38="","",SUMIF(RRE!$J$13:$J$24,OFÍCIO!$I38,RRE!$L$13:$L$24))</f>
        <v/>
      </c>
      <c r="K38" s="596" t="str">
        <f ca="1">IF(J38="","",SUMIF(RRE!$J$13:$J$24,OFÍCIO!$I38,RRE!$N$13:$N$24))</f>
        <v/>
      </c>
      <c r="L38" s="597" t="str">
        <f ca="1">IF(K38="","",SUMIF(RRE!$J$13:$J$24,OFÍCIO!$I38,RRE!$O$13:$O$24))</f>
        <v/>
      </c>
    </row>
    <row r="39" spans="2:12" ht="12.75" customHeight="1">
      <c r="B39" s="840" t="str">
        <f ca="1">IF(AND(RRE.Numero&gt;1,NOT(ISBLANK(Import.TransfereGOV))),"3. Na oportunidade, informamos que a execução financeira da parcela anterior está devidamente comprovada no TransfereGOV.","")</f>
        <v/>
      </c>
      <c r="C39" s="840"/>
      <c r="D39" s="840"/>
      <c r="E39" s="840"/>
      <c r="F39" s="840"/>
      <c r="G39" s="840"/>
      <c r="I39" s="595" t="str">
        <f ca="1">IF(ROW(I39)-ROW(L$5)&gt;MAX(RRE!$V$13:$V$24),"",INDEX(RRE!$J$13:$J$24,MATCH(ROW(I39)-ROW(I$5),RRE!$V$13:$V$24,0)))</f>
        <v/>
      </c>
      <c r="J39" s="596" t="str">
        <f ca="1">IF(I39="","",SUMIF(RRE!$J$13:$J$24,OFÍCIO!$I39,RRE!$L$13:$L$24))</f>
        <v/>
      </c>
      <c r="K39" s="596" t="str">
        <f ca="1">IF(J39="","",SUMIF(RRE!$J$13:$J$24,OFÍCIO!$I39,RRE!$N$13:$N$24))</f>
        <v/>
      </c>
      <c r="L39" s="597" t="str">
        <f ca="1">IF(K39="","",SUMIF(RRE!$J$13:$J$24,OFÍCIO!$I39,RRE!$O$13:$O$24))</f>
        <v/>
      </c>
    </row>
    <row r="40" spans="2:12">
      <c r="B40" s="840"/>
      <c r="C40" s="840"/>
      <c r="D40" s="840"/>
      <c r="E40" s="840"/>
      <c r="F40" s="840"/>
      <c r="G40" s="840"/>
      <c r="I40" s="595" t="str">
        <f ca="1">IF(ROW(I40)-ROW(L$5)&gt;MAX(RRE!$V$13:$V$24),"",INDEX(RRE!$J$13:$J$24,MATCH(ROW(I40)-ROW(I$5),RRE!$V$13:$V$24,0)))</f>
        <v/>
      </c>
      <c r="J40" s="596" t="str">
        <f ca="1">IF(I40="","",SUMIF(RRE!$J$13:$J$24,OFÍCIO!$I40,RRE!$L$13:$L$24))</f>
        <v/>
      </c>
      <c r="K40" s="596" t="str">
        <f ca="1">IF(J40="","",SUMIF(RRE!$J$13:$J$24,OFÍCIO!$I40,RRE!$N$13:$N$24))</f>
        <v/>
      </c>
      <c r="L40" s="597" t="str">
        <f ca="1">IF(K40="","",SUMIF(RRE!$J$13:$J$24,OFÍCIO!$I40,RRE!$O$13:$O$24))</f>
        <v/>
      </c>
    </row>
    <row r="41" spans="2:12">
      <c r="B41" s="519"/>
      <c r="C41" s="513"/>
      <c r="D41" s="513"/>
      <c r="E41" s="513"/>
      <c r="F41" s="513"/>
      <c r="G41" s="513"/>
      <c r="I41" s="595" t="str">
        <f ca="1">IF(ROW(I41)-ROW(L$5)&gt;MAX(RRE!$V$13:$V$24),"",INDEX(RRE!$J$13:$J$24,MATCH(ROW(I41)-ROW(I$5),RRE!$V$13:$V$24,0)))</f>
        <v/>
      </c>
      <c r="J41" s="596" t="str">
        <f ca="1">IF(I41="","",SUMIF(RRE!$J$13:$J$24,OFÍCIO!$I41,RRE!$L$13:$L$24))</f>
        <v/>
      </c>
      <c r="K41" s="596" t="str">
        <f ca="1">IF(J41="","",SUMIF(RRE!$J$13:$J$24,OFÍCIO!$I41,RRE!$N$13:$N$24))</f>
        <v/>
      </c>
      <c r="L41" s="597" t="str">
        <f ca="1">IF(K41="","",SUMIF(RRE!$J$13:$J$24,OFÍCIO!$I41,RRE!$O$13:$O$24))</f>
        <v/>
      </c>
    </row>
    <row r="42" spans="2:12" ht="12.75" customHeight="1">
      <c r="B42" s="840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840"/>
      <c r="D42" s="840"/>
      <c r="E42" s="840"/>
      <c r="F42" s="840"/>
      <c r="G42" s="840"/>
      <c r="I42" s="595" t="str">
        <f ca="1">IF(ROW(I42)-ROW(L$5)&gt;MAX(RRE!$V$13:$V$24),"",INDEX(RRE!$J$13:$J$24,MATCH(ROW(I42)-ROW(I$5),RRE!$V$13:$V$24,0)))</f>
        <v/>
      </c>
      <c r="J42" s="596" t="str">
        <f ca="1">IF(I42="","",SUMIF(RRE!$J$13:$J$24,OFÍCIO!$I42,RRE!$L$13:$L$24))</f>
        <v/>
      </c>
      <c r="K42" s="596" t="str">
        <f ca="1">IF(J42="","",SUMIF(RRE!$J$13:$J$24,OFÍCIO!$I42,RRE!$N$13:$N$24))</f>
        <v/>
      </c>
      <c r="L42" s="597" t="str">
        <f ca="1">IF(K42="","",SUMIF(RRE!$J$13:$J$24,OFÍCIO!$I42,RRE!$O$13:$O$24))</f>
        <v/>
      </c>
    </row>
    <row r="43" spans="2:12">
      <c r="B43" s="840"/>
      <c r="C43" s="840"/>
      <c r="D43" s="840"/>
      <c r="E43" s="840"/>
      <c r="F43" s="840"/>
      <c r="G43" s="840"/>
      <c r="I43" s="595" t="str">
        <f ca="1">IF(ROW(I43)-ROW(L$5)&gt;MAX(RRE!$V$13:$V$24),"",INDEX(RRE!$J$13:$J$24,MATCH(ROW(I43)-ROW(I$5),RRE!$V$13:$V$24,0)))</f>
        <v/>
      </c>
      <c r="J43" s="596" t="str">
        <f ca="1">IF(I43="","",SUMIF(RRE!$J$13:$J$24,OFÍCIO!$I43,RRE!$L$13:$L$24))</f>
        <v/>
      </c>
      <c r="K43" s="596" t="str">
        <f ca="1">IF(J43="","",SUMIF(RRE!$J$13:$J$24,OFÍCIO!$I43,RRE!$N$13:$N$24))</f>
        <v/>
      </c>
      <c r="L43" s="597" t="str">
        <f ca="1">IF(K43="","",SUMIF(RRE!$J$13:$J$24,OFÍCIO!$I43,RRE!$O$13:$O$24))</f>
        <v/>
      </c>
    </row>
    <row r="44" spans="2:12">
      <c r="B44" s="840"/>
      <c r="C44" s="840"/>
      <c r="D44" s="840"/>
      <c r="E44" s="840"/>
      <c r="F44" s="840"/>
      <c r="G44" s="840"/>
      <c r="I44" s="595" t="str">
        <f ca="1">IF(ROW(I44)-ROW(L$5)&gt;MAX(RRE!$V$13:$V$24),"",INDEX(RRE!$J$13:$J$24,MATCH(ROW(I44)-ROW(I$5),RRE!$V$13:$V$24,0)))</f>
        <v/>
      </c>
      <c r="J44" s="596" t="str">
        <f ca="1">IF(I44="","",SUMIF(RRE!$J$13:$J$24,OFÍCIO!$I44,RRE!$L$13:$L$24))</f>
        <v/>
      </c>
      <c r="K44" s="596" t="str">
        <f ca="1">IF(J44="","",SUMIF(RRE!$J$13:$J$24,OFÍCIO!$I44,RRE!$N$13:$N$24))</f>
        <v/>
      </c>
      <c r="L44" s="597" t="str">
        <f ca="1">IF(K44="","",SUMIF(RRE!$J$13:$J$24,OFÍCIO!$I44,RRE!$O$13:$O$24))</f>
        <v/>
      </c>
    </row>
    <row r="45" spans="2:12">
      <c r="B45" s="840"/>
      <c r="C45" s="840"/>
      <c r="D45" s="840"/>
      <c r="E45" s="840"/>
      <c r="F45" s="840"/>
      <c r="G45" s="840"/>
      <c r="I45" s="595" t="str">
        <f ca="1">IF(ROW(I45)-ROW(L$5)&gt;MAX(RRE!$V$13:$V$24),"",INDEX(RRE!$J$13:$J$24,MATCH(ROW(I45)-ROW(I$5),RRE!$V$13:$V$24,0)))</f>
        <v/>
      </c>
      <c r="J45" s="596" t="str">
        <f ca="1">IF(I45="","",SUMIF(RRE!$J$13:$J$24,OFÍCIO!$I45,RRE!$L$13:$L$24))</f>
        <v/>
      </c>
      <c r="K45" s="596" t="str">
        <f ca="1">IF(J45="","",SUMIF(RRE!$J$13:$J$24,OFÍCIO!$I45,RRE!$N$13:$N$24))</f>
        <v/>
      </c>
      <c r="L45" s="597" t="str">
        <f ca="1">IF(K45="","",SUMIF(RRE!$J$13:$J$24,OFÍCIO!$I45,RRE!$O$13:$O$24))</f>
        <v/>
      </c>
    </row>
    <row r="46" spans="2:12" ht="13.8" thickBot="1">
      <c r="B46" s="840"/>
      <c r="C46" s="840"/>
      <c r="D46" s="840"/>
      <c r="E46" s="840"/>
      <c r="F46" s="840"/>
      <c r="G46" s="840"/>
      <c r="I46" s="598" t="str">
        <f ca="1">IF(ROW(I46)-ROW(L$5)&gt;MAX(RRE!$V$13:$V$24),"",INDEX(RRE!$J$13:$J$24,MATCH(ROW(I46)-ROW(I$5),RRE!$V$13:$V$24,0)))</f>
        <v/>
      </c>
      <c r="J46" s="599" t="str">
        <f ca="1">IF(I46="","",SUMIF(RRE!$J$13:$J$24,OFÍCIO!$I46,RRE!$L$13:$L$24))</f>
        <v/>
      </c>
      <c r="K46" s="599" t="str">
        <f ca="1">IF(J46="","",SUMIF(RRE!$J$13:$J$24,OFÍCIO!$I46,RRE!$N$13:$N$24))</f>
        <v/>
      </c>
      <c r="L46" s="600" t="str">
        <f ca="1">IF(K46="","",SUMIF(RRE!$J$13:$J$24,OFÍCIO!$I46,RRE!$O$13:$O$24))</f>
        <v/>
      </c>
    </row>
    <row r="47" spans="2:12">
      <c r="B47" s="16"/>
      <c r="C47" s="16"/>
      <c r="D47" s="16"/>
      <c r="E47" s="16"/>
      <c r="F47" s="16"/>
      <c r="G47" s="357"/>
    </row>
    <row r="48" spans="2:12">
      <c r="B48" s="16"/>
      <c r="C48" s="16"/>
      <c r="D48" s="16"/>
      <c r="E48" s="16"/>
      <c r="F48" s="16"/>
      <c r="G48" s="357"/>
    </row>
    <row r="49" spans="2:7">
      <c r="B49" s="61" t="s">
        <v>399</v>
      </c>
      <c r="C49" s="16"/>
      <c r="D49" s="16"/>
      <c r="E49" s="16"/>
      <c r="F49" s="16"/>
      <c r="G49" s="357"/>
    </row>
    <row r="50" spans="2:7">
      <c r="B50" s="357"/>
      <c r="C50" s="357"/>
      <c r="D50" s="357"/>
      <c r="E50" s="357"/>
      <c r="F50" s="357"/>
      <c r="G50" s="357"/>
    </row>
    <row r="51" spans="2:7">
      <c r="B51" s="505"/>
      <c r="C51" s="61"/>
      <c r="D51" s="61"/>
      <c r="E51" s="61"/>
      <c r="F51" s="61"/>
      <c r="G51" s="61"/>
    </row>
    <row r="52" spans="2:7">
      <c r="B52" s="61"/>
      <c r="C52" s="61"/>
      <c r="D52" s="61"/>
      <c r="E52" s="61"/>
      <c r="F52" s="61"/>
      <c r="G52" s="61"/>
    </row>
    <row r="53" spans="2:7">
      <c r="B53" s="520"/>
      <c r="C53" s="520"/>
      <c r="D53" s="520"/>
      <c r="E53" s="521"/>
      <c r="F53" s="521"/>
      <c r="G53" s="521"/>
    </row>
    <row r="54" spans="2:7">
      <c r="B54" s="836" t="str">
        <f>DADOS!$F$28</f>
        <v>JOSÉ CARLOS NEVES SILVA</v>
      </c>
      <c r="C54" s="836"/>
      <c r="D54" s="836"/>
      <c r="E54" s="836"/>
      <c r="F54" s="836"/>
      <c r="G54" s="836"/>
    </row>
    <row r="55" spans="2:7">
      <c r="B55" s="836" t="str">
        <f>DADOS!$F$29</f>
        <v>PREFEITO</v>
      </c>
      <c r="C55" s="836"/>
      <c r="D55" s="836"/>
      <c r="E55" s="836"/>
      <c r="F55" s="836"/>
      <c r="G55" s="836"/>
    </row>
    <row r="56" spans="2:7">
      <c r="B56" s="837"/>
      <c r="C56" s="837"/>
      <c r="D56" s="837"/>
      <c r="E56" s="837"/>
      <c r="F56" s="837"/>
      <c r="G56" s="837"/>
    </row>
  </sheetData>
  <sheetProtection sheet="1" objects="1" scenarios="1" autoFilter="0"/>
  <mergeCells count="34">
    <mergeCell ref="B55:G56"/>
    <mergeCell ref="B33:C33"/>
    <mergeCell ref="F33:G33"/>
    <mergeCell ref="B34:C34"/>
    <mergeCell ref="F34:G34"/>
    <mergeCell ref="B37:G38"/>
    <mergeCell ref="B39:G40"/>
    <mergeCell ref="B42:G46"/>
    <mergeCell ref="B31:C31"/>
    <mergeCell ref="F31:G31"/>
    <mergeCell ref="B30:C30"/>
    <mergeCell ref="F30:G30"/>
    <mergeCell ref="B54:G54"/>
    <mergeCell ref="B32:C32"/>
    <mergeCell ref="F32:G32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L4:L5"/>
    <mergeCell ref="C6:D6"/>
    <mergeCell ref="B8:G8"/>
    <mergeCell ref="B10:D10"/>
    <mergeCell ref="B1:C4"/>
    <mergeCell ref="I4:I5"/>
    <mergeCell ref="J4:J5"/>
    <mergeCell ref="K4:K5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2">
    <pageSetUpPr fitToPage="1"/>
  </sheetPr>
  <dimension ref="E1:AR61"/>
  <sheetViews>
    <sheetView showGridLines="0" zoomScale="90" zoomScaleNormal="90" workbookViewId="0">
      <pane ySplit="2" topLeftCell="A3" activePane="bottomLeft" state="frozen"/>
      <selection pane="bottomLeft" activeCell="F20" sqref="F20"/>
    </sheetView>
  </sheetViews>
  <sheetFormatPr defaultRowHeight="13.2"/>
  <cols>
    <col min="5" max="5" width="42.6640625" style="8" customWidth="1"/>
    <col min="6" max="6" width="53.33203125" style="8" customWidth="1"/>
    <col min="10" max="10" width="14.33203125" hidden="1" customWidth="1"/>
    <col min="11" max="13" width="0" hidden="1" customWidth="1"/>
    <col min="14" max="14" width="0" style="9" hidden="1" customWidth="1"/>
    <col min="15" max="44" width="0" hidden="1" customWidth="1"/>
  </cols>
  <sheetData>
    <row r="1" spans="5:44" ht="15.75" customHeight="1">
      <c r="E1" s="10" t="s">
        <v>5</v>
      </c>
      <c r="K1" s="11"/>
      <c r="L1" s="672" t="s">
        <v>6</v>
      </c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2"/>
      <c r="Z1" s="672"/>
      <c r="AA1" s="672"/>
      <c r="AB1" s="672"/>
      <c r="AC1" s="672"/>
      <c r="AD1" s="672"/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</row>
    <row r="2" spans="5:44" ht="12.75" customHeight="1">
      <c r="E2" s="10"/>
      <c r="J2" s="12" t="s">
        <v>7</v>
      </c>
      <c r="K2" s="13" t="s">
        <v>8</v>
      </c>
      <c r="L2" s="14">
        <f>COUNTA(K:K)-1</f>
        <v>3</v>
      </c>
      <c r="M2" s="13" t="s">
        <v>9</v>
      </c>
      <c r="N2" s="14">
        <f>COUNTA(M:M)-1</f>
        <v>6</v>
      </c>
      <c r="O2" s="13" t="s">
        <v>10</v>
      </c>
      <c r="P2" s="14">
        <f>COUNTA(O:O)-1</f>
        <v>6</v>
      </c>
      <c r="Q2" s="13" t="s">
        <v>11</v>
      </c>
      <c r="R2" s="14">
        <f>COUNTA(Q:Q)-1</f>
        <v>6</v>
      </c>
      <c r="S2" s="13" t="s">
        <v>12</v>
      </c>
      <c r="T2" s="14">
        <f>COUNTA(S:S)-1</f>
        <v>11</v>
      </c>
      <c r="U2" s="13" t="s">
        <v>13</v>
      </c>
      <c r="V2" s="14">
        <f>COUNTA(U:U)-1</f>
        <v>8</v>
      </c>
      <c r="W2" s="13" t="s">
        <v>14</v>
      </c>
      <c r="X2" s="14">
        <f>COUNTA(W:W)-1</f>
        <v>4</v>
      </c>
      <c r="Y2" s="13" t="s">
        <v>15</v>
      </c>
      <c r="Z2" s="14">
        <f>COUNTA(Y:Y)-1</f>
        <v>6</v>
      </c>
      <c r="AA2" s="13" t="s">
        <v>16</v>
      </c>
      <c r="AB2" s="14">
        <f>COUNTA(AA:AA)-1</f>
        <v>2</v>
      </c>
      <c r="AC2" s="13" t="s">
        <v>17</v>
      </c>
      <c r="AD2" s="14">
        <f>COUNTA(AC:AC)-1</f>
        <v>2</v>
      </c>
      <c r="AE2" s="13" t="s">
        <v>18</v>
      </c>
      <c r="AF2" s="14">
        <f>COUNTA(AE:AE)-1</f>
        <v>2</v>
      </c>
      <c r="AG2" s="13" t="s">
        <v>19</v>
      </c>
      <c r="AH2" s="14">
        <f>COUNTA(AG:AG)-1</f>
        <v>1</v>
      </c>
      <c r="AI2" s="13" t="s">
        <v>20</v>
      </c>
      <c r="AJ2" s="14">
        <f>COUNTA(AI:AI)-1</f>
        <v>1</v>
      </c>
      <c r="AK2" s="13" t="s">
        <v>21</v>
      </c>
      <c r="AL2" s="14">
        <f>COUNTA(AK:AK)-1</f>
        <v>1</v>
      </c>
      <c r="AM2" s="13" t="s">
        <v>22</v>
      </c>
      <c r="AN2" s="14">
        <f>COUNTA(AM:AM)-1</f>
        <v>3</v>
      </c>
      <c r="AO2" s="13" t="s">
        <v>23</v>
      </c>
      <c r="AP2" s="14">
        <f>COUNTA(AO:AO)-1</f>
        <v>1</v>
      </c>
      <c r="AQ2" s="13" t="s">
        <v>24</v>
      </c>
      <c r="AR2" s="14">
        <f>COUNTA(AQ:AQ)-1</f>
        <v>4</v>
      </c>
    </row>
    <row r="3" spans="5:44" ht="14.4">
      <c r="E3" s="671" t="s">
        <v>25</v>
      </c>
      <c r="F3" s="671"/>
      <c r="J3" s="15" t="s">
        <v>8</v>
      </c>
      <c r="K3" s="16" t="s">
        <v>26</v>
      </c>
      <c r="L3" s="17" t="s">
        <v>27</v>
      </c>
      <c r="M3" s="18" t="s">
        <v>28</v>
      </c>
      <c r="N3" s="17" t="s">
        <v>29</v>
      </c>
      <c r="O3" s="16" t="s">
        <v>30</v>
      </c>
      <c r="P3" s="17" t="s">
        <v>29</v>
      </c>
      <c r="Q3" s="19" t="s">
        <v>31</v>
      </c>
      <c r="R3" s="20" t="s">
        <v>32</v>
      </c>
      <c r="S3" s="16" t="s">
        <v>33</v>
      </c>
      <c r="T3" s="20" t="s">
        <v>34</v>
      </c>
      <c r="U3" s="19" t="s">
        <v>35</v>
      </c>
      <c r="V3" s="17" t="s">
        <v>27</v>
      </c>
      <c r="W3" s="16" t="s">
        <v>36</v>
      </c>
      <c r="X3" s="17" t="s">
        <v>27</v>
      </c>
      <c r="Y3" s="16" t="s">
        <v>37</v>
      </c>
      <c r="Z3" s="17" t="s">
        <v>27</v>
      </c>
      <c r="AA3" s="16" t="s">
        <v>38</v>
      </c>
      <c r="AB3" s="17" t="s">
        <v>29</v>
      </c>
      <c r="AC3" s="16" t="s">
        <v>39</v>
      </c>
      <c r="AD3" s="17" t="s">
        <v>29</v>
      </c>
      <c r="AE3" s="16" t="s">
        <v>18</v>
      </c>
      <c r="AF3" s="17" t="s">
        <v>29</v>
      </c>
      <c r="AG3" s="16" t="s">
        <v>19</v>
      </c>
      <c r="AH3" s="17" t="s">
        <v>27</v>
      </c>
      <c r="AI3" s="16" t="s">
        <v>20</v>
      </c>
      <c r="AJ3" s="17" t="s">
        <v>27</v>
      </c>
      <c r="AK3" s="16" t="s">
        <v>21</v>
      </c>
      <c r="AL3" s="17" t="s">
        <v>27</v>
      </c>
      <c r="AM3" s="16" t="s">
        <v>40</v>
      </c>
      <c r="AN3" s="17" t="s">
        <v>27</v>
      </c>
      <c r="AO3" s="16" t="s">
        <v>23</v>
      </c>
      <c r="AP3" s="20" t="s">
        <v>41</v>
      </c>
      <c r="AQ3" s="16" t="s">
        <v>42</v>
      </c>
      <c r="AR3" s="20" t="s">
        <v>43</v>
      </c>
    </row>
    <row r="4" spans="5:44">
      <c r="E4" s="21" t="s">
        <v>44</v>
      </c>
      <c r="F4" s="22" t="s">
        <v>471</v>
      </c>
      <c r="J4" s="15" t="s">
        <v>9</v>
      </c>
      <c r="K4" s="16" t="s">
        <v>45</v>
      </c>
      <c r="L4" s="20" t="s">
        <v>27</v>
      </c>
      <c r="M4" s="16" t="s">
        <v>46</v>
      </c>
      <c r="N4" s="20" t="s">
        <v>29</v>
      </c>
      <c r="O4" s="16" t="s">
        <v>47</v>
      </c>
      <c r="P4" s="17" t="s">
        <v>29</v>
      </c>
      <c r="Q4" s="16" t="s">
        <v>48</v>
      </c>
      <c r="R4" s="17" t="s">
        <v>32</v>
      </c>
      <c r="S4" s="16" t="s">
        <v>49</v>
      </c>
      <c r="T4" s="20" t="s">
        <v>34</v>
      </c>
      <c r="U4" s="19" t="s">
        <v>50</v>
      </c>
      <c r="V4" s="17" t="s">
        <v>32</v>
      </c>
      <c r="W4" s="16" t="s">
        <v>51</v>
      </c>
      <c r="X4" s="20" t="s">
        <v>27</v>
      </c>
      <c r="Y4" s="19" t="s">
        <v>52</v>
      </c>
      <c r="Z4" s="17" t="s">
        <v>53</v>
      </c>
      <c r="AA4" s="16" t="s">
        <v>54</v>
      </c>
      <c r="AB4" s="17" t="s">
        <v>29</v>
      </c>
      <c r="AC4" s="16" t="s">
        <v>55</v>
      </c>
      <c r="AD4" s="17" t="s">
        <v>29</v>
      </c>
      <c r="AE4" s="16" t="s">
        <v>56</v>
      </c>
      <c r="AF4" s="17" t="s">
        <v>29</v>
      </c>
      <c r="AH4" s="20"/>
      <c r="AJ4" s="20"/>
      <c r="AL4" s="20"/>
      <c r="AM4" s="16" t="s">
        <v>57</v>
      </c>
      <c r="AN4" s="17" t="s">
        <v>27</v>
      </c>
      <c r="AQ4" s="16" t="s">
        <v>58</v>
      </c>
      <c r="AR4" s="20" t="s">
        <v>43</v>
      </c>
    </row>
    <row r="5" spans="5:44">
      <c r="E5" s="23" t="s">
        <v>59</v>
      </c>
      <c r="F5" s="661" t="s">
        <v>448</v>
      </c>
      <c r="J5" s="15" t="s">
        <v>10</v>
      </c>
      <c r="K5" s="16" t="s">
        <v>60</v>
      </c>
      <c r="L5" s="20" t="s">
        <v>27</v>
      </c>
      <c r="M5" s="16" t="s">
        <v>61</v>
      </c>
      <c r="N5" s="20" t="s">
        <v>29</v>
      </c>
      <c r="O5" s="16" t="s">
        <v>62</v>
      </c>
      <c r="P5" s="20" t="s">
        <v>32</v>
      </c>
      <c r="Q5" s="16" t="s">
        <v>63</v>
      </c>
      <c r="R5" s="20" t="s">
        <v>32</v>
      </c>
      <c r="S5" s="16" t="s">
        <v>64</v>
      </c>
      <c r="T5" s="20" t="s">
        <v>34</v>
      </c>
      <c r="U5" s="19" t="s">
        <v>65</v>
      </c>
      <c r="V5" s="17" t="s">
        <v>32</v>
      </c>
      <c r="W5" s="16" t="s">
        <v>66</v>
      </c>
      <c r="X5" s="20" t="s">
        <v>32</v>
      </c>
      <c r="Y5" s="16" t="s">
        <v>67</v>
      </c>
      <c r="Z5" s="17" t="s">
        <v>53</v>
      </c>
      <c r="AB5" s="20"/>
      <c r="AD5" s="20"/>
      <c r="AF5" s="20"/>
      <c r="AH5" s="20"/>
      <c r="AJ5" s="20"/>
      <c r="AL5" s="20"/>
      <c r="AM5" s="16" t="s">
        <v>68</v>
      </c>
      <c r="AN5" s="17" t="s">
        <v>27</v>
      </c>
      <c r="AQ5" s="16" t="s">
        <v>69</v>
      </c>
      <c r="AR5" s="20" t="s">
        <v>43</v>
      </c>
    </row>
    <row r="6" spans="5:44">
      <c r="E6" s="23" t="s">
        <v>70</v>
      </c>
      <c r="F6" s="661" t="s">
        <v>449</v>
      </c>
      <c r="J6" s="15" t="s">
        <v>11</v>
      </c>
      <c r="M6" s="16" t="s">
        <v>71</v>
      </c>
      <c r="N6" s="20" t="s">
        <v>29</v>
      </c>
      <c r="O6" s="16" t="s">
        <v>72</v>
      </c>
      <c r="P6" s="20" t="s">
        <v>29</v>
      </c>
      <c r="Q6" s="19" t="s">
        <v>73</v>
      </c>
      <c r="R6" s="20" t="s">
        <v>29</v>
      </c>
      <c r="S6" s="16" t="s">
        <v>74</v>
      </c>
      <c r="T6" s="20" t="s">
        <v>32</v>
      </c>
      <c r="U6" s="16" t="s">
        <v>75</v>
      </c>
      <c r="V6" s="20" t="s">
        <v>32</v>
      </c>
      <c r="W6" s="16" t="s">
        <v>76</v>
      </c>
      <c r="X6" s="20" t="s">
        <v>32</v>
      </c>
      <c r="Y6" s="19" t="s">
        <v>77</v>
      </c>
      <c r="Z6" s="17" t="s">
        <v>27</v>
      </c>
      <c r="AQ6" s="16" t="s">
        <v>78</v>
      </c>
      <c r="AR6" s="20" t="s">
        <v>43</v>
      </c>
    </row>
    <row r="7" spans="5:44">
      <c r="E7" s="25" t="s">
        <v>79</v>
      </c>
      <c r="F7" s="26"/>
      <c r="J7" s="15" t="s">
        <v>12</v>
      </c>
      <c r="M7" s="16" t="s">
        <v>80</v>
      </c>
      <c r="N7" s="20" t="s">
        <v>29</v>
      </c>
      <c r="O7" s="16" t="s">
        <v>81</v>
      </c>
      <c r="P7" s="20" t="s">
        <v>29</v>
      </c>
      <c r="Q7" s="19" t="s">
        <v>82</v>
      </c>
      <c r="R7" s="20" t="s">
        <v>53</v>
      </c>
      <c r="S7" s="16" t="s">
        <v>83</v>
      </c>
      <c r="T7" s="20" t="s">
        <v>34</v>
      </c>
      <c r="U7" s="16" t="s">
        <v>84</v>
      </c>
      <c r="V7" s="20" t="s">
        <v>34</v>
      </c>
      <c r="W7" s="16"/>
      <c r="Y7" s="16" t="s">
        <v>85</v>
      </c>
      <c r="Z7" s="17" t="s">
        <v>27</v>
      </c>
    </row>
    <row r="8" spans="5:44">
      <c r="E8" s="25" t="s">
        <v>442</v>
      </c>
      <c r="F8" s="666" t="s">
        <v>473</v>
      </c>
      <c r="J8" s="15" t="s">
        <v>13</v>
      </c>
      <c r="M8" s="16" t="s">
        <v>86</v>
      </c>
      <c r="N8" s="17" t="s">
        <v>29</v>
      </c>
      <c r="O8" s="16" t="s">
        <v>87</v>
      </c>
      <c r="P8" s="20" t="s">
        <v>29</v>
      </c>
      <c r="Q8" s="19" t="s">
        <v>88</v>
      </c>
      <c r="R8" s="20" t="s">
        <v>34</v>
      </c>
      <c r="S8" s="16" t="s">
        <v>89</v>
      </c>
      <c r="T8" s="20" t="s">
        <v>34</v>
      </c>
      <c r="U8" s="16" t="s">
        <v>90</v>
      </c>
      <c r="V8" s="20" t="s">
        <v>34</v>
      </c>
      <c r="Y8" s="16" t="s">
        <v>91</v>
      </c>
      <c r="Z8" s="17" t="s">
        <v>29</v>
      </c>
    </row>
    <row r="9" spans="5:44">
      <c r="E9" s="25" t="str">
        <f>IF(F4="FGTS","Valor de Financiamento Contratado (R$):","Valor do Repasse Contratado (R$):")</f>
        <v>Valor do Repasse Contratado (R$):</v>
      </c>
      <c r="F9" s="27">
        <v>960019</v>
      </c>
      <c r="J9" s="15" t="s">
        <v>14</v>
      </c>
      <c r="S9" s="16" t="s">
        <v>92</v>
      </c>
      <c r="T9" s="20" t="s">
        <v>32</v>
      </c>
      <c r="U9" s="16" t="s">
        <v>93</v>
      </c>
      <c r="V9" s="20" t="s">
        <v>34</v>
      </c>
    </row>
    <row r="10" spans="5:44">
      <c r="E10" s="25" t="s">
        <v>94</v>
      </c>
      <c r="F10" s="27">
        <v>88074.8</v>
      </c>
      <c r="J10" s="15" t="s">
        <v>15</v>
      </c>
      <c r="S10" s="16" t="s">
        <v>95</v>
      </c>
      <c r="T10" s="20" t="s">
        <v>53</v>
      </c>
      <c r="U10" s="16" t="s">
        <v>96</v>
      </c>
      <c r="V10" s="17" t="s">
        <v>27</v>
      </c>
    </row>
    <row r="11" spans="5:44">
      <c r="E11" s="25" t="s">
        <v>97</v>
      </c>
      <c r="F11" s="28"/>
      <c r="J11" s="15" t="s">
        <v>16</v>
      </c>
      <c r="S11" s="16" t="s">
        <v>98</v>
      </c>
      <c r="T11" s="20" t="s">
        <v>32</v>
      </c>
    </row>
    <row r="12" spans="5:44">
      <c r="E12" s="25" t="s">
        <v>99</v>
      </c>
      <c r="F12" s="27"/>
      <c r="J12" s="15" t="s">
        <v>17</v>
      </c>
      <c r="S12" s="16" t="s">
        <v>35</v>
      </c>
      <c r="T12" s="20" t="s">
        <v>27</v>
      </c>
    </row>
    <row r="13" spans="5:44">
      <c r="E13" s="29" t="s">
        <v>100</v>
      </c>
      <c r="F13" s="30"/>
      <c r="J13" s="15" t="s">
        <v>18</v>
      </c>
      <c r="S13" s="16" t="s">
        <v>101</v>
      </c>
      <c r="T13" s="20" t="s">
        <v>32</v>
      </c>
    </row>
    <row r="14" spans="5:44">
      <c r="E14" s="4"/>
      <c r="F14" s="31"/>
      <c r="J14" s="15" t="s">
        <v>19</v>
      </c>
    </row>
    <row r="15" spans="5:44" ht="14.4">
      <c r="E15" s="671" t="s">
        <v>102</v>
      </c>
      <c r="F15" s="671"/>
      <c r="J15" s="15" t="s">
        <v>20</v>
      </c>
    </row>
    <row r="16" spans="5:44">
      <c r="E16" s="32" t="s">
        <v>103</v>
      </c>
      <c r="F16" s="662" t="s">
        <v>467</v>
      </c>
      <c r="J16" s="15" t="s">
        <v>21</v>
      </c>
    </row>
    <row r="17" spans="5:10">
      <c r="E17" s="25" t="s">
        <v>104</v>
      </c>
      <c r="F17" s="33"/>
      <c r="J17" s="15" t="s">
        <v>22</v>
      </c>
    </row>
    <row r="18" spans="5:10">
      <c r="E18" s="34" t="s">
        <v>105</v>
      </c>
      <c r="F18" s="35" t="s">
        <v>479</v>
      </c>
      <c r="J18" s="15" t="s">
        <v>23</v>
      </c>
    </row>
    <row r="19" spans="5:10">
      <c r="E19" s="36" t="s">
        <v>106</v>
      </c>
      <c r="F19" s="37">
        <v>45597</v>
      </c>
      <c r="J19" s="15" t="s">
        <v>24</v>
      </c>
    </row>
    <row r="20" spans="5:10">
      <c r="E20" s="38"/>
      <c r="F20" s="39"/>
      <c r="J20" s="15"/>
    </row>
    <row r="21" spans="5:10" ht="14.4">
      <c r="E21" s="671" t="s">
        <v>107</v>
      </c>
      <c r="F21" s="671"/>
      <c r="J21" s="15"/>
    </row>
    <row r="22" spans="5:10">
      <c r="E22" s="23" t="s">
        <v>108</v>
      </c>
      <c r="F22" s="663" t="s">
        <v>486</v>
      </c>
    </row>
    <row r="23" spans="5:10">
      <c r="E23" s="25" t="s">
        <v>109</v>
      </c>
      <c r="F23" s="666" t="s">
        <v>487</v>
      </c>
    </row>
    <row r="24" spans="5:10">
      <c r="E24" s="25" t="s">
        <v>110</v>
      </c>
      <c r="F24" s="26"/>
    </row>
    <row r="25" spans="5:10">
      <c r="E25" s="29" t="s">
        <v>111</v>
      </c>
      <c r="F25" s="40">
        <f ca="1">TODAY()</f>
        <v>45797</v>
      </c>
    </row>
    <row r="26" spans="5:10">
      <c r="E26" s="38"/>
      <c r="F26" s="38"/>
    </row>
    <row r="27" spans="5:10" ht="14.4">
      <c r="E27" s="671" t="s">
        <v>112</v>
      </c>
      <c r="F27" s="671"/>
    </row>
    <row r="28" spans="5:10">
      <c r="E28" s="21" t="s">
        <v>108</v>
      </c>
      <c r="F28" s="664" t="s">
        <v>450</v>
      </c>
    </row>
    <row r="29" spans="5:10">
      <c r="E29" s="29" t="s">
        <v>113</v>
      </c>
      <c r="F29" s="665" t="s">
        <v>451</v>
      </c>
    </row>
    <row r="30" spans="5:10" ht="16.2" thickBot="1">
      <c r="E30" s="10"/>
    </row>
    <row r="31" spans="5:10" ht="13.8" thickBot="1">
      <c r="E31" s="657" t="s">
        <v>439</v>
      </c>
      <c r="F31" s="658" t="s">
        <v>440</v>
      </c>
    </row>
    <row r="32" spans="5:10" ht="12.75" customHeight="1">
      <c r="E32" s="10"/>
    </row>
    <row r="33" spans="5:6" ht="12.75" customHeight="1">
      <c r="E33" s="10" t="s">
        <v>114</v>
      </c>
    </row>
    <row r="34" spans="5:6" ht="15.6">
      <c r="E34" s="10"/>
    </row>
    <row r="35" spans="5:6" ht="12.75" customHeight="1">
      <c r="E35" s="673" t="s">
        <v>115</v>
      </c>
      <c r="F35" s="673"/>
    </row>
    <row r="36" spans="5:6">
      <c r="E36" s="21" t="s">
        <v>116</v>
      </c>
      <c r="F36" s="41"/>
    </row>
    <row r="37" spans="5:6">
      <c r="E37" s="42" t="s">
        <v>117</v>
      </c>
      <c r="F37" s="24"/>
    </row>
    <row r="38" spans="5:6">
      <c r="E38" s="34" t="s">
        <v>118</v>
      </c>
      <c r="F38" s="26"/>
    </row>
    <row r="39" spans="5:6">
      <c r="E39" s="34" t="s">
        <v>119</v>
      </c>
      <c r="F39" s="26"/>
    </row>
    <row r="40" spans="5:6">
      <c r="E40" s="34" t="s">
        <v>120</v>
      </c>
      <c r="F40" s="35" t="s">
        <v>472</v>
      </c>
    </row>
    <row r="41" spans="5:6">
      <c r="E41" s="43" t="s">
        <v>121</v>
      </c>
      <c r="F41" s="44"/>
    </row>
    <row r="42" spans="5:6" ht="15.6">
      <c r="E42" s="10"/>
    </row>
    <row r="43" spans="5:6" ht="12.75" customHeight="1">
      <c r="E43" s="10"/>
    </row>
    <row r="44" spans="5:6" ht="12.75" customHeight="1">
      <c r="E44" s="10" t="s">
        <v>122</v>
      </c>
    </row>
    <row r="45" spans="5:6" ht="15.6">
      <c r="E45" s="10"/>
    </row>
    <row r="46" spans="5:6" ht="12.75" customHeight="1">
      <c r="E46" s="671" t="s">
        <v>123</v>
      </c>
      <c r="F46" s="671"/>
    </row>
    <row r="47" spans="5:6">
      <c r="E47" s="21" t="s">
        <v>124</v>
      </c>
      <c r="F47" s="41"/>
    </row>
    <row r="48" spans="5:6">
      <c r="E48" s="36" t="s">
        <v>125</v>
      </c>
      <c r="F48" s="45">
        <f ca="1">TODAY()</f>
        <v>45797</v>
      </c>
    </row>
    <row r="49" spans="5:6" ht="15.6">
      <c r="E49" s="10"/>
    </row>
    <row r="50" spans="5:6" ht="12.75" customHeight="1">
      <c r="E50" s="671" t="s">
        <v>126</v>
      </c>
      <c r="F50" s="671"/>
    </row>
    <row r="51" spans="5:6">
      <c r="E51" s="21" t="s">
        <v>108</v>
      </c>
      <c r="F51" s="47" t="s">
        <v>468</v>
      </c>
    </row>
    <row r="52" spans="5:6">
      <c r="E52" s="25" t="s">
        <v>127</v>
      </c>
      <c r="F52" s="666" t="s">
        <v>469</v>
      </c>
    </row>
    <row r="53" spans="5:6">
      <c r="E53" s="25" t="s">
        <v>128</v>
      </c>
      <c r="F53" s="666" t="s">
        <v>470</v>
      </c>
    </row>
    <row r="54" spans="5:6">
      <c r="E54" s="29" t="s">
        <v>129</v>
      </c>
      <c r="F54" s="46"/>
    </row>
    <row r="55" spans="5:6">
      <c r="E55" s="38"/>
      <c r="F55" s="39"/>
    </row>
    <row r="57" spans="5:6" ht="15.6">
      <c r="E57" s="10" t="s">
        <v>130</v>
      </c>
    </row>
    <row r="58" spans="5:6" ht="16.2" thickBot="1">
      <c r="E58" s="10"/>
    </row>
    <row r="59" spans="5:6" ht="15" thickBot="1">
      <c r="E59" s="671" t="s">
        <v>131</v>
      </c>
      <c r="F59" s="671"/>
    </row>
    <row r="60" spans="5:6">
      <c r="E60" s="21" t="s">
        <v>108</v>
      </c>
      <c r="F60" s="47"/>
    </row>
    <row r="61" spans="5:6" ht="13.8" thickBot="1">
      <c r="E61" s="36" t="s">
        <v>132</v>
      </c>
      <c r="F61" s="48"/>
    </row>
  </sheetData>
  <sheetProtection sheet="1" objects="1" scenarios="1" autoFilter="0"/>
  <mergeCells count="9">
    <mergeCell ref="E50:F50"/>
    <mergeCell ref="E59:F59"/>
    <mergeCell ref="L1:AR1"/>
    <mergeCell ref="E3:F3"/>
    <mergeCell ref="E15:F15"/>
    <mergeCell ref="E21:F21"/>
    <mergeCell ref="E27:F27"/>
    <mergeCell ref="E35:F35"/>
    <mergeCell ref="E46:F46"/>
  </mergeCells>
  <phoneticPr fontId="38" type="noConversion"/>
  <conditionalFormatting sqref="E57:F58">
    <cfRule type="expression" dxfId="826" priority="2" stopIfTrue="1">
      <formula>CAIXA.Modo=FALSE</formula>
    </cfRule>
  </conditionalFormatting>
  <conditionalFormatting sqref="E59:F61">
    <cfRule type="expression" dxfId="825" priority="3" stopIfTrue="1">
      <formula>CAIXA.Modo=FALSE</formula>
    </cfRule>
  </conditionalFormatting>
  <dataValidations count="7">
    <dataValidation type="date" allowBlank="1" showErrorMessage="1" errorTitle="Dados inválidos" error="Digite somente datas válidas no formato mm/aaaa." sqref="F19 F25 F36 F41 F47:F48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&#10;&#10;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40">
      <formula1>"(SELECIONAR),INDEFINIDO / NÃO SE APLICA,EMPREITADA POR PREÇO GLOBAL,EMPREITADA POR PREÇO UNITÁRIO,EMPREITADA INTEGRAL,TAREFA,CONTRATAÇÃO INTEGRADA,ADM. DIRETA"</formula1>
      <formula2>0</formula2>
    </dataValidation>
    <dataValidation type="list" allowBlank="1" showErrorMessage="1" sqref="F31">
      <formula1>"Tradicional,TransfereGOV"</formula1>
    </dataValidation>
  </dataValidations>
  <pageMargins left="0.78740157480314998" right="0.78740157480314998" top="0.78740157480314998" bottom="0.78740157480314998" header="5.7086614173228396" footer="0.59055118110236204"/>
  <pageSetup paperSize="9" scale="66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3"/>
  <dimension ref="A3:E52"/>
  <sheetViews>
    <sheetView showGridLines="0" zoomScale="90" zoomScaleNormal="90" workbookViewId="0">
      <pane ySplit="3" topLeftCell="A4" activePane="bottomLeft" state="frozen"/>
      <selection pane="bottomLeft"/>
    </sheetView>
  </sheetViews>
  <sheetFormatPr defaultRowHeight="13.2"/>
  <cols>
    <col min="1" max="1" width="8.6640625" customWidth="1"/>
    <col min="2" max="2" width="5.6640625" customWidth="1"/>
    <col min="3" max="3" width="3.6640625" customWidth="1"/>
  </cols>
  <sheetData>
    <row r="3" spans="1:4" ht="36.75" customHeight="1">
      <c r="B3" s="49" t="s">
        <v>133</v>
      </c>
    </row>
    <row r="5" spans="1:4" ht="18">
      <c r="A5" s="50"/>
      <c r="B5" s="51"/>
      <c r="C5" s="51"/>
      <c r="D5" s="52"/>
    </row>
    <row r="6" spans="1:4" ht="18">
      <c r="A6" s="53" t="s">
        <v>134</v>
      </c>
      <c r="B6" s="54"/>
      <c r="C6" s="54"/>
      <c r="D6" s="38"/>
    </row>
    <row r="7" spans="1:4" ht="14.4">
      <c r="A7" s="55"/>
      <c r="B7" s="56" t="s">
        <v>135</v>
      </c>
      <c r="C7" s="56"/>
      <c r="D7" s="38"/>
    </row>
    <row r="8" spans="1:4" ht="14.4">
      <c r="A8" s="55"/>
      <c r="B8" s="56"/>
      <c r="C8" s="57" t="str">
        <f>IF(D8&lt;&gt;"","▪","")</f>
        <v>▪</v>
      </c>
      <c r="D8" s="38" t="s">
        <v>136</v>
      </c>
    </row>
    <row r="9" spans="1:4" ht="14.4">
      <c r="A9" s="55"/>
      <c r="B9" s="58"/>
      <c r="C9" s="59" t="str">
        <f>IF(D9&lt;&gt;"","▪","")</f>
        <v/>
      </c>
      <c r="D9" s="60"/>
    </row>
    <row r="10" spans="1:4" ht="18">
      <c r="A10" s="647" t="s">
        <v>412</v>
      </c>
      <c r="B10" s="648"/>
      <c r="C10" s="648"/>
      <c r="D10" s="649"/>
    </row>
    <row r="11" spans="1:4" ht="14.4">
      <c r="A11" s="55"/>
      <c r="B11" s="56" t="s">
        <v>135</v>
      </c>
      <c r="C11" s="56"/>
      <c r="D11" s="38"/>
    </row>
    <row r="12" spans="1:4" ht="14.4">
      <c r="A12" s="55"/>
      <c r="B12" s="56"/>
      <c r="C12" s="57" t="str">
        <f>IF(D12&lt;&gt;"","▪","")</f>
        <v>▪</v>
      </c>
      <c r="D12" s="38" t="s">
        <v>415</v>
      </c>
    </row>
    <row r="13" spans="1:4" ht="14.4">
      <c r="A13" s="55"/>
      <c r="B13" s="56" t="s">
        <v>413</v>
      </c>
      <c r="C13" s="56"/>
      <c r="D13" s="38"/>
    </row>
    <row r="14" spans="1:4" ht="14.4">
      <c r="A14" s="548"/>
      <c r="B14" s="56"/>
      <c r="C14" s="57" t="str">
        <f>IF(D14&lt;&gt;"","▪","")</f>
        <v>▪</v>
      </c>
      <c r="D14" s="38" t="s">
        <v>416</v>
      </c>
    </row>
    <row r="15" spans="1:4" ht="14.4">
      <c r="A15" s="548"/>
      <c r="C15" s="57" t="str">
        <f>IF(D15&lt;&gt;"","▪","")</f>
        <v>▪</v>
      </c>
      <c r="D15" s="38" t="s">
        <v>417</v>
      </c>
    </row>
    <row r="16" spans="1:4">
      <c r="A16" s="553"/>
    </row>
    <row r="17" spans="1:4" ht="18">
      <c r="A17" s="647" t="s">
        <v>419</v>
      </c>
      <c r="B17" s="648"/>
      <c r="C17" s="648"/>
      <c r="D17" s="649"/>
    </row>
    <row r="18" spans="1:4" ht="14.4">
      <c r="A18" s="55"/>
      <c r="B18" s="56" t="s">
        <v>135</v>
      </c>
      <c r="C18" s="56"/>
      <c r="D18" s="38"/>
    </row>
    <row r="19" spans="1:4" ht="14.4">
      <c r="A19" s="55"/>
      <c r="B19" s="56"/>
      <c r="C19" s="57" t="str">
        <f>IF(D19&lt;&gt;"","▪","")</f>
        <v>▪</v>
      </c>
      <c r="D19" s="38" t="s">
        <v>415</v>
      </c>
    </row>
    <row r="20" spans="1:4" ht="14.4">
      <c r="A20" s="55"/>
      <c r="B20" s="56"/>
      <c r="C20" s="57" t="str">
        <f>IF(D20&lt;&gt;"","▪","")</f>
        <v>▪</v>
      </c>
      <c r="D20" s="38" t="s">
        <v>428</v>
      </c>
    </row>
    <row r="21" spans="1:4" ht="14.4">
      <c r="A21" s="548"/>
      <c r="B21" s="56" t="s">
        <v>426</v>
      </c>
      <c r="C21" s="56"/>
      <c r="D21" s="38"/>
    </row>
    <row r="22" spans="1:4" ht="14.4">
      <c r="A22" s="548"/>
      <c r="B22" s="56"/>
      <c r="C22" s="57" t="str">
        <f>IF(D22&lt;&gt;"","▪","")</f>
        <v>▪</v>
      </c>
      <c r="D22" s="38" t="s">
        <v>427</v>
      </c>
    </row>
    <row r="23" spans="1:4" ht="14.4">
      <c r="A23" s="548"/>
      <c r="B23" s="56" t="s">
        <v>420</v>
      </c>
      <c r="C23" s="56"/>
      <c r="D23" s="38"/>
    </row>
    <row r="24" spans="1:4" ht="14.4">
      <c r="A24" s="548"/>
      <c r="B24" s="56"/>
      <c r="C24" s="57" t="str">
        <f>IF(D24&lt;&gt;"","▪","")</f>
        <v>▪</v>
      </c>
      <c r="D24" s="38" t="s">
        <v>424</v>
      </c>
    </row>
    <row r="25" spans="1:4" ht="14.4">
      <c r="A25" s="548"/>
      <c r="B25" s="56" t="s">
        <v>421</v>
      </c>
      <c r="C25" s="56"/>
      <c r="D25" s="38"/>
    </row>
    <row r="26" spans="1:4" ht="14.4">
      <c r="A26" s="548"/>
      <c r="B26" s="56"/>
      <c r="C26" s="57" t="str">
        <f>IF(D26&lt;&gt;"","▪","")</f>
        <v>▪</v>
      </c>
      <c r="D26" s="38" t="s">
        <v>423</v>
      </c>
    </row>
    <row r="27" spans="1:4" ht="14.4">
      <c r="A27" s="548"/>
      <c r="B27" s="56" t="s">
        <v>425</v>
      </c>
      <c r="C27" s="56"/>
      <c r="D27" s="38"/>
    </row>
    <row r="28" spans="1:4" ht="14.4">
      <c r="A28" s="548"/>
      <c r="B28" s="56"/>
      <c r="C28" s="57" t="str">
        <f>IF(D28&lt;&gt;"","▪","")</f>
        <v>▪</v>
      </c>
      <c r="D28" s="38" t="s">
        <v>422</v>
      </c>
    </row>
    <row r="29" spans="1:4">
      <c r="A29" s="553"/>
    </row>
    <row r="30" spans="1:4" ht="18">
      <c r="A30" s="647" t="s">
        <v>429</v>
      </c>
      <c r="B30" s="648"/>
      <c r="C30" s="648"/>
      <c r="D30" s="649"/>
    </row>
    <row r="31" spans="1:4" ht="14.4">
      <c r="A31" s="55"/>
      <c r="B31" s="56" t="s">
        <v>135</v>
      </c>
      <c r="C31" s="56"/>
      <c r="D31" s="38"/>
    </row>
    <row r="32" spans="1:4" ht="14.4">
      <c r="A32" s="55"/>
      <c r="B32" s="56"/>
      <c r="C32" s="57" t="str">
        <f>IF(D32&lt;&gt;"","▪","")</f>
        <v>▪</v>
      </c>
      <c r="D32" s="38" t="s">
        <v>428</v>
      </c>
    </row>
    <row r="33" spans="1:5" ht="14.4">
      <c r="A33" s="55"/>
      <c r="B33" s="56" t="s">
        <v>430</v>
      </c>
      <c r="C33" s="57"/>
      <c r="D33" s="38"/>
    </row>
    <row r="34" spans="1:5" ht="14.4">
      <c r="A34" s="55"/>
      <c r="B34" s="56"/>
      <c r="C34" s="57" t="str">
        <f>IF(D34&lt;&gt;"","▪","")</f>
        <v>▪</v>
      </c>
      <c r="D34" s="38" t="s">
        <v>431</v>
      </c>
    </row>
    <row r="35" spans="1:5" ht="14.4">
      <c r="A35" s="55"/>
      <c r="B35" s="56"/>
      <c r="C35" s="56"/>
      <c r="D35" s="56"/>
      <c r="E35" s="56"/>
    </row>
    <row r="36" spans="1:5">
      <c r="A36" s="553"/>
    </row>
    <row r="37" spans="1:5" ht="18">
      <c r="A37" s="647" t="s">
        <v>432</v>
      </c>
      <c r="B37" s="648"/>
      <c r="C37" s="648"/>
      <c r="D37" s="649"/>
    </row>
    <row r="38" spans="1:5" ht="14.4">
      <c r="A38" s="55"/>
      <c r="B38" s="56" t="s">
        <v>212</v>
      </c>
      <c r="C38" s="56"/>
      <c r="D38" s="38"/>
    </row>
    <row r="39" spans="1:5" ht="14.4">
      <c r="A39" s="55"/>
      <c r="B39" s="56"/>
      <c r="C39" s="57" t="str">
        <f>IF(D39&lt;&gt;"","▪","")</f>
        <v>▪</v>
      </c>
      <c r="D39" s="38" t="s">
        <v>433</v>
      </c>
    </row>
    <row r="40" spans="1:5" ht="14.4">
      <c r="A40" s="55"/>
      <c r="B40" s="56" t="s">
        <v>420</v>
      </c>
      <c r="C40" s="56"/>
      <c r="D40" s="38"/>
    </row>
    <row r="41" spans="1:5" ht="14.4">
      <c r="A41" s="55"/>
      <c r="B41" s="56"/>
      <c r="C41" s="57" t="str">
        <f>IF(D41&lt;&gt;"","▪","")</f>
        <v>▪</v>
      </c>
      <c r="D41" s="38" t="s">
        <v>434</v>
      </c>
    </row>
    <row r="42" spans="1:5" ht="14.4">
      <c r="A42" s="55"/>
      <c r="B42" s="56" t="s">
        <v>421</v>
      </c>
      <c r="C42" s="56"/>
      <c r="D42" s="38"/>
      <c r="E42" s="56"/>
    </row>
    <row r="43" spans="1:5" ht="14.4">
      <c r="A43" s="55"/>
      <c r="B43" s="56"/>
      <c r="C43" s="57" t="str">
        <f>IF(D43&lt;&gt;"","▪","")</f>
        <v>▪</v>
      </c>
      <c r="D43" s="38" t="s">
        <v>435</v>
      </c>
    </row>
    <row r="44" spans="1:5" ht="14.4">
      <c r="A44" s="55"/>
      <c r="B44" s="56"/>
      <c r="C44" s="56"/>
      <c r="D44" s="56"/>
    </row>
    <row r="45" spans="1:5" ht="18">
      <c r="A45" s="647" t="s">
        <v>436</v>
      </c>
      <c r="B45" s="648"/>
      <c r="C45" s="648"/>
      <c r="D45" s="649"/>
    </row>
    <row r="46" spans="1:5" ht="14.4">
      <c r="A46" s="55"/>
      <c r="B46" s="56" t="s">
        <v>135</v>
      </c>
      <c r="C46" s="56"/>
      <c r="D46" s="38"/>
    </row>
    <row r="47" spans="1:5" ht="14.4">
      <c r="A47" s="55"/>
      <c r="B47" s="56"/>
      <c r="C47" s="57" t="str">
        <f>IF(D47&lt;&gt;"","▪","")</f>
        <v>▪</v>
      </c>
      <c r="D47" s="38" t="s">
        <v>437</v>
      </c>
    </row>
    <row r="48" spans="1:5" ht="14.4">
      <c r="A48" s="55"/>
      <c r="B48" s="56"/>
      <c r="C48" s="56"/>
      <c r="D48" s="56"/>
    </row>
    <row r="49" spans="1:4" ht="18">
      <c r="A49" s="647" t="s">
        <v>441</v>
      </c>
      <c r="B49" s="648"/>
      <c r="C49" s="648"/>
      <c r="D49" s="649"/>
    </row>
    <row r="50" spans="1:4" ht="14.4">
      <c r="A50" s="55"/>
      <c r="B50" s="56" t="s">
        <v>135</v>
      </c>
      <c r="C50" s="56"/>
      <c r="D50" s="38"/>
    </row>
    <row r="51" spans="1:4" ht="14.4">
      <c r="A51" s="55"/>
      <c r="B51" s="56"/>
      <c r="C51" s="57" t="str">
        <f>IF(D51&lt;&gt;"","▪","")</f>
        <v>▪</v>
      </c>
      <c r="D51" s="38" t="s">
        <v>444</v>
      </c>
    </row>
    <row r="52" spans="1:4" ht="14.4">
      <c r="A52" s="55"/>
      <c r="B52" s="56"/>
      <c r="C52" s="57" t="str">
        <f>IF(D52&lt;&gt;"","▪","")</f>
        <v>▪</v>
      </c>
      <c r="D52" s="38" t="s">
        <v>445</v>
      </c>
    </row>
  </sheetData>
  <sheetProtection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Plan4" filterMode="1">
    <pageSetUpPr fitToPage="1"/>
  </sheetPr>
  <dimension ref="A1:Z146"/>
  <sheetViews>
    <sheetView showGridLines="0" zoomScale="90" zoomScaleNormal="90" zoomScaleSheetLayoutView="100" workbookViewId="0">
      <pane ySplit="11" topLeftCell="A12" activePane="bottomLeft" state="frozen"/>
      <selection activeCell="E1" sqref="E1"/>
      <selection pane="bottomLeft" activeCell="W13" sqref="W13"/>
    </sheetView>
  </sheetViews>
  <sheetFormatPr defaultRowHeight="13.2"/>
  <cols>
    <col min="1" max="4" width="5.6640625" style="61" hidden="1" customWidth="1"/>
    <col min="5" max="5" width="11.33203125" style="61" hidden="1" customWidth="1"/>
    <col min="6" max="6" width="11.44140625" style="61" hidden="1" customWidth="1"/>
    <col min="7" max="7" width="11.88671875" style="61" hidden="1" customWidth="1"/>
    <col min="8" max="8" width="10.6640625" customWidth="1"/>
    <col min="9" max="9" width="3.6640625" customWidth="1"/>
    <col min="10" max="15" width="10.6640625" style="61" customWidth="1"/>
    <col min="16" max="16" width="12.88671875" style="61" customWidth="1"/>
    <col min="17" max="19" width="10.6640625" style="61" customWidth="1"/>
  </cols>
  <sheetData>
    <row r="1" spans="1:19" ht="15.6">
      <c r="E1" s="62" t="s">
        <v>137</v>
      </c>
      <c r="F1" s="62" t="s">
        <v>138</v>
      </c>
      <c r="G1" s="62" t="s">
        <v>139</v>
      </c>
      <c r="O1" s="63" t="str">
        <f>"Quadro de Composição do BDI"</f>
        <v>Quadro de Composição do BDI</v>
      </c>
      <c r="R1" s="675" t="s">
        <v>140</v>
      </c>
      <c r="S1" s="675"/>
    </row>
    <row r="2" spans="1:19">
      <c r="A2" s="61" t="s">
        <v>141</v>
      </c>
      <c r="B2" s="65" t="s">
        <v>142</v>
      </c>
      <c r="C2" s="61" t="str">
        <f t="shared" ref="C2:C49" si="0">CONCATENATE(A2,"-",B2)</f>
        <v>Construção e Reforma de Edifícios-AC</v>
      </c>
      <c r="E2" s="66">
        <v>0.03</v>
      </c>
      <c r="F2" s="66">
        <v>0.04</v>
      </c>
      <c r="G2" s="66">
        <v>5.5E-2</v>
      </c>
      <c r="R2" s="676" t="s">
        <v>143</v>
      </c>
      <c r="S2" s="676"/>
    </row>
    <row r="3" spans="1:19">
      <c r="A3" s="61" t="str">
        <f>A2</f>
        <v>Construção e Reforma de Edifícios</v>
      </c>
      <c r="B3" s="65" t="s">
        <v>144</v>
      </c>
      <c r="C3" s="61" t="str">
        <f t="shared" si="0"/>
        <v>Construção e Reforma de Edifícios-SG</v>
      </c>
      <c r="E3" s="66">
        <v>8.0000000000000002E-3</v>
      </c>
      <c r="F3" s="66">
        <v>8.0000000000000002E-3</v>
      </c>
      <c r="G3" s="66">
        <v>0.01</v>
      </c>
    </row>
    <row r="4" spans="1:19">
      <c r="A4" s="61" t="str">
        <f>A3</f>
        <v>Construção e Reforma de Edifícios</v>
      </c>
      <c r="B4" s="65" t="s">
        <v>145</v>
      </c>
      <c r="C4" s="61" t="str">
        <f t="shared" si="0"/>
        <v>Construção e Reforma de Edifícios-R</v>
      </c>
      <c r="E4" s="66">
        <v>9.7000000000000003E-3</v>
      </c>
      <c r="F4" s="66">
        <v>1.2699999999999999E-2</v>
      </c>
      <c r="G4" s="66">
        <v>1.2699999999999999E-2</v>
      </c>
      <c r="J4" s="677" t="s">
        <v>146</v>
      </c>
      <c r="K4" s="677"/>
      <c r="L4" s="677" t="s">
        <v>446</v>
      </c>
      <c r="M4" s="677"/>
      <c r="N4" s="677" t="s">
        <v>147</v>
      </c>
      <c r="O4" s="677"/>
      <c r="P4" s="677"/>
      <c r="Q4" s="677"/>
      <c r="R4" s="677"/>
      <c r="S4" s="677"/>
    </row>
    <row r="5" spans="1:19" ht="12.75" customHeight="1">
      <c r="A5" s="61" t="str">
        <f>A4</f>
        <v>Construção e Reforma de Edifícios</v>
      </c>
      <c r="B5" s="65" t="s">
        <v>148</v>
      </c>
      <c r="C5" s="61" t="str">
        <f t="shared" si="0"/>
        <v>Construção e Reforma de Edifícios-DF</v>
      </c>
      <c r="E5" s="66">
        <v>5.8999999999999999E-3</v>
      </c>
      <c r="F5" s="66">
        <v>1.23E-2</v>
      </c>
      <c r="G5" s="66">
        <v>1.3899999999999999E-2</v>
      </c>
      <c r="J5" s="674">
        <f>Import.CR</f>
        <v>0</v>
      </c>
      <c r="K5" s="674"/>
      <c r="L5" s="674" t="str">
        <f>Import.TransfereGOV</f>
        <v>953208-2023</v>
      </c>
      <c r="M5" s="674"/>
      <c r="N5" s="674" t="str">
        <f>Import.Proponente</f>
        <v>PREFEITURA MUNICIPAL DE PONTAL</v>
      </c>
      <c r="O5" s="674"/>
      <c r="P5" s="674"/>
      <c r="Q5" s="674"/>
      <c r="R5" s="674"/>
      <c r="S5" s="674"/>
    </row>
    <row r="6" spans="1:19">
      <c r="A6" s="61" t="str">
        <f>A5</f>
        <v>Construção e Reforma de Edifícios</v>
      </c>
      <c r="B6" s="65" t="s">
        <v>149</v>
      </c>
      <c r="C6" s="61" t="str">
        <f t="shared" si="0"/>
        <v>Construção e Reforma de Edifícios-L</v>
      </c>
      <c r="E6" s="66">
        <v>6.1600000000000002E-2</v>
      </c>
      <c r="F6" s="66">
        <v>7.400000000000001E-2</v>
      </c>
      <c r="G6" s="66">
        <v>8.9600000000000013E-2</v>
      </c>
      <c r="I6" s="703" t="s">
        <v>209</v>
      </c>
      <c r="J6" s="69"/>
      <c r="K6" s="69"/>
      <c r="L6" s="69"/>
      <c r="M6" s="69"/>
      <c r="N6" s="69"/>
      <c r="O6" s="69"/>
      <c r="P6" s="69"/>
      <c r="Q6" s="69"/>
      <c r="R6" s="69"/>
      <c r="S6" s="69"/>
    </row>
    <row r="7" spans="1:19" ht="26.4">
      <c r="A7" s="61" t="str">
        <f>A6</f>
        <v>Construção e Reforma de Edifícios</v>
      </c>
      <c r="B7" s="70" t="s">
        <v>150</v>
      </c>
      <c r="C7" s="61" t="str">
        <f t="shared" si="0"/>
        <v>Construção e Reforma de Edifícios-BDI PAD</v>
      </c>
      <c r="E7" s="66">
        <v>0.2034</v>
      </c>
      <c r="F7" s="66">
        <v>0.22120000000000001</v>
      </c>
      <c r="G7" s="66">
        <v>0.25</v>
      </c>
      <c r="I7" s="703"/>
      <c r="J7" s="677" t="s">
        <v>151</v>
      </c>
      <c r="K7" s="677"/>
      <c r="L7" s="677"/>
      <c r="M7" s="677"/>
      <c r="N7" s="677"/>
      <c r="O7" s="677"/>
      <c r="P7" s="677"/>
      <c r="Q7" s="677"/>
      <c r="R7" s="677"/>
      <c r="S7" s="677"/>
    </row>
    <row r="8" spans="1:19">
      <c r="A8" s="61" t="s">
        <v>152</v>
      </c>
      <c r="B8" s="65" t="s">
        <v>142</v>
      </c>
      <c r="C8" s="61" t="str">
        <f t="shared" si="0"/>
        <v>Construção de Praças Urbanas, Rodovias, Ferrovias e recapeamento e pavimentação de vias urbanas-AC</v>
      </c>
      <c r="E8" s="66">
        <v>3.7999999999999999E-2</v>
      </c>
      <c r="F8" s="66">
        <v>4.0099999999999997E-2</v>
      </c>
      <c r="G8" s="66">
        <v>4.6699999999999998E-2</v>
      </c>
      <c r="I8" s="703"/>
      <c r="J8" s="680" t="str">
        <f>Import.Apelido&amp;" / "&amp;Import.DescLote</f>
        <v xml:space="preserve">RECAPE FEDERAL / </v>
      </c>
      <c r="K8" s="680"/>
      <c r="L8" s="680"/>
      <c r="M8" s="680"/>
      <c r="N8" s="680"/>
      <c r="O8" s="680"/>
      <c r="P8" s="680"/>
      <c r="Q8" s="680"/>
      <c r="R8" s="680"/>
      <c r="S8" s="680"/>
    </row>
    <row r="9" spans="1:19">
      <c r="A9" s="61" t="s">
        <v>152</v>
      </c>
      <c r="B9" s="65" t="s">
        <v>144</v>
      </c>
      <c r="C9" s="61" t="str">
        <f t="shared" si="0"/>
        <v>Construção de Praças Urbanas, Rodovias, Ferrovias e recapeamento e pavimentação de vias urbanas-SG</v>
      </c>
      <c r="E9" s="66">
        <v>3.2000000000000002E-3</v>
      </c>
      <c r="F9" s="66">
        <v>4.0000000000000001E-3</v>
      </c>
      <c r="G9" s="66">
        <v>7.4000000000000003E-3</v>
      </c>
      <c r="I9" s="703"/>
      <c r="J9" s="69"/>
      <c r="K9" s="69"/>
      <c r="L9" s="69"/>
      <c r="M9" s="69"/>
      <c r="N9" s="69"/>
      <c r="O9" s="69"/>
      <c r="P9" s="69"/>
      <c r="Q9" s="69"/>
      <c r="R9" s="69"/>
      <c r="S9" s="69"/>
    </row>
    <row r="10" spans="1:19" ht="12.75" customHeight="1">
      <c r="A10" s="61" t="s">
        <v>152</v>
      </c>
      <c r="B10" s="65" t="s">
        <v>145</v>
      </c>
      <c r="C10" s="61" t="str">
        <f t="shared" si="0"/>
        <v>Construção de Praças Urbanas, Rodovias, Ferrovias e recapeamento e pavimentação de vias urbanas-R</v>
      </c>
      <c r="E10" s="66">
        <v>5.0000000000000001E-3</v>
      </c>
      <c r="F10" s="66">
        <v>5.6000000000000008E-3</v>
      </c>
      <c r="G10" s="66">
        <v>9.7000000000000003E-3</v>
      </c>
      <c r="I10" s="703"/>
      <c r="J10" s="681" t="s">
        <v>153</v>
      </c>
      <c r="K10" s="681"/>
      <c r="L10" s="681"/>
      <c r="M10" s="681"/>
      <c r="N10" s="681"/>
      <c r="O10" s="681"/>
      <c r="P10" s="681"/>
      <c r="Q10" s="681"/>
      <c r="R10" s="679">
        <v>1</v>
      </c>
      <c r="S10" s="679"/>
    </row>
    <row r="11" spans="1:19" ht="12.75" customHeight="1">
      <c r="A11" s="61" t="s">
        <v>152</v>
      </c>
      <c r="B11" s="65" t="s">
        <v>148</v>
      </c>
      <c r="C11" s="61" t="str">
        <f t="shared" si="0"/>
        <v>Construção de Praças Urbanas, Rodovias, Ferrovias e recapeamento e pavimentação de vias urbanas-DF</v>
      </c>
      <c r="E11" s="66">
        <v>1.0200000000000001E-2</v>
      </c>
      <c r="F11" s="66">
        <v>1.11E-2</v>
      </c>
      <c r="G11" s="66">
        <v>1.21E-2</v>
      </c>
      <c r="I11" s="131" t="s">
        <v>217</v>
      </c>
      <c r="J11" s="678" t="s">
        <v>154</v>
      </c>
      <c r="K11" s="678"/>
      <c r="L11" s="678"/>
      <c r="M11" s="678"/>
      <c r="N11" s="678"/>
      <c r="O11" s="678"/>
      <c r="P11" s="678"/>
      <c r="Q11" s="678"/>
      <c r="R11" s="679">
        <v>0.03</v>
      </c>
      <c r="S11" s="679"/>
    </row>
    <row r="12" spans="1:19">
      <c r="A12" s="61" t="s">
        <v>152</v>
      </c>
      <c r="B12" s="65" t="s">
        <v>149</v>
      </c>
      <c r="C12" s="61" t="str">
        <f t="shared" si="0"/>
        <v>Construção de Praças Urbanas, Rodovias, Ferrovias e recapeamento e pavimentação de vias urbanas-L</v>
      </c>
      <c r="E12" s="66">
        <v>6.6400000000000001E-2</v>
      </c>
      <c r="F12" s="66">
        <v>7.2999999999999995E-2</v>
      </c>
      <c r="G12" s="66">
        <v>8.6899999999999991E-2</v>
      </c>
      <c r="I12" t="s">
        <v>246</v>
      </c>
      <c r="J12" s="71"/>
      <c r="K12" s="71"/>
      <c r="L12" s="71"/>
      <c r="M12" s="71"/>
      <c r="N12" s="71"/>
      <c r="O12" s="71"/>
      <c r="P12" s="71"/>
      <c r="Q12" s="71"/>
      <c r="R12" s="71"/>
      <c r="S12" s="71"/>
    </row>
    <row r="13" spans="1:19" ht="26.4">
      <c r="A13" s="61" t="s">
        <v>152</v>
      </c>
      <c r="B13" s="70" t="s">
        <v>150</v>
      </c>
      <c r="C13" s="61" t="str">
        <f t="shared" si="0"/>
        <v>Construção de Praças Urbanas, Rodovias, Ferrovias e recapeamento e pavimentação de vias urbanas-BDI PAD</v>
      </c>
      <c r="E13" s="66">
        <v>0.19600000000000001</v>
      </c>
      <c r="F13" s="66">
        <v>0.2097</v>
      </c>
      <c r="G13" s="66">
        <v>0.24230000000000002</v>
      </c>
      <c r="I13" t="s">
        <v>246</v>
      </c>
    </row>
    <row r="14" spans="1:19" ht="15.6">
      <c r="A14" s="61" t="s">
        <v>155</v>
      </c>
      <c r="B14" s="65" t="s">
        <v>142</v>
      </c>
      <c r="C14" s="61" t="str">
        <f t="shared" si="0"/>
        <v>Construção de Redes de Abastecimento de Água, Coleta de Esgoto-AC</v>
      </c>
      <c r="E14" s="66">
        <v>3.4300000000000004E-2</v>
      </c>
      <c r="F14" s="66">
        <v>4.9299999999999997E-2</v>
      </c>
      <c r="G14" s="66">
        <v>6.7099999999999993E-2</v>
      </c>
      <c r="I14" t="s">
        <v>246</v>
      </c>
      <c r="J14" s="686" t="s">
        <v>156</v>
      </c>
      <c r="K14" s="686"/>
      <c r="L14" s="686"/>
      <c r="M14" s="686"/>
      <c r="N14" s="686"/>
      <c r="O14" s="686"/>
      <c r="P14" s="686"/>
      <c r="Q14" s="686"/>
      <c r="R14" s="686"/>
      <c r="S14" s="686"/>
    </row>
    <row r="15" spans="1:19">
      <c r="A15" s="61" t="str">
        <f>A14</f>
        <v>Construção de Redes de Abastecimento de Água, Coleta de Esgoto</v>
      </c>
      <c r="B15" s="65" t="s">
        <v>144</v>
      </c>
      <c r="C15" s="61" t="str">
        <f t="shared" si="0"/>
        <v>Construção de Redes de Abastecimento de Água, Coleta de Esgoto-SG</v>
      </c>
      <c r="E15" s="66">
        <v>2.8000000000000004E-3</v>
      </c>
      <c r="F15" s="66">
        <v>4.8999999999999998E-3</v>
      </c>
      <c r="G15" s="66">
        <v>7.4999999999999997E-3</v>
      </c>
      <c r="I15" t="s">
        <v>246</v>
      </c>
    </row>
    <row r="16" spans="1:19">
      <c r="A16" s="61" t="str">
        <f>A15</f>
        <v>Construção de Redes de Abastecimento de Água, Coleta de Esgoto</v>
      </c>
      <c r="B16" s="65" t="s">
        <v>145</v>
      </c>
      <c r="C16" s="61" t="str">
        <f t="shared" si="0"/>
        <v>Construção de Redes de Abastecimento de Água, Coleta de Esgoto-R</v>
      </c>
      <c r="E16" s="66">
        <v>0.01</v>
      </c>
      <c r="F16" s="66">
        <v>1.3899999999999999E-2</v>
      </c>
      <c r="G16" s="66">
        <v>1.7399999999999999E-2</v>
      </c>
      <c r="I16" t="s">
        <v>246</v>
      </c>
      <c r="J16" s="677" t="s">
        <v>157</v>
      </c>
      <c r="K16" s="677"/>
      <c r="L16" s="677"/>
      <c r="M16" s="677"/>
      <c r="N16" s="677"/>
      <c r="O16" s="677"/>
      <c r="P16" s="677"/>
      <c r="Q16" s="677"/>
      <c r="R16" s="677"/>
      <c r="S16" s="677"/>
    </row>
    <row r="17" spans="1:26">
      <c r="A17" s="61" t="str">
        <f>A16</f>
        <v>Construção de Redes de Abastecimento de Água, Coleta de Esgoto</v>
      </c>
      <c r="B17" s="65" t="s">
        <v>148</v>
      </c>
      <c r="C17" s="61" t="str">
        <f t="shared" si="0"/>
        <v>Construção de Redes de Abastecimento de Água, Coleta de Esgoto-DF</v>
      </c>
      <c r="E17" s="66">
        <v>9.3999999999999986E-3</v>
      </c>
      <c r="F17" s="66">
        <v>9.8999999999999991E-3</v>
      </c>
      <c r="G17" s="66">
        <v>1.1699999999999999E-2</v>
      </c>
      <c r="I17" t="s">
        <v>246</v>
      </c>
      <c r="J17" s="683" t="s">
        <v>152</v>
      </c>
      <c r="K17" s="683"/>
      <c r="L17" s="683"/>
      <c r="M17" s="683"/>
      <c r="N17" s="683"/>
      <c r="O17" s="683"/>
      <c r="P17" s="683"/>
      <c r="Q17" s="683"/>
      <c r="R17" s="683"/>
      <c r="S17" s="683"/>
    </row>
    <row r="18" spans="1:26">
      <c r="A18" s="61" t="str">
        <f>A17</f>
        <v>Construção de Redes de Abastecimento de Água, Coleta de Esgoto</v>
      </c>
      <c r="B18" s="65" t="s">
        <v>149</v>
      </c>
      <c r="C18" s="61" t="str">
        <f t="shared" si="0"/>
        <v>Construção de Redes de Abastecimento de Água, Coleta de Esgoto-L</v>
      </c>
      <c r="E18" s="66">
        <v>6.7400000000000002E-2</v>
      </c>
      <c r="F18" s="66">
        <v>8.0399999999999985E-2</v>
      </c>
      <c r="G18" s="66">
        <v>9.4E-2</v>
      </c>
      <c r="I18" t="s">
        <v>246</v>
      </c>
    </row>
    <row r="19" spans="1:26" ht="12.75" customHeight="1">
      <c r="A19" s="61" t="str">
        <f>A18</f>
        <v>Construção de Redes de Abastecimento de Água, Coleta de Esgoto</v>
      </c>
      <c r="B19" s="70" t="s">
        <v>150</v>
      </c>
      <c r="C19" s="61" t="str">
        <f t="shared" si="0"/>
        <v>Construção de Redes de Abastecimento de Água, Coleta de Esgoto-BDI PAD</v>
      </c>
      <c r="E19" s="66">
        <v>0.20760000000000001</v>
      </c>
      <c r="F19" s="66">
        <v>0.24179999999999999</v>
      </c>
      <c r="G19" s="66">
        <v>0.26440000000000002</v>
      </c>
      <c r="I19" t="s">
        <v>246</v>
      </c>
      <c r="J19" s="685" t="s">
        <v>158</v>
      </c>
      <c r="K19" s="685"/>
      <c r="L19" s="685"/>
      <c r="M19" s="685"/>
      <c r="N19" s="685"/>
      <c r="O19" s="685"/>
      <c r="P19" s="685"/>
      <c r="Q19" s="685"/>
      <c r="R19" s="685" t="s">
        <v>159</v>
      </c>
      <c r="S19" s="684" t="s">
        <v>160</v>
      </c>
      <c r="U19" s="684" t="s">
        <v>161</v>
      </c>
      <c r="V19" s="684"/>
      <c r="W19" s="684"/>
      <c r="X19" s="682" t="s">
        <v>162</v>
      </c>
      <c r="Y19" s="682" t="s">
        <v>163</v>
      </c>
      <c r="Z19" s="682" t="s">
        <v>164</v>
      </c>
    </row>
    <row r="20" spans="1:26" ht="12.75" customHeight="1">
      <c r="A20" s="61" t="s">
        <v>165</v>
      </c>
      <c r="B20" s="65" t="s">
        <v>142</v>
      </c>
      <c r="C20" s="61" t="str">
        <f t="shared" si="0"/>
        <v>Construção e Manutenção de Estações e Redes de Distribuição de Energia Elétrica-AC</v>
      </c>
      <c r="E20" s="66">
        <v>5.2900000000000003E-2</v>
      </c>
      <c r="F20" s="66">
        <v>5.9200000000000003E-2</v>
      </c>
      <c r="G20" s="66">
        <v>7.9299999999999995E-2</v>
      </c>
      <c r="I20" t="s">
        <v>246</v>
      </c>
      <c r="J20" s="685"/>
      <c r="K20" s="685"/>
      <c r="L20" s="685"/>
      <c r="M20" s="685"/>
      <c r="N20" s="685"/>
      <c r="O20" s="685"/>
      <c r="P20" s="685"/>
      <c r="Q20" s="685"/>
      <c r="R20" s="685"/>
      <c r="S20" s="684"/>
      <c r="U20" s="684"/>
      <c r="V20" s="684"/>
      <c r="W20" s="684"/>
      <c r="X20" s="682"/>
      <c r="Y20" s="682"/>
      <c r="Z20" s="682"/>
    </row>
    <row r="21" spans="1:26" ht="15" customHeight="1">
      <c r="A21" s="61" t="str">
        <f>A20</f>
        <v>Construção e Manutenção de Estações e Redes de Distribuição de Energia Elétrica</v>
      </c>
      <c r="B21" s="65" t="s">
        <v>144</v>
      </c>
      <c r="C21" s="61" t="str">
        <f t="shared" si="0"/>
        <v>Construção e Manutenção de Estações e Redes de Distribuição de Energia Elétrica-SG</v>
      </c>
      <c r="E21" s="66">
        <v>2.5000000000000001E-3</v>
      </c>
      <c r="F21" s="66">
        <v>5.1000000000000004E-3</v>
      </c>
      <c r="G21" s="66">
        <v>5.6000000000000008E-3</v>
      </c>
      <c r="I21" t="s">
        <v>246</v>
      </c>
      <c r="J21" s="687" t="str">
        <f>IF($J$17=$A$146,"Encargos Sociais incidentes sobre a mão de obra","Administração Central")</f>
        <v>Administração Central</v>
      </c>
      <c r="K21" s="687"/>
      <c r="L21" s="687"/>
      <c r="M21" s="687"/>
      <c r="N21" s="687"/>
      <c r="O21" s="687"/>
      <c r="P21" s="687"/>
      <c r="Q21" s="687"/>
      <c r="R21" s="72" t="str">
        <f>IF($J17=$A$146,"K1","AC")</f>
        <v>AC</v>
      </c>
      <c r="S21" s="73">
        <f>Y21</f>
        <v>4.0099999999999997E-2</v>
      </c>
      <c r="U21" s="688" t="s">
        <v>166</v>
      </c>
      <c r="V21" s="688"/>
      <c r="W21" s="688"/>
      <c r="X21" s="74">
        <f>VLOOKUP(CONCATENATE(J17,"-",R21),$C$2:$G$136,3,FALSE)</f>
        <v>3.7999999999999999E-2</v>
      </c>
      <c r="Y21" s="74">
        <f>VLOOKUP(CONCATENATE(J17,"-",R21),$C$2:$G$136,4,FALSE)</f>
        <v>4.0099999999999997E-2</v>
      </c>
      <c r="Z21" s="74">
        <f>VLOOKUP(CONCATENATE(J17,"-",R21),$C$2:$G$136,5,FALSE)</f>
        <v>4.6699999999999998E-2</v>
      </c>
    </row>
    <row r="22" spans="1:26" ht="15" customHeight="1">
      <c r="A22" s="61" t="str">
        <f>A21</f>
        <v>Construção e Manutenção de Estações e Redes de Distribuição de Energia Elétrica</v>
      </c>
      <c r="B22" s="65" t="s">
        <v>145</v>
      </c>
      <c r="C22" s="61" t="str">
        <f t="shared" si="0"/>
        <v>Construção e Manutenção de Estações e Redes de Distribuição de Energia Elétrica-R</v>
      </c>
      <c r="E22" s="66">
        <v>0.01</v>
      </c>
      <c r="F22" s="66">
        <v>1.4800000000000001E-2</v>
      </c>
      <c r="G22" s="66">
        <v>1.9699999999999999E-2</v>
      </c>
      <c r="I22" t="s">
        <v>246</v>
      </c>
      <c r="J22" s="687" t="str">
        <f>IF($J$17=$A$146,"Administração Central da empresa ou consultoria - overhead","Seguro e Garantia")</f>
        <v>Seguro e Garantia</v>
      </c>
      <c r="K22" s="687"/>
      <c r="L22" s="687"/>
      <c r="M22" s="687"/>
      <c r="N22" s="687"/>
      <c r="O22" s="687"/>
      <c r="P22" s="687"/>
      <c r="Q22" s="687"/>
      <c r="R22" s="72" t="str">
        <f>IF($J17=$A$146,"K2","SG")</f>
        <v>SG</v>
      </c>
      <c r="S22" s="73">
        <f t="shared" ref="S22:S26" si="1">Y22</f>
        <v>4.0000000000000001E-3</v>
      </c>
      <c r="U22" s="688" t="s">
        <v>166</v>
      </c>
      <c r="V22" s="688"/>
      <c r="W22" s="688"/>
      <c r="X22" s="74">
        <f>VLOOKUP(CONCATENATE(J17,"-",R22),$C$2:$G$136,3,FALSE)</f>
        <v>3.2000000000000002E-3</v>
      </c>
      <c r="Y22" s="74">
        <f>VLOOKUP(CONCATENATE(J17,"-",R22),$C$2:$G$136,4,FALSE)</f>
        <v>4.0000000000000001E-3</v>
      </c>
      <c r="Z22" s="74">
        <f>VLOOKUP(CONCATENATE(J17,"-",R22),$C$2:$G$136,5,FALSE)</f>
        <v>7.4000000000000003E-3</v>
      </c>
    </row>
    <row r="23" spans="1:26" ht="15" customHeight="1">
      <c r="A23" s="61" t="str">
        <f>A22</f>
        <v>Construção e Manutenção de Estações e Redes de Distribuição de Energia Elétrica</v>
      </c>
      <c r="B23" s="65" t="s">
        <v>148</v>
      </c>
      <c r="C23" s="61" t="str">
        <f t="shared" si="0"/>
        <v>Construção e Manutenção de Estações e Redes de Distribuição de Energia Elétrica-DF</v>
      </c>
      <c r="E23" s="66">
        <v>1.01E-2</v>
      </c>
      <c r="F23" s="66">
        <v>1.0700000000000001E-2</v>
      </c>
      <c r="G23" s="66">
        <v>1.11E-2</v>
      </c>
      <c r="I23" t="s">
        <v>246</v>
      </c>
      <c r="J23" s="687" t="str">
        <f>IF($J$17=$A$146,"","Risco")</f>
        <v>Risco</v>
      </c>
      <c r="K23" s="687"/>
      <c r="L23" s="687"/>
      <c r="M23" s="687"/>
      <c r="N23" s="687"/>
      <c r="O23" s="687"/>
      <c r="P23" s="687"/>
      <c r="Q23" s="687"/>
      <c r="R23" s="72" t="str">
        <f>IF($J17=$A$146,"","R")</f>
        <v>R</v>
      </c>
      <c r="S23" s="73">
        <f t="shared" si="1"/>
        <v>5.6000000000000008E-3</v>
      </c>
      <c r="U23" s="688" t="s">
        <v>166</v>
      </c>
      <c r="V23" s="688"/>
      <c r="W23" s="688"/>
      <c r="X23" s="74">
        <f>VLOOKUP(CONCATENATE(J17,"-",R23),$C$2:$G$136,3,FALSE)</f>
        <v>5.0000000000000001E-3</v>
      </c>
      <c r="Y23" s="74">
        <f>VLOOKUP(CONCATENATE(J17,"-",R23),$C$2:$G$136,4,FALSE)</f>
        <v>5.6000000000000008E-3</v>
      </c>
      <c r="Z23" s="74">
        <f>VLOOKUP(CONCATENATE(J17,"-",R23),$C$2:$G$136,5,FALSE)</f>
        <v>9.7000000000000003E-3</v>
      </c>
    </row>
    <row r="24" spans="1:26" ht="15" customHeight="1">
      <c r="A24" s="61" t="str">
        <f>A23</f>
        <v>Construção e Manutenção de Estações e Redes de Distribuição de Energia Elétrica</v>
      </c>
      <c r="B24" s="65" t="s">
        <v>149</v>
      </c>
      <c r="C24" s="61" t="str">
        <f t="shared" si="0"/>
        <v>Construção e Manutenção de Estações e Redes de Distribuição de Energia Elétrica-L</v>
      </c>
      <c r="E24" s="66">
        <v>0.08</v>
      </c>
      <c r="F24" s="66">
        <v>8.3100000000000007E-2</v>
      </c>
      <c r="G24" s="66">
        <v>9.5100000000000004E-2</v>
      </c>
      <c r="I24" t="s">
        <v>246</v>
      </c>
      <c r="J24" s="687" t="str">
        <f>IF($J$17=$A$146,"","Despesas Financeiras")</f>
        <v>Despesas Financeiras</v>
      </c>
      <c r="K24" s="687"/>
      <c r="L24" s="687"/>
      <c r="M24" s="687"/>
      <c r="N24" s="687"/>
      <c r="O24" s="687"/>
      <c r="P24" s="687"/>
      <c r="Q24" s="687"/>
      <c r="R24" s="72" t="str">
        <f>IF($J17=$A$146,"","DF")</f>
        <v>DF</v>
      </c>
      <c r="S24" s="73">
        <f t="shared" si="1"/>
        <v>1.11E-2</v>
      </c>
      <c r="U24" s="688" t="s">
        <v>166</v>
      </c>
      <c r="V24" s="688"/>
      <c r="W24" s="688"/>
      <c r="X24" s="74">
        <f>VLOOKUP(CONCATENATE(J17,"-",R24),$C$2:$G$136,3,FALSE)</f>
        <v>1.0200000000000001E-2</v>
      </c>
      <c r="Y24" s="74">
        <f>VLOOKUP(CONCATENATE(J17,"-",R24),$C$2:$G$136,4,FALSE)</f>
        <v>1.11E-2</v>
      </c>
      <c r="Z24" s="74">
        <f>VLOOKUP(CONCATENATE(J17,"-",R24),$C$2:$G$136,5,FALSE)</f>
        <v>1.21E-2</v>
      </c>
    </row>
    <row r="25" spans="1:26" ht="15" customHeight="1">
      <c r="A25" s="61" t="str">
        <f>A24</f>
        <v>Construção e Manutenção de Estações e Redes de Distribuição de Energia Elétrica</v>
      </c>
      <c r="B25" s="70" t="s">
        <v>150</v>
      </c>
      <c r="C25" s="61" t="str">
        <f t="shared" si="0"/>
        <v>Construção e Manutenção de Estações e Redes de Distribuição de Energia Elétrica-BDI PAD</v>
      </c>
      <c r="E25" s="66">
        <v>0.24</v>
      </c>
      <c r="F25" s="66">
        <v>0.25840000000000002</v>
      </c>
      <c r="G25" s="66">
        <v>0.27860000000000001</v>
      </c>
      <c r="I25" t="s">
        <v>246</v>
      </c>
      <c r="J25" s="687" t="str">
        <f>IF($J$17=$A$146,"Margem bruta da empresa de consultoria","Lucro")</f>
        <v>Lucro</v>
      </c>
      <c r="K25" s="687"/>
      <c r="L25" s="687"/>
      <c r="M25" s="687"/>
      <c r="N25" s="687"/>
      <c r="O25" s="687"/>
      <c r="P25" s="687"/>
      <c r="Q25" s="687"/>
      <c r="R25" s="72" t="str">
        <f>IF($J17=$A$146,"K3","L")</f>
        <v>L</v>
      </c>
      <c r="S25" s="73">
        <f t="shared" si="1"/>
        <v>7.2999999999999995E-2</v>
      </c>
      <c r="U25" s="688" t="s">
        <v>166</v>
      </c>
      <c r="V25" s="688"/>
      <c r="W25" s="688"/>
      <c r="X25" s="74">
        <f>VLOOKUP(CONCATENATE(J17,"-",R25),$C$2:$G$136,3,FALSE)</f>
        <v>6.6400000000000001E-2</v>
      </c>
      <c r="Y25" s="74">
        <f>VLOOKUP(CONCATENATE(J17,"-",R25),$C$2:$G$136,4,FALSE)</f>
        <v>7.2999999999999995E-2</v>
      </c>
      <c r="Z25" s="74">
        <f>VLOOKUP(CONCATENATE(J17,"-",R25),$C$2:$G$136,5,FALSE)</f>
        <v>8.6899999999999991E-2</v>
      </c>
    </row>
    <row r="26" spans="1:26" ht="15" customHeight="1">
      <c r="A26" s="61" t="s">
        <v>167</v>
      </c>
      <c r="B26" s="65" t="s">
        <v>142</v>
      </c>
      <c r="C26" s="61" t="str">
        <f t="shared" si="0"/>
        <v>Obras Portuárias, Marítimas e Fluviais-AC</v>
      </c>
      <c r="E26" s="66">
        <v>0.04</v>
      </c>
      <c r="F26" s="66">
        <v>5.5199999999999999E-2</v>
      </c>
      <c r="G26" s="66">
        <v>7.85E-2</v>
      </c>
      <c r="I26" t="s">
        <v>246</v>
      </c>
      <c r="J26" s="687" t="s">
        <v>168</v>
      </c>
      <c r="K26" s="687"/>
      <c r="L26" s="687"/>
      <c r="M26" s="687"/>
      <c r="N26" s="687"/>
      <c r="O26" s="687"/>
      <c r="P26" s="687"/>
      <c r="Q26" s="687"/>
      <c r="R26" s="72" t="s">
        <v>169</v>
      </c>
      <c r="S26" s="73">
        <f t="shared" si="1"/>
        <v>3.6499999999999998E-2</v>
      </c>
      <c r="U26" s="688" t="s">
        <v>166</v>
      </c>
      <c r="V26" s="688"/>
      <c r="W26" s="688"/>
      <c r="X26" s="74">
        <v>3.6499999999999998E-2</v>
      </c>
      <c r="Y26" s="74">
        <v>3.6499999999999998E-2</v>
      </c>
      <c r="Z26" s="74">
        <v>3.6499999999999998E-2</v>
      </c>
    </row>
    <row r="27" spans="1:26" ht="15" customHeight="1">
      <c r="A27" s="61" t="str">
        <f>A26</f>
        <v>Obras Portuárias, Marítimas e Fluviais</v>
      </c>
      <c r="B27" s="65" t="s">
        <v>144</v>
      </c>
      <c r="C27" s="61" t="str">
        <f t="shared" si="0"/>
        <v>Obras Portuárias, Marítimas e Fluviais-SG</v>
      </c>
      <c r="E27" s="66">
        <v>8.1000000000000013E-3</v>
      </c>
      <c r="F27" s="66">
        <v>1.2199999999999999E-2</v>
      </c>
      <c r="G27" s="66">
        <v>1.9900000000000001E-2</v>
      </c>
      <c r="I27" t="s">
        <v>246</v>
      </c>
      <c r="J27" s="687" t="s">
        <v>170</v>
      </c>
      <c r="K27" s="687"/>
      <c r="L27" s="687"/>
      <c r="M27" s="687"/>
      <c r="N27" s="687"/>
      <c r="O27" s="687"/>
      <c r="P27" s="687"/>
      <c r="Q27" s="687"/>
      <c r="R27" s="72" t="s">
        <v>171</v>
      </c>
      <c r="S27" s="74">
        <f ca="1">IF(AND($J17&lt;&gt;$A$145,COUNTA(OFFSET(S20,1,0,6))&gt;0),$R$11*$R$10,0)</f>
        <v>0.03</v>
      </c>
      <c r="U27" s="688" t="s">
        <v>166</v>
      </c>
      <c r="V27" s="688"/>
      <c r="W27" s="688"/>
      <c r="X27" s="74">
        <v>0</v>
      </c>
      <c r="Y27" s="74">
        <v>2.5000000000000001E-2</v>
      </c>
      <c r="Z27" s="74">
        <v>0.05</v>
      </c>
    </row>
    <row r="28" spans="1:26" ht="15" customHeight="1">
      <c r="A28" s="61" t="str">
        <f>A27</f>
        <v>Obras Portuárias, Marítimas e Fluviais</v>
      </c>
      <c r="B28" s="65" t="s">
        <v>145</v>
      </c>
      <c r="C28" s="61" t="str">
        <f t="shared" si="0"/>
        <v>Obras Portuárias, Marítimas e Fluviais-R</v>
      </c>
      <c r="E28" s="66">
        <v>1.46E-2</v>
      </c>
      <c r="F28" s="66">
        <v>2.3199999999999998E-2</v>
      </c>
      <c r="G28" s="66">
        <v>3.1600000000000003E-2</v>
      </c>
      <c r="I28" t="s">
        <v>246</v>
      </c>
      <c r="J28" s="687" t="s">
        <v>172</v>
      </c>
      <c r="K28" s="687"/>
      <c r="L28" s="687"/>
      <c r="M28" s="687"/>
      <c r="N28" s="687"/>
      <c r="O28" s="687"/>
      <c r="P28" s="687"/>
      <c r="Q28" s="687"/>
      <c r="R28" s="72" t="s">
        <v>173</v>
      </c>
      <c r="S28" s="74">
        <f ca="1">IF(BDI.Opcao&lt;&gt;"Desonerado",0,IF(AND($J17&lt;&gt;$A$145,COUNTA(OFFSET(S20,1,0,6))&gt;0),4.5%,0%))</f>
        <v>0</v>
      </c>
      <c r="U28" s="688" t="s">
        <v>166</v>
      </c>
      <c r="V28" s="688"/>
      <c r="W28" s="688"/>
      <c r="X28" s="75">
        <v>0</v>
      </c>
      <c r="Y28" s="75">
        <v>4.4999999999999998E-2</v>
      </c>
      <c r="Z28" s="75">
        <v>4.4999999999999998E-2</v>
      </c>
    </row>
    <row r="29" spans="1:26" ht="15" customHeight="1">
      <c r="A29" s="61" t="str">
        <f>A28</f>
        <v>Obras Portuárias, Marítimas e Fluviais</v>
      </c>
      <c r="B29" s="65" t="s">
        <v>148</v>
      </c>
      <c r="C29" s="61" t="str">
        <f t="shared" si="0"/>
        <v>Obras Portuárias, Marítimas e Fluviais-DF</v>
      </c>
      <c r="E29" s="66">
        <v>9.3999999999999986E-3</v>
      </c>
      <c r="F29" s="66">
        <v>1.0200000000000001E-2</v>
      </c>
      <c r="G29" s="66">
        <v>1.3300000000000001E-2</v>
      </c>
      <c r="I29" t="s">
        <v>246</v>
      </c>
      <c r="J29" s="687" t="s">
        <v>174</v>
      </c>
      <c r="K29" s="687"/>
      <c r="L29" s="687"/>
      <c r="M29" s="687"/>
      <c r="N29" s="687"/>
      <c r="O29" s="687"/>
      <c r="P29" s="687"/>
      <c r="Q29" s="687"/>
      <c r="R29" s="76" t="s">
        <v>150</v>
      </c>
      <c r="S29" s="74">
        <f ca="1">IF($J17=$A$145,0,ROUND((((1+S21+S22+S23)*(1+S24)*(1+S25)/(1-(S26+S27)))-1),4))</f>
        <v>0.22</v>
      </c>
      <c r="U29" s="684" t="str">
        <f ca="1">IF(OR($J$17=$A$146,$J$17=$A$145,AND(S29&gt;=X29,S29&lt;=Z29)),"OK","FORA DO INTERVALO")</f>
        <v>OK</v>
      </c>
      <c r="V29" s="684"/>
      <c r="W29" s="684"/>
      <c r="X29" s="74">
        <f>IF($J17=$A$145,0,VLOOKUP(CONCATENATE($J17,"-",$R29),$C$2:$G$136,3,FALSE))</f>
        <v>0.19600000000000001</v>
      </c>
      <c r="Y29" s="74">
        <f>IF($J17=$A$145,0,VLOOKUP(CONCATENATE($J17,"-",$R29),$C$2:$G$136,4,FALSE))</f>
        <v>0.2097</v>
      </c>
      <c r="Z29" s="74">
        <f>IF($J17=$A$145,0,VLOOKUP(CONCATENATE($J17,"-",$R29),$C$2:$G$136,5,FALSE))</f>
        <v>0.24230000000000002</v>
      </c>
    </row>
    <row r="30" spans="1:26" ht="15" customHeight="1">
      <c r="A30" s="61" t="str">
        <f>A29</f>
        <v>Obras Portuárias, Marítimas e Fluviais</v>
      </c>
      <c r="B30" s="65" t="s">
        <v>149</v>
      </c>
      <c r="C30" s="61" t="str">
        <f t="shared" si="0"/>
        <v>Obras Portuárias, Marítimas e Fluviais-L</v>
      </c>
      <c r="E30" s="66">
        <v>7.1399999999999991E-2</v>
      </c>
      <c r="F30" s="66">
        <v>8.4000000000000005E-2</v>
      </c>
      <c r="G30" s="66">
        <v>0.1043</v>
      </c>
      <c r="I30" t="s">
        <v>246</v>
      </c>
      <c r="J30" s="691" t="s">
        <v>175</v>
      </c>
      <c r="K30" s="691"/>
      <c r="L30" s="691"/>
      <c r="M30" s="691"/>
      <c r="N30" s="691"/>
      <c r="O30" s="691"/>
      <c r="P30" s="691"/>
      <c r="Q30" s="691"/>
      <c r="R30" s="77" t="s">
        <v>176</v>
      </c>
      <c r="S30" s="78">
        <f ca="1">IF($J17=$A$145,0,ROUND((((1+S21+S22+S23)*(1+S24)*(1+S25)/(1-(S26+S27+S28)))-1),4))</f>
        <v>0.22</v>
      </c>
    </row>
    <row r="31" spans="1:26" ht="26.4">
      <c r="A31" s="61" t="str">
        <f>A30</f>
        <v>Obras Portuárias, Marítimas e Fluviais</v>
      </c>
      <c r="B31" s="70" t="s">
        <v>150</v>
      </c>
      <c r="C31" s="61" t="str">
        <f t="shared" si="0"/>
        <v>Obras Portuárias, Marítimas e Fluviais-BDI PAD</v>
      </c>
      <c r="E31" s="66">
        <v>0.22800000000000001</v>
      </c>
      <c r="F31" s="66">
        <v>0.27479999999999999</v>
      </c>
      <c r="G31" s="66">
        <v>0.3095</v>
      </c>
      <c r="I31" t="s">
        <v>246</v>
      </c>
    </row>
    <row r="32" spans="1:26" ht="15.6">
      <c r="A32" s="61" t="s">
        <v>177</v>
      </c>
      <c r="B32" s="65" t="s">
        <v>142</v>
      </c>
      <c r="C32" s="61" t="str">
        <f t="shared" si="0"/>
        <v>Fornecimento de Materiais e Equipamentos (aquisição indireta - em conjunto com licitação de obras)-AC</v>
      </c>
      <c r="E32" s="66">
        <v>1.4999999999999999E-2</v>
      </c>
      <c r="F32" s="66">
        <v>3.4500000000000003E-2</v>
      </c>
      <c r="G32" s="66">
        <v>4.4900000000000002E-2</v>
      </c>
      <c r="I32" t="s">
        <v>246</v>
      </c>
      <c r="J32" s="79" t="str">
        <f ca="1">IF(U29&lt;&gt;"ok","X","")</f>
        <v/>
      </c>
      <c r="K32" s="692" t="str">
        <f ca="1">IF(U29&lt;&gt;"ok","Anexo: Relatório Técnico Circunstanciado justificando a adoção do percentual de cada parcela do BDI.","")</f>
        <v/>
      </c>
      <c r="L32" s="692"/>
      <c r="M32" s="692"/>
      <c r="N32" s="692"/>
      <c r="O32" s="692"/>
      <c r="P32" s="692"/>
      <c r="Q32" s="692"/>
      <c r="R32" s="692"/>
      <c r="S32" s="692"/>
    </row>
    <row r="33" spans="1:19">
      <c r="A33" s="61" t="str">
        <f>A32</f>
        <v>Fornecimento de Materiais e Equipamentos (aquisição indireta - em conjunto com licitação de obras)</v>
      </c>
      <c r="B33" s="65" t="s">
        <v>144</v>
      </c>
      <c r="C33" s="61" t="str">
        <f t="shared" si="0"/>
        <v>Fornecimento de Materiais e Equipamentos (aquisição indireta - em conjunto com licitação de obras)-SG</v>
      </c>
      <c r="E33" s="66">
        <v>3.0000000000000001E-3</v>
      </c>
      <c r="F33" s="66">
        <v>4.7999999999999996E-3</v>
      </c>
      <c r="G33" s="66">
        <v>8.199999999999999E-3</v>
      </c>
      <c r="I33" t="s">
        <v>246</v>
      </c>
    </row>
    <row r="34" spans="1:19">
      <c r="A34" s="61" t="str">
        <f>A33</f>
        <v>Fornecimento de Materiais e Equipamentos (aquisição indireta - em conjunto com licitação de obras)</v>
      </c>
      <c r="B34" s="65" t="s">
        <v>145</v>
      </c>
      <c r="C34" s="61" t="str">
        <f t="shared" si="0"/>
        <v>Fornecimento de Materiais e Equipamentos (aquisição indireta - em conjunto com licitação de obras)-R</v>
      </c>
      <c r="E34" s="66">
        <v>5.6000000000000008E-3</v>
      </c>
      <c r="F34" s="66">
        <v>8.5000000000000006E-3</v>
      </c>
      <c r="G34" s="66">
        <v>8.8999999999999999E-3</v>
      </c>
      <c r="I34" t="s">
        <v>246</v>
      </c>
      <c r="J34" s="693" t="s">
        <v>178</v>
      </c>
      <c r="K34" s="693"/>
      <c r="L34" s="693"/>
      <c r="M34" s="693"/>
      <c r="N34" s="693"/>
      <c r="O34" s="693"/>
      <c r="P34" s="693"/>
      <c r="Q34" s="693"/>
      <c r="R34" s="693"/>
      <c r="S34" s="693"/>
    </row>
    <row r="35" spans="1:19" ht="15.6">
      <c r="A35" s="61" t="str">
        <f>A34</f>
        <v>Fornecimento de Materiais e Equipamentos (aquisição indireta - em conjunto com licitação de obras)</v>
      </c>
      <c r="B35" s="65" t="s">
        <v>148</v>
      </c>
      <c r="C35" s="61" t="str">
        <f t="shared" si="0"/>
        <v>Fornecimento de Materiais e Equipamentos (aquisição indireta - em conjunto com licitação de obras)-DF</v>
      </c>
      <c r="E35" s="66">
        <v>8.5000000000000006E-3</v>
      </c>
      <c r="F35" s="66">
        <v>8.5000000000000006E-3</v>
      </c>
      <c r="G35" s="66">
        <v>1.11E-2</v>
      </c>
      <c r="I35" t="s">
        <v>246</v>
      </c>
      <c r="J35" s="80"/>
      <c r="K35" s="80"/>
      <c r="L35" s="80"/>
      <c r="M35" s="694" t="s">
        <v>179</v>
      </c>
      <c r="N35" s="700" t="str">
        <f>IF($J17=$A$146,"(1+K1+K2)*(1+K3)","(1+AC + S + R + G)*(1 + DF)*(1+L)")</f>
        <v>(1+AC + S + R + G)*(1 + DF)*(1+L)</v>
      </c>
      <c r="O35" s="700"/>
      <c r="P35" s="700"/>
      <c r="Q35" s="701" t="s">
        <v>180</v>
      </c>
      <c r="R35" s="80"/>
      <c r="S35" s="80"/>
    </row>
    <row r="36" spans="1:19" ht="15.6">
      <c r="A36" s="61" t="str">
        <f>A35</f>
        <v>Fornecimento de Materiais e Equipamentos (aquisição indireta - em conjunto com licitação de obras)</v>
      </c>
      <c r="B36" s="65" t="s">
        <v>149</v>
      </c>
      <c r="C36" s="61" t="str">
        <f t="shared" si="0"/>
        <v>Fornecimento de Materiais e Equipamentos (aquisição indireta - em conjunto com licitação de obras)-L</v>
      </c>
      <c r="E36" s="66">
        <v>3.5000000000000003E-2</v>
      </c>
      <c r="F36" s="66">
        <v>5.1100000000000007E-2</v>
      </c>
      <c r="G36" s="66">
        <v>6.2199999999999998E-2</v>
      </c>
      <c r="I36" t="s">
        <v>246</v>
      </c>
      <c r="J36" s="80"/>
      <c r="K36" s="80"/>
      <c r="L36" s="80"/>
      <c r="M36" s="694"/>
      <c r="N36" s="689" t="s">
        <v>181</v>
      </c>
      <c r="O36" s="689"/>
      <c r="P36" s="689"/>
      <c r="Q36" s="701"/>
      <c r="R36" s="80"/>
      <c r="S36" s="80"/>
    </row>
    <row r="37" spans="1:19" ht="15" customHeight="1">
      <c r="A37" s="61" t="str">
        <f>A36</f>
        <v>Fornecimento de Materiais e Equipamentos (aquisição indireta - em conjunto com licitação de obras)</v>
      </c>
      <c r="B37" s="70" t="s">
        <v>150</v>
      </c>
      <c r="C37" s="61" t="str">
        <f t="shared" si="0"/>
        <v>Fornecimento de Materiais e Equipamentos (aquisição indireta - em conjunto com licitação de obras)-BDI PAD</v>
      </c>
      <c r="E37" s="66">
        <v>0.111</v>
      </c>
      <c r="F37" s="66">
        <v>0.14019999999999999</v>
      </c>
      <c r="G37" s="66">
        <v>0.16800000000000001</v>
      </c>
      <c r="I37" t="s">
        <v>246</v>
      </c>
      <c r="J37" s="84"/>
      <c r="K37" s="84"/>
      <c r="L37" s="84"/>
      <c r="M37" s="84"/>
      <c r="N37" s="84"/>
      <c r="O37" s="84"/>
      <c r="P37" s="84"/>
      <c r="Q37" s="84"/>
      <c r="R37" s="84"/>
      <c r="S37" s="84"/>
    </row>
    <row r="38" spans="1:19" ht="50.1" customHeight="1">
      <c r="A38" s="61" t="s">
        <v>182</v>
      </c>
      <c r="B38" s="70" t="s">
        <v>142</v>
      </c>
      <c r="C38" s="61" t="str">
        <f t="shared" si="0"/>
        <v>Fornecimento de Materiais e Equipamentos (aquisição direta)-AC</v>
      </c>
      <c r="E38" s="66" t="s">
        <v>166</v>
      </c>
      <c r="F38" s="66" t="s">
        <v>166</v>
      </c>
      <c r="G38" s="66" t="s">
        <v>166</v>
      </c>
      <c r="I38" t="s">
        <v>246</v>
      </c>
      <c r="J38" s="690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690"/>
      <c r="L38" s="690"/>
      <c r="M38" s="690"/>
      <c r="N38" s="690"/>
      <c r="O38" s="690"/>
      <c r="P38" s="690"/>
      <c r="Q38" s="690"/>
      <c r="R38" s="690"/>
      <c r="S38" s="690"/>
    </row>
    <row r="39" spans="1:19">
      <c r="A39" s="61" t="s">
        <v>182</v>
      </c>
      <c r="B39" s="70" t="s">
        <v>144</v>
      </c>
      <c r="C39" s="61" t="str">
        <f t="shared" si="0"/>
        <v>Fornecimento de Materiais e Equipamentos (aquisição direta)-SG</v>
      </c>
      <c r="E39" s="66" t="s">
        <v>166</v>
      </c>
      <c r="F39" s="66" t="s">
        <v>166</v>
      </c>
      <c r="G39" s="66" t="s">
        <v>166</v>
      </c>
      <c r="I39" t="s">
        <v>246</v>
      </c>
    </row>
    <row r="40" spans="1:19" ht="50.1" customHeight="1">
      <c r="A40" s="61" t="s">
        <v>182</v>
      </c>
      <c r="B40" s="70" t="s">
        <v>145</v>
      </c>
      <c r="C40" s="61" t="str">
        <f t="shared" si="0"/>
        <v>Fornecimento de Materiais e Equipamentos (aquisição direta)-R</v>
      </c>
      <c r="E40" s="66" t="s">
        <v>166</v>
      </c>
      <c r="F40" s="66" t="s">
        <v>166</v>
      </c>
      <c r="G40" s="66" t="s">
        <v>166</v>
      </c>
      <c r="I40" t="s">
        <v>246</v>
      </c>
      <c r="J40" s="690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690"/>
      <c r="L40" s="690"/>
      <c r="M40" s="690"/>
      <c r="N40" s="690"/>
      <c r="O40" s="690"/>
      <c r="P40" s="690"/>
      <c r="Q40" s="690"/>
      <c r="R40" s="690"/>
      <c r="S40" s="690"/>
    </row>
    <row r="41" spans="1:19">
      <c r="A41" s="61" t="s">
        <v>182</v>
      </c>
      <c r="B41" s="70" t="s">
        <v>148</v>
      </c>
      <c r="C41" s="61" t="str">
        <f t="shared" si="0"/>
        <v>Fornecimento de Materiais e Equipamentos (aquisição direta)-DF</v>
      </c>
      <c r="E41" s="66" t="s">
        <v>166</v>
      </c>
      <c r="F41" s="66" t="s">
        <v>166</v>
      </c>
      <c r="G41" s="66" t="s">
        <v>166</v>
      </c>
      <c r="I41" t="s">
        <v>246</v>
      </c>
    </row>
    <row r="42" spans="1:19">
      <c r="A42" s="61" t="s">
        <v>182</v>
      </c>
      <c r="B42" s="70" t="s">
        <v>149</v>
      </c>
      <c r="C42" s="61" t="str">
        <f t="shared" si="0"/>
        <v>Fornecimento de Materiais e Equipamentos (aquisição direta)-L</v>
      </c>
      <c r="E42" s="66" t="s">
        <v>166</v>
      </c>
      <c r="F42" s="66" t="s">
        <v>166</v>
      </c>
      <c r="G42" s="66" t="s">
        <v>166</v>
      </c>
      <c r="I42" t="s">
        <v>246</v>
      </c>
      <c r="J42" s="61" t="s">
        <v>187</v>
      </c>
    </row>
    <row r="43" spans="1:19" ht="99.9" customHeight="1">
      <c r="A43" s="61" t="s">
        <v>182</v>
      </c>
      <c r="B43" s="70" t="s">
        <v>150</v>
      </c>
      <c r="C43" s="61" t="str">
        <f t="shared" si="0"/>
        <v>Fornecimento de Materiais e Equipamentos (aquisição direta)-BDI PAD</v>
      </c>
      <c r="E43" s="66" t="s">
        <v>166</v>
      </c>
      <c r="F43" s="66" t="s">
        <v>166</v>
      </c>
      <c r="G43" s="66" t="s">
        <v>166</v>
      </c>
      <c r="I43" t="s">
        <v>246</v>
      </c>
      <c r="J43" s="702"/>
      <c r="K43" s="702"/>
      <c r="L43" s="702"/>
      <c r="M43" s="702"/>
      <c r="N43" s="702"/>
      <c r="O43" s="702"/>
      <c r="P43" s="702"/>
      <c r="Q43" s="702"/>
      <c r="R43" s="702"/>
      <c r="S43" s="702"/>
    </row>
    <row r="44" spans="1:19">
      <c r="A44" s="61" t="s">
        <v>183</v>
      </c>
      <c r="B44" s="65" t="s">
        <v>184</v>
      </c>
      <c r="C44" s="61" t="str">
        <f t="shared" si="0"/>
        <v>Estudos e Projetos, Planos e Gerenciamento e outros correlatos-K1</v>
      </c>
      <c r="E44" s="66" t="s">
        <v>166</v>
      </c>
      <c r="F44" s="66" t="s">
        <v>166</v>
      </c>
      <c r="G44" s="66" t="s">
        <v>166</v>
      </c>
      <c r="I44" t="s">
        <v>246</v>
      </c>
    </row>
    <row r="45" spans="1:19">
      <c r="A45" s="61" t="str">
        <f>A44</f>
        <v>Estudos e Projetos, Planos e Gerenciamento e outros correlatos</v>
      </c>
      <c r="B45" s="65" t="s">
        <v>185</v>
      </c>
      <c r="C45" s="61" t="str">
        <f t="shared" si="0"/>
        <v>Estudos e Projetos, Planos e Gerenciamento e outros correlatos-K2</v>
      </c>
      <c r="E45" s="66" t="s">
        <v>166</v>
      </c>
      <c r="F45" s="66">
        <v>0.2</v>
      </c>
      <c r="G45" s="66" t="s">
        <v>166</v>
      </c>
      <c r="I45" t="s">
        <v>246</v>
      </c>
      <c r="J45" s="696" t="str">
        <f>Import.Município</f>
        <v>PONTAL - SP</v>
      </c>
      <c r="K45" s="696"/>
      <c r="L45" s="696"/>
      <c r="M45" s="696"/>
      <c r="P45" s="697">
        <f ca="1">DADOS!$F$25</f>
        <v>45797</v>
      </c>
      <c r="Q45" s="697"/>
      <c r="R45" s="697"/>
      <c r="S45" s="697"/>
    </row>
    <row r="46" spans="1:19">
      <c r="A46" s="61" t="str">
        <f>A45</f>
        <v>Estudos e Projetos, Planos e Gerenciamento e outros correlatos</v>
      </c>
      <c r="B46" s="65"/>
      <c r="C46" s="61" t="str">
        <f t="shared" si="0"/>
        <v>Estudos e Projetos, Planos e Gerenciamento e outros correlatos-</v>
      </c>
      <c r="E46" s="66" t="s">
        <v>166</v>
      </c>
      <c r="F46" s="66" t="s">
        <v>166</v>
      </c>
      <c r="G46" s="66" t="s">
        <v>166</v>
      </c>
      <c r="I46" t="s">
        <v>246</v>
      </c>
      <c r="J46" s="698" t="s">
        <v>188</v>
      </c>
      <c r="K46" s="698"/>
      <c r="L46" s="698"/>
      <c r="M46" s="698"/>
      <c r="O46" s="85"/>
      <c r="P46" s="86" t="s">
        <v>189</v>
      </c>
      <c r="Q46" s="87"/>
      <c r="R46" s="87"/>
      <c r="S46" s="87"/>
    </row>
    <row r="47" spans="1:19" ht="30" customHeight="1">
      <c r="A47" s="61" t="str">
        <f>A46</f>
        <v>Estudos e Projetos, Planos e Gerenciamento e outros correlatos</v>
      </c>
      <c r="B47" s="65"/>
      <c r="C47" s="61" t="str">
        <f t="shared" si="0"/>
        <v>Estudos e Projetos, Planos e Gerenciamento e outros correlatos-</v>
      </c>
      <c r="E47" s="66" t="s">
        <v>166</v>
      </c>
      <c r="F47" s="66" t="s">
        <v>166</v>
      </c>
      <c r="G47" s="66" t="s">
        <v>166</v>
      </c>
      <c r="I47" t="s">
        <v>246</v>
      </c>
    </row>
    <row r="48" spans="1:19" ht="13.8">
      <c r="A48" s="61" t="str">
        <f>A47</f>
        <v>Estudos e Projetos, Planos e Gerenciamento e outros correlatos</v>
      </c>
      <c r="B48" s="65" t="s">
        <v>186</v>
      </c>
      <c r="C48" s="61" t="str">
        <f t="shared" si="0"/>
        <v>Estudos e Projetos, Planos e Gerenciamento e outros correlatos-K3</v>
      </c>
      <c r="E48" s="66" t="s">
        <v>166</v>
      </c>
      <c r="F48" s="66">
        <v>0.12</v>
      </c>
      <c r="G48" s="66" t="s">
        <v>166</v>
      </c>
      <c r="I48" t="s">
        <v>246</v>
      </c>
      <c r="J48" s="699"/>
      <c r="K48" s="699"/>
      <c r="L48" s="699"/>
      <c r="M48" s="699"/>
      <c r="N48" s="88"/>
    </row>
    <row r="49" spans="1:26" ht="12.75" customHeight="1">
      <c r="A49" s="61" t="str">
        <f>A48</f>
        <v>Estudos e Projetos, Planos e Gerenciamento e outros correlatos</v>
      </c>
      <c r="B49" s="70" t="s">
        <v>150</v>
      </c>
      <c r="C49" s="61" t="str">
        <f t="shared" si="0"/>
        <v>Estudos e Projetos, Planos e Gerenciamento e outros correlatos-BDI PAD</v>
      </c>
      <c r="E49" s="66" t="s">
        <v>166</v>
      </c>
      <c r="F49" s="66" t="s">
        <v>166</v>
      </c>
      <c r="G49" s="66" t="s">
        <v>166</v>
      </c>
      <c r="I49" t="s">
        <v>246</v>
      </c>
      <c r="J49" s="695" t="s">
        <v>190</v>
      </c>
      <c r="K49" s="695"/>
      <c r="L49" s="695"/>
      <c r="M49" s="695"/>
      <c r="N49" s="89"/>
    </row>
    <row r="50" spans="1:26" ht="13.8">
      <c r="B50" s="70"/>
      <c r="E50" s="66"/>
      <c r="F50" s="66"/>
      <c r="G50" s="66"/>
      <c r="I50" t="s">
        <v>246</v>
      </c>
      <c r="J50" s="90" t="s">
        <v>108</v>
      </c>
      <c r="K50" s="91" t="str">
        <f t="array" ref="K50:K52">Import.RespOrçamento</f>
        <v>CÉSAR AUGUSTO SABINO</v>
      </c>
      <c r="L50" s="92"/>
      <c r="M50" s="92"/>
      <c r="N50" s="93"/>
    </row>
    <row r="51" spans="1:26" ht="13.8">
      <c r="A51"/>
      <c r="B51"/>
      <c r="C51"/>
      <c r="D51"/>
      <c r="E51"/>
      <c r="F51"/>
      <c r="G51"/>
      <c r="I51" t="s">
        <v>246</v>
      </c>
      <c r="J51" s="90" t="s">
        <v>109</v>
      </c>
      <c r="K51" s="91" t="str">
        <v>5070797486</v>
      </c>
      <c r="L51" s="92"/>
      <c r="M51" s="92"/>
      <c r="N51" s="93"/>
    </row>
    <row r="52" spans="1:26" ht="13.8">
      <c r="A52"/>
      <c r="B52"/>
      <c r="C52"/>
      <c r="D52"/>
      <c r="E52"/>
      <c r="F52"/>
      <c r="G52"/>
      <c r="I52" t="s">
        <v>246</v>
      </c>
      <c r="J52" s="90" t="s">
        <v>110</v>
      </c>
      <c r="K52" s="91">
        <v>0</v>
      </c>
      <c r="L52" s="92"/>
      <c r="M52" s="92"/>
      <c r="N52" s="93"/>
    </row>
    <row r="53" spans="1:26" ht="13.8">
      <c r="A53"/>
      <c r="B53"/>
      <c r="C53"/>
      <c r="D53"/>
      <c r="E53"/>
      <c r="F53"/>
      <c r="G53"/>
      <c r="I53" t="s">
        <v>246</v>
      </c>
      <c r="J53" s="90"/>
      <c r="K53" s="94"/>
      <c r="L53" s="92"/>
      <c r="M53" s="92"/>
      <c r="N53" s="93"/>
    </row>
    <row r="54" spans="1:26" ht="15.6" hidden="1">
      <c r="A54"/>
      <c r="B54"/>
      <c r="C54"/>
      <c r="D54"/>
      <c r="E54"/>
      <c r="F54"/>
      <c r="G54"/>
      <c r="I54" t="str">
        <f ca="1">IF($S$69=0,"","F")</f>
        <v/>
      </c>
      <c r="J54" s="686" t="s">
        <v>191</v>
      </c>
      <c r="K54" s="686"/>
      <c r="L54" s="686"/>
      <c r="M54" s="686"/>
      <c r="N54" s="686"/>
      <c r="O54" s="686"/>
      <c r="P54" s="686"/>
      <c r="Q54" s="686"/>
      <c r="R54" s="686"/>
      <c r="S54" s="686"/>
    </row>
    <row r="55" spans="1:26" hidden="1">
      <c r="A55"/>
      <c r="B55"/>
      <c r="C55"/>
      <c r="D55"/>
      <c r="E55"/>
      <c r="F55"/>
      <c r="G55"/>
      <c r="I55" t="str">
        <f t="shared" ref="I55:I93" ca="1" si="2">IF($S$69=0,"","F")</f>
        <v/>
      </c>
    </row>
    <row r="56" spans="1:26" hidden="1">
      <c r="A56"/>
      <c r="B56"/>
      <c r="C56"/>
      <c r="D56"/>
      <c r="E56"/>
      <c r="F56"/>
      <c r="G56"/>
      <c r="I56" t="str">
        <f t="shared" ca="1" si="2"/>
        <v/>
      </c>
      <c r="J56" s="677" t="s">
        <v>157</v>
      </c>
      <c r="K56" s="677"/>
      <c r="L56" s="677"/>
      <c r="M56" s="677"/>
      <c r="N56" s="677"/>
      <c r="O56" s="677"/>
      <c r="P56" s="677"/>
      <c r="Q56" s="677"/>
      <c r="R56" s="677"/>
      <c r="S56" s="677"/>
    </row>
    <row r="57" spans="1:26" hidden="1">
      <c r="A57"/>
      <c r="B57"/>
      <c r="C57"/>
      <c r="D57"/>
      <c r="E57"/>
      <c r="F57"/>
      <c r="G57"/>
      <c r="I57" t="str">
        <f t="shared" ca="1" si="2"/>
        <v/>
      </c>
      <c r="J57" s="683" t="s">
        <v>409</v>
      </c>
      <c r="K57" s="683"/>
      <c r="L57" s="683"/>
      <c r="M57" s="683"/>
      <c r="N57" s="683"/>
      <c r="O57" s="683"/>
      <c r="P57" s="683"/>
      <c r="Q57" s="683"/>
      <c r="R57" s="683"/>
      <c r="S57" s="683"/>
    </row>
    <row r="58" spans="1:26" hidden="1">
      <c r="A58"/>
      <c r="B58"/>
      <c r="C58"/>
      <c r="D58"/>
      <c r="E58"/>
      <c r="F58"/>
      <c r="G58"/>
      <c r="I58" t="str">
        <f t="shared" ca="1" si="2"/>
        <v/>
      </c>
    </row>
    <row r="59" spans="1:26" ht="12.75" hidden="1" customHeight="1">
      <c r="A59"/>
      <c r="B59"/>
      <c r="C59"/>
      <c r="D59"/>
      <c r="E59"/>
      <c r="F59"/>
      <c r="G59"/>
      <c r="I59" t="str">
        <f t="shared" ca="1" si="2"/>
        <v/>
      </c>
      <c r="J59" s="685" t="s">
        <v>158</v>
      </c>
      <c r="K59" s="685"/>
      <c r="L59" s="685"/>
      <c r="M59" s="685"/>
      <c r="N59" s="685"/>
      <c r="O59" s="685"/>
      <c r="P59" s="685"/>
      <c r="Q59" s="685"/>
      <c r="R59" s="685" t="s">
        <v>159</v>
      </c>
      <c r="S59" s="684" t="s">
        <v>160</v>
      </c>
      <c r="U59" s="684" t="s">
        <v>161</v>
      </c>
      <c r="V59" s="684"/>
      <c r="W59" s="684"/>
      <c r="X59" s="682" t="s">
        <v>162</v>
      </c>
      <c r="Y59" s="682" t="s">
        <v>163</v>
      </c>
      <c r="Z59" s="682" t="s">
        <v>164</v>
      </c>
    </row>
    <row r="60" spans="1:26" ht="12.75" hidden="1" customHeight="1">
      <c r="A60"/>
      <c r="B60"/>
      <c r="C60"/>
      <c r="D60"/>
      <c r="E60"/>
      <c r="F60"/>
      <c r="G60"/>
      <c r="I60" t="str">
        <f t="shared" ca="1" si="2"/>
        <v/>
      </c>
      <c r="J60" s="685"/>
      <c r="K60" s="685"/>
      <c r="L60" s="685"/>
      <c r="M60" s="685"/>
      <c r="N60" s="685"/>
      <c r="O60" s="685"/>
      <c r="P60" s="685"/>
      <c r="Q60" s="685"/>
      <c r="R60" s="685"/>
      <c r="S60" s="684"/>
      <c r="U60" s="684"/>
      <c r="V60" s="684"/>
      <c r="W60" s="684"/>
      <c r="X60" s="682"/>
      <c r="Y60" s="682"/>
      <c r="Z60" s="682"/>
    </row>
    <row r="61" spans="1:26" ht="15" hidden="1" customHeight="1">
      <c r="A61"/>
      <c r="B61"/>
      <c r="C61"/>
      <c r="D61"/>
      <c r="E61"/>
      <c r="F61"/>
      <c r="G61"/>
      <c r="I61" t="str">
        <f t="shared" ca="1" si="2"/>
        <v/>
      </c>
      <c r="J61" s="687" t="str">
        <f>IF($J$17=$A$146,"Encargos Sociais incidentes sobre a mão de obra","Administração Central")</f>
        <v>Administração Central</v>
      </c>
      <c r="K61" s="687"/>
      <c r="L61" s="687"/>
      <c r="M61" s="687"/>
      <c r="N61" s="687"/>
      <c r="O61" s="687"/>
      <c r="P61" s="687"/>
      <c r="Q61" s="687"/>
      <c r="R61" s="72" t="str">
        <f>IF($J57=$A$146,"K1","AC")</f>
        <v>AC</v>
      </c>
      <c r="S61" s="73"/>
      <c r="U61" s="688" t="s">
        <v>166</v>
      </c>
      <c r="V61" s="688"/>
      <c r="W61" s="688"/>
      <c r="X61" s="74" t="e">
        <f>VLOOKUP(CONCATENATE(J57,"-",R61),$C$2:$G$136,3,FALSE)</f>
        <v>#N/A</v>
      </c>
      <c r="Y61" s="74" t="e">
        <f>VLOOKUP(CONCATENATE(J57,"-",R61),$C$2:$G$136,4,FALSE)</f>
        <v>#N/A</v>
      </c>
      <c r="Z61" s="74" t="e">
        <f>VLOOKUP(CONCATENATE(J57,"-",R61),$C$2:$G$136,5,FALSE)</f>
        <v>#N/A</v>
      </c>
    </row>
    <row r="62" spans="1:26" ht="15" hidden="1" customHeight="1">
      <c r="A62"/>
      <c r="B62"/>
      <c r="C62"/>
      <c r="D62"/>
      <c r="E62"/>
      <c r="F62"/>
      <c r="G62"/>
      <c r="I62" t="str">
        <f t="shared" ca="1" si="2"/>
        <v/>
      </c>
      <c r="J62" s="687" t="str">
        <f>IF($J$17=$A$146,"Administração Central da empresa ou consultoria - overhead","Seguro e Garantia")</f>
        <v>Seguro e Garantia</v>
      </c>
      <c r="K62" s="687"/>
      <c r="L62" s="687"/>
      <c r="M62" s="687"/>
      <c r="N62" s="687"/>
      <c r="O62" s="687"/>
      <c r="P62" s="687"/>
      <c r="Q62" s="687"/>
      <c r="R62" s="72" t="str">
        <f>IF($J57=$A$146,"K2","SG")</f>
        <v>SG</v>
      </c>
      <c r="S62" s="73"/>
      <c r="U62" s="688" t="s">
        <v>166</v>
      </c>
      <c r="V62" s="688"/>
      <c r="W62" s="688"/>
      <c r="X62" s="74" t="e">
        <f>VLOOKUP(CONCATENATE(J57,"-",R62),$C$2:$G$136,3,FALSE)</f>
        <v>#N/A</v>
      </c>
      <c r="Y62" s="74" t="e">
        <f>VLOOKUP(CONCATENATE(J57,"-",R62),$C$2:$G$136,4,FALSE)</f>
        <v>#N/A</v>
      </c>
      <c r="Z62" s="74" t="e">
        <f>VLOOKUP(CONCATENATE(J57,"-",R62),$C$2:$G$136,5,FALSE)</f>
        <v>#N/A</v>
      </c>
    </row>
    <row r="63" spans="1:26" ht="15" hidden="1" customHeight="1">
      <c r="A63"/>
      <c r="B63"/>
      <c r="C63"/>
      <c r="D63"/>
      <c r="E63"/>
      <c r="F63"/>
      <c r="G63"/>
      <c r="I63" t="str">
        <f t="shared" ca="1" si="2"/>
        <v/>
      </c>
      <c r="J63" s="687" t="str">
        <f>IF($J$17=$A$146,"","Risco")</f>
        <v>Risco</v>
      </c>
      <c r="K63" s="687"/>
      <c r="L63" s="687"/>
      <c r="M63" s="687"/>
      <c r="N63" s="687"/>
      <c r="O63" s="687"/>
      <c r="P63" s="687"/>
      <c r="Q63" s="687"/>
      <c r="R63" s="72" t="str">
        <f>IF($J57=$A$146,"","R")</f>
        <v>R</v>
      </c>
      <c r="S63" s="73"/>
      <c r="U63" s="688" t="s">
        <v>166</v>
      </c>
      <c r="V63" s="688"/>
      <c r="W63" s="688"/>
      <c r="X63" s="74" t="e">
        <f>VLOOKUP(CONCATENATE(J57,"-",R63),$C$2:$G$136,3,FALSE)</f>
        <v>#N/A</v>
      </c>
      <c r="Y63" s="74" t="e">
        <f>VLOOKUP(CONCATENATE(J57,"-",R63),$C$2:$G$136,4,FALSE)</f>
        <v>#N/A</v>
      </c>
      <c r="Z63" s="74" t="e">
        <f>VLOOKUP(CONCATENATE(J57,"-",R63),$C$2:$G$136,5,FALSE)</f>
        <v>#N/A</v>
      </c>
    </row>
    <row r="64" spans="1:26" ht="15" hidden="1" customHeight="1">
      <c r="A64"/>
      <c r="B64"/>
      <c r="C64"/>
      <c r="D64"/>
      <c r="E64"/>
      <c r="F64"/>
      <c r="G64"/>
      <c r="I64" t="str">
        <f t="shared" ca="1" si="2"/>
        <v/>
      </c>
      <c r="J64" s="687" t="str">
        <f>IF($J$17=$A$146,"","Despesas Financeiras")</f>
        <v>Despesas Financeiras</v>
      </c>
      <c r="K64" s="687"/>
      <c r="L64" s="687"/>
      <c r="M64" s="687"/>
      <c r="N64" s="687"/>
      <c r="O64" s="687"/>
      <c r="P64" s="687"/>
      <c r="Q64" s="687"/>
      <c r="R64" s="72" t="str">
        <f>IF($J57=$A$146,"","DF")</f>
        <v>DF</v>
      </c>
      <c r="S64" s="73"/>
      <c r="U64" s="688" t="s">
        <v>166</v>
      </c>
      <c r="V64" s="688"/>
      <c r="W64" s="688"/>
      <c r="X64" s="74" t="e">
        <f>VLOOKUP(CONCATENATE(J57,"-",R64),$C$2:$G$136,3,FALSE)</f>
        <v>#N/A</v>
      </c>
      <c r="Y64" s="74" t="e">
        <f>VLOOKUP(CONCATENATE(J57,"-",R64),$C$2:$G$136,4,FALSE)</f>
        <v>#N/A</v>
      </c>
      <c r="Z64" s="74" t="e">
        <f>VLOOKUP(CONCATENATE(J57,"-",R64),$C$2:$G$136,5,FALSE)</f>
        <v>#N/A</v>
      </c>
    </row>
    <row r="65" spans="1:26" ht="15" hidden="1" customHeight="1">
      <c r="A65"/>
      <c r="B65"/>
      <c r="C65"/>
      <c r="D65"/>
      <c r="E65"/>
      <c r="F65"/>
      <c r="G65"/>
      <c r="I65" t="str">
        <f t="shared" ca="1" si="2"/>
        <v/>
      </c>
      <c r="J65" s="687" t="str">
        <f>IF($J$17=$A$146,"Margem bruta da empresa de consultoria","Lucro")</f>
        <v>Lucro</v>
      </c>
      <c r="K65" s="687"/>
      <c r="L65" s="687"/>
      <c r="M65" s="687"/>
      <c r="N65" s="687"/>
      <c r="O65" s="687"/>
      <c r="P65" s="687"/>
      <c r="Q65" s="687"/>
      <c r="R65" s="72" t="str">
        <f>IF($J57=$A$146,"K3","L")</f>
        <v>L</v>
      </c>
      <c r="S65" s="73"/>
      <c r="U65" s="688" t="s">
        <v>166</v>
      </c>
      <c r="V65" s="688"/>
      <c r="W65" s="688"/>
      <c r="X65" s="74" t="e">
        <f>VLOOKUP(CONCATENATE(J57,"-",R65),$C$2:$G$136,3,FALSE)</f>
        <v>#N/A</v>
      </c>
      <c r="Y65" s="74" t="e">
        <f>VLOOKUP(CONCATENATE(J57,"-",R65),$C$2:$G$136,4,FALSE)</f>
        <v>#N/A</v>
      </c>
      <c r="Z65" s="74" t="e">
        <f>VLOOKUP(CONCATENATE(J57,"-",R65),$C$2:$G$136,5,FALSE)</f>
        <v>#N/A</v>
      </c>
    </row>
    <row r="66" spans="1:26" ht="15" hidden="1" customHeight="1">
      <c r="A66"/>
      <c r="B66"/>
      <c r="C66"/>
      <c r="D66"/>
      <c r="E66"/>
      <c r="F66"/>
      <c r="G66"/>
      <c r="I66" t="str">
        <f t="shared" ca="1" si="2"/>
        <v/>
      </c>
      <c r="J66" s="687" t="s">
        <v>168</v>
      </c>
      <c r="K66" s="687"/>
      <c r="L66" s="687"/>
      <c r="M66" s="687"/>
      <c r="N66" s="687"/>
      <c r="O66" s="687"/>
      <c r="P66" s="687"/>
      <c r="Q66" s="687"/>
      <c r="R66" s="72" t="s">
        <v>169</v>
      </c>
      <c r="S66" s="73"/>
      <c r="U66" s="688" t="s">
        <v>166</v>
      </c>
      <c r="V66" s="688"/>
      <c r="W66" s="688"/>
      <c r="X66" s="74">
        <v>3.6499999999999998E-2</v>
      </c>
      <c r="Y66" s="74">
        <v>3.6499999999999998E-2</v>
      </c>
      <c r="Z66" s="74">
        <v>3.6499999999999998E-2</v>
      </c>
    </row>
    <row r="67" spans="1:26" ht="15" hidden="1" customHeight="1">
      <c r="A67"/>
      <c r="B67"/>
      <c r="C67"/>
      <c r="D67"/>
      <c r="E67"/>
      <c r="F67"/>
      <c r="G67"/>
      <c r="I67" t="str">
        <f t="shared" ca="1" si="2"/>
        <v/>
      </c>
      <c r="J67" s="687" t="s">
        <v>170</v>
      </c>
      <c r="K67" s="687"/>
      <c r="L67" s="687"/>
      <c r="M67" s="687"/>
      <c r="N67" s="687"/>
      <c r="O67" s="687"/>
      <c r="P67" s="687"/>
      <c r="Q67" s="687"/>
      <c r="R67" s="72" t="s">
        <v>171</v>
      </c>
      <c r="S67" s="74">
        <f ca="1">IF(AND($J57&lt;&gt;$A$145,COUNTA(OFFSET(S60,1,0,6))&gt;0),$R$11*$R$10,0)</f>
        <v>0</v>
      </c>
      <c r="U67" s="688" t="s">
        <v>166</v>
      </c>
      <c r="V67" s="688"/>
      <c r="W67" s="688"/>
      <c r="X67" s="74">
        <v>0</v>
      </c>
      <c r="Y67" s="74">
        <v>2.5000000000000001E-2</v>
      </c>
      <c r="Z67" s="74">
        <v>0.05</v>
      </c>
    </row>
    <row r="68" spans="1:26" ht="15" hidden="1" customHeight="1">
      <c r="A68"/>
      <c r="B68"/>
      <c r="C68"/>
      <c r="D68"/>
      <c r="E68"/>
      <c r="F68"/>
      <c r="G68"/>
      <c r="I68" t="str">
        <f t="shared" ca="1" si="2"/>
        <v/>
      </c>
      <c r="J68" s="687" t="s">
        <v>172</v>
      </c>
      <c r="K68" s="687"/>
      <c r="L68" s="687"/>
      <c r="M68" s="687"/>
      <c r="N68" s="687"/>
      <c r="O68" s="687"/>
      <c r="P68" s="687"/>
      <c r="Q68" s="687"/>
      <c r="R68" s="72" t="s">
        <v>173</v>
      </c>
      <c r="S68" s="74">
        <f ca="1">IF(BDI.Opcao&lt;&gt;"Desonerado",0,IF(AND($J57&lt;&gt;$A$145,COUNTA(OFFSET(S60,1,0,6))&gt;0),4.5%,0%))</f>
        <v>0</v>
      </c>
      <c r="U68" s="688" t="s">
        <v>166</v>
      </c>
      <c r="V68" s="688"/>
      <c r="W68" s="688"/>
      <c r="X68" s="75">
        <v>0</v>
      </c>
      <c r="Y68" s="75">
        <v>4.4999999999999998E-2</v>
      </c>
      <c r="Z68" s="75">
        <v>4.4999999999999998E-2</v>
      </c>
    </row>
    <row r="69" spans="1:26" ht="15" hidden="1" customHeight="1">
      <c r="A69"/>
      <c r="B69"/>
      <c r="C69"/>
      <c r="D69"/>
      <c r="E69"/>
      <c r="F69"/>
      <c r="G69"/>
      <c r="I69" t="str">
        <f t="shared" ca="1" si="2"/>
        <v/>
      </c>
      <c r="J69" s="687" t="s">
        <v>174</v>
      </c>
      <c r="K69" s="687"/>
      <c r="L69" s="687"/>
      <c r="M69" s="687"/>
      <c r="N69" s="687"/>
      <c r="O69" s="687"/>
      <c r="P69" s="687"/>
      <c r="Q69" s="687"/>
      <c r="R69" s="76" t="s">
        <v>150</v>
      </c>
      <c r="S69" s="74">
        <f ca="1">IF($J57=$A$145,0,ROUND((((1+S61+S62+S63)*(1+S64)*(1+S65)/(1-(S66+S67)))-1),4))</f>
        <v>0</v>
      </c>
      <c r="U69" s="684" t="e">
        <f ca="1">IF(OR($J$17=$A$146,$J$17=$A$145,AND(S69&gt;=X69,S69&lt;=Z69)),"OK","FORA DO INTERVALO")</f>
        <v>#N/A</v>
      </c>
      <c r="V69" s="684"/>
      <c r="W69" s="684"/>
      <c r="X69" s="74" t="e">
        <f>IF($J57=$A$145,0,VLOOKUP(CONCATENATE($J57,"-",$R69),$C$2:$G$136,3,FALSE))</f>
        <v>#N/A</v>
      </c>
      <c r="Y69" s="74" t="e">
        <f>IF($J57=$A$145,0,VLOOKUP(CONCATENATE($J57,"-",$R69),$C$2:$G$136,4,FALSE))</f>
        <v>#N/A</v>
      </c>
      <c r="Z69" s="74" t="e">
        <f>IF($J57=$A$145,0,VLOOKUP(CONCATENATE($J57,"-",$R69),$C$2:$G$136,5,FALSE))</f>
        <v>#N/A</v>
      </c>
    </row>
    <row r="70" spans="1:26" ht="15" hidden="1" customHeight="1">
      <c r="A70"/>
      <c r="B70"/>
      <c r="C70"/>
      <c r="D70"/>
      <c r="E70"/>
      <c r="F70"/>
      <c r="G70"/>
      <c r="I70" t="str">
        <f t="shared" ca="1" si="2"/>
        <v/>
      </c>
      <c r="J70" s="691" t="s">
        <v>175</v>
      </c>
      <c r="K70" s="691"/>
      <c r="L70" s="691"/>
      <c r="M70" s="691"/>
      <c r="N70" s="691"/>
      <c r="O70" s="691"/>
      <c r="P70" s="691"/>
      <c r="Q70" s="691"/>
      <c r="R70" s="77" t="s">
        <v>176</v>
      </c>
      <c r="S70" s="78">
        <f ca="1">IF($J57=$A$145,0,ROUND((((1+S61+S62+S63)*(1+S64)*(1+S65)/(1-(S66+S67+S68)))-1),4))</f>
        <v>0</v>
      </c>
    </row>
    <row r="71" spans="1:26" ht="25.5" hidden="1" customHeight="1">
      <c r="A71"/>
      <c r="B71"/>
      <c r="C71"/>
      <c r="D71"/>
      <c r="E71"/>
      <c r="F71"/>
      <c r="G71"/>
      <c r="I71" t="str">
        <f t="shared" ca="1" si="2"/>
        <v/>
      </c>
    </row>
    <row r="72" spans="1:26" ht="15.6" hidden="1">
      <c r="A72"/>
      <c r="B72"/>
      <c r="C72"/>
      <c r="D72"/>
      <c r="E72"/>
      <c r="F72"/>
      <c r="G72"/>
      <c r="I72" t="str">
        <f t="shared" ca="1" si="2"/>
        <v/>
      </c>
      <c r="J72" s="79" t="e">
        <f ca="1">IF(U69&lt;&gt;"ok","X","")</f>
        <v>#N/A</v>
      </c>
      <c r="K72" s="692" t="e">
        <f ca="1">IF(U69&lt;&gt;"ok","Anexo: Relatório Técnico Circunstanciado justificando a adoção do percentual de cada parcela do BDI.","")</f>
        <v>#N/A</v>
      </c>
      <c r="L72" s="692"/>
      <c r="M72" s="692"/>
      <c r="N72" s="692"/>
      <c r="O72" s="692"/>
      <c r="P72" s="692"/>
      <c r="Q72" s="692"/>
      <c r="R72" s="692"/>
      <c r="S72" s="692"/>
    </row>
    <row r="73" spans="1:26" hidden="1">
      <c r="A73"/>
      <c r="B73"/>
      <c r="C73"/>
      <c r="D73"/>
      <c r="E73"/>
      <c r="F73"/>
      <c r="G73"/>
      <c r="I73" t="str">
        <f t="shared" ca="1" si="2"/>
        <v/>
      </c>
    </row>
    <row r="74" spans="1:26" hidden="1">
      <c r="A74"/>
      <c r="B74"/>
      <c r="C74"/>
      <c r="D74"/>
      <c r="E74"/>
      <c r="F74"/>
      <c r="G74"/>
      <c r="I74" t="str">
        <f t="shared" ca="1" si="2"/>
        <v/>
      </c>
      <c r="J74" s="693" t="s">
        <v>178</v>
      </c>
      <c r="K74" s="693"/>
      <c r="L74" s="693"/>
      <c r="M74" s="693"/>
      <c r="N74" s="693"/>
      <c r="O74" s="693"/>
      <c r="P74" s="693"/>
      <c r="Q74" s="693"/>
      <c r="R74" s="693"/>
      <c r="S74" s="693"/>
    </row>
    <row r="75" spans="1:26" ht="15.6" hidden="1">
      <c r="A75"/>
      <c r="B75"/>
      <c r="C75"/>
      <c r="D75"/>
      <c r="E75"/>
      <c r="F75"/>
      <c r="G75"/>
      <c r="I75" t="str">
        <f t="shared" ca="1" si="2"/>
        <v/>
      </c>
      <c r="J75" s="80"/>
      <c r="K75" s="80"/>
      <c r="L75" s="80"/>
      <c r="M75" s="694" t="s">
        <v>179</v>
      </c>
      <c r="N75" s="700" t="str">
        <f>IF($J57=$A$146,"(1+K1+K2)*(1+K3)","(1+AC + S + R + G)*(1 + DF)*(1+L)")</f>
        <v>(1+AC + S + R + G)*(1 + DF)*(1+L)</v>
      </c>
      <c r="O75" s="700"/>
      <c r="P75" s="700"/>
      <c r="Q75" s="701" t="s">
        <v>180</v>
      </c>
      <c r="R75" s="80"/>
      <c r="S75" s="80"/>
    </row>
    <row r="76" spans="1:26" ht="15.6" hidden="1">
      <c r="A76"/>
      <c r="B76"/>
      <c r="C76"/>
      <c r="D76"/>
      <c r="E76"/>
      <c r="F76"/>
      <c r="G76"/>
      <c r="I76" t="str">
        <f t="shared" ca="1" si="2"/>
        <v/>
      </c>
      <c r="J76" s="80"/>
      <c r="K76" s="80"/>
      <c r="L76" s="80"/>
      <c r="M76" s="694"/>
      <c r="N76" s="689" t="s">
        <v>181</v>
      </c>
      <c r="O76" s="689"/>
      <c r="P76" s="689"/>
      <c r="Q76" s="701"/>
      <c r="R76" s="80"/>
      <c r="S76" s="80"/>
    </row>
    <row r="77" spans="1:26" ht="15" hidden="1" customHeight="1">
      <c r="A77"/>
      <c r="B77"/>
      <c r="C77"/>
      <c r="D77"/>
      <c r="E77"/>
      <c r="F77"/>
      <c r="G77"/>
      <c r="I77" t="str">
        <f t="shared" ca="1" si="2"/>
        <v/>
      </c>
      <c r="J77" s="80"/>
      <c r="K77" s="80"/>
      <c r="L77" s="80"/>
      <c r="M77" s="81"/>
      <c r="N77" s="83"/>
      <c r="O77" s="83"/>
      <c r="P77" s="83"/>
      <c r="Q77" s="82"/>
      <c r="R77" s="80"/>
      <c r="S77" s="80"/>
    </row>
    <row r="78" spans="1:26" ht="50.1" hidden="1" customHeight="1">
      <c r="A78"/>
      <c r="B78"/>
      <c r="C78"/>
      <c r="D78"/>
      <c r="E78"/>
      <c r="F78"/>
      <c r="G78"/>
      <c r="I78" t="str">
        <f t="shared" ca="1" si="2"/>
        <v/>
      </c>
      <c r="J78" s="690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690"/>
      <c r="L78" s="690"/>
      <c r="M78" s="690"/>
      <c r="N78" s="690"/>
      <c r="O78" s="690"/>
      <c r="P78" s="690"/>
      <c r="Q78" s="690"/>
      <c r="R78" s="690"/>
      <c r="S78" s="690"/>
    </row>
    <row r="79" spans="1:26" hidden="1">
      <c r="A79"/>
      <c r="B79"/>
      <c r="C79"/>
      <c r="D79"/>
      <c r="E79"/>
      <c r="F79"/>
      <c r="G79"/>
      <c r="I79" t="str">
        <f t="shared" ca="1" si="2"/>
        <v/>
      </c>
    </row>
    <row r="80" spans="1:26" ht="50.1" hidden="1" customHeight="1">
      <c r="A80"/>
      <c r="B80"/>
      <c r="C80"/>
      <c r="D80"/>
      <c r="E80"/>
      <c r="F80"/>
      <c r="G80"/>
      <c r="I80" t="str">
        <f t="shared" ca="1" si="2"/>
        <v/>
      </c>
      <c r="J80" s="690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690"/>
      <c r="L80" s="690"/>
      <c r="M80" s="690"/>
      <c r="N80" s="690"/>
      <c r="O80" s="690"/>
      <c r="P80" s="690"/>
      <c r="Q80" s="690"/>
      <c r="R80" s="690"/>
      <c r="S80" s="690"/>
    </row>
    <row r="81" spans="1:19" hidden="1">
      <c r="A81"/>
      <c r="B81"/>
      <c r="C81"/>
      <c r="D81"/>
      <c r="E81"/>
      <c r="F81"/>
      <c r="G81"/>
      <c r="I81" t="str">
        <f t="shared" ca="1" si="2"/>
        <v/>
      </c>
    </row>
    <row r="82" spans="1:19" hidden="1">
      <c r="A82"/>
      <c r="B82"/>
      <c r="C82"/>
      <c r="D82"/>
      <c r="E82"/>
      <c r="F82"/>
      <c r="G82"/>
      <c r="I82" t="str">
        <f t="shared" ca="1" si="2"/>
        <v/>
      </c>
      <c r="J82" s="61" t="s">
        <v>187</v>
      </c>
    </row>
    <row r="83" spans="1:19" ht="99.9" hidden="1" customHeight="1">
      <c r="A83"/>
      <c r="B83"/>
      <c r="C83"/>
      <c r="D83"/>
      <c r="E83"/>
      <c r="F83"/>
      <c r="G83"/>
      <c r="I83" t="str">
        <f t="shared" ca="1" si="2"/>
        <v/>
      </c>
      <c r="J83" s="702"/>
      <c r="K83" s="702"/>
      <c r="L83" s="702"/>
      <c r="M83" s="702"/>
      <c r="N83" s="702"/>
      <c r="O83" s="702"/>
      <c r="P83" s="702"/>
      <c r="Q83" s="702"/>
      <c r="R83" s="702"/>
      <c r="S83" s="702"/>
    </row>
    <row r="84" spans="1:19" hidden="1">
      <c r="A84"/>
      <c r="B84"/>
      <c r="C84"/>
      <c r="D84"/>
      <c r="E84"/>
      <c r="F84"/>
      <c r="G84"/>
      <c r="I84" t="str">
        <f t="shared" ca="1" si="2"/>
        <v/>
      </c>
    </row>
    <row r="85" spans="1:19" hidden="1">
      <c r="A85"/>
      <c r="B85"/>
      <c r="C85"/>
      <c r="D85"/>
      <c r="E85"/>
      <c r="F85"/>
      <c r="G85"/>
      <c r="I85" t="str">
        <f t="shared" ca="1" si="2"/>
        <v/>
      </c>
      <c r="J85" s="696" t="str">
        <f>Import.Município</f>
        <v>PONTAL - SP</v>
      </c>
      <c r="K85" s="696"/>
      <c r="L85" s="696"/>
      <c r="M85" s="696"/>
      <c r="P85" s="697">
        <f ca="1">DADOS!$F$25</f>
        <v>45797</v>
      </c>
      <c r="Q85" s="697"/>
      <c r="R85" s="697"/>
      <c r="S85" s="697"/>
    </row>
    <row r="86" spans="1:19" hidden="1">
      <c r="A86"/>
      <c r="B86"/>
      <c r="C86"/>
      <c r="D86"/>
      <c r="E86"/>
      <c r="F86"/>
      <c r="G86"/>
      <c r="I86" t="str">
        <f t="shared" ca="1" si="2"/>
        <v/>
      </c>
      <c r="J86" s="698" t="s">
        <v>188</v>
      </c>
      <c r="K86" s="698"/>
      <c r="L86" s="698"/>
      <c r="M86" s="698"/>
      <c r="O86" s="85"/>
      <c r="P86" s="86" t="s">
        <v>189</v>
      </c>
      <c r="Q86" s="87"/>
      <c r="R86" s="87"/>
      <c r="S86" s="87"/>
    </row>
    <row r="87" spans="1:19" ht="30" hidden="1" customHeight="1">
      <c r="A87"/>
      <c r="B87"/>
      <c r="C87"/>
      <c r="D87"/>
      <c r="E87"/>
      <c r="F87"/>
      <c r="G87"/>
      <c r="I87" t="str">
        <f t="shared" ca="1" si="2"/>
        <v/>
      </c>
    </row>
    <row r="88" spans="1:19" ht="13.8" hidden="1">
      <c r="A88"/>
      <c r="B88"/>
      <c r="C88"/>
      <c r="D88"/>
      <c r="E88"/>
      <c r="F88"/>
      <c r="G88"/>
      <c r="I88" t="str">
        <f t="shared" ca="1" si="2"/>
        <v/>
      </c>
      <c r="J88" s="699"/>
      <c r="K88" s="699"/>
      <c r="L88" s="699"/>
      <c r="M88" s="699"/>
      <c r="N88" s="88"/>
    </row>
    <row r="89" spans="1:19" hidden="1">
      <c r="A89"/>
      <c r="B89"/>
      <c r="C89"/>
      <c r="D89"/>
      <c r="E89"/>
      <c r="F89"/>
      <c r="G89"/>
      <c r="I89" t="str">
        <f t="shared" ca="1" si="2"/>
        <v/>
      </c>
      <c r="J89" s="695" t="s">
        <v>190</v>
      </c>
      <c r="K89" s="695"/>
      <c r="L89" s="695"/>
      <c r="M89" s="695"/>
      <c r="N89" s="89"/>
    </row>
    <row r="90" spans="1:19" ht="13.8" hidden="1">
      <c r="A90"/>
      <c r="B90"/>
      <c r="C90"/>
      <c r="D90"/>
      <c r="E90"/>
      <c r="F90"/>
      <c r="G90"/>
      <c r="I90" t="str">
        <f t="shared" ca="1" si="2"/>
        <v/>
      </c>
      <c r="J90" s="90" t="s">
        <v>108</v>
      </c>
      <c r="K90" s="91" t="str">
        <f t="array" ref="K90:K92">Import.RespOrçamento</f>
        <v>CÉSAR AUGUSTO SABINO</v>
      </c>
      <c r="L90" s="92"/>
      <c r="M90" s="92"/>
      <c r="N90" s="93"/>
    </row>
    <row r="91" spans="1:19" ht="13.8" hidden="1">
      <c r="A91"/>
      <c r="B91"/>
      <c r="C91"/>
      <c r="D91"/>
      <c r="E91"/>
      <c r="F91"/>
      <c r="G91"/>
      <c r="I91" t="str">
        <f t="shared" ca="1" si="2"/>
        <v/>
      </c>
      <c r="J91" s="90" t="s">
        <v>109</v>
      </c>
      <c r="K91" s="91" t="str">
        <v>5070797486</v>
      </c>
      <c r="L91" s="92"/>
      <c r="M91" s="92"/>
      <c r="N91" s="93"/>
    </row>
    <row r="92" spans="1:19" ht="13.8" hidden="1">
      <c r="A92"/>
      <c r="B92"/>
      <c r="C92"/>
      <c r="D92"/>
      <c r="E92"/>
      <c r="F92"/>
      <c r="G92"/>
      <c r="I92" t="str">
        <f t="shared" ca="1" si="2"/>
        <v/>
      </c>
      <c r="J92" s="90" t="s">
        <v>110</v>
      </c>
      <c r="K92" s="91">
        <v>0</v>
      </c>
      <c r="L92" s="92"/>
      <c r="M92" s="92"/>
      <c r="N92" s="93"/>
    </row>
    <row r="93" spans="1:19" ht="13.8" hidden="1">
      <c r="A93"/>
      <c r="B93"/>
      <c r="C93"/>
      <c r="D93"/>
      <c r="E93"/>
      <c r="F93"/>
      <c r="G93"/>
      <c r="I93" t="str">
        <f t="shared" ca="1" si="2"/>
        <v/>
      </c>
      <c r="J93" s="90"/>
      <c r="K93" s="94"/>
      <c r="L93" s="92"/>
      <c r="M93" s="92"/>
      <c r="N93" s="93"/>
    </row>
    <row r="94" spans="1:19" ht="15.6" hidden="1">
      <c r="A94"/>
      <c r="B94"/>
      <c r="C94"/>
      <c r="D94"/>
      <c r="E94"/>
      <c r="F94"/>
      <c r="G94"/>
      <c r="I94" t="str">
        <f ca="1">IF($S$109=0,"","F")</f>
        <v/>
      </c>
      <c r="J94" s="686" t="s">
        <v>192</v>
      </c>
      <c r="K94" s="686"/>
      <c r="L94" s="686"/>
      <c r="M94" s="686"/>
      <c r="N94" s="686"/>
      <c r="O94" s="686"/>
      <c r="P94" s="686"/>
      <c r="Q94" s="686"/>
      <c r="R94" s="686"/>
      <c r="S94" s="686"/>
    </row>
    <row r="95" spans="1:19" hidden="1">
      <c r="A95"/>
      <c r="B95"/>
      <c r="C95"/>
      <c r="D95"/>
      <c r="E95"/>
      <c r="F95"/>
      <c r="G95"/>
      <c r="I95" t="str">
        <f t="shared" ref="I95:I132" ca="1" si="3">IF($S$109=0,"","F")</f>
        <v/>
      </c>
    </row>
    <row r="96" spans="1:19" hidden="1">
      <c r="A96"/>
      <c r="B96"/>
      <c r="C96"/>
      <c r="D96"/>
      <c r="E96"/>
      <c r="F96"/>
      <c r="G96"/>
      <c r="I96" t="str">
        <f t="shared" ca="1" si="3"/>
        <v/>
      </c>
      <c r="J96" s="677" t="s">
        <v>157</v>
      </c>
      <c r="K96" s="677"/>
      <c r="L96" s="677"/>
      <c r="M96" s="677"/>
      <c r="N96" s="677"/>
      <c r="O96" s="677"/>
      <c r="P96" s="677"/>
      <c r="Q96" s="677"/>
      <c r="R96" s="677"/>
      <c r="S96" s="677"/>
    </row>
    <row r="97" spans="1:26" hidden="1">
      <c r="A97"/>
      <c r="B97"/>
      <c r="C97"/>
      <c r="D97"/>
      <c r="E97"/>
      <c r="F97"/>
      <c r="G97"/>
      <c r="I97" t="str">
        <f t="shared" ca="1" si="3"/>
        <v/>
      </c>
      <c r="J97" s="683" t="s">
        <v>409</v>
      </c>
      <c r="K97" s="683"/>
      <c r="L97" s="683"/>
      <c r="M97" s="683"/>
      <c r="N97" s="683"/>
      <c r="O97" s="683"/>
      <c r="P97" s="683"/>
      <c r="Q97" s="683"/>
      <c r="R97" s="683"/>
      <c r="S97" s="683"/>
    </row>
    <row r="98" spans="1:26" hidden="1">
      <c r="A98"/>
      <c r="B98"/>
      <c r="C98"/>
      <c r="D98"/>
      <c r="E98"/>
      <c r="F98"/>
      <c r="G98"/>
      <c r="I98" t="str">
        <f t="shared" ca="1" si="3"/>
        <v/>
      </c>
    </row>
    <row r="99" spans="1:26" ht="12.75" hidden="1" customHeight="1">
      <c r="A99"/>
      <c r="B99"/>
      <c r="C99"/>
      <c r="D99"/>
      <c r="E99"/>
      <c r="F99"/>
      <c r="G99"/>
      <c r="I99" t="str">
        <f t="shared" ca="1" si="3"/>
        <v/>
      </c>
      <c r="J99" s="685" t="s">
        <v>158</v>
      </c>
      <c r="K99" s="685"/>
      <c r="L99" s="685"/>
      <c r="M99" s="685"/>
      <c r="N99" s="685"/>
      <c r="O99" s="685"/>
      <c r="P99" s="685"/>
      <c r="Q99" s="685"/>
      <c r="R99" s="685" t="s">
        <v>159</v>
      </c>
      <c r="S99" s="684" t="s">
        <v>160</v>
      </c>
      <c r="U99" s="684" t="s">
        <v>161</v>
      </c>
      <c r="V99" s="684"/>
      <c r="W99" s="684"/>
      <c r="X99" s="682" t="s">
        <v>162</v>
      </c>
      <c r="Y99" s="682" t="s">
        <v>163</v>
      </c>
      <c r="Z99" s="682" t="s">
        <v>164</v>
      </c>
    </row>
    <row r="100" spans="1:26" ht="12.75" hidden="1" customHeight="1">
      <c r="A100"/>
      <c r="B100"/>
      <c r="C100"/>
      <c r="D100"/>
      <c r="E100"/>
      <c r="F100"/>
      <c r="G100"/>
      <c r="I100" t="str">
        <f t="shared" ca="1" si="3"/>
        <v/>
      </c>
      <c r="J100" s="685"/>
      <c r="K100" s="685"/>
      <c r="L100" s="685"/>
      <c r="M100" s="685"/>
      <c r="N100" s="685"/>
      <c r="O100" s="685"/>
      <c r="P100" s="685"/>
      <c r="Q100" s="685"/>
      <c r="R100" s="685"/>
      <c r="S100" s="684"/>
      <c r="U100" s="684"/>
      <c r="V100" s="684"/>
      <c r="W100" s="684"/>
      <c r="X100" s="682"/>
      <c r="Y100" s="682"/>
      <c r="Z100" s="682"/>
    </row>
    <row r="101" spans="1:26" ht="15" hidden="1" customHeight="1">
      <c r="A101"/>
      <c r="B101"/>
      <c r="C101"/>
      <c r="D101"/>
      <c r="E101"/>
      <c r="F101"/>
      <c r="G101"/>
      <c r="I101" t="str">
        <f t="shared" ca="1" si="3"/>
        <v/>
      </c>
      <c r="J101" s="687" t="str">
        <f>IF($J$17=$A$146,"Encargos Sociais incidentes sobre a mão de obra","Administração Central")</f>
        <v>Administração Central</v>
      </c>
      <c r="K101" s="687"/>
      <c r="L101" s="687"/>
      <c r="M101" s="687"/>
      <c r="N101" s="687"/>
      <c r="O101" s="687"/>
      <c r="P101" s="687"/>
      <c r="Q101" s="687"/>
      <c r="R101" s="72" t="str">
        <f>IF($J97=$A$146,"K1","AC")</f>
        <v>AC</v>
      </c>
      <c r="S101" s="73"/>
      <c r="U101" s="688" t="s">
        <v>166</v>
      </c>
      <c r="V101" s="688"/>
      <c r="W101" s="688"/>
      <c r="X101" s="74" t="e">
        <f>VLOOKUP(CONCATENATE(J97,"-",R101),$C$2:$G$136,3,FALSE)</f>
        <v>#N/A</v>
      </c>
      <c r="Y101" s="74" t="e">
        <f>VLOOKUP(CONCATENATE(J97,"-",R101),$C$2:$G$136,4,FALSE)</f>
        <v>#N/A</v>
      </c>
      <c r="Z101" s="74" t="e">
        <f>VLOOKUP(CONCATENATE(J97,"-",R101),$C$2:$G$136,5,FALSE)</f>
        <v>#N/A</v>
      </c>
    </row>
    <row r="102" spans="1:26" ht="15" hidden="1" customHeight="1">
      <c r="A102"/>
      <c r="B102"/>
      <c r="C102"/>
      <c r="D102"/>
      <c r="E102"/>
      <c r="F102"/>
      <c r="G102"/>
      <c r="I102" t="str">
        <f t="shared" ca="1" si="3"/>
        <v/>
      </c>
      <c r="J102" s="687" t="str">
        <f>IF($J$17=$A$146,"Administração Central da empresa ou consultoria - overhead","Seguro e Garantia")</f>
        <v>Seguro e Garantia</v>
      </c>
      <c r="K102" s="687"/>
      <c r="L102" s="687"/>
      <c r="M102" s="687"/>
      <c r="N102" s="687"/>
      <c r="O102" s="687"/>
      <c r="P102" s="687"/>
      <c r="Q102" s="687"/>
      <c r="R102" s="72" t="str">
        <f>IF($J97=$A$146,"K2","SG")</f>
        <v>SG</v>
      </c>
      <c r="S102" s="73"/>
      <c r="U102" s="688" t="s">
        <v>166</v>
      </c>
      <c r="V102" s="688"/>
      <c r="W102" s="688"/>
      <c r="X102" s="74" t="e">
        <f>VLOOKUP(CONCATENATE(J97,"-",R102),$C$2:$G$136,3,FALSE)</f>
        <v>#N/A</v>
      </c>
      <c r="Y102" s="74" t="e">
        <f>VLOOKUP(CONCATENATE(J97,"-",R102),$C$2:$G$136,4,FALSE)</f>
        <v>#N/A</v>
      </c>
      <c r="Z102" s="74" t="e">
        <f>VLOOKUP(CONCATENATE(J97,"-",R102),$C$2:$G$136,5,FALSE)</f>
        <v>#N/A</v>
      </c>
    </row>
    <row r="103" spans="1:26" ht="15" hidden="1" customHeight="1">
      <c r="A103"/>
      <c r="B103"/>
      <c r="C103"/>
      <c r="D103"/>
      <c r="E103"/>
      <c r="F103"/>
      <c r="G103"/>
      <c r="I103" t="str">
        <f t="shared" ca="1" si="3"/>
        <v/>
      </c>
      <c r="J103" s="687" t="str">
        <f>IF($J$17=$A$146,"","Risco")</f>
        <v>Risco</v>
      </c>
      <c r="K103" s="687"/>
      <c r="L103" s="687"/>
      <c r="M103" s="687"/>
      <c r="N103" s="687"/>
      <c r="O103" s="687"/>
      <c r="P103" s="687"/>
      <c r="Q103" s="687"/>
      <c r="R103" s="72" t="str">
        <f>IF($J97=$A$146,"","R")</f>
        <v>R</v>
      </c>
      <c r="S103" s="73"/>
      <c r="U103" s="688" t="s">
        <v>166</v>
      </c>
      <c r="V103" s="688"/>
      <c r="W103" s="688"/>
      <c r="X103" s="74" t="e">
        <f>VLOOKUP(CONCATENATE(J97,"-",R103),$C$2:$G$136,3,FALSE)</f>
        <v>#N/A</v>
      </c>
      <c r="Y103" s="74" t="e">
        <f>VLOOKUP(CONCATENATE(J97,"-",R103),$C$2:$G$136,4,FALSE)</f>
        <v>#N/A</v>
      </c>
      <c r="Z103" s="74" t="e">
        <f>VLOOKUP(CONCATENATE(J97,"-",R103),$C$2:$G$136,5,FALSE)</f>
        <v>#N/A</v>
      </c>
    </row>
    <row r="104" spans="1:26" ht="15" hidden="1" customHeight="1">
      <c r="A104"/>
      <c r="B104"/>
      <c r="C104"/>
      <c r="D104"/>
      <c r="E104"/>
      <c r="F104"/>
      <c r="G104"/>
      <c r="I104" t="str">
        <f t="shared" ca="1" si="3"/>
        <v/>
      </c>
      <c r="J104" s="687" t="str">
        <f>IF($J$17=$A$146,"","Despesas Financeiras")</f>
        <v>Despesas Financeiras</v>
      </c>
      <c r="K104" s="687"/>
      <c r="L104" s="687"/>
      <c r="M104" s="687"/>
      <c r="N104" s="687"/>
      <c r="O104" s="687"/>
      <c r="P104" s="687"/>
      <c r="Q104" s="687"/>
      <c r="R104" s="72" t="str">
        <f>IF($J97=$A$146,"","DF")</f>
        <v>DF</v>
      </c>
      <c r="S104" s="73"/>
      <c r="U104" s="688" t="s">
        <v>166</v>
      </c>
      <c r="V104" s="688"/>
      <c r="W104" s="688"/>
      <c r="X104" s="74" t="e">
        <f>VLOOKUP(CONCATENATE(J97,"-",R104),$C$2:$G$136,3,FALSE)</f>
        <v>#N/A</v>
      </c>
      <c r="Y104" s="74" t="e">
        <f>VLOOKUP(CONCATENATE(J97,"-",R104),$C$2:$G$136,4,FALSE)</f>
        <v>#N/A</v>
      </c>
      <c r="Z104" s="74" t="e">
        <f>VLOOKUP(CONCATENATE(J97,"-",R104),$C$2:$G$136,5,FALSE)</f>
        <v>#N/A</v>
      </c>
    </row>
    <row r="105" spans="1:26" ht="15" hidden="1" customHeight="1">
      <c r="A105"/>
      <c r="B105"/>
      <c r="C105"/>
      <c r="D105"/>
      <c r="E105"/>
      <c r="F105"/>
      <c r="G105"/>
      <c r="I105" t="str">
        <f t="shared" ca="1" si="3"/>
        <v/>
      </c>
      <c r="J105" s="687" t="str">
        <f>IF($J$17=$A$146,"Margem bruta da empresa de consultoria","Lucro")</f>
        <v>Lucro</v>
      </c>
      <c r="K105" s="687"/>
      <c r="L105" s="687"/>
      <c r="M105" s="687"/>
      <c r="N105" s="687"/>
      <c r="O105" s="687"/>
      <c r="P105" s="687"/>
      <c r="Q105" s="687"/>
      <c r="R105" s="72" t="str">
        <f>IF($J97=$A$146,"K3","L")</f>
        <v>L</v>
      </c>
      <c r="S105" s="73"/>
      <c r="U105" s="688" t="s">
        <v>166</v>
      </c>
      <c r="V105" s="688"/>
      <c r="W105" s="688"/>
      <c r="X105" s="74" t="e">
        <f>VLOOKUP(CONCATENATE(J97,"-",R105),$C$2:$G$136,3,FALSE)</f>
        <v>#N/A</v>
      </c>
      <c r="Y105" s="74" t="e">
        <f>VLOOKUP(CONCATENATE(J97,"-",R105),$C$2:$G$136,4,FALSE)</f>
        <v>#N/A</v>
      </c>
      <c r="Z105" s="74" t="e">
        <f>VLOOKUP(CONCATENATE(J97,"-",R105),$C$2:$G$136,5,FALSE)</f>
        <v>#N/A</v>
      </c>
    </row>
    <row r="106" spans="1:26" ht="15" hidden="1" customHeight="1">
      <c r="A106"/>
      <c r="B106"/>
      <c r="C106"/>
      <c r="D106"/>
      <c r="E106"/>
      <c r="F106"/>
      <c r="G106"/>
      <c r="I106" t="str">
        <f t="shared" ca="1" si="3"/>
        <v/>
      </c>
      <c r="J106" s="687" t="s">
        <v>168</v>
      </c>
      <c r="K106" s="687"/>
      <c r="L106" s="687"/>
      <c r="M106" s="687"/>
      <c r="N106" s="687"/>
      <c r="O106" s="687"/>
      <c r="P106" s="687"/>
      <c r="Q106" s="687"/>
      <c r="R106" s="72" t="s">
        <v>169</v>
      </c>
      <c r="S106" s="73"/>
      <c r="U106" s="688" t="s">
        <v>166</v>
      </c>
      <c r="V106" s="688"/>
      <c r="W106" s="688"/>
      <c r="X106" s="74">
        <v>3.6499999999999998E-2</v>
      </c>
      <c r="Y106" s="74">
        <v>3.6499999999999998E-2</v>
      </c>
      <c r="Z106" s="74">
        <v>3.6499999999999998E-2</v>
      </c>
    </row>
    <row r="107" spans="1:26" ht="15" hidden="1" customHeight="1">
      <c r="A107"/>
      <c r="B107"/>
      <c r="C107"/>
      <c r="D107"/>
      <c r="E107"/>
      <c r="F107"/>
      <c r="G107"/>
      <c r="I107" t="str">
        <f t="shared" ca="1" si="3"/>
        <v/>
      </c>
      <c r="J107" s="687" t="s">
        <v>170</v>
      </c>
      <c r="K107" s="687"/>
      <c r="L107" s="687"/>
      <c r="M107" s="687"/>
      <c r="N107" s="687"/>
      <c r="O107" s="687"/>
      <c r="P107" s="687"/>
      <c r="Q107" s="687"/>
      <c r="R107" s="72" t="s">
        <v>171</v>
      </c>
      <c r="S107" s="74">
        <f ca="1">IF(AND($J97&lt;&gt;$A$145,COUNTA(OFFSET(S100,1,0,6))&gt;0),$R$11*$R$10,0)</f>
        <v>0</v>
      </c>
      <c r="U107" s="688" t="s">
        <v>166</v>
      </c>
      <c r="V107" s="688"/>
      <c r="W107" s="688"/>
      <c r="X107" s="74">
        <v>0</v>
      </c>
      <c r="Y107" s="74">
        <v>2.5000000000000001E-2</v>
      </c>
      <c r="Z107" s="74">
        <v>0.05</v>
      </c>
    </row>
    <row r="108" spans="1:26" ht="15" hidden="1" customHeight="1">
      <c r="A108"/>
      <c r="B108"/>
      <c r="C108"/>
      <c r="D108"/>
      <c r="E108"/>
      <c r="F108"/>
      <c r="G108"/>
      <c r="I108" t="str">
        <f t="shared" ca="1" si="3"/>
        <v/>
      </c>
      <c r="J108" s="687" t="s">
        <v>172</v>
      </c>
      <c r="K108" s="687"/>
      <c r="L108" s="687"/>
      <c r="M108" s="687"/>
      <c r="N108" s="687"/>
      <c r="O108" s="687"/>
      <c r="P108" s="687"/>
      <c r="Q108" s="687"/>
      <c r="R108" s="72" t="s">
        <v>173</v>
      </c>
      <c r="S108" s="74">
        <f ca="1">IF(BDI.Opcao&lt;&gt;"Desonerado",0,IF(AND($J97&lt;&gt;$A$145,COUNTA(OFFSET(S100,1,0,6))&gt;0),4.5%,0%))</f>
        <v>0</v>
      </c>
      <c r="U108" s="688" t="s">
        <v>166</v>
      </c>
      <c r="V108" s="688"/>
      <c r="W108" s="688"/>
      <c r="X108" s="75">
        <v>0</v>
      </c>
      <c r="Y108" s="75">
        <v>4.4999999999999998E-2</v>
      </c>
      <c r="Z108" s="75">
        <v>4.4999999999999998E-2</v>
      </c>
    </row>
    <row r="109" spans="1:26" ht="15" hidden="1" customHeight="1">
      <c r="A109"/>
      <c r="B109"/>
      <c r="C109"/>
      <c r="D109"/>
      <c r="E109"/>
      <c r="F109"/>
      <c r="G109"/>
      <c r="I109" t="str">
        <f t="shared" ca="1" si="3"/>
        <v/>
      </c>
      <c r="J109" s="687" t="s">
        <v>174</v>
      </c>
      <c r="K109" s="687"/>
      <c r="L109" s="687"/>
      <c r="M109" s="687"/>
      <c r="N109" s="687"/>
      <c r="O109" s="687"/>
      <c r="P109" s="687"/>
      <c r="Q109" s="687"/>
      <c r="R109" s="76" t="s">
        <v>150</v>
      </c>
      <c r="S109" s="74">
        <f ca="1">IF($J97=$A$145,0,ROUND((((1+S101+S102+S103)*(1+S104)*(1+S105)/(1-(S106+S107)))-1),4))</f>
        <v>0</v>
      </c>
      <c r="U109" s="684" t="e">
        <f ca="1">IF(OR($J$17=$A$146,$J$17=$A$145,AND(S109&gt;=X109,S109&lt;=Z109)),"OK","FORA DO INTERVALO")</f>
        <v>#N/A</v>
      </c>
      <c r="V109" s="684"/>
      <c r="W109" s="684"/>
      <c r="X109" s="74" t="e">
        <f>IF($J97=$A$145,0,VLOOKUP(CONCATENATE($J97,"-",$R109),$C$2:$G$136,3,FALSE))</f>
        <v>#N/A</v>
      </c>
      <c r="Y109" s="74" t="e">
        <f>IF($J97=$A$145,0,VLOOKUP(CONCATENATE($J97,"-",$R109),$C$2:$G$136,4,FALSE))</f>
        <v>#N/A</v>
      </c>
      <c r="Z109" s="74" t="e">
        <f>IF($J97=$A$145,0,VLOOKUP(CONCATENATE($J97,"-",$R109),$C$2:$G$136,5,FALSE))</f>
        <v>#N/A</v>
      </c>
    </row>
    <row r="110" spans="1:26" ht="15" hidden="1" customHeight="1">
      <c r="A110"/>
      <c r="B110"/>
      <c r="C110"/>
      <c r="D110"/>
      <c r="E110"/>
      <c r="F110"/>
      <c r="G110"/>
      <c r="I110" t="str">
        <f t="shared" ca="1" si="3"/>
        <v/>
      </c>
      <c r="J110" s="691" t="s">
        <v>175</v>
      </c>
      <c r="K110" s="691"/>
      <c r="L110" s="691"/>
      <c r="M110" s="691"/>
      <c r="N110" s="691"/>
      <c r="O110" s="691"/>
      <c r="P110" s="691"/>
      <c r="Q110" s="691"/>
      <c r="R110" s="77" t="s">
        <v>176</v>
      </c>
      <c r="S110" s="78">
        <f ca="1">IF($J97=$A$145,0,ROUND((((1+S101+S102+S103)*(1+S104)*(1+S105)/(1-(S106+S107+S108)))-1),4))</f>
        <v>0</v>
      </c>
    </row>
    <row r="111" spans="1:26" ht="25.5" hidden="1" customHeight="1">
      <c r="A111"/>
      <c r="B111"/>
      <c r="C111"/>
      <c r="D111"/>
      <c r="E111"/>
      <c r="F111"/>
      <c r="G111"/>
      <c r="I111" t="str">
        <f t="shared" ca="1" si="3"/>
        <v/>
      </c>
    </row>
    <row r="112" spans="1:26" ht="15.6" hidden="1">
      <c r="A112"/>
      <c r="B112"/>
      <c r="C112"/>
      <c r="D112"/>
      <c r="E112"/>
      <c r="F112"/>
      <c r="G112"/>
      <c r="I112" t="str">
        <f t="shared" ca="1" si="3"/>
        <v/>
      </c>
      <c r="J112" s="79" t="e">
        <f ca="1">IF(U109&lt;&gt;"ok","X","")</f>
        <v>#N/A</v>
      </c>
      <c r="K112" s="692" t="e">
        <f ca="1">IF(U109&lt;&gt;"ok","Anexo: Relatório Técnico Circunstanciado justificando a adoção do percentual de cada parcela do BDI.","")</f>
        <v>#N/A</v>
      </c>
      <c r="L112" s="692"/>
      <c r="M112" s="692"/>
      <c r="N112" s="692"/>
      <c r="O112" s="692"/>
      <c r="P112" s="692"/>
      <c r="Q112" s="692"/>
      <c r="R112" s="692"/>
      <c r="S112" s="692"/>
    </row>
    <row r="113" spans="1:19" hidden="1">
      <c r="A113"/>
      <c r="B113"/>
      <c r="C113"/>
      <c r="D113"/>
      <c r="E113"/>
      <c r="F113"/>
      <c r="G113"/>
      <c r="I113" t="str">
        <f t="shared" ca="1" si="3"/>
        <v/>
      </c>
    </row>
    <row r="114" spans="1:19" hidden="1">
      <c r="A114"/>
      <c r="B114"/>
      <c r="C114"/>
      <c r="D114"/>
      <c r="E114"/>
      <c r="F114"/>
      <c r="G114"/>
      <c r="I114" t="str">
        <f t="shared" ca="1" si="3"/>
        <v/>
      </c>
      <c r="J114" s="693" t="s">
        <v>178</v>
      </c>
      <c r="K114" s="693"/>
      <c r="L114" s="693"/>
      <c r="M114" s="693"/>
      <c r="N114" s="693"/>
      <c r="O114" s="693"/>
      <c r="P114" s="693"/>
      <c r="Q114" s="693"/>
      <c r="R114" s="693"/>
      <c r="S114" s="693"/>
    </row>
    <row r="115" spans="1:19" ht="15.6" hidden="1">
      <c r="A115"/>
      <c r="B115"/>
      <c r="C115"/>
      <c r="D115"/>
      <c r="E115"/>
      <c r="F115"/>
      <c r="G115"/>
      <c r="I115" t="str">
        <f t="shared" ca="1" si="3"/>
        <v/>
      </c>
      <c r="J115" s="80"/>
      <c r="K115" s="80"/>
      <c r="L115" s="80"/>
      <c r="M115" s="694" t="s">
        <v>179</v>
      </c>
      <c r="N115" s="700" t="str">
        <f>IF($J97=$A$146,"(1+K1+K2)*(1+K3)","(1+AC + S + R + G)*(1 + DF)*(1+L)")</f>
        <v>(1+AC + S + R + G)*(1 + DF)*(1+L)</v>
      </c>
      <c r="O115" s="700"/>
      <c r="P115" s="700"/>
      <c r="Q115" s="701" t="s">
        <v>180</v>
      </c>
      <c r="R115" s="80"/>
      <c r="S115" s="80"/>
    </row>
    <row r="116" spans="1:19" ht="15.6" hidden="1">
      <c r="A116"/>
      <c r="B116"/>
      <c r="C116"/>
      <c r="D116"/>
      <c r="E116"/>
      <c r="F116"/>
      <c r="G116"/>
      <c r="I116" t="str">
        <f t="shared" ca="1" si="3"/>
        <v/>
      </c>
      <c r="J116" s="80"/>
      <c r="K116" s="80"/>
      <c r="L116" s="80"/>
      <c r="M116" s="694"/>
      <c r="N116" s="689" t="s">
        <v>181</v>
      </c>
      <c r="O116" s="689"/>
      <c r="P116" s="689"/>
      <c r="Q116" s="701"/>
      <c r="R116" s="80"/>
      <c r="S116" s="80"/>
    </row>
    <row r="117" spans="1:19" ht="15" hidden="1" customHeight="1">
      <c r="A117"/>
      <c r="B117"/>
      <c r="C117"/>
      <c r="D117"/>
      <c r="E117"/>
      <c r="F117"/>
      <c r="G117"/>
      <c r="I117" t="str">
        <f t="shared" ca="1" si="3"/>
        <v/>
      </c>
      <c r="J117" s="80"/>
      <c r="K117" s="80"/>
      <c r="L117" s="80"/>
      <c r="M117" s="81"/>
      <c r="N117" s="83"/>
      <c r="O117" s="83"/>
      <c r="P117" s="83"/>
      <c r="Q117" s="82"/>
      <c r="R117" s="80"/>
      <c r="S117" s="80"/>
    </row>
    <row r="118" spans="1:19" ht="50.1" hidden="1" customHeight="1">
      <c r="A118"/>
      <c r="B118"/>
      <c r="C118"/>
      <c r="D118"/>
      <c r="E118"/>
      <c r="F118"/>
      <c r="G118"/>
      <c r="I118" t="str">
        <f t="shared" ca="1" si="3"/>
        <v/>
      </c>
      <c r="J118" s="690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690"/>
      <c r="L118" s="690"/>
      <c r="M118" s="690"/>
      <c r="N118" s="690"/>
      <c r="O118" s="690"/>
      <c r="P118" s="690"/>
      <c r="Q118" s="690"/>
      <c r="R118" s="690"/>
      <c r="S118" s="690"/>
    </row>
    <row r="119" spans="1:19" hidden="1">
      <c r="A119"/>
      <c r="B119"/>
      <c r="C119"/>
      <c r="D119"/>
      <c r="E119"/>
      <c r="F119"/>
      <c r="G119"/>
      <c r="I119" t="str">
        <f t="shared" ca="1" si="3"/>
        <v/>
      </c>
    </row>
    <row r="120" spans="1:19" ht="50.1" hidden="1" customHeight="1">
      <c r="A120"/>
      <c r="B120"/>
      <c r="C120"/>
      <c r="D120"/>
      <c r="E120"/>
      <c r="F120"/>
      <c r="G120"/>
      <c r="I120" t="str">
        <f t="shared" ca="1" si="3"/>
        <v/>
      </c>
      <c r="J120" s="690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690"/>
      <c r="L120" s="690"/>
      <c r="M120" s="690"/>
      <c r="N120" s="690"/>
      <c r="O120" s="690"/>
      <c r="P120" s="690"/>
      <c r="Q120" s="690"/>
      <c r="R120" s="690"/>
      <c r="S120" s="690"/>
    </row>
    <row r="121" spans="1:19" hidden="1">
      <c r="A121"/>
      <c r="B121"/>
      <c r="C121"/>
      <c r="D121"/>
      <c r="E121"/>
      <c r="F121"/>
      <c r="G121"/>
      <c r="I121" t="str">
        <f t="shared" ca="1" si="3"/>
        <v/>
      </c>
    </row>
    <row r="122" spans="1:19" hidden="1">
      <c r="A122"/>
      <c r="B122"/>
      <c r="C122"/>
      <c r="D122"/>
      <c r="E122"/>
      <c r="F122"/>
      <c r="G122"/>
      <c r="I122" t="str">
        <f t="shared" ca="1" si="3"/>
        <v/>
      </c>
      <c r="J122" s="61" t="s">
        <v>187</v>
      </c>
    </row>
    <row r="123" spans="1:19" ht="110.1" hidden="1" customHeight="1">
      <c r="A123"/>
      <c r="B123"/>
      <c r="C123"/>
      <c r="D123"/>
      <c r="E123"/>
      <c r="F123"/>
      <c r="G123"/>
      <c r="I123" t="str">
        <f t="shared" ca="1" si="3"/>
        <v/>
      </c>
      <c r="J123" s="702"/>
      <c r="K123" s="702"/>
      <c r="L123" s="702"/>
      <c r="M123" s="702"/>
      <c r="N123" s="702"/>
      <c r="O123" s="702"/>
      <c r="P123" s="702"/>
      <c r="Q123" s="702"/>
      <c r="R123" s="702"/>
      <c r="S123" s="702"/>
    </row>
    <row r="124" spans="1:19" hidden="1">
      <c r="A124"/>
      <c r="B124"/>
      <c r="C124"/>
      <c r="D124"/>
      <c r="E124"/>
      <c r="F124"/>
      <c r="G124"/>
      <c r="I124" t="str">
        <f t="shared" ca="1" si="3"/>
        <v/>
      </c>
    </row>
    <row r="125" spans="1:19" hidden="1">
      <c r="A125"/>
      <c r="B125"/>
      <c r="C125"/>
      <c r="D125"/>
      <c r="E125"/>
      <c r="F125"/>
      <c r="G125"/>
      <c r="I125" t="str">
        <f t="shared" ca="1" si="3"/>
        <v/>
      </c>
      <c r="J125" s="696" t="str">
        <f>Import.Município</f>
        <v>PONTAL - SP</v>
      </c>
      <c r="K125" s="696"/>
      <c r="L125" s="696"/>
      <c r="M125" s="696"/>
      <c r="P125" s="697">
        <f ca="1">DADOS!$F$25</f>
        <v>45797</v>
      </c>
      <c r="Q125" s="697"/>
      <c r="R125" s="697"/>
      <c r="S125" s="697"/>
    </row>
    <row r="126" spans="1:19" hidden="1">
      <c r="A126"/>
      <c r="B126"/>
      <c r="C126"/>
      <c r="D126"/>
      <c r="E126"/>
      <c r="F126"/>
      <c r="G126"/>
      <c r="I126" t="str">
        <f t="shared" ca="1" si="3"/>
        <v/>
      </c>
      <c r="J126" s="698" t="s">
        <v>188</v>
      </c>
      <c r="K126" s="698"/>
      <c r="L126" s="698"/>
      <c r="M126" s="698"/>
      <c r="O126" s="85"/>
      <c r="P126" s="86" t="s">
        <v>189</v>
      </c>
      <c r="Q126" s="87"/>
      <c r="R126" s="87"/>
      <c r="S126" s="87"/>
    </row>
    <row r="127" spans="1:19" ht="30" hidden="1" customHeight="1">
      <c r="A127"/>
      <c r="B127"/>
      <c r="C127"/>
      <c r="D127"/>
      <c r="E127"/>
      <c r="F127"/>
      <c r="G127"/>
      <c r="I127" t="str">
        <f t="shared" ca="1" si="3"/>
        <v/>
      </c>
    </row>
    <row r="128" spans="1:19" ht="13.8" hidden="1">
      <c r="A128"/>
      <c r="B128"/>
      <c r="C128"/>
      <c r="D128"/>
      <c r="E128"/>
      <c r="F128"/>
      <c r="G128"/>
      <c r="I128" t="str">
        <f t="shared" ca="1" si="3"/>
        <v/>
      </c>
      <c r="J128" s="699"/>
      <c r="K128" s="699"/>
      <c r="L128" s="699"/>
      <c r="M128" s="699"/>
      <c r="N128" s="88"/>
    </row>
    <row r="129" spans="1:14" hidden="1">
      <c r="A129"/>
      <c r="B129"/>
      <c r="C129"/>
      <c r="D129"/>
      <c r="E129"/>
      <c r="F129"/>
      <c r="G129"/>
      <c r="I129" t="str">
        <f t="shared" ca="1" si="3"/>
        <v/>
      </c>
      <c r="J129" s="695" t="s">
        <v>190</v>
      </c>
      <c r="K129" s="695"/>
      <c r="L129" s="695"/>
      <c r="M129" s="695"/>
      <c r="N129" s="89"/>
    </row>
    <row r="130" spans="1:14" ht="13.8" hidden="1">
      <c r="A130"/>
      <c r="B130"/>
      <c r="C130"/>
      <c r="D130"/>
      <c r="E130"/>
      <c r="F130"/>
      <c r="G130"/>
      <c r="I130" t="str">
        <f t="shared" ca="1" si="3"/>
        <v/>
      </c>
      <c r="J130" s="90" t="s">
        <v>108</v>
      </c>
      <c r="K130" s="91" t="str">
        <f t="array" ref="K130:K132">Import.RespOrçamento</f>
        <v>CÉSAR AUGUSTO SABINO</v>
      </c>
      <c r="L130" s="92"/>
      <c r="M130" s="92"/>
      <c r="N130" s="93"/>
    </row>
    <row r="131" spans="1:14" ht="13.8" hidden="1">
      <c r="A131"/>
      <c r="B131"/>
      <c r="C131"/>
      <c r="D131"/>
      <c r="E131"/>
      <c r="F131"/>
      <c r="G131"/>
      <c r="I131" t="str">
        <f t="shared" ca="1" si="3"/>
        <v/>
      </c>
      <c r="J131" s="90" t="s">
        <v>109</v>
      </c>
      <c r="K131" s="91" t="str">
        <v>5070797486</v>
      </c>
      <c r="L131" s="92"/>
      <c r="M131" s="92"/>
      <c r="N131" s="93"/>
    </row>
    <row r="132" spans="1:14" ht="13.8" hidden="1">
      <c r="A132"/>
      <c r="B132"/>
      <c r="C132"/>
      <c r="D132"/>
      <c r="E132"/>
      <c r="F132"/>
      <c r="G132"/>
      <c r="I132" t="str">
        <f t="shared" ca="1" si="3"/>
        <v/>
      </c>
      <c r="J132" s="90" t="s">
        <v>110</v>
      </c>
      <c r="K132" s="91">
        <v>0</v>
      </c>
      <c r="L132" s="92"/>
      <c r="M132" s="92"/>
      <c r="N132" s="93"/>
    </row>
    <row r="133" spans="1:14">
      <c r="A133"/>
      <c r="B133"/>
      <c r="C133"/>
      <c r="D133"/>
      <c r="E133"/>
      <c r="F133"/>
      <c r="G133"/>
    </row>
    <row r="134" spans="1:14">
      <c r="A134"/>
      <c r="B134"/>
      <c r="C134"/>
      <c r="D134"/>
      <c r="E134"/>
      <c r="F134"/>
      <c r="G134"/>
    </row>
    <row r="135" spans="1:14">
      <c r="A135"/>
      <c r="B135"/>
      <c r="C135"/>
      <c r="D135"/>
      <c r="E135"/>
      <c r="F135"/>
      <c r="G135"/>
    </row>
    <row r="136" spans="1:14">
      <c r="A136"/>
      <c r="B136"/>
      <c r="C136"/>
      <c r="D136"/>
      <c r="E136"/>
      <c r="F136"/>
      <c r="G136"/>
    </row>
    <row r="137" spans="1:14">
      <c r="A137"/>
      <c r="B137"/>
      <c r="C137"/>
      <c r="D137"/>
      <c r="E137"/>
      <c r="F137"/>
      <c r="G137"/>
    </row>
    <row r="138" spans="1:14">
      <c r="A138" s="61" t="s">
        <v>409</v>
      </c>
    </row>
    <row r="139" spans="1:14">
      <c r="A139" s="61" t="s">
        <v>141</v>
      </c>
    </row>
    <row r="140" spans="1:14">
      <c r="A140" s="61" t="s">
        <v>152</v>
      </c>
    </row>
    <row r="141" spans="1:14">
      <c r="A141" s="61" t="s">
        <v>155</v>
      </c>
    </row>
    <row r="142" spans="1:14">
      <c r="A142" s="61" t="s">
        <v>165</v>
      </c>
    </row>
    <row r="143" spans="1:14">
      <c r="A143" s="61" t="s">
        <v>167</v>
      </c>
    </row>
    <row r="144" spans="1:14">
      <c r="A144" s="61" t="s">
        <v>177</v>
      </c>
    </row>
    <row r="145" spans="1:1">
      <c r="A145" s="61" t="s">
        <v>182</v>
      </c>
    </row>
    <row r="146" spans="1:1">
      <c r="A146" s="61" t="s">
        <v>183</v>
      </c>
    </row>
  </sheetData>
  <sheetProtection sheet="1" objects="1" scenarios="1" autoFilter="0"/>
  <autoFilter ref="I11:I132">
    <filterColumn colId="0">
      <customFilters>
        <customFilter operator="notEqual" val=" "/>
      </customFilters>
    </filterColumn>
  </autoFilter>
  <mergeCells count="144">
    <mergeCell ref="J129:M129"/>
    <mergeCell ref="J120:S120"/>
    <mergeCell ref="J123:S123"/>
    <mergeCell ref="J125:M125"/>
    <mergeCell ref="P125:S125"/>
    <mergeCell ref="J126:M126"/>
    <mergeCell ref="J128:M128"/>
    <mergeCell ref="N116:P116"/>
    <mergeCell ref="J108:Q108"/>
    <mergeCell ref="U108:W108"/>
    <mergeCell ref="J109:Q109"/>
    <mergeCell ref="U109:W109"/>
    <mergeCell ref="J110:Q110"/>
    <mergeCell ref="K112:S112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2:Q102"/>
    <mergeCell ref="U102:W102"/>
    <mergeCell ref="U105:W105"/>
    <mergeCell ref="J106:Q106"/>
    <mergeCell ref="U106:W106"/>
    <mergeCell ref="J104:Q104"/>
    <mergeCell ref="U104:W104"/>
    <mergeCell ref="U103:W103"/>
    <mergeCell ref="U107:W107"/>
    <mergeCell ref="Y99:Y100"/>
    <mergeCell ref="Z99:Z100"/>
    <mergeCell ref="J99:Q100"/>
    <mergeCell ref="R99:R100"/>
    <mergeCell ref="S99:S100"/>
    <mergeCell ref="X99:X100"/>
    <mergeCell ref="J101:Q101"/>
    <mergeCell ref="U101:W101"/>
    <mergeCell ref="J96:S96"/>
    <mergeCell ref="J97:S97"/>
    <mergeCell ref="U99:W100"/>
    <mergeCell ref="J66:Q66"/>
    <mergeCell ref="U66:W66"/>
    <mergeCell ref="U67:W67"/>
    <mergeCell ref="J68:Q68"/>
    <mergeCell ref="U68:W68"/>
    <mergeCell ref="J94:S94"/>
    <mergeCell ref="J85:M85"/>
    <mergeCell ref="P85:S85"/>
    <mergeCell ref="J67:Q67"/>
    <mergeCell ref="J78:S78"/>
    <mergeCell ref="J70:Q70"/>
    <mergeCell ref="K72:S72"/>
    <mergeCell ref="J89:M89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56:S56"/>
    <mergeCell ref="J57:S57"/>
    <mergeCell ref="J64:Q64"/>
    <mergeCell ref="U64:W64"/>
    <mergeCell ref="J62:Q62"/>
    <mergeCell ref="U62:W62"/>
    <mergeCell ref="J63:Q63"/>
    <mergeCell ref="U63:W63"/>
    <mergeCell ref="J65:Q65"/>
    <mergeCell ref="U65:W65"/>
    <mergeCell ref="Y59:Y60"/>
    <mergeCell ref="Z59:Z60"/>
    <mergeCell ref="J59:Q60"/>
    <mergeCell ref="R59:R60"/>
    <mergeCell ref="S59:S60"/>
    <mergeCell ref="U59:W60"/>
    <mergeCell ref="X59:X60"/>
    <mergeCell ref="J61:Q61"/>
    <mergeCell ref="U61:W61"/>
    <mergeCell ref="J49:M49"/>
    <mergeCell ref="J54:S54"/>
    <mergeCell ref="J45:M45"/>
    <mergeCell ref="P45:S45"/>
    <mergeCell ref="J46:M46"/>
    <mergeCell ref="J48:M48"/>
    <mergeCell ref="N35:P35"/>
    <mergeCell ref="Q35:Q36"/>
    <mergeCell ref="J40:S40"/>
    <mergeCell ref="J43:S43"/>
    <mergeCell ref="J27:Q27"/>
    <mergeCell ref="U27:W27"/>
    <mergeCell ref="J28:Q28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34:S34"/>
    <mergeCell ref="M35:M36"/>
    <mergeCell ref="J23:Q23"/>
    <mergeCell ref="U23:W23"/>
    <mergeCell ref="J21:Q21"/>
    <mergeCell ref="U21:W21"/>
    <mergeCell ref="J22:Q22"/>
    <mergeCell ref="U22:W22"/>
    <mergeCell ref="J25:Q25"/>
    <mergeCell ref="U25:W25"/>
    <mergeCell ref="J26:Q26"/>
    <mergeCell ref="U26:W26"/>
    <mergeCell ref="X19:X20"/>
    <mergeCell ref="Y19:Y20"/>
    <mergeCell ref="J17:S17"/>
    <mergeCell ref="Z19:Z20"/>
    <mergeCell ref="U19:W20"/>
    <mergeCell ref="J19:Q20"/>
    <mergeCell ref="R19:R20"/>
    <mergeCell ref="S19:S20"/>
    <mergeCell ref="J14:S14"/>
    <mergeCell ref="J16:S16"/>
    <mergeCell ref="J5:K5"/>
    <mergeCell ref="L5:M5"/>
    <mergeCell ref="N5:S5"/>
    <mergeCell ref="R1:S1"/>
    <mergeCell ref="R2:S2"/>
    <mergeCell ref="J4:K4"/>
    <mergeCell ref="L4:M4"/>
    <mergeCell ref="N4:S4"/>
    <mergeCell ref="J11:Q11"/>
    <mergeCell ref="R11:S11"/>
    <mergeCell ref="J7:S7"/>
    <mergeCell ref="J8:S8"/>
    <mergeCell ref="J10:Q10"/>
    <mergeCell ref="R10:S10"/>
  </mergeCells>
  <phoneticPr fontId="38" type="noConversion"/>
  <conditionalFormatting sqref="J30:S30 J70:S70 J110:S110">
    <cfRule type="expression" dxfId="824" priority="2" stopIfTrue="1">
      <formula>DESONERACAO="não"</formula>
    </cfRule>
  </conditionalFormatting>
  <conditionalFormatting sqref="U29:W29 U69:W69 U109:W109">
    <cfRule type="expression" dxfId="823" priority="3" stopIfTrue="1">
      <formula>AND(U29&lt;&gt;"OK",U29&lt;&gt;"-",U29&lt;&gt;"")</formula>
    </cfRule>
    <cfRule type="cellIs" dxfId="822" priority="4" stopIfTrue="1" operator="equal">
      <formula>"OK"</formula>
    </cfRule>
  </conditionalFormatting>
  <conditionalFormatting sqref="S29 S69 S109">
    <cfRule type="expression" dxfId="821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79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sheetPr codeName="Plan5" filterMode="1">
    <pageSetUpPr fitToPage="1"/>
  </sheetPr>
  <dimension ref="A1:AN281"/>
  <sheetViews>
    <sheetView showGridLines="0" tabSelected="1" zoomScale="80" zoomScaleNormal="80" zoomScaleSheetLayoutView="90" workbookViewId="0">
      <pane xSplit="19" ySplit="15" topLeftCell="U16" activePane="bottomRight" state="frozen"/>
      <selection activeCell="L1" sqref="L1"/>
      <selection pane="topRight" activeCell="T1" sqref="T1"/>
      <selection pane="bottomLeft" activeCell="L16" sqref="L16"/>
      <selection pane="bottomRight" activeCell="P22" sqref="P22"/>
    </sheetView>
  </sheetViews>
  <sheetFormatPr defaultRowHeight="13.2"/>
  <cols>
    <col min="1" max="1" width="5.5546875" hidden="1" customWidth="1"/>
    <col min="2" max="2" width="10.44140625" hidden="1" customWidth="1"/>
    <col min="3" max="3" width="5.5546875" hidden="1" customWidth="1"/>
    <col min="4" max="4" width="12.88671875" hidden="1" customWidth="1"/>
    <col min="5" max="5" width="8.6640625" hidden="1" customWidth="1"/>
    <col min="6" max="6" width="12.44140625" hidden="1" customWidth="1"/>
    <col min="7" max="7" width="14.5546875" hidden="1" customWidth="1"/>
    <col min="8" max="8" width="11.33203125" hidden="1" customWidth="1"/>
    <col min="9" max="9" width="13.44140625" hidden="1" customWidth="1"/>
    <col min="10" max="10" width="7.33203125" hidden="1" customWidth="1"/>
    <col min="11" max="11" width="7.5546875" hidden="1" customWidth="1"/>
    <col min="12" max="12" width="3.6640625" customWidth="1"/>
    <col min="13" max="14" width="8.6640625" customWidth="1"/>
    <col min="15" max="15" width="12.6640625" customWidth="1"/>
    <col min="16" max="17" width="15.6640625" customWidth="1"/>
    <col min="18" max="18" width="65.6640625" customWidth="1"/>
    <col min="19" max="19" width="10.6640625" customWidth="1"/>
    <col min="20" max="21" width="14.6640625" customWidth="1"/>
    <col min="22" max="22" width="10.6640625" customWidth="1"/>
    <col min="23" max="23" width="14.6640625" customWidth="1"/>
    <col min="24" max="24" width="15.6640625" customWidth="1"/>
    <col min="25" max="25" width="3.6640625" customWidth="1"/>
    <col min="26" max="26" width="3.6640625" hidden="1" customWidth="1"/>
    <col min="27" max="28" width="14.6640625" hidden="1" customWidth="1"/>
    <col min="29" max="29" width="15.6640625" customWidth="1"/>
    <col min="30" max="31" width="9.109375" hidden="1" customWidth="1"/>
    <col min="32" max="32" width="15.5546875" hidden="1" customWidth="1"/>
    <col min="33" max="33" width="15.6640625" customWidth="1"/>
    <col min="35" max="35" width="1.6640625" customWidth="1"/>
    <col min="36" max="36" width="14.6640625" customWidth="1"/>
    <col min="37" max="37" width="1.6640625" customWidth="1"/>
    <col min="38" max="38" width="14.6640625" customWidth="1"/>
    <col min="39" max="40" width="15.6640625" customWidth="1"/>
  </cols>
  <sheetData>
    <row r="1" spans="1:40" ht="17.399999999999999">
      <c r="A1" s="95"/>
      <c r="B1" s="95"/>
      <c r="C1" s="95"/>
      <c r="D1" s="95"/>
      <c r="F1" s="96"/>
      <c r="G1" s="3"/>
      <c r="H1" s="95"/>
      <c r="I1" s="95"/>
      <c r="J1" s="95"/>
      <c r="K1" s="95"/>
      <c r="L1" s="95"/>
      <c r="M1" s="97"/>
      <c r="N1" s="97"/>
      <c r="O1" s="95"/>
      <c r="P1" s="95"/>
      <c r="Q1" s="95"/>
      <c r="R1" s="98" t="s">
        <v>193</v>
      </c>
      <c r="S1" s="95"/>
      <c r="T1" s="98"/>
      <c r="U1" s="95"/>
      <c r="V1" s="95"/>
      <c r="W1" s="95"/>
      <c r="X1" s="64" t="s">
        <v>140</v>
      </c>
      <c r="Y1" s="99"/>
      <c r="Z1" s="99"/>
      <c r="AA1" s="99"/>
      <c r="AB1" s="99"/>
      <c r="AC1" s="100"/>
      <c r="AD1" s="100"/>
      <c r="AG1" s="100"/>
      <c r="AH1" s="100"/>
      <c r="AN1" s="100"/>
    </row>
    <row r="2" spans="1:40" ht="15">
      <c r="A2" s="100"/>
      <c r="B2" s="100"/>
      <c r="C2" s="100"/>
      <c r="D2" s="101" t="s">
        <v>194</v>
      </c>
      <c r="E2" s="101" t="s">
        <v>195</v>
      </c>
      <c r="F2" s="101" t="s">
        <v>196</v>
      </c>
      <c r="G2" s="101" t="s">
        <v>197</v>
      </c>
      <c r="H2" s="101" t="s">
        <v>198</v>
      </c>
      <c r="I2" s="101" t="s">
        <v>199</v>
      </c>
      <c r="J2" s="100"/>
      <c r="K2" s="100"/>
      <c r="L2" s="100"/>
      <c r="M2" s="100"/>
      <c r="N2" s="100"/>
      <c r="O2" s="100"/>
      <c r="P2" s="100"/>
      <c r="Q2" s="100"/>
      <c r="R2" s="102" t="str">
        <f>IF(TIPOORCAMENTO="licitado","Orçamento Licitado","Orçamento Base para Licitação")&amp;" - "&amp;import.recurso</f>
        <v>Orçamento Base para Licitação - OGU</v>
      </c>
      <c r="S2" s="100"/>
      <c r="T2" s="100"/>
      <c r="U2" s="100"/>
      <c r="V2" s="100"/>
      <c r="W2" s="100"/>
      <c r="X2" s="14" t="s">
        <v>143</v>
      </c>
      <c r="Y2" s="103"/>
      <c r="Z2" s="103"/>
      <c r="AA2" s="103"/>
      <c r="AB2" s="103"/>
      <c r="AC2" s="100"/>
      <c r="AD2" s="100"/>
      <c r="AH2" s="100"/>
    </row>
    <row r="3" spans="1:40">
      <c r="A3" s="100"/>
      <c r="B3" s="100"/>
      <c r="C3" s="100"/>
      <c r="D3" s="100"/>
      <c r="F3" s="96"/>
      <c r="H3" s="104"/>
      <c r="I3" s="100"/>
      <c r="J3" s="100"/>
      <c r="K3" s="100"/>
      <c r="L3" s="100"/>
      <c r="M3" s="100"/>
      <c r="N3" s="100"/>
      <c r="O3" s="100"/>
      <c r="P3" s="100"/>
      <c r="Q3" s="100"/>
      <c r="R3" s="105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G3" s="100"/>
      <c r="AH3" s="100"/>
      <c r="AN3" s="100"/>
    </row>
    <row r="4" spans="1:40">
      <c r="A4" s="100" t="s">
        <v>201</v>
      </c>
      <c r="B4" s="100"/>
      <c r="C4" s="100"/>
      <c r="D4" s="100"/>
      <c r="F4" s="96" t="s">
        <v>156</v>
      </c>
      <c r="G4" s="96" t="s">
        <v>191</v>
      </c>
      <c r="H4" s="96" t="s">
        <v>192</v>
      </c>
      <c r="I4" s="106">
        <v>0</v>
      </c>
      <c r="J4" s="100"/>
      <c r="K4" s="100"/>
      <c r="L4" s="100"/>
      <c r="M4" s="100"/>
      <c r="N4" s="100"/>
      <c r="O4" s="677" t="s">
        <v>146</v>
      </c>
      <c r="P4" s="677"/>
      <c r="Q4" s="107" t="s">
        <v>443</v>
      </c>
      <c r="R4" s="107" t="s">
        <v>147</v>
      </c>
      <c r="S4" s="677" t="s">
        <v>202</v>
      </c>
      <c r="T4" s="677"/>
      <c r="U4" s="677"/>
      <c r="V4" s="677"/>
      <c r="W4" s="677"/>
      <c r="X4" s="677"/>
      <c r="Y4" s="90"/>
      <c r="Z4" s="90"/>
      <c r="AA4" s="90"/>
      <c r="AB4" s="90"/>
      <c r="AC4" s="100"/>
      <c r="AG4" s="100"/>
      <c r="AH4" s="100"/>
      <c r="AN4" s="100"/>
    </row>
    <row r="5" spans="1:40" ht="12.75" customHeight="1">
      <c r="A5" s="110">
        <f ca="1">MAX($C$15:$C$264)</f>
        <v>2</v>
      </c>
      <c r="B5" s="110"/>
      <c r="C5" s="110"/>
      <c r="D5" s="100"/>
      <c r="F5" s="111">
        <f ca="1">IF(BDI.Opcao="DESONERADO",BDI!$S$30,BDI!$S$29)</f>
        <v>0.22</v>
      </c>
      <c r="G5" s="112">
        <f ca="1">IF(BDI.Opcao="DESONERADO",BDI!$S$70,BDI!$S$69)</f>
        <v>0</v>
      </c>
      <c r="H5" s="112">
        <f ca="1">IF(BDI.Opcao="DESONERADO",BDI!$S$110,BDI!$S$109)</f>
        <v>0</v>
      </c>
      <c r="I5" s="100"/>
      <c r="J5" s="100"/>
      <c r="K5" s="100"/>
      <c r="L5" s="100"/>
      <c r="M5" s="100"/>
      <c r="N5" s="100"/>
      <c r="O5" s="674">
        <f>Import.CR</f>
        <v>0</v>
      </c>
      <c r="P5" s="674"/>
      <c r="Q5" s="113" t="str" cm="1">
        <f t="array" ref="Q5">Import.TransfereGOV</f>
        <v>953208-2023</v>
      </c>
      <c r="R5" s="114" t="str">
        <f>Import.Proponente</f>
        <v>PREFEITURA MUNICIPAL DE PONTAL</v>
      </c>
      <c r="S5" s="674" t="str">
        <f>Import.Apelido</f>
        <v>RECAPE FEDERAL</v>
      </c>
      <c r="T5" s="674"/>
      <c r="U5" s="674"/>
      <c r="V5" s="674"/>
      <c r="W5" s="674"/>
      <c r="X5" s="674"/>
      <c r="Y5" s="115"/>
      <c r="Z5" s="115"/>
      <c r="AA5" s="115"/>
      <c r="AB5" s="115"/>
      <c r="AC5" s="100"/>
      <c r="AE5" s="713" t="s">
        <v>200</v>
      </c>
      <c r="AF5" s="713"/>
    </row>
    <row r="6" spans="1:40" ht="5.0999999999999996" customHeight="1">
      <c r="A6" s="110"/>
      <c r="B6" s="110"/>
      <c r="C6" s="110"/>
      <c r="D6" s="100"/>
      <c r="F6" s="96"/>
      <c r="H6" s="104"/>
      <c r="I6" s="100"/>
      <c r="J6" s="100"/>
      <c r="K6" s="100"/>
      <c r="L6" s="100"/>
      <c r="M6" s="100"/>
      <c r="N6" s="100"/>
      <c r="O6" s="117"/>
      <c r="P6" s="117"/>
      <c r="Q6" s="118"/>
      <c r="R6" s="118"/>
      <c r="S6" s="117"/>
      <c r="T6" s="117"/>
      <c r="U6" s="117"/>
      <c r="V6" s="117"/>
      <c r="W6" s="117"/>
      <c r="X6" s="117"/>
      <c r="Y6" s="115"/>
      <c r="Z6" s="115"/>
      <c r="AA6" s="115"/>
      <c r="AB6" s="115"/>
      <c r="AC6" s="119"/>
      <c r="AE6" s="108"/>
      <c r="AF6" s="109"/>
      <c r="AG6" s="100"/>
      <c r="AH6" s="100"/>
      <c r="AN6" s="100"/>
    </row>
    <row r="7" spans="1:40" ht="12.75" customHeight="1">
      <c r="A7" s="100"/>
      <c r="B7" s="100"/>
      <c r="C7" s="100"/>
      <c r="D7" s="100"/>
      <c r="F7" s="96"/>
      <c r="H7" s="104"/>
      <c r="I7" s="100"/>
      <c r="J7" s="100"/>
      <c r="K7" s="100"/>
      <c r="L7" s="100"/>
      <c r="M7" s="100"/>
      <c r="N7" s="100"/>
      <c r="O7" s="677" t="s">
        <v>204</v>
      </c>
      <c r="P7" s="677"/>
      <c r="Q7" s="107" t="s">
        <v>205</v>
      </c>
      <c r="R7" s="107" t="str">
        <f>IF(TIPOORCAMENTO="Licitado","NOME DA EMPRESA","DESCRIÇÃO DO LOTE")</f>
        <v>DESCRIÇÃO DO LOTE</v>
      </c>
      <c r="S7" s="714" t="str">
        <f>IF(TIPOORCAMENTO="Licitado","REGIME DE EXECUÇÃO","MUNICÍPIO / UF")</f>
        <v>MUNICÍPIO / UF</v>
      </c>
      <c r="T7" s="714"/>
      <c r="U7" s="714"/>
      <c r="V7" s="121" t="str">
        <f>IF(TIPOORCAMENTO="Licitado","","BDI 1")</f>
        <v>BDI 1</v>
      </c>
      <c r="W7" s="121" t="str">
        <f>IF(TIPOORCAMENTO="Licitado","","BDI 2")</f>
        <v>BDI 2</v>
      </c>
      <c r="X7" s="122" t="str">
        <f>IF(TIPOORCAMENTO="Licitado","Nº CTEF","BDI 3")</f>
        <v>BDI 3</v>
      </c>
      <c r="Y7" s="121"/>
      <c r="Z7" s="121"/>
      <c r="AA7" s="123"/>
      <c r="AB7" s="123"/>
      <c r="AC7" s="96"/>
      <c r="AE7" s="108" t="s">
        <v>203</v>
      </c>
      <c r="AF7" s="116" t="b">
        <v>1</v>
      </c>
      <c r="AJ7" s="717" t="s">
        <v>207</v>
      </c>
      <c r="AL7" s="715" t="s">
        <v>208</v>
      </c>
    </row>
    <row r="8" spans="1:40" ht="12.75" customHeight="1">
      <c r="A8" s="110"/>
      <c r="B8" s="110"/>
      <c r="C8" s="110"/>
      <c r="D8" s="100"/>
      <c r="F8" s="711" t="str">
        <f ca="1">IF(LEN(INFO("release"))&gt;5,"'Referência "&amp;Excel_BuiltIn_Database&amp;".xlsm'#Banco.$a5:$a$65536","'[Referência "&amp;Excel_BuiltIn_Database&amp;".xlsm]Banco'!$a5:$a$65536")</f>
        <v>'[Referência 11-2024.xlsm]Banco'!$a5:$a$65536</v>
      </c>
      <c r="G8" s="711"/>
      <c r="H8" s="711"/>
      <c r="I8" s="711"/>
      <c r="J8" s="711"/>
      <c r="K8" s="711"/>
      <c r="L8" s="703" t="s">
        <v>209</v>
      </c>
      <c r="M8" s="100"/>
      <c r="N8" s="100"/>
      <c r="O8" s="674" t="str">
        <f ca="1">IF(ISERROR(INDIRECT($F$9)),"(N/D: 'Referência "&amp;Excel_BuiltIn_Database&amp;".xlsm)",INDIRECT($F$9))</f>
        <v>(N/D: 'Referência 11-2024.xlsm)</v>
      </c>
      <c r="P8" s="674"/>
      <c r="Q8" s="124" t="str">
        <f ca="1">TEXT(Import.DataBase,"mm-aa")&amp;IF(DESONERACAO="Sim"," (DES.)"," (N DES.)")</f>
        <v>11-24 (N DES.)</v>
      </c>
      <c r="R8" s="114">
        <f>IF(TIPOORCAMENTO="Licitado",Import.empresa,Import.DescLote)</f>
        <v>0</v>
      </c>
      <c r="S8" s="712" t="str">
        <f>IF(TIPOORCAMENTO="Licitado",Import.RegimeExecução,Import.Município)</f>
        <v>PONTAL - SP</v>
      </c>
      <c r="T8" s="712"/>
      <c r="U8" s="712"/>
      <c r="V8" s="125" t="str">
        <f ca="1">IF(TIPOORCAMENTO="Licitado","",TEXT(F5,"0,00%"))</f>
        <v>22,00%</v>
      </c>
      <c r="W8" s="125" t="str">
        <f ca="1">IF(TIPOORCAMENTO="Licitado","",TEXT(G5,"0,00%"))</f>
        <v>0,00%</v>
      </c>
      <c r="X8" s="126" t="str">
        <f ca="1">IF(TIPOORCAMENTO="Licitado",Import.CTEF,TEXT(H5,"0,00%"))</f>
        <v>0,00%</v>
      </c>
      <c r="Y8" s="703" t="s">
        <v>210</v>
      </c>
      <c r="Z8" s="703" t="s">
        <v>211</v>
      </c>
      <c r="AA8" s="127"/>
      <c r="AB8" s="127"/>
      <c r="AE8" s="108" t="s">
        <v>206</v>
      </c>
      <c r="AF8" s="116" t="b">
        <v>1</v>
      </c>
      <c r="AG8" s="100"/>
      <c r="AH8" s="100"/>
      <c r="AJ8" s="717"/>
      <c r="AL8" s="715"/>
      <c r="AN8" s="100"/>
    </row>
    <row r="9" spans="1:40" ht="12.75" customHeight="1">
      <c r="A9" s="100"/>
      <c r="B9" s="100"/>
      <c r="C9" s="100"/>
      <c r="D9" s="100"/>
      <c r="F9" s="711" t="str">
        <f ca="1">IF(LEN(INFO("release"))&gt;5,"'Referência "&amp;Excel_BuiltIn_Database&amp;".xlsm'#Banco.$d$3","'[Referência "&amp;Excel_BuiltIn_Database&amp;".xlsm]Banco'!$d$3")</f>
        <v>'[Referência 11-2024.xlsm]Banco'!$d$3</v>
      </c>
      <c r="G9" s="711"/>
      <c r="H9" s="711"/>
      <c r="I9" s="711"/>
      <c r="J9" s="711"/>
      <c r="K9" s="711"/>
      <c r="L9" s="703"/>
      <c r="M9" s="100"/>
      <c r="N9" s="100"/>
      <c r="O9" s="16"/>
      <c r="P9" s="100"/>
      <c r="Q9" s="100"/>
      <c r="R9" s="100"/>
      <c r="S9" s="100"/>
      <c r="T9" s="100"/>
      <c r="U9" s="100"/>
      <c r="V9" s="100"/>
      <c r="W9" s="100"/>
      <c r="X9" s="100"/>
      <c r="Y9" s="703"/>
      <c r="Z9" s="703"/>
      <c r="AA9" s="100"/>
      <c r="AB9" s="100"/>
      <c r="AC9" s="100"/>
      <c r="AD9" s="100"/>
      <c r="AE9" s="108" t="s">
        <v>212</v>
      </c>
      <c r="AF9" s="116" t="b">
        <v>1</v>
      </c>
      <c r="AG9" s="100"/>
      <c r="AJ9" s="717"/>
      <c r="AL9" s="715"/>
      <c r="AN9" s="100"/>
    </row>
    <row r="10" spans="1:40">
      <c r="A10" s="100"/>
      <c r="B10" s="100"/>
      <c r="C10" s="100"/>
      <c r="D10" s="100"/>
      <c r="E10" s="101"/>
      <c r="F10" s="101"/>
      <c r="G10" s="104"/>
      <c r="H10" s="104"/>
      <c r="I10" s="100"/>
      <c r="J10" s="100"/>
      <c r="K10" s="100"/>
      <c r="L10" s="703"/>
      <c r="M10" s="100"/>
      <c r="N10" s="100"/>
      <c r="O10" s="16"/>
      <c r="P10" s="100"/>
      <c r="Q10" s="100"/>
      <c r="R10" s="100"/>
      <c r="S10" s="100"/>
      <c r="T10" s="100"/>
      <c r="U10" s="100"/>
      <c r="V10" s="100"/>
      <c r="W10" s="100"/>
      <c r="X10" s="100"/>
      <c r="Y10" s="703"/>
      <c r="Z10" s="703"/>
      <c r="AC10" s="128" t="s">
        <v>214</v>
      </c>
      <c r="AD10" s="100"/>
      <c r="AE10" s="108" t="s">
        <v>213</v>
      </c>
      <c r="AF10" s="116" t="b">
        <v>1</v>
      </c>
      <c r="AG10" s="100"/>
      <c r="AH10" s="100"/>
      <c r="AJ10" s="717"/>
      <c r="AL10" s="715"/>
      <c r="AN10" s="100"/>
    </row>
    <row r="11" spans="1:40">
      <c r="A11" s="100"/>
      <c r="B11" s="100"/>
      <c r="C11" s="100"/>
      <c r="D11" s="100"/>
      <c r="E11" s="101"/>
      <c r="F11" s="101"/>
      <c r="G11" s="104"/>
      <c r="H11" s="129"/>
      <c r="I11" s="100"/>
      <c r="J11" s="100"/>
      <c r="K11" s="100"/>
      <c r="L11" s="703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703"/>
      <c r="Z11" s="703"/>
      <c r="AC11" s="130" t="str">
        <f ca="1">IF(COUNTIF($AC$15:OFFSET($AC$264,-1,0),"DESCRIÇÃO")+COUNTIF($AC$15:OFFSET($AC$264,-1,0),"UNIDADE")+COUNTIF($AC$15:OFFSET($AC$264,-1,0),"SEM VALOR")&gt;0,"NÃO OK","OK")</f>
        <v>OK</v>
      </c>
      <c r="AD11" s="100"/>
      <c r="AE11" s="108" t="s">
        <v>215</v>
      </c>
      <c r="AF11" s="116" t="b">
        <v>1</v>
      </c>
      <c r="AG11" s="100"/>
      <c r="AH11" s="100"/>
      <c r="AJ11" s="717"/>
      <c r="AL11" s="715"/>
      <c r="AN11" s="100"/>
    </row>
    <row r="12" spans="1:40">
      <c r="A12" s="100"/>
      <c r="B12" s="100"/>
      <c r="C12" s="100"/>
      <c r="D12" s="100"/>
      <c r="E12" s="101"/>
      <c r="F12" s="101"/>
      <c r="G12" s="104"/>
      <c r="H12" s="104"/>
      <c r="I12" s="100"/>
      <c r="J12" s="100"/>
      <c r="K12" s="100"/>
      <c r="L12" s="703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703"/>
      <c r="Z12" s="703"/>
      <c r="AA12" s="716" t="s">
        <v>216</v>
      </c>
      <c r="AB12" s="716"/>
      <c r="AC12" s="100"/>
      <c r="AD12" s="100"/>
      <c r="AE12" s="100"/>
      <c r="AF12" s="100"/>
      <c r="AG12" s="100"/>
      <c r="AH12" s="100"/>
      <c r="AJ12" s="131" t="s">
        <v>217</v>
      </c>
      <c r="AL12" s="633" t="s">
        <v>217</v>
      </c>
      <c r="AN12" s="100"/>
    </row>
    <row r="13" spans="1:40" ht="35.1" customHeight="1">
      <c r="A13" s="132" t="s">
        <v>218</v>
      </c>
      <c r="B13" s="132" t="s">
        <v>219</v>
      </c>
      <c r="C13" s="132" t="s">
        <v>220</v>
      </c>
      <c r="D13" s="132" t="s">
        <v>221</v>
      </c>
      <c r="E13" s="132" t="s">
        <v>222</v>
      </c>
      <c r="F13" s="132" t="s">
        <v>223</v>
      </c>
      <c r="G13" s="132" t="s">
        <v>224</v>
      </c>
      <c r="H13" s="132" t="s">
        <v>225</v>
      </c>
      <c r="I13" s="132" t="s">
        <v>226</v>
      </c>
      <c r="J13" s="132" t="s">
        <v>227</v>
      </c>
      <c r="K13" s="132" t="s">
        <v>228</v>
      </c>
      <c r="L13" s="131" t="s">
        <v>217</v>
      </c>
      <c r="M13" s="132" t="s">
        <v>229</v>
      </c>
      <c r="N13" s="133" t="s">
        <v>230</v>
      </c>
      <c r="O13" s="132" t="s">
        <v>231</v>
      </c>
      <c r="P13" s="132" t="s">
        <v>232</v>
      </c>
      <c r="Q13" s="132" t="s">
        <v>233</v>
      </c>
      <c r="R13" s="132" t="s">
        <v>234</v>
      </c>
      <c r="S13" s="134" t="s">
        <v>235</v>
      </c>
      <c r="T13" s="132" t="s">
        <v>203</v>
      </c>
      <c r="U13" s="132" t="str">
        <f>IF(TIPOORCAMENTO="Licitado","","Custo Unitário (sem BDI) (R$)")</f>
        <v>Custo Unitário (sem BDI) (R$)</v>
      </c>
      <c r="V13" s="132" t="str">
        <f>IF(TIPOORCAMENTO="Licitado","","BDI
(%)")</f>
        <v>BDI
(%)</v>
      </c>
      <c r="W13" s="132" t="s">
        <v>236</v>
      </c>
      <c r="X13" s="132" t="s">
        <v>237</v>
      </c>
      <c r="Y13" s="131" t="s">
        <v>217</v>
      </c>
      <c r="Z13" s="131" t="s">
        <v>217</v>
      </c>
      <c r="AA13" s="135" t="s">
        <v>238</v>
      </c>
      <c r="AB13" s="136" t="s">
        <v>239</v>
      </c>
      <c r="AC13" s="132" t="s">
        <v>240</v>
      </c>
      <c r="AD13" s="137" t="s">
        <v>241</v>
      </c>
      <c r="AE13" s="137" t="s">
        <v>242</v>
      </c>
      <c r="AF13" s="137" t="s">
        <v>243</v>
      </c>
      <c r="AG13" s="197" t="s">
        <v>418</v>
      </c>
      <c r="AH13" s="573" t="str">
        <f>IF(TIPOORCAMENTO="LICITADO","Valor BDI Edital","Valor BDI")</f>
        <v>Valor BDI</v>
      </c>
      <c r="AJ13" s="379" t="s">
        <v>203</v>
      </c>
      <c r="AL13" s="379" t="s">
        <v>236</v>
      </c>
      <c r="AM13" s="197" t="s">
        <v>244</v>
      </c>
      <c r="AN13" s="198" t="s">
        <v>414</v>
      </c>
    </row>
    <row r="14" spans="1:40" ht="13.8" hidden="1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IF($C14=1,OFFSET(E14,-1,0)+MAX(1,COUNTIF(QCI!$A$13:$A$24,OFFSET(ORÇAMENTO!E14,-1,0))),OFFSET(E14,-1,0))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IF(OR($C14="S",$C14=0),0,MATCH(0,OFFSET($D14,1,$C14,ROW($C$264)-ROW($C14)),0))</f>
        <v>0</v>
      </c>
      <c r="K14">
        <f ca="1">IF(OR($C14="S",$C14=0),0,MATCH(OFFSET($D14,0,$C14)+IF($C14&lt;&gt;1,1,COUNTIF(QCI!$A$13:$A$24,ORÇAMENTO!E14)),OFFSET($D14,1,$C14,ROW($C$264)-ROW($C14)),0))</f>
        <v>0</v>
      </c>
      <c r="L14" s="139" t="str">
        <f ca="1">IF(OR($X14&gt;0,$C14=1,$C14=2,$C14=3,$C14=4),"F","")</f>
        <v/>
      </c>
      <c r="M14" s="140" t="s">
        <v>199</v>
      </c>
      <c r="N14" s="141" t="str">
        <f ca="1">CHOOSE(1+LOG(1+2*(C14=1)+4*(C14=2)+8*(C14=3)+16*(C14=4)+32*(C14="S"),2),"","Meta","Nível 2","Nível 3","Nível 4","Serviço")</f>
        <v>Serviço</v>
      </c>
      <c r="O14" s="142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43" t="s">
        <v>247</v>
      </c>
      <c r="Q14" s="144"/>
      <c r="R14" s="145" t="str">
        <f ca="1">IF($C14="S",REFERENCIA.Descricao,"(digite a descrição aqui)")</f>
        <v>(abra o arquivo 'Referência 11-2024.xlsm)</v>
      </c>
      <c r="S14" s="146" t="str">
        <f ca="1">REFERENCIA.Unidade</f>
        <v>-</v>
      </c>
      <c r="T14" s="147">
        <f ca="1">OFFSET(CÁLCULO!H$15,ROW($T14)-ROW(T$15),0)</f>
        <v>0</v>
      </c>
      <c r="U14" s="148"/>
      <c r="V14" s="149" t="s">
        <v>156</v>
      </c>
      <c r="W14" s="147">
        <f ca="1">IF($C14="S",ROUND(IF(TIPOORCAMENTO="Proposto",ORÇAMENTO.CustoUnitario*(1+$AH14),ORÇAMENTO.PrecoUnitarioLicitado),15-13*$AF$10),0)</f>
        <v>0</v>
      </c>
      <c r="X14" s="150">
        <f ca="1">IF($C14="S",IF(Import.TipoArredondamento&lt;&gt;"TransfereGOV",VTOTAL1,SUM(OFFSET(CÁLCULO!$AA$15,ROW($X14)-ROW($X$15),1):OFFSET(CÁLCULO!$AL$15,ROW($X14)-ROW($X$15),-1))),IF($C14=0,0,ROUND(SomaAgrup,15-13*$AF$11)))</f>
        <v>0</v>
      </c>
      <c r="Y14" s="151" t="s">
        <v>245</v>
      </c>
      <c r="Z14" t="str">
        <f ca="1">IF(AND($C14="S",$X14&gt;0),IF(ISBLANK($Y14),"RA",LEFT($Y14,2)),"")</f>
        <v/>
      </c>
      <c r="AA14" s="152">
        <f ca="1">IF($C14="S",IF($Z14="CP",$X14,IF($Z14="RA",(($X14)*QCI!$AA$3),0)),SomaAgrup)</f>
        <v>0</v>
      </c>
      <c r="AB14" s="153">
        <f ca="1">IF($C14="S",IF($Z14="OU",ROUND($X14,2),0),SomaAgrup)</f>
        <v>0</v>
      </c>
      <c r="AC14" s="154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s="100" t="str">
        <f ca="1">IF(C14&lt;=CRONO.NivelExibicao,MAX($AD$15:OFFSET(AD14,-1,0))+IF($C14&lt;&gt;1,1,MAX(1,COUNTIF(QCI!$A$13:$A$24,OFFSET($E14,-1,0)))),"")</f>
        <v/>
      </c>
      <c r="AE14" s="110" t="b">
        <f ca="1">IF(AND($C14="S",ORÇAMENTO.CodBarra&lt;&gt;""),IF(ORÇAMENTO.Fonte="",ORÇAMENTO.CodBarra,CONCATENATE(ORÇAMENTO.Fonte," ",ORÇAMENTO.CodBarra)))</f>
        <v>0</v>
      </c>
      <c r="AF14" s="155" t="str">
        <f ca="1">IF(ISERROR(INDIRECT(ORÇAMENTO.BancoRef)),"(abra o arquivo 'Referência "&amp;Excel_BuiltIn_Database&amp;".xlsm)",IF(OR($C14&lt;&gt;"S",ORÇAMENTO.CodBarra=""),"(Sem Código)",IF(ISERROR(MATCH($AE14,INDIRECT(ORÇAMENTO.BancoRef),0)),"(Código não identificado nas referências)",MATCH($AE14,INDIRECT(ORÇAMENTO.BancoRef),0))))</f>
        <v>(abra o arquivo 'Referência 11-2024.xlsm)</v>
      </c>
      <c r="AG14" s="574">
        <f ca="1">ROUND(IF(DESONERACAO="sim",REFERENCIA.Desonerado,REFERENCIA.NaoDesonerado),2)</f>
        <v>0</v>
      </c>
      <c r="AH14" s="575">
        <f ca="1">ROUND(IF(ISNUMBER(ORÇAMENTO.OpcaoBDI),ORÇAMENTO.OpcaoBDI,IF(LEFT(ORÇAMENTO.OpcaoBDI,3)="BDI",HLOOKUP(ORÇAMENTO.OpcaoBDI,$F$4:$H$5,2,FALSE),0)),15-11*$AF$9)</f>
        <v>0.22</v>
      </c>
      <c r="AJ14" s="577"/>
      <c r="AL14" s="607"/>
      <c r="AM14" s="426">
        <f t="shared" ref="AM14:AM77" ca="1" si="0">$X14</f>
        <v>0</v>
      </c>
      <c r="AN14" s="650">
        <f ca="1">ROUND(ORÇAMENTO.CustoUnitario*(1+$AH14),2)</f>
        <v>0</v>
      </c>
    </row>
    <row r="15" spans="1:40" ht="13.8">
      <c r="A15">
        <v>0</v>
      </c>
      <c r="C15" t="s">
        <v>149</v>
      </c>
      <c r="D15">
        <f ca="1">COUNTA(OFFSET(D15,1,0):D$264)</f>
        <v>248</v>
      </c>
      <c r="E15">
        <v>0</v>
      </c>
      <c r="L15" s="139" t="s">
        <v>246</v>
      </c>
      <c r="M15" s="156" t="str">
        <f>IF(TIPOORCAMENTO="LICITADO","CTEF","LOTE")</f>
        <v>LOTE</v>
      </c>
      <c r="N15" s="156" t="str">
        <f>IF(TIPOORCAMENTO="LICITADO","CTEF","LOTE")</f>
        <v>LOTE</v>
      </c>
      <c r="O15" s="705">
        <f>Import.DescLote</f>
        <v>0</v>
      </c>
      <c r="P15" s="705"/>
      <c r="Q15" s="705"/>
      <c r="R15" s="705"/>
      <c r="S15" s="157"/>
      <c r="T15" s="158"/>
      <c r="U15" s="158"/>
      <c r="V15" s="159"/>
      <c r="W15" s="158"/>
      <c r="X15" s="160">
        <f ca="1">SUMIF(OFFSET($C15,1,0,ROW(X264)-ROW(X15)-1),"S",OFFSET(X15,1,0,ROW(X264)-ROW(X15)-1))</f>
        <v>1048093.7999999997</v>
      </c>
      <c r="Y15" s="110"/>
      <c r="Z15" t="str">
        <f ca="1">IF(AND($C15="S",$X15&gt;0),LEFT($Y15,2),"")</f>
        <v/>
      </c>
      <c r="AA15" s="572">
        <f ca="1">SUMIF(OFFSET($C15,1,0,ROW(AA264)-ROW(AA15)-1),"S",OFFSET(AA15,1,0,ROW(AA264)-ROW(AA15)-1))</f>
        <v>88074.800000000047</v>
      </c>
      <c r="AB15" s="161">
        <f ca="1">SUMIF(OFFSET($C15,1,0,ROW(AB264)-ROW(AB15)-1),"S",OFFSET(AB15,1,0,ROW(AB264)-ROW(AB15)-1))</f>
        <v>0</v>
      </c>
      <c r="AC15" s="162"/>
      <c r="AD15" s="100"/>
      <c r="AE15" s="100"/>
      <c r="AF15" s="100"/>
      <c r="AG15" s="609"/>
      <c r="AH15" s="610"/>
      <c r="AJ15" s="576"/>
      <c r="AL15" s="608"/>
      <c r="AM15" s="651">
        <f t="shared" ca="1" si="0"/>
        <v>1048093.7999999997</v>
      </c>
      <c r="AN15" s="652"/>
    </row>
    <row r="16" spans="1:40" ht="13.8">
      <c r="A16">
        <f t="shared" ref="A16:A77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77" ca="1" si="2">IF(OR(C16="s",C16=0),OFFSET(B16,-1,0),C16)</f>
        <v>1</v>
      </c>
      <c r="C16">
        <f t="shared" ref="C16:C77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77" ca="1" si="4">IF(OR(C16="S",C16=0),0,IF(ISERROR(K16),J16,SMALL(J16:K16,1)))</f>
        <v>248</v>
      </c>
      <c r="E16">
        <f ca="1">IF($C16=1,OFFSET(E16,-1,0)+MAX(1,COUNTIF(QCI!$A$13:$A$24,OFFSET(ORÇAMENTO!E16,-1,0))),OFFSET(E16,-1,0))</f>
        <v>1</v>
      </c>
      <c r="F16">
        <f t="shared" ref="F16:F77" ca="1" si="5">IF($C16=1,0,IF($C16=2,OFFSET(F16,-1,0)+1,OFFSET(F16,-1,0)))</f>
        <v>0</v>
      </c>
      <c r="G16">
        <f t="shared" ref="G16:G77" ca="1" si="6">IF(AND($C16&lt;=2,$C16&lt;&gt;0),0,IF($C16=3,OFFSET(G16,-1,0)+1,OFFSET(G16,-1,0)))</f>
        <v>0</v>
      </c>
      <c r="H16">
        <f t="shared" ref="H16:H77" ca="1" si="7">IF(AND($C16&lt;=3,$C16&lt;&gt;0),0,IF($C16=4,OFFSET(H16,-1,0)+1,OFFSET(H16,-1,0)))</f>
        <v>0</v>
      </c>
      <c r="I16">
        <f t="shared" ref="I16:I77" ca="1" si="8">IF(AND($C16&lt;=4,$C16&lt;&gt;0),0,IF(AND($C16="S",$X16&gt;0),OFFSET(I16,-1,0)+1,OFFSET(I16,-1,0)))</f>
        <v>0</v>
      </c>
      <c r="J16">
        <f t="shared" ref="J16:J46" ca="1" si="9">IF(OR($C16="S",$C16=0),0,MATCH(0,OFFSET($D16,1,$C16,ROW($C$264)-ROW($C16)),0))</f>
        <v>248</v>
      </c>
      <c r="K16" t="e">
        <f ca="1">IF(OR($C16="S",$C16=0),0,MATCH(OFFSET($D16,0,$C16)+IF($C16&lt;&gt;1,1,COUNTIF(QCI!$A$13:$A$24,ORÇAMENTO!E16)),OFFSET($D16,1,$C16,ROW($C$264)-ROW($C16)),0))</f>
        <v>#N/A</v>
      </c>
      <c r="L16" s="139" t="str">
        <f t="shared" ref="L16:L77" ca="1" si="10">IF(OR($X16&gt;0,$C16=1,$C16=2,$C16=3,$C16=4),"F","")</f>
        <v>F</v>
      </c>
      <c r="M16" s="140" t="s">
        <v>195</v>
      </c>
      <c r="N16" s="141" t="str">
        <f t="shared" ref="N16:N77" ca="1" si="11">CHOOSE(1+LOG(1+2*(C16=1)+4*(C16=2)+8*(C16=3)+16*(C16=4)+32*(C16="S"),2),"","Meta","Nível 2","Nível 3","Nível 4","Serviço")</f>
        <v>Meta</v>
      </c>
      <c r="O16" s="142" t="str">
        <f t="shared" ref="O16:O77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43" t="s">
        <v>247</v>
      </c>
      <c r="Q16" s="144"/>
      <c r="R16" s="145" t="s">
        <v>452</v>
      </c>
      <c r="S16" s="146" t="s">
        <v>166</v>
      </c>
      <c r="T16" s="147">
        <f ca="1">OFFSET(CÁLCULO!H$15,ROW($T16)-ROW(T$15),0)</f>
        <v>0</v>
      </c>
      <c r="U16" s="148"/>
      <c r="V16" s="149" t="s">
        <v>156</v>
      </c>
      <c r="W16" s="147">
        <f ca="1">IF($C16="S",ROUND(IF(TIPOORCAMENTO="Proposto",ORÇAMENTO.CustoUnitario*(1+$AH16),ORÇAMENTO.PrecoUnitarioLicitado),15-13*$AF$10),0)</f>
        <v>0</v>
      </c>
      <c r="X16" s="150">
        <f ca="1">IF($C16="S",IF(Import.TipoArredondamento&lt;&gt;"TransfereGOV",VTOTAL1,SUM(OFFSET(CÁLCULO!$AA$15,ROW($X16)-ROW($X$15),1):OFFSET(CÁLCULO!$AL$15,ROW($X16)-ROW($X$15),-1))),IF($C16=0,0,ROUND(SomaAgrup,15-13*$AF$11)))</f>
        <v>1048093.8</v>
      </c>
      <c r="Y16" s="151" t="s">
        <v>245</v>
      </c>
      <c r="Z16" t="str">
        <f t="shared" ref="Z16:Z77" ca="1" si="13">IF(AND($C16="S",$X16&gt;0),IF(ISBLANK($Y16),"RA",LEFT($Y16,2)),"")</f>
        <v/>
      </c>
      <c r="AA16" s="152">
        <f ca="1">IF($C16="S",IF($Z16="CP",$X16,IF($Z16="RA",(($X16)*QCI!$AA$3),0)),SomaAgrup)</f>
        <v>88074.800000000047</v>
      </c>
      <c r="AB16" s="153">
        <f t="shared" ref="AB16:AB77" ca="1" si="14">IF($C16="S",IF($Z16="OU",ROUND($X16,2),0),SomaAgrup)</f>
        <v>0</v>
      </c>
      <c r="AC16" s="154" t="str">
        <f ca="1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 s="100">
        <f ca="1">IF(C16&lt;=CRONO.NivelExibicao,MAX($AD$15:OFFSET(AD16,-1,0))+IF($C16&lt;&gt;1,1,MAX(1,COUNTIF(QCI!$A$13:$A$24,OFFSET($E16,-1,0)))),"")</f>
        <v>1</v>
      </c>
      <c r="AE16" s="110" t="b">
        <f ca="1">IF(AND($C16="S",ORÇAMENTO.CodBarra&lt;&gt;""),IF(ORÇAMENTO.Fonte="",ORÇAMENTO.CodBarra,CONCATENATE(ORÇAMENTO.Fonte," ",ORÇAMENTO.CodBarra)))</f>
        <v>0</v>
      </c>
      <c r="AF16" s="155" t="str">
        <f ca="1">IF(ISERROR(INDIRECT(ORÇAMENTO.BancoRef)),"(abra o arquivo 'Referência "&amp;Excel_BuiltIn_Database&amp;".xlsm)",IF(OR($C16&lt;&gt;"S",ORÇAMENTO.CodBarra=""),"(Sem Código)",IF(ISERROR(MATCH($AE16,INDIRECT(ORÇAMENTO.BancoRef),0)),"(Código não identificado nas referências)",MATCH($AE16,INDIRECT(ORÇAMENTO.BancoRef),0))))</f>
        <v>(abra o arquivo 'Referência 11-2024.xlsm)</v>
      </c>
      <c r="AG16" s="574">
        <f ca="1">ROUND(IF(DESONERACAO="sim",REFERENCIA.Desonerado,REFERENCIA.NaoDesonerado),2)</f>
        <v>0</v>
      </c>
      <c r="AH16" s="575">
        <f t="shared" ref="AH16:AH77" ca="1" si="15">ROUND(IF(ISNUMBER(ORÇAMENTO.OpcaoBDI),ORÇAMENTO.OpcaoBDI,IF(LEFT(ORÇAMENTO.OpcaoBDI,3)="BDI",HLOOKUP(ORÇAMENTO.OpcaoBDI,$F$4:$H$5,2,FALSE),0)),15-11*$AF$9)</f>
        <v>0.22</v>
      </c>
      <c r="AJ16" s="577"/>
      <c r="AL16" s="607"/>
      <c r="AM16" s="426">
        <f t="shared" ca="1" si="0"/>
        <v>1048093.8</v>
      </c>
      <c r="AN16" s="650">
        <f t="shared" ref="AN16:AN77" ca="1" si="16">ROUND(ORÇAMENTO.CustoUnitario*(1+$AH16),2)</f>
        <v>0</v>
      </c>
    </row>
    <row r="17" spans="1:40" ht="13.8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IF($C17=1,OFFSET(E17,-1,0)+MAX(1,COUNTIF(QCI!$A$13:$A$24,OFFSET(ORÇAMENTO!E17,-1,0))),OFFSET(E17,-1,0))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247</v>
      </c>
      <c r="K17">
        <f ca="1">IF(OR($C17="S",$C17=0),0,MATCH(OFFSET($D17,0,$C17)+IF($C17&lt;&gt;1,1,COUNTIF(QCI!$A$13:$A$24,ORÇAMENTO!E17)),OFFSET($D17,1,$C17,ROW($C$264)-ROW($C17)),0))</f>
        <v>2</v>
      </c>
      <c r="L17" s="139" t="str">
        <f t="shared" ca="1" si="10"/>
        <v>F</v>
      </c>
      <c r="M17" s="140" t="s">
        <v>196</v>
      </c>
      <c r="N17" s="141" t="str">
        <f t="shared" ca="1" si="11"/>
        <v>Nível 2</v>
      </c>
      <c r="O17" s="142" t="str">
        <f t="shared" ca="1" si="12"/>
        <v>1.1.</v>
      </c>
      <c r="P17" s="143" t="s">
        <v>247</v>
      </c>
      <c r="Q17" s="144"/>
      <c r="R17" s="145" t="s">
        <v>453</v>
      </c>
      <c r="S17" s="146" t="s">
        <v>166</v>
      </c>
      <c r="T17" s="147">
        <f ca="1">OFFSET(CÁLCULO!H$15,ROW($T17)-ROW(T$15),0)</f>
        <v>0</v>
      </c>
      <c r="U17" s="148"/>
      <c r="V17" s="149" t="s">
        <v>156</v>
      </c>
      <c r="W17" s="147">
        <f ca="1">IF($C17="S",ROUND(IF(TIPOORCAMENTO="Proposto",ORÇAMENTO.CustoUnitario*(1+$AH17),ORÇAMENTO.PrecoUnitarioLicitado),15-13*$AF$10),0)</f>
        <v>0</v>
      </c>
      <c r="X17" s="150">
        <f ca="1">IF($C17="S",IF(Import.TipoArredondamento&lt;&gt;"TransfereGOV",VTOTAL1,SUM(OFFSET(CÁLCULO!$AA$15,ROW($X17)-ROW($X$15),1):OFFSET(CÁLCULO!$AL$15,ROW($X17)-ROW($X$15),-1))),IF($C17=0,0,ROUND(SomaAgrup,15-13*$AF$11)))</f>
        <v>4588</v>
      </c>
      <c r="Y17" s="151" t="s">
        <v>245</v>
      </c>
      <c r="Z17" t="str">
        <f t="shared" ca="1" si="13"/>
        <v/>
      </c>
      <c r="AA17" s="152">
        <f ca="1">IF($C17="S",IF($Z17="CP",$X17,IF($Z17="RA",(($X17)*QCI!$AA$3),0)),SomaAgrup)</f>
        <v>385.54486478214091</v>
      </c>
      <c r="AB17" s="153">
        <f t="shared" ca="1" si="14"/>
        <v>0</v>
      </c>
      <c r="AC17" s="154" t="str">
        <f ca="1">IF($N17="","",IF(ORÇAMENTO.Descricao="","DESCRIÇÃO",IF(AND($C17="S",ORÇAMENTO.Unidade=""),"UNIDADE",IF($X17&lt;0,"VALOR NEGATIVO",IF(OR(AND(TIPOORCAMENTO="Proposto",$AG17&lt;&gt;"",$AG17&gt;0,ORÇAMENTO.CustoUnitario&gt;$AG17),AND(TIPOORCAMENTO="LICITADO",ORÇAMENTO.PrecoUnitarioLicitado&gt;$AN17)),"ACIMA REF.","")))))</f>
        <v/>
      </c>
      <c r="AD17" s="100">
        <f ca="1">IF(C17&lt;=CRONO.NivelExibicao,MAX($AD$15:OFFSET(AD17,-1,0))+IF($C17&lt;&gt;1,1,MAX(1,COUNTIF(QCI!$A$13:$A$24,OFFSET($E17,-1,0)))),"")</f>
        <v>2</v>
      </c>
      <c r="AE17" s="110" t="b">
        <f ca="1">IF(AND($C17="S",ORÇAMENTO.CodBarra&lt;&gt;""),IF(ORÇAMENTO.Fonte="",ORÇAMENTO.CodBarra,CONCATENATE(ORÇAMENTO.Fonte," ",ORÇAMENTO.CodBarra)))</f>
        <v>0</v>
      </c>
      <c r="AF17" s="155" t="str">
        <f ca="1">IF(ISERROR(INDIRECT(ORÇAMENTO.BancoRef)),"(abra o arquivo 'Referência "&amp;Excel_BuiltIn_Database&amp;".xlsm)",IF(OR($C17&lt;&gt;"S",ORÇAMENTO.CodBarra=""),"(Sem Código)",IF(ISERROR(MATCH($AE17,INDIRECT(ORÇAMENTO.BancoRef),0)),"(Código não identificado nas referências)",MATCH($AE17,INDIRECT(ORÇAMENTO.BancoRef),0))))</f>
        <v>(abra o arquivo 'Referência 11-2024.xlsm)</v>
      </c>
      <c r="AG17" s="574">
        <f ca="1">ROUND(IF(DESONERACAO="sim",REFERENCIA.Desonerado,REFERENCIA.NaoDesonerado),2)</f>
        <v>0</v>
      </c>
      <c r="AH17" s="575">
        <f t="shared" ca="1" si="15"/>
        <v>0.22</v>
      </c>
      <c r="AJ17" s="577"/>
      <c r="AL17" s="607"/>
      <c r="AM17" s="426">
        <f t="shared" ca="1" si="0"/>
        <v>4588</v>
      </c>
      <c r="AN17" s="650">
        <f t="shared" ca="1" si="16"/>
        <v>0</v>
      </c>
    </row>
    <row r="18" spans="1:40" ht="26.4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IF($C18=1,OFFSET(E18,-1,0)+MAX(1,COUNTIF(QCI!$A$13:$A$24,OFFSET(ORÇAMENTO!E18,-1,0))),OFFSET(E18,-1,0))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1</v>
      </c>
      <c r="J18">
        <f t="shared" ca="1" si="9"/>
        <v>0</v>
      </c>
      <c r="K18">
        <f ca="1">IF(OR($C18="S",$C18=0),0,MATCH(OFFSET($D18,0,$C18)+IF($C18&lt;&gt;1,1,COUNTIF(QCI!$A$13:$A$24,ORÇAMENTO!E18)),OFFSET($D18,1,$C18,ROW($C$264)-ROW($C18)),0))</f>
        <v>0</v>
      </c>
      <c r="L18" s="139" t="str">
        <f t="shared" ca="1" si="10"/>
        <v>F</v>
      </c>
      <c r="M18" s="140" t="s">
        <v>199</v>
      </c>
      <c r="N18" s="141" t="str">
        <f t="shared" ca="1" si="11"/>
        <v>Serviço</v>
      </c>
      <c r="O18" s="142" t="str">
        <f t="shared" ca="1" si="12"/>
        <v>1.1.1.</v>
      </c>
      <c r="P18" s="143" t="s">
        <v>247</v>
      </c>
      <c r="Q18" s="144" t="s">
        <v>463</v>
      </c>
      <c r="R18" s="145" t="s">
        <v>491</v>
      </c>
      <c r="S18" s="146" t="s">
        <v>501</v>
      </c>
      <c r="T18" s="147">
        <f ca="1">OFFSET(CÁLCULO!H$15,ROW($T18)-ROW(T$15),0)</f>
        <v>8</v>
      </c>
      <c r="U18" s="148">
        <v>470.08</v>
      </c>
      <c r="V18" s="149" t="s">
        <v>156</v>
      </c>
      <c r="W18" s="147">
        <f ca="1">IF($C18="S",ROUND(IF(TIPOORCAMENTO="Proposto",ORÇAMENTO.CustoUnitario*(1+$AH18),ORÇAMENTO.PrecoUnitarioLicitado),15-13*$AF$10),0)</f>
        <v>573.5</v>
      </c>
      <c r="X18" s="150">
        <f ca="1">IF($C18="S",IF(Import.TipoArredondamento&lt;&gt;"TransfereGOV",VTOTAL1,SUM(OFFSET(CÁLCULO!$AA$15,ROW($X18)-ROW($X$15),1):OFFSET(CÁLCULO!$AL$15,ROW($X18)-ROW($X$15),-1))),IF($C18=0,0,ROUND(SomaAgrup,15-13*$AF$11)))</f>
        <v>4588</v>
      </c>
      <c r="Y18" s="151" t="s">
        <v>245</v>
      </c>
      <c r="Z18" t="str">
        <f t="shared" ca="1" si="13"/>
        <v>RA</v>
      </c>
      <c r="AA18" s="152">
        <f ca="1">IF($C18="S",IF($Z18="CP",$X18,IF($Z18="RA",(($X18)*QCI!$AA$3),0)),SomaAgrup)</f>
        <v>385.54486478214091</v>
      </c>
      <c r="AB18" s="153">
        <f t="shared" ca="1" si="14"/>
        <v>0</v>
      </c>
      <c r="AC18" s="154" t="str">
        <f ca="1">IF($N18="","",IF(ORÇAMENTO.Descricao="","DESCRIÇÃO",IF(AND($C18="S",ORÇAMENTO.Unidade=""),"UNIDADE",IF($X18&lt;0,"VALOR NEGATIVO",IF(OR(AND(TIPOORCAMENTO="Proposto",$AG18&lt;&gt;"",$AG18&gt;0,ORÇAMENTO.CustoUnitario&gt;$AG18),AND(TIPOORCAMENTO="LICITADO",ORÇAMENTO.PrecoUnitarioLicitado&gt;$AN18)),"ACIMA REF.","")))))</f>
        <v/>
      </c>
      <c r="AD18" s="100" t="str">
        <f ca="1">IF(C18&lt;=CRONO.NivelExibicao,MAX($AD$15:OFFSET(AD18,-1,0))+IF($C18&lt;&gt;1,1,MAX(1,COUNTIF(QCI!$A$13:$A$24,OFFSET($E18,-1,0)))),"")</f>
        <v/>
      </c>
      <c r="AE18" s="110" t="str">
        <f ca="1">IF(AND($C18="S",ORÇAMENTO.CodBarra&lt;&gt;""),IF(ORÇAMENTO.Fonte="",ORÇAMENTO.CodBarra,CONCATENATE(ORÇAMENTO.Fonte," ",ORÇAMENTO.CodBarra)))</f>
        <v>SINAPI 103689</v>
      </c>
      <c r="AF18" s="155" t="str">
        <f ca="1">IF(ISERROR(INDIRECT(ORÇAMENTO.BancoRef)),"(abra o arquivo 'Referência "&amp;Excel_BuiltIn_Database&amp;".xlsm)",IF(OR($C18&lt;&gt;"S",ORÇAMENTO.CodBarra=""),"(Sem Código)",IF(ISERROR(MATCH($AE18,INDIRECT(ORÇAMENTO.BancoRef),0)),"(Código não identificado nas referências)",MATCH($AE18,INDIRECT(ORÇAMENTO.BancoRef),0))))</f>
        <v>(abra o arquivo 'Referência 11-2024.xlsm)</v>
      </c>
      <c r="AG18" s="574">
        <f ca="1">ROUND(IF(DESONERACAO="sim",REFERENCIA.Desonerado,REFERENCIA.NaoDesonerado),2)</f>
        <v>0</v>
      </c>
      <c r="AH18" s="575">
        <f t="shared" ca="1" si="15"/>
        <v>0.22</v>
      </c>
      <c r="AJ18" s="577"/>
      <c r="AL18" s="607"/>
      <c r="AM18" s="426">
        <f t="shared" ca="1" si="0"/>
        <v>4588</v>
      </c>
      <c r="AN18" s="650">
        <f t="shared" ca="1" si="16"/>
        <v>573.5</v>
      </c>
    </row>
    <row r="19" spans="1:40" ht="13.8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4</v>
      </c>
      <c r="E19">
        <f ca="1">IF($C19=1,OFFSET(E19,-1,0)+MAX(1,COUNTIF(QCI!$A$13:$A$24,OFFSET(ORÇAMENTO!E19,-1,0))),OFFSET(E19,-1,0))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245</v>
      </c>
      <c r="K19">
        <f ca="1">IF(OR($C19="S",$C19=0),0,MATCH(OFFSET($D19,0,$C19)+IF($C19&lt;&gt;1,1,COUNTIF(QCI!$A$13:$A$24,ORÇAMENTO!E19)),OFFSET($D19,1,$C19,ROW($C$264)-ROW($C19)),0))</f>
        <v>4</v>
      </c>
      <c r="L19" s="139" t="str">
        <f t="shared" ca="1" si="10"/>
        <v>F</v>
      </c>
      <c r="M19" s="140" t="s">
        <v>196</v>
      </c>
      <c r="N19" s="141" t="str">
        <f t="shared" ca="1" si="11"/>
        <v>Nível 2</v>
      </c>
      <c r="O19" s="142" t="str">
        <f t="shared" ca="1" si="12"/>
        <v>1.2.</v>
      </c>
      <c r="P19" s="143" t="s">
        <v>247</v>
      </c>
      <c r="Q19" s="144"/>
      <c r="R19" s="145" t="s">
        <v>454</v>
      </c>
      <c r="S19" s="146" t="s">
        <v>166</v>
      </c>
      <c r="T19" s="147">
        <f ca="1">OFFSET(CÁLCULO!H$15,ROW($T19)-ROW(T$15),0)</f>
        <v>0</v>
      </c>
      <c r="U19" s="148"/>
      <c r="V19" s="149" t="s">
        <v>156</v>
      </c>
      <c r="W19" s="147">
        <f ca="1">IF($C19="S",ROUND(IF(TIPOORCAMENTO="Proposto",ORÇAMENTO.CustoUnitario*(1+$AH19),ORÇAMENTO.PrecoUnitarioLicitado),15-13*$AF$10),0)</f>
        <v>0</v>
      </c>
      <c r="X19" s="150">
        <f ca="1">IF($C19="S",IF(Import.TipoArredondamento&lt;&gt;"TransfereGOV",VTOTAL1,SUM(OFFSET(CÁLCULO!$AA$15,ROW($X19)-ROW($X$15),1):OFFSET(CÁLCULO!$AL$15,ROW($X19)-ROW($X$15),-1))),IF($C19=0,0,ROUND(SomaAgrup,15-13*$AF$11)))</f>
        <v>991066.69</v>
      </c>
      <c r="Y19" s="151" t="s">
        <v>245</v>
      </c>
      <c r="Z19" t="str">
        <f t="shared" ca="1" si="13"/>
        <v/>
      </c>
      <c r="AA19" s="152">
        <f ca="1">IF($C19="S",IF($Z19="CP",$X19,IF($Z19="RA",(($X19)*QCI!$AA$3),0)),SomaAgrup)</f>
        <v>83282.622708398849</v>
      </c>
      <c r="AB19" s="153">
        <f t="shared" ca="1" si="14"/>
        <v>0</v>
      </c>
      <c r="AC19" s="154" t="str">
        <f ca="1">IF($N19="","",IF(ORÇAMENTO.Descricao="","DESCRIÇÃO",IF(AND($C19="S",ORÇAMENTO.Unidade=""),"UNIDADE",IF($X19&lt;0,"VALOR NEGATIVO",IF(OR(AND(TIPOORCAMENTO="Proposto",$AG19&lt;&gt;"",$AG19&gt;0,ORÇAMENTO.CustoUnitario&gt;$AG19),AND(TIPOORCAMENTO="LICITADO",ORÇAMENTO.PrecoUnitarioLicitado&gt;$AN19)),"ACIMA REF.","")))))</f>
        <v/>
      </c>
      <c r="AD19" s="100">
        <f ca="1">IF(C19&lt;=CRONO.NivelExibicao,MAX($AD$15:OFFSET(AD19,-1,0))+IF($C19&lt;&gt;1,1,MAX(1,COUNTIF(QCI!$A$13:$A$24,OFFSET($E19,-1,0)))),"")</f>
        <v>3</v>
      </c>
      <c r="AE19" s="110" t="b">
        <f ca="1">IF(AND($C19="S",ORÇAMENTO.CodBarra&lt;&gt;""),IF(ORÇAMENTO.Fonte="",ORÇAMENTO.CodBarra,CONCATENATE(ORÇAMENTO.Fonte," ",ORÇAMENTO.CodBarra)))</f>
        <v>0</v>
      </c>
      <c r="AF19" s="155" t="str">
        <f ca="1">IF(ISERROR(INDIRECT(ORÇAMENTO.BancoRef)),"(abra o arquivo 'Referência "&amp;Excel_BuiltIn_Database&amp;".xlsm)",IF(OR($C19&lt;&gt;"S",ORÇAMENTO.CodBarra=""),"(Sem Código)",IF(ISERROR(MATCH($AE19,INDIRECT(ORÇAMENTO.BancoRef),0)),"(Código não identificado nas referências)",MATCH($AE19,INDIRECT(ORÇAMENTO.BancoRef),0))))</f>
        <v>(abra o arquivo 'Referência 11-2024.xlsm)</v>
      </c>
      <c r="AG19" s="574">
        <f ca="1">ROUND(IF(DESONERACAO="sim",REFERENCIA.Desonerado,REFERENCIA.NaoDesonerado),2)</f>
        <v>0</v>
      </c>
      <c r="AH19" s="575">
        <f t="shared" ca="1" si="15"/>
        <v>0.22</v>
      </c>
      <c r="AJ19" s="577"/>
      <c r="AL19" s="607"/>
      <c r="AM19" s="426">
        <f t="shared" ca="1" si="0"/>
        <v>991066.69</v>
      </c>
      <c r="AN19" s="650">
        <f t="shared" ca="1" si="16"/>
        <v>0</v>
      </c>
    </row>
    <row r="20" spans="1:40" ht="13.8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IF($C20=1,OFFSET(E20,-1,0)+MAX(1,COUNTIF(QCI!$A$13:$A$24,OFFSET(ORÇAMENTO!E20,-1,0))),OFFSET(E20,-1,0))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1</v>
      </c>
      <c r="J20">
        <f t="shared" ca="1" si="9"/>
        <v>0</v>
      </c>
      <c r="K20">
        <f ca="1">IF(OR($C20="S",$C20=0),0,MATCH(OFFSET($D20,0,$C20)+IF($C20&lt;&gt;1,1,COUNTIF(QCI!$A$13:$A$24,ORÇAMENTO!E20)),OFFSET($D20,1,$C20,ROW($C$264)-ROW($C20)),0))</f>
        <v>0</v>
      </c>
      <c r="L20" s="139" t="str">
        <f t="shared" ca="1" si="10"/>
        <v>F</v>
      </c>
      <c r="M20" s="140" t="s">
        <v>199</v>
      </c>
      <c r="N20" s="141" t="str">
        <f t="shared" ca="1" si="11"/>
        <v>Serviço</v>
      </c>
      <c r="O20" s="142" t="str">
        <f t="shared" ca="1" si="12"/>
        <v>1.2.1.</v>
      </c>
      <c r="P20" s="143" t="s">
        <v>456</v>
      </c>
      <c r="Q20" s="144" t="s">
        <v>457</v>
      </c>
      <c r="R20" s="145" t="s">
        <v>492</v>
      </c>
      <c r="S20" s="146" t="s">
        <v>501</v>
      </c>
      <c r="T20" s="147">
        <f ca="1">OFFSET(CÁLCULO!H$15,ROW($T20)-ROW(T$15),0)</f>
        <v>18511.060000000001</v>
      </c>
      <c r="U20" s="148">
        <v>0.86</v>
      </c>
      <c r="V20" s="149" t="s">
        <v>156</v>
      </c>
      <c r="W20" s="147">
        <f ca="1">IF($C20="S",ROUND(IF(TIPOORCAMENTO="Proposto",ORÇAMENTO.CustoUnitario*(1+$AH20),ORÇAMENTO.PrecoUnitarioLicitado),15-13*$AF$10),0)</f>
        <v>1.05</v>
      </c>
      <c r="X20" s="150">
        <f ca="1">IF($C20="S",IF(Import.TipoArredondamento&lt;&gt;"TransfereGOV",VTOTAL1,SUM(OFFSET(CÁLCULO!$AA$15,ROW($X20)-ROW($X$15),1):OFFSET(CÁLCULO!$AL$15,ROW($X20)-ROW($X$15),-1))),IF($C20=0,0,ROUND(SomaAgrup,15-13*$AF$11)))</f>
        <v>19436.61</v>
      </c>
      <c r="Y20" s="151" t="s">
        <v>245</v>
      </c>
      <c r="Z20" t="str">
        <f t="shared" ca="1" si="13"/>
        <v>RA</v>
      </c>
      <c r="AA20" s="152">
        <f ca="1">IF($C20="S",IF($Z20="CP",$X20,IF($Z20="RA",(($X20)*QCI!$AA$3),0)),SomaAgrup)</f>
        <v>1633.3228365896268</v>
      </c>
      <c r="AB20" s="153">
        <f t="shared" ca="1" si="14"/>
        <v>0</v>
      </c>
      <c r="AC20" s="154" t="str">
        <f ca="1">IF($N20="","",IF(ORÇAMENTO.Descricao="","DESCRIÇÃO",IF(AND($C20="S",ORÇAMENTO.Unidade=""),"UNIDADE",IF($X20&lt;0,"VALOR NEGATIVO",IF(OR(AND(TIPOORCAMENTO="Proposto",$AG20&lt;&gt;"",$AG20&gt;0,ORÇAMENTO.CustoUnitario&gt;$AG20),AND(TIPOORCAMENTO="LICITADO",ORÇAMENTO.PrecoUnitarioLicitado&gt;$AN20)),"ACIMA REF.","")))))</f>
        <v/>
      </c>
      <c r="AD20" s="100" t="str">
        <f ca="1">IF(C20&lt;=CRONO.NivelExibicao,MAX($AD$15:OFFSET(AD20,-1,0))+IF($C20&lt;&gt;1,1,MAX(1,COUNTIF(QCI!$A$13:$A$24,OFFSET($E20,-1,0)))),"")</f>
        <v/>
      </c>
      <c r="AE20" s="110" t="str">
        <f ca="1">IF(AND($C20="S",ORÇAMENTO.CodBarra&lt;&gt;""),IF(ORÇAMENTO.Fonte="",ORÇAMENTO.CodBarra,CONCATENATE(ORÇAMENTO.Fonte," ",ORÇAMENTO.CodBarra)))</f>
        <v>CDHU 54.01.410</v>
      </c>
      <c r="AF20" s="155" t="str">
        <f ca="1">IF(ISERROR(INDIRECT(ORÇAMENTO.BancoRef)),"(abra o arquivo 'Referência "&amp;Excel_BuiltIn_Database&amp;".xlsm)",IF(OR($C20&lt;&gt;"S",ORÇAMENTO.CodBarra=""),"(Sem Código)",IF(ISERROR(MATCH($AE20,INDIRECT(ORÇAMENTO.BancoRef),0)),"(Código não identificado nas referências)",MATCH($AE20,INDIRECT(ORÇAMENTO.BancoRef),0))))</f>
        <v>(abra o arquivo 'Referência 11-2024.xlsm)</v>
      </c>
      <c r="AG20" s="574">
        <f ca="1">ROUND(IF(DESONERACAO="sim",REFERENCIA.Desonerado,REFERENCIA.NaoDesonerado),2)</f>
        <v>0</v>
      </c>
      <c r="AH20" s="575">
        <f t="shared" ca="1" si="15"/>
        <v>0.22</v>
      </c>
      <c r="AJ20" s="577"/>
      <c r="AL20" s="607"/>
      <c r="AM20" s="426">
        <f t="shared" ca="1" si="0"/>
        <v>19436.61</v>
      </c>
      <c r="AN20" s="650">
        <f t="shared" ca="1" si="16"/>
        <v>1.05</v>
      </c>
    </row>
    <row r="21" spans="1:40" ht="13.8">
      <c r="A21" t="str">
        <f t="shared" si="1"/>
        <v>S</v>
      </c>
      <c r="B21">
        <f t="shared" ca="1" si="2"/>
        <v>2</v>
      </c>
      <c r="C21" t="str">
        <f t="shared" ca="1" si="3"/>
        <v>S</v>
      </c>
      <c r="D21">
        <f t="shared" ca="1" si="4"/>
        <v>0</v>
      </c>
      <c r="E21">
        <f ca="1">IF($C21=1,OFFSET(E21,-1,0)+MAX(1,COUNTIF(QCI!$A$13:$A$24,OFFSET(ORÇAMENTO!E21,-1,0))),OFFSET(E21,-1,0))</f>
        <v>1</v>
      </c>
      <c r="F21">
        <f t="shared" ca="1" si="5"/>
        <v>2</v>
      </c>
      <c r="G21">
        <f t="shared" ca="1" si="6"/>
        <v>0</v>
      </c>
      <c r="H21">
        <f t="shared" ca="1" si="7"/>
        <v>0</v>
      </c>
      <c r="I21">
        <f t="shared" ca="1" si="8"/>
        <v>2</v>
      </c>
      <c r="J21">
        <f t="shared" ca="1" si="9"/>
        <v>0</v>
      </c>
      <c r="K21">
        <f ca="1">IF(OR($C21="S",$C21=0),0,MATCH(OFFSET($D21,0,$C21)+IF($C21&lt;&gt;1,1,COUNTIF(QCI!$A$13:$A$24,ORÇAMENTO!E21)),OFFSET($D21,1,$C21,ROW($C$264)-ROW($C21)),0))</f>
        <v>0</v>
      </c>
      <c r="L21" s="139" t="str">
        <f t="shared" ca="1" si="10"/>
        <v>F</v>
      </c>
      <c r="M21" s="140" t="s">
        <v>199</v>
      </c>
      <c r="N21" s="141" t="str">
        <f t="shared" ca="1" si="11"/>
        <v>Serviço</v>
      </c>
      <c r="O21" s="142" t="str">
        <f t="shared" ca="1" si="12"/>
        <v>1.2.2.</v>
      </c>
      <c r="P21" s="143" t="s">
        <v>456</v>
      </c>
      <c r="Q21" s="144" t="s">
        <v>462</v>
      </c>
      <c r="R21" s="145" t="s">
        <v>493</v>
      </c>
      <c r="S21" s="146" t="s">
        <v>501</v>
      </c>
      <c r="T21" s="147">
        <f ca="1">OFFSET(CÁLCULO!H$15,ROW($T21)-ROW(T$15),0)</f>
        <v>18511.060000000001</v>
      </c>
      <c r="U21" s="148">
        <v>6.47</v>
      </c>
      <c r="V21" s="149" t="s">
        <v>156</v>
      </c>
      <c r="W21" s="147">
        <f ca="1">IF($C21="S",ROUND(IF(TIPOORCAMENTO="Proposto",ORÇAMENTO.CustoUnitario*(1+$AH21),ORÇAMENTO.PrecoUnitarioLicitado),15-13*$AF$10),0)</f>
        <v>7.89</v>
      </c>
      <c r="X21" s="150">
        <f ca="1">IF($C21="S",IF(Import.TipoArredondamento&lt;&gt;"TransfereGOV",VTOTAL1,SUM(OFFSET(CÁLCULO!$AA$15,ROW($X21)-ROW($X$15),1):OFFSET(CÁLCULO!$AL$15,ROW($X21)-ROW($X$15),-1))),IF($C21=0,0,ROUND(SomaAgrup,15-13*$AF$11)))</f>
        <v>146052.26</v>
      </c>
      <c r="Y21" s="151" t="s">
        <v>245</v>
      </c>
      <c r="Z21" t="str">
        <f t="shared" ca="1" si="13"/>
        <v>RA</v>
      </c>
      <c r="AA21" s="152">
        <f ca="1">IF($C21="S",IF($Z21="CP",$X21,IF($Z21="RA",(($X21)*QCI!$AA$3),0)),SomaAgrup)</f>
        <v>12273.256066439862</v>
      </c>
      <c r="AB21" s="153">
        <f t="shared" ca="1" si="14"/>
        <v>0</v>
      </c>
      <c r="AC21" s="154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 s="100" t="str">
        <f ca="1">IF(C21&lt;=CRONO.NivelExibicao,MAX($AD$15:OFFSET(AD21,-1,0))+IF($C21&lt;&gt;1,1,MAX(1,COUNTIF(QCI!$A$13:$A$24,OFFSET($E21,-1,0)))),"")</f>
        <v/>
      </c>
      <c r="AE21" s="110" t="str">
        <f ca="1">IF(AND($C21="S",ORÇAMENTO.CodBarra&lt;&gt;""),IF(ORÇAMENTO.Fonte="",ORÇAMENTO.CodBarra,CONCATENATE(ORÇAMENTO.Fonte," ",ORÇAMENTO.CodBarra)))</f>
        <v>CDHU 54.03.230</v>
      </c>
      <c r="AF21" s="155" t="str">
        <f ca="1">IF(ISERROR(INDIRECT(ORÇAMENTO.BancoRef)),"(abra o arquivo 'Referência "&amp;Excel_BuiltIn_Database&amp;".xlsm)",IF(OR($C21&lt;&gt;"S",ORÇAMENTO.CodBarra=""),"(Sem Código)",IF(ISERROR(MATCH($AE21,INDIRECT(ORÇAMENTO.BancoRef),0)),"(Código não identificado nas referências)",MATCH($AE21,INDIRECT(ORÇAMENTO.BancoRef),0))))</f>
        <v>(abra o arquivo 'Referência 11-2024.xlsm)</v>
      </c>
      <c r="AG21" s="574">
        <f ca="1">ROUND(IF(DESONERACAO="sim",REFERENCIA.Desonerado,REFERENCIA.NaoDesonerado),2)</f>
        <v>0</v>
      </c>
      <c r="AH21" s="575">
        <f t="shared" ca="1" si="15"/>
        <v>0.22</v>
      </c>
      <c r="AJ21" s="577"/>
      <c r="AL21" s="607"/>
      <c r="AM21" s="426">
        <f t="shared" ca="1" si="0"/>
        <v>146052.26</v>
      </c>
      <c r="AN21" s="650">
        <f t="shared" ca="1" si="16"/>
        <v>7.89</v>
      </c>
    </row>
    <row r="22" spans="1:40" ht="39.6">
      <c r="A22" t="str">
        <f t="shared" ref="A22:A27" si="17">CHOOSE(1+LOG(1+2*(ORÇAMENTO.Nivel="Meta")+4*(ORÇAMENTO.Nivel="Nível 2")+8*(ORÇAMENTO.Nivel="Nível 3")+16*(ORÇAMENTO.Nivel="Nível 4")+32*(ORÇAMENTO.Nivel="Serviço"),2),0,1,2,3,4,"S")</f>
        <v>S</v>
      </c>
      <c r="B22">
        <f ca="1">IF(OR(C22="s",C22=0),OFFSET(B22,-1,0),C22)</f>
        <v>2</v>
      </c>
      <c r="C22" t="str">
        <f ca="1">IF(OFFSET(C22,-1,0)="L",1,IF(OFFSET(C22,-1,0)=1,2,IF(OR(A22="s",A22=0),"S",IF(AND(OFFSET(C22,-1,0)=2,A22=4),3,IF(AND(OR(OFFSET(C22,-1,0)="s",OFFSET(C22,-1,0)=0),A22&lt;&gt;"s",A22&gt;OFFSET(B22,-1,0)),OFFSET(B22,-1,0),A22)))))</f>
        <v>S</v>
      </c>
      <c r="D22">
        <f ca="1">IF(OR(C22="S",C22=0),0,IF(ISERROR(K22),J22,SMALL(J22:K22,1)))</f>
        <v>0</v>
      </c>
      <c r="E22">
        <f ca="1">IF($C22=1,OFFSET(E22,-1,0)+MAX(1,COUNTIF(QCI!$A$13:$A$24,OFFSET(ORÇAMENTO!E22,-1,0))),OFFSET(E22,-1,0))</f>
        <v>1</v>
      </c>
      <c r="F22">
        <f ca="1">IF($C22=1,0,IF($C22=2,OFFSET(F22,-1,0)+1,OFFSET(F22,-1,0)))</f>
        <v>2</v>
      </c>
      <c r="G22">
        <f ca="1">IF(AND($C22&lt;=2,$C22&lt;&gt;0),0,IF($C22=3,OFFSET(G22,-1,0)+1,OFFSET(G22,-1,0)))</f>
        <v>0</v>
      </c>
      <c r="H22">
        <f ca="1">IF(AND($C22&lt;=3,$C22&lt;&gt;0),0,IF($C22=4,OFFSET(H22,-1,0)+1,OFFSET(H22,-1,0)))</f>
        <v>0</v>
      </c>
      <c r="I22">
        <f ca="1">IF(AND($C22&lt;=4,$C22&lt;&gt;0),0,IF(AND($C22="S",$X22&gt;0),OFFSET(I22,-1,0)+1,OFFSET(I22,-1,0)))</f>
        <v>3</v>
      </c>
      <c r="J22">
        <f t="shared" ca="1" si="9"/>
        <v>0</v>
      </c>
      <c r="K22">
        <f ca="1">IF(OR($C22="S",$C22=0),0,MATCH(OFFSET($D22,0,$C22)+IF($C22&lt;&gt;1,1,COUNTIF(QCI!$A$13:$A$24,ORÇAMENTO!E22)),OFFSET($D22,1,$C22,ROW($C$264)-ROW($C22)),0))</f>
        <v>0</v>
      </c>
      <c r="L22" s="139" t="str">
        <f ca="1">IF(OR($X22&gt;0,$C22=1,$C22=2,$C22=3,$C22=4),"F","")</f>
        <v>F</v>
      </c>
      <c r="M22" s="140" t="s">
        <v>199</v>
      </c>
      <c r="N22" s="141" t="str">
        <f ca="1">CHOOSE(1+LOG(1+2*(C22=1)+4*(C22=2)+8*(C22=3)+16*(C22=4)+32*(C22="S"),2),"","Meta","Nível 2","Nível 3","Nível 4","Serviço")</f>
        <v>Serviço</v>
      </c>
      <c r="O22" s="142" t="str">
        <f ca="1">IF(OR($C22=0,$L22=""),"-",CONCATENATE(E22&amp;".",IF(AND($A$5&gt;=2,$C22&gt;=2),F22&amp;".",""),IF(AND($A$5&gt;=3,$C22&gt;=3),G22&amp;".",""),IF(AND($A$5&gt;=4,$C22&gt;=4),H22&amp;".",""),IF($C22="S",I22&amp;".","")))</f>
        <v>1.2.3.</v>
      </c>
      <c r="P22" s="143" t="s">
        <v>247</v>
      </c>
      <c r="Q22" s="144" t="s">
        <v>474</v>
      </c>
      <c r="R22" s="145" t="s">
        <v>494</v>
      </c>
      <c r="S22" s="146" t="s">
        <v>502</v>
      </c>
      <c r="T22" s="147">
        <f ca="1">OFFSET(CÁLCULO!H$15,ROW($T22)-ROW(T$15),0)</f>
        <v>470.53</v>
      </c>
      <c r="U22" s="148">
        <v>1438.17</v>
      </c>
      <c r="V22" s="149" t="s">
        <v>156</v>
      </c>
      <c r="W22" s="147">
        <f ca="1">IF($C22="S",ROUND(IF(TIPOORCAMENTO="Proposto",ORÇAMENTO.CustoUnitario*(1+$AH22),ORÇAMENTO.PrecoUnitarioLicitado),15-13*$AF$10),0)</f>
        <v>1754.57</v>
      </c>
      <c r="X22" s="150">
        <f ca="1">IF($C22="S",IF(Import.TipoArredondamento&lt;&gt;"TransfereGOV",VTOTAL1,SUM(OFFSET(CÁLCULO!$AA$15,ROW($X22)-ROW($X$15),1):OFFSET(CÁLCULO!$AL$15,ROW($X22)-ROW($X$15),-1))),IF($C22=0,0,ROUND(SomaAgrup,15-13*$AF$11)))</f>
        <v>825577.82</v>
      </c>
      <c r="Y22" s="151" t="s">
        <v>245</v>
      </c>
      <c r="Z22" t="str">
        <f ca="1">IF(AND($C22="S",$X22&gt;0),IF(ISBLANK($Y22),"RA",LEFT($Y22,2)),"")</f>
        <v>RA</v>
      </c>
      <c r="AA22" s="152">
        <f ca="1">IF($C22="S",IF($Z22="CP",$X22,IF($Z22="RA",(($X22)*QCI!$AA$3),0)),SomaAgrup)</f>
        <v>69376.043805369365</v>
      </c>
      <c r="AB22" s="153">
        <f t="shared" ref="AB22:AB27" ca="1" si="18">IF($C22="S",IF($Z22="OU",ROUND($X22,2),0),SomaAgrup)</f>
        <v>0</v>
      </c>
      <c r="AC22" s="154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s="660" t="str">
        <f ca="1">IF(C22&lt;=CRONO.NivelExibicao,MAX($AD$15:OFFSET(AD22,-1,0))+IF($C22&lt;&gt;1,1,MAX(1,COUNTIF(QCI!$A$13:$A$24,OFFSET($E22,-1,0)))),"")</f>
        <v/>
      </c>
      <c r="AE22" s="110" t="str">
        <f ca="1">IF(AND($C22="S",ORÇAMENTO.CodBarra&lt;&gt;""),IF(ORÇAMENTO.Fonte="",ORÇAMENTO.CodBarra,CONCATENATE(ORÇAMENTO.Fonte," ",ORÇAMENTO.CodBarra)))</f>
        <v>SINAPI 95995</v>
      </c>
      <c r="AF22" s="155" t="str">
        <f ca="1">IF(ISERROR(INDIRECT(ORÇAMENTO.BancoRef)),"(abra o arquivo 'Referência "&amp;Excel_BuiltIn_Database&amp;".xlsm)",IF(OR($C22&lt;&gt;"S",ORÇAMENTO.CodBarra=""),"(Sem Código)",IF(ISERROR(MATCH($AE22,INDIRECT(ORÇAMENTO.BancoRef),0)),"(Código não identificado nas referências)",MATCH($AE22,INDIRECT(ORÇAMENTO.BancoRef),0))))</f>
        <v>(abra o arquivo 'Referência 11-2024.xlsm)</v>
      </c>
      <c r="AG22" s="574">
        <f ca="1">ROUND(IF(DESONERACAO="sim",REFERENCIA.Desonerado,REFERENCIA.NaoDesonerado),2)</f>
        <v>0</v>
      </c>
      <c r="AH22" s="575">
        <f t="shared" ref="AH22:AH27" ca="1" si="19">ROUND(IF(ISNUMBER(ORÇAMENTO.OpcaoBDI),ORÇAMENTO.OpcaoBDI,IF(LEFT(ORÇAMENTO.OpcaoBDI,3)="BDI",HLOOKUP(ORÇAMENTO.OpcaoBDI,$F$4:$H$5,2,FALSE),0)),15-11*$AF$9)</f>
        <v>0.22</v>
      </c>
      <c r="AJ22" s="577"/>
      <c r="AL22" s="607"/>
      <c r="AM22" s="426">
        <f t="shared" ca="1" si="0"/>
        <v>825577.82</v>
      </c>
      <c r="AN22" s="650">
        <f t="shared" ref="AN22:AN27" ca="1" si="20">ROUND(ORÇAMENTO.CustoUnitario*(1+$AH22),2)</f>
        <v>1754.57</v>
      </c>
    </row>
    <row r="23" spans="1:40" ht="13.8">
      <c r="A23">
        <f t="shared" si="17"/>
        <v>2</v>
      </c>
      <c r="B23">
        <f t="shared" ref="B23:B27" ca="1" si="21">IF(OR(C23="s",C23=0),OFFSET(B23,-1,0),C23)</f>
        <v>2</v>
      </c>
      <c r="C23">
        <f t="shared" ref="C23:C27" ca="1" si="22">IF(OFFSET(C23,-1,0)="L",1,IF(OFFSET(C23,-1,0)=1,2,IF(OR(A23="s",A23=0),"S",IF(AND(OFFSET(C23,-1,0)=2,A23=4),3,IF(AND(OR(OFFSET(C23,-1,0)="s",OFFSET(C23,-1,0)=0),A23&lt;&gt;"s",A23&gt;OFFSET(B23,-1,0)),OFFSET(B23,-1,0),A23)))))</f>
        <v>2</v>
      </c>
      <c r="D23">
        <f t="shared" ref="D23:D27" ca="1" si="23">IF(OR(C23="S",C23=0),0,IF(ISERROR(K23),J23,SMALL(J23:K23,1)))</f>
        <v>5</v>
      </c>
      <c r="E23">
        <f ca="1">IF($C23=1,OFFSET(E23,-1,0)+MAX(1,COUNTIF(QCI!$A$13:$A$24,OFFSET(ORÇAMENTO!E23,-1,0))),OFFSET(E23,-1,0))</f>
        <v>1</v>
      </c>
      <c r="F23">
        <f t="shared" ref="F23:F27" ca="1" si="24">IF($C23=1,0,IF($C23=2,OFFSET(F23,-1,0)+1,OFFSET(F23,-1,0)))</f>
        <v>3</v>
      </c>
      <c r="G23">
        <f t="shared" ref="G23:G27" ca="1" si="25">IF(AND($C23&lt;=2,$C23&lt;&gt;0),0,IF($C23=3,OFFSET(G23,-1,0)+1,OFFSET(G23,-1,0)))</f>
        <v>0</v>
      </c>
      <c r="H23">
        <f t="shared" ref="H23:H27" ca="1" si="26">IF(AND($C23&lt;=3,$C23&lt;&gt;0),0,IF($C23=4,OFFSET(H23,-1,0)+1,OFFSET(H23,-1,0)))</f>
        <v>0</v>
      </c>
      <c r="I23">
        <f t="shared" ref="I23:I27" ca="1" si="27">IF(AND($C23&lt;=4,$C23&lt;&gt;0),0,IF(AND($C23="S",$X23&gt;0),OFFSET(I23,-1,0)+1,OFFSET(I23,-1,0)))</f>
        <v>0</v>
      </c>
      <c r="J23">
        <f t="shared" ca="1" si="9"/>
        <v>241</v>
      </c>
      <c r="K23">
        <f ca="1">IF(OR($C23="S",$C23=0),0,MATCH(OFFSET($D23,0,$C23)+IF($C23&lt;&gt;1,1,COUNTIF(QCI!$A$13:$A$24,ORÇAMENTO!E23)),OFFSET($D23,1,$C23,ROW($C$264)-ROW($C23)),0))</f>
        <v>5</v>
      </c>
      <c r="L23" s="139" t="str">
        <f t="shared" ref="L23:L27" ca="1" si="28">IF(OR($X23&gt;0,$C23=1,$C23=2,$C23=3,$C23=4),"F","")</f>
        <v>F</v>
      </c>
      <c r="M23" s="140" t="s">
        <v>196</v>
      </c>
      <c r="N23" s="141" t="str">
        <f t="shared" ref="N23:N27" ca="1" si="29">CHOOSE(1+LOG(1+2*(C23=1)+4*(C23=2)+8*(C23=3)+16*(C23=4)+32*(C23="S"),2),"","Meta","Nível 2","Nível 3","Nível 4","Serviço")</f>
        <v>Nível 2</v>
      </c>
      <c r="O23" s="142" t="str">
        <f t="shared" ref="O23:O27" ca="1" si="30">IF(OR($C23=0,$L23=""),"-",CONCATENATE(E23&amp;".",IF(AND($A$5&gt;=2,$C23&gt;=2),F23&amp;".",""),IF(AND($A$5&gt;=3,$C23&gt;=3),G23&amp;".",""),IF(AND($A$5&gt;=4,$C23&gt;=4),H23&amp;".",""),IF($C23="S",I23&amp;".","")))</f>
        <v>1.3.</v>
      </c>
      <c r="P23" s="143" t="s">
        <v>247</v>
      </c>
      <c r="Q23" s="144"/>
      <c r="R23" s="145" t="s">
        <v>483</v>
      </c>
      <c r="S23" s="146" t="s">
        <v>166</v>
      </c>
      <c r="T23" s="147">
        <f ca="1">OFFSET(CÁLCULO!H$15,ROW($T23)-ROW(T$15),0)</f>
        <v>0</v>
      </c>
      <c r="U23" s="148"/>
      <c r="V23" s="149" t="s">
        <v>156</v>
      </c>
      <c r="W23" s="147">
        <f ca="1">IF($C23="S",ROUND(IF(TIPOORCAMENTO="Proposto",ORÇAMENTO.CustoUnitario*(1+$AH23),ORÇAMENTO.PrecoUnitarioLicitado),15-13*$AF$10),0)</f>
        <v>0</v>
      </c>
      <c r="X23" s="150">
        <f ca="1">IF($C23="S",IF(Import.TipoArredondamento&lt;&gt;"TransfereGOV",VTOTAL1,SUM(OFFSET(CÁLCULO!$AA$15,ROW($X23)-ROW($X$15),1):OFFSET(CÁLCULO!$AL$15,ROW($X23)-ROW($X$15),-1))),IF($C23=0,0,ROUND(SomaAgrup,15-13*$AF$11)))</f>
        <v>22655.3</v>
      </c>
      <c r="Y23" s="151" t="s">
        <v>245</v>
      </c>
      <c r="Z23" t="str">
        <f t="shared" ref="Z23:Z27" ca="1" si="31">IF(AND($C23="S",$X23&gt;0),IF(ISBLANK($Y23),"RA",LEFT($Y23,2)),"")</f>
        <v/>
      </c>
      <c r="AA23" s="152">
        <f ca="1">IF($C23="S",IF($Z23="CP",$X23,IF($Z23="RA",(($X23)*QCI!$AA$3),0)),SomaAgrup)</f>
        <v>1903.800038164524</v>
      </c>
      <c r="AB23" s="153">
        <f t="shared" ca="1" si="18"/>
        <v>0</v>
      </c>
      <c r="AC23" s="154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s="667">
        <f ca="1">IF(C23&lt;=CRONO.NivelExibicao,MAX($AD$15:OFFSET(AD23,-1,0))+IF($C23&lt;&gt;1,1,MAX(1,COUNTIF(QCI!$A$13:$A$24,OFFSET($E23,-1,0)))),"")</f>
        <v>4</v>
      </c>
      <c r="AE23" s="110" t="b">
        <f ca="1">IF(AND($C23="S",ORÇAMENTO.CodBarra&lt;&gt;""),IF(ORÇAMENTO.Fonte="",ORÇAMENTO.CodBarra,CONCATENATE(ORÇAMENTO.Fonte," ",ORÇAMENTO.CodBarra)))</f>
        <v>0</v>
      </c>
      <c r="AF23" s="155" t="str">
        <f ca="1">IF(ISERROR(INDIRECT(ORÇAMENTO.BancoRef)),"(abra o arquivo 'Referência "&amp;Excel_BuiltIn_Database&amp;".xlsm)",IF(OR($C23&lt;&gt;"S",ORÇAMENTO.CodBarra=""),"(Sem Código)",IF(ISERROR(MATCH($AE23,INDIRECT(ORÇAMENTO.BancoRef),0)),"(Código não identificado nas referências)",MATCH($AE23,INDIRECT(ORÇAMENTO.BancoRef),0))))</f>
        <v>(abra o arquivo 'Referência 11-2024.xlsm)</v>
      </c>
      <c r="AG23" s="574">
        <f ca="1">ROUND(IF(DESONERACAO="sim",REFERENCIA.Desonerado,REFERENCIA.NaoDesonerado),2)</f>
        <v>0</v>
      </c>
      <c r="AH23" s="575">
        <f t="shared" ca="1" si="19"/>
        <v>0.22</v>
      </c>
      <c r="AJ23" s="577"/>
      <c r="AL23" s="607"/>
      <c r="AM23" s="426">
        <f t="shared" ca="1" si="0"/>
        <v>22655.3</v>
      </c>
      <c r="AN23" s="650">
        <f t="shared" ca="1" si="20"/>
        <v>0</v>
      </c>
    </row>
    <row r="24" spans="1:40" ht="26.4">
      <c r="A24" t="str">
        <f t="shared" si="17"/>
        <v>S</v>
      </c>
      <c r="B24">
        <f t="shared" ca="1" si="21"/>
        <v>2</v>
      </c>
      <c r="C24" t="str">
        <f t="shared" ca="1" si="22"/>
        <v>S</v>
      </c>
      <c r="D24">
        <f t="shared" ca="1" si="23"/>
        <v>0</v>
      </c>
      <c r="E24">
        <f ca="1">IF($C24=1,OFFSET(E24,-1,0)+MAX(1,COUNTIF(QCI!$A$13:$A$24,OFFSET(ORÇAMENTO!E24,-1,0))),OFFSET(E24,-1,0))</f>
        <v>1</v>
      </c>
      <c r="F24">
        <f t="shared" ca="1" si="24"/>
        <v>3</v>
      </c>
      <c r="G24">
        <f t="shared" ca="1" si="25"/>
        <v>0</v>
      </c>
      <c r="H24">
        <f t="shared" ca="1" si="26"/>
        <v>0</v>
      </c>
      <c r="I24">
        <f t="shared" ca="1" si="27"/>
        <v>1</v>
      </c>
      <c r="J24">
        <f t="shared" ca="1" si="9"/>
        <v>0</v>
      </c>
      <c r="K24">
        <f ca="1">IF(OR($C24="S",$C24=0),0,MATCH(OFFSET($D24,0,$C24)+IF($C24&lt;&gt;1,1,COUNTIF(QCI!$A$13:$A$24,ORÇAMENTO!E24)),OFFSET($D24,1,$C24,ROW($C$264)-ROW($C24)),0))</f>
        <v>0</v>
      </c>
      <c r="L24" s="139" t="str">
        <f t="shared" ca="1" si="28"/>
        <v>F</v>
      </c>
      <c r="M24" s="140" t="s">
        <v>199</v>
      </c>
      <c r="N24" s="141" t="str">
        <f t="shared" ca="1" si="29"/>
        <v>Serviço</v>
      </c>
      <c r="O24" s="142" t="str">
        <f t="shared" ca="1" si="30"/>
        <v>1.3.1.</v>
      </c>
      <c r="P24" s="143" t="s">
        <v>456</v>
      </c>
      <c r="Q24" s="144" t="s">
        <v>482</v>
      </c>
      <c r="R24" s="145" t="s">
        <v>495</v>
      </c>
      <c r="S24" s="146" t="s">
        <v>501</v>
      </c>
      <c r="T24" s="147">
        <f ca="1">OFFSET(CÁLCULO!H$15,ROW($T24)-ROW(T$15),0)</f>
        <v>290.82</v>
      </c>
      <c r="U24" s="148">
        <v>3.54</v>
      </c>
      <c r="V24" s="149" t="s">
        <v>156</v>
      </c>
      <c r="W24" s="147">
        <f ca="1">IF($C24="S",ROUND(IF(TIPOORCAMENTO="Proposto",ORÇAMENTO.CustoUnitario*(1+$AH24),ORÇAMENTO.PrecoUnitarioLicitado),15-13*$AF$10),0)</f>
        <v>4.32</v>
      </c>
      <c r="X24" s="150">
        <f ca="1">IF($C24="S",IF(Import.TipoArredondamento&lt;&gt;"TransfereGOV",VTOTAL1,SUM(OFFSET(CÁLCULO!$AA$15,ROW($X24)-ROW($X$15),1):OFFSET(CÁLCULO!$AL$15,ROW($X24)-ROW($X$15),-1))),IF($C24=0,0,ROUND(SomaAgrup,15-13*$AF$11)))</f>
        <v>1256.3399999999999</v>
      </c>
      <c r="Y24" s="151" t="s">
        <v>245</v>
      </c>
      <c r="Z24" t="str">
        <f t="shared" ca="1" si="31"/>
        <v>RA</v>
      </c>
      <c r="AA24" s="152">
        <f ca="1">IF($C24="S",IF($Z24="CP",$X24,IF($Z24="RA",(($X24)*QCI!$AA$3),0)),SomaAgrup)</f>
        <v>105.57441922850803</v>
      </c>
      <c r="AB24" s="153">
        <f t="shared" ca="1" si="18"/>
        <v>0</v>
      </c>
      <c r="AC24" s="154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s="667" t="str">
        <f ca="1">IF(C24&lt;=CRONO.NivelExibicao,MAX($AD$15:OFFSET(AD24,-1,0))+IF($C24&lt;&gt;1,1,MAX(1,COUNTIF(QCI!$A$13:$A$24,OFFSET($E24,-1,0)))),"")</f>
        <v/>
      </c>
      <c r="AE24" s="110" t="str">
        <f ca="1">IF(AND($C24="S",ORÇAMENTO.CodBarra&lt;&gt;""),IF(ORÇAMENTO.Fonte="",ORÇAMENTO.CodBarra,CONCATENATE(ORÇAMENTO.Fonte," ",ORÇAMENTO.CodBarra)))</f>
        <v>CDHU 54.01.010</v>
      </c>
      <c r="AF24" s="155" t="str">
        <f ca="1">IF(ISERROR(INDIRECT(ORÇAMENTO.BancoRef)),"(abra o arquivo 'Referência "&amp;Excel_BuiltIn_Database&amp;".xlsm)",IF(OR($C24&lt;&gt;"S",ORÇAMENTO.CodBarra=""),"(Sem Código)",IF(ISERROR(MATCH($AE24,INDIRECT(ORÇAMENTO.BancoRef),0)),"(Código não identificado nas referências)",MATCH($AE24,INDIRECT(ORÇAMENTO.BancoRef),0))))</f>
        <v>(abra o arquivo 'Referência 11-2024.xlsm)</v>
      </c>
      <c r="AG24" s="574">
        <f ca="1">ROUND(IF(DESONERACAO="sim",REFERENCIA.Desonerado,REFERENCIA.NaoDesonerado),2)</f>
        <v>0</v>
      </c>
      <c r="AH24" s="575">
        <f t="shared" ca="1" si="19"/>
        <v>0.22</v>
      </c>
      <c r="AJ24" s="577"/>
      <c r="AL24" s="607"/>
      <c r="AM24" s="426">
        <f t="shared" ca="1" si="0"/>
        <v>1256.3399999999999</v>
      </c>
      <c r="AN24" s="650">
        <f t="shared" ca="1" si="20"/>
        <v>4.32</v>
      </c>
    </row>
    <row r="25" spans="1:40" ht="26.4">
      <c r="A25" t="str">
        <f t="shared" si="17"/>
        <v>S</v>
      </c>
      <c r="B25">
        <f t="shared" ca="1" si="21"/>
        <v>2</v>
      </c>
      <c r="C25" t="str">
        <f t="shared" ca="1" si="22"/>
        <v>S</v>
      </c>
      <c r="D25">
        <f t="shared" ca="1" si="23"/>
        <v>0</v>
      </c>
      <c r="E25">
        <f ca="1">IF($C25=1,OFFSET(E25,-1,0)+MAX(1,COUNTIF(QCI!$A$13:$A$24,OFFSET(ORÇAMENTO!E25,-1,0))),OFFSET(E25,-1,0))</f>
        <v>1</v>
      </c>
      <c r="F25">
        <f t="shared" ca="1" si="24"/>
        <v>3</v>
      </c>
      <c r="G25">
        <f t="shared" ca="1" si="25"/>
        <v>0</v>
      </c>
      <c r="H25">
        <f t="shared" ca="1" si="26"/>
        <v>0</v>
      </c>
      <c r="I25">
        <f t="shared" ca="1" si="27"/>
        <v>2</v>
      </c>
      <c r="J25">
        <f t="shared" ca="1" si="9"/>
        <v>0</v>
      </c>
      <c r="K25">
        <f ca="1">IF(OR($C25="S",$C25=0),0,MATCH(OFFSET($D25,0,$C25)+IF($C25&lt;&gt;1,1,COUNTIF(QCI!$A$13:$A$24,ORÇAMENTO!E25)),OFFSET($D25,1,$C25,ROW($C$264)-ROW($C25)),0))</f>
        <v>0</v>
      </c>
      <c r="L25" s="139" t="str">
        <f t="shared" ca="1" si="28"/>
        <v>F</v>
      </c>
      <c r="M25" s="140" t="s">
        <v>199</v>
      </c>
      <c r="N25" s="141" t="str">
        <f t="shared" ca="1" si="29"/>
        <v>Serviço</v>
      </c>
      <c r="O25" s="142" t="str">
        <f t="shared" ca="1" si="30"/>
        <v>1.3.2.</v>
      </c>
      <c r="P25" s="143" t="s">
        <v>247</v>
      </c>
      <c r="Q25" s="144" t="s">
        <v>481</v>
      </c>
      <c r="R25" s="145" t="s">
        <v>496</v>
      </c>
      <c r="S25" s="146" t="s">
        <v>502</v>
      </c>
      <c r="T25" s="147">
        <f ca="1">OFFSET(CÁLCULO!H$15,ROW($T25)-ROW(T$15),0)</f>
        <v>14.54</v>
      </c>
      <c r="U25" s="148">
        <v>196.06</v>
      </c>
      <c r="V25" s="149" t="s">
        <v>156</v>
      </c>
      <c r="W25" s="147">
        <f ca="1">IF($C25="S",ROUND(IF(TIPOORCAMENTO="Proposto",ORÇAMENTO.CustoUnitario*(1+$AH25),ORÇAMENTO.PrecoUnitarioLicitado),15-13*$AF$10),0)</f>
        <v>239.19</v>
      </c>
      <c r="X25" s="150">
        <f ca="1">IF($C25="S",IF(Import.TipoArredondamento&lt;&gt;"TransfereGOV",VTOTAL1,SUM(OFFSET(CÁLCULO!$AA$15,ROW($X25)-ROW($X$15),1):OFFSET(CÁLCULO!$AL$15,ROW($X25)-ROW($X$15),-1))),IF($C25=0,0,ROUND(SomaAgrup,15-13*$AF$11)))</f>
        <v>3477.82</v>
      </c>
      <c r="Y25" s="151" t="s">
        <v>245</v>
      </c>
      <c r="Z25" t="str">
        <f t="shared" ca="1" si="31"/>
        <v>RA</v>
      </c>
      <c r="AA25" s="152">
        <f ca="1">IF($C25="S",IF($Z25="CP",$X25,IF($Z25="RA",(($X25)*QCI!$AA$3),0)),SomaAgrup)</f>
        <v>292.25275536979626</v>
      </c>
      <c r="AB25" s="153">
        <f t="shared" ca="1" si="18"/>
        <v>0</v>
      </c>
      <c r="AC25" s="154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s="667" t="str">
        <f ca="1">IF(C25&lt;=CRONO.NivelExibicao,MAX($AD$15:OFFSET(AD25,-1,0))+IF($C25&lt;&gt;1,1,MAX(1,COUNTIF(QCI!$A$13:$A$24,OFFSET($E25,-1,0)))),"")</f>
        <v/>
      </c>
      <c r="AE25" s="110" t="str">
        <f ca="1">IF(AND($C25="S",ORÇAMENTO.CodBarra&lt;&gt;""),IF(ORÇAMENTO.Fonte="",ORÇAMENTO.CodBarra,CONCATENATE(ORÇAMENTO.Fonte," ",ORÇAMENTO.CodBarra)))</f>
        <v>SINAPI 96622</v>
      </c>
      <c r="AF25" s="155" t="str">
        <f ca="1">IF(ISERROR(INDIRECT(ORÇAMENTO.BancoRef)),"(abra o arquivo 'Referência "&amp;Excel_BuiltIn_Database&amp;".xlsm)",IF(OR($C25&lt;&gt;"S",ORÇAMENTO.CodBarra=""),"(Sem Código)",IF(ISERROR(MATCH($AE25,INDIRECT(ORÇAMENTO.BancoRef),0)),"(Código não identificado nas referências)",MATCH($AE25,INDIRECT(ORÇAMENTO.BancoRef),0))))</f>
        <v>(abra o arquivo 'Referência 11-2024.xlsm)</v>
      </c>
      <c r="AG25" s="574">
        <f ca="1">ROUND(IF(DESONERACAO="sim",REFERENCIA.Desonerado,REFERENCIA.NaoDesonerado),2)</f>
        <v>0</v>
      </c>
      <c r="AH25" s="575">
        <f t="shared" ca="1" si="19"/>
        <v>0.22</v>
      </c>
      <c r="AJ25" s="577"/>
      <c r="AL25" s="607"/>
      <c r="AM25" s="426">
        <f t="shared" ca="1" si="0"/>
        <v>3477.82</v>
      </c>
      <c r="AN25" s="650">
        <f t="shared" ca="1" si="20"/>
        <v>239.19</v>
      </c>
    </row>
    <row r="26" spans="1:40" ht="39.6">
      <c r="A26" t="str">
        <f t="shared" si="17"/>
        <v>S</v>
      </c>
      <c r="B26">
        <f t="shared" ca="1" si="21"/>
        <v>2</v>
      </c>
      <c r="C26" t="str">
        <f t="shared" ca="1" si="22"/>
        <v>S</v>
      </c>
      <c r="D26">
        <f t="shared" ca="1" si="23"/>
        <v>0</v>
      </c>
      <c r="E26">
        <f ca="1">IF($C26=1,OFFSET(E26,-1,0)+MAX(1,COUNTIF(QCI!$A$13:$A$24,OFFSET(ORÇAMENTO!E26,-1,0))),OFFSET(E26,-1,0))</f>
        <v>1</v>
      </c>
      <c r="F26">
        <f t="shared" ca="1" si="24"/>
        <v>3</v>
      </c>
      <c r="G26">
        <f t="shared" ca="1" si="25"/>
        <v>0</v>
      </c>
      <c r="H26">
        <f t="shared" ca="1" si="26"/>
        <v>0</v>
      </c>
      <c r="I26">
        <f t="shared" ca="1" si="27"/>
        <v>3</v>
      </c>
      <c r="J26">
        <f t="shared" ca="1" si="9"/>
        <v>0</v>
      </c>
      <c r="K26">
        <f ca="1">IF(OR($C26="S",$C26=0),0,MATCH(OFFSET($D26,0,$C26)+IF($C26&lt;&gt;1,1,COUNTIF(QCI!$A$13:$A$24,ORÇAMENTO!E26)),OFFSET($D26,1,$C26,ROW($C$264)-ROW($C26)),0))</f>
        <v>0</v>
      </c>
      <c r="L26" s="139" t="str">
        <f t="shared" ca="1" si="28"/>
        <v>F</v>
      </c>
      <c r="M26" s="140" t="s">
        <v>199</v>
      </c>
      <c r="N26" s="141" t="str">
        <f t="shared" ca="1" si="29"/>
        <v>Serviço</v>
      </c>
      <c r="O26" s="142" t="str">
        <f t="shared" ca="1" si="30"/>
        <v>1.3.3.</v>
      </c>
      <c r="P26" s="143" t="s">
        <v>247</v>
      </c>
      <c r="Q26" s="144" t="s">
        <v>480</v>
      </c>
      <c r="R26" s="145" t="s">
        <v>497</v>
      </c>
      <c r="S26" s="146" t="s">
        <v>502</v>
      </c>
      <c r="T26" s="147">
        <f ca="1">OFFSET(CÁLCULO!H$15,ROW($T26)-ROW(T$15),0)</f>
        <v>20.36</v>
      </c>
      <c r="U26" s="148">
        <v>650.71</v>
      </c>
      <c r="V26" s="149" t="s">
        <v>156</v>
      </c>
      <c r="W26" s="147">
        <f ca="1">IF($C26="S",ROUND(IF(TIPOORCAMENTO="Proposto",ORÇAMENTO.CustoUnitario*(1+$AH26),ORÇAMENTO.PrecoUnitarioLicitado),15-13*$AF$10),0)</f>
        <v>793.87</v>
      </c>
      <c r="X26" s="150">
        <f ca="1">IF($C26="S",IF(Import.TipoArredondamento&lt;&gt;"TransfereGOV",VTOTAL1,SUM(OFFSET(CÁLCULO!$AA$15,ROW($X26)-ROW($X$15),1):OFFSET(CÁLCULO!$AL$15,ROW($X26)-ROW($X$15),-1))),IF($C26=0,0,ROUND(SomaAgrup,15-13*$AF$11)))</f>
        <v>16163.19</v>
      </c>
      <c r="Y26" s="151" t="s">
        <v>245</v>
      </c>
      <c r="Z26" t="str">
        <f t="shared" ca="1" si="31"/>
        <v>RA</v>
      </c>
      <c r="AA26" s="152">
        <f ca="1">IF($C26="S",IF($Z26="CP",$X26,IF($Z26="RA",(($X26)*QCI!$AA$3),0)),SomaAgrup)</f>
        <v>1358.2464914991394</v>
      </c>
      <c r="AB26" s="153">
        <f t="shared" ca="1" si="18"/>
        <v>0</v>
      </c>
      <c r="AC26" s="154" t="str">
        <f ca="1">IF($N26="","",IF(ORÇAMENTO.Descricao="","DESCRIÇÃO",IF(AND($C26="S",ORÇAMENTO.Unidade=""),"UNIDADE",IF($X26&lt;0,"VALOR NEGATIVO",IF(OR(AND(TIPOORCAMENTO="Proposto",$AG26&lt;&gt;"",$AG26&gt;0,ORÇAMENTO.CustoUnitario&gt;$AG26),AND(TIPOORCAMENTO="LICITADO",ORÇAMENTO.PrecoUnitarioLicitado&gt;$AN26)),"ACIMA REF.","")))))</f>
        <v/>
      </c>
      <c r="AD26" s="667" t="str">
        <f ca="1">IF(C26&lt;=CRONO.NivelExibicao,MAX($AD$15:OFFSET(AD26,-1,0))+IF($C26&lt;&gt;1,1,MAX(1,COUNTIF(QCI!$A$13:$A$24,OFFSET($E26,-1,0)))),"")</f>
        <v/>
      </c>
      <c r="AE26" s="110" t="str">
        <f ca="1">IF(AND($C26="S",ORÇAMENTO.CodBarra&lt;&gt;""),IF(ORÇAMENTO.Fonte="",ORÇAMENTO.CodBarra,CONCATENATE(ORÇAMENTO.Fonte," ",ORÇAMENTO.CodBarra)))</f>
        <v>SINAPI 94991</v>
      </c>
      <c r="AF26" s="155" t="str">
        <f ca="1">IF(ISERROR(INDIRECT(ORÇAMENTO.BancoRef)),"(abra o arquivo 'Referência "&amp;Excel_BuiltIn_Database&amp;".xlsm)",IF(OR($C26&lt;&gt;"S",ORÇAMENTO.CodBarra=""),"(Sem Código)",IF(ISERROR(MATCH($AE26,INDIRECT(ORÇAMENTO.BancoRef),0)),"(Código não identificado nas referências)",MATCH($AE26,INDIRECT(ORÇAMENTO.BancoRef),0))))</f>
        <v>(abra o arquivo 'Referência 11-2024.xlsm)</v>
      </c>
      <c r="AG26" s="574">
        <f ca="1">ROUND(IF(DESONERACAO="sim",REFERENCIA.Desonerado,REFERENCIA.NaoDesonerado),2)</f>
        <v>0</v>
      </c>
      <c r="AH26" s="575">
        <f t="shared" ca="1" si="19"/>
        <v>0.22</v>
      </c>
      <c r="AJ26" s="577"/>
      <c r="AL26" s="607"/>
      <c r="AM26" s="426">
        <f t="shared" ca="1" si="0"/>
        <v>16163.19</v>
      </c>
      <c r="AN26" s="650">
        <f t="shared" ca="1" si="20"/>
        <v>793.87</v>
      </c>
    </row>
    <row r="27" spans="1:40" ht="39.6">
      <c r="A27" t="str">
        <f t="shared" si="17"/>
        <v>S</v>
      </c>
      <c r="B27">
        <f t="shared" ca="1" si="21"/>
        <v>2</v>
      </c>
      <c r="C27" t="str">
        <f t="shared" ca="1" si="22"/>
        <v>S</v>
      </c>
      <c r="D27">
        <f t="shared" ca="1" si="23"/>
        <v>0</v>
      </c>
      <c r="E27">
        <f ca="1">IF($C27=1,OFFSET(E27,-1,0)+MAX(1,COUNTIF(QCI!$A$13:$A$24,OFFSET(ORÇAMENTO!E27,-1,0))),OFFSET(E27,-1,0))</f>
        <v>1</v>
      </c>
      <c r="F27">
        <f t="shared" ca="1" si="24"/>
        <v>3</v>
      </c>
      <c r="G27">
        <f t="shared" ca="1" si="25"/>
        <v>0</v>
      </c>
      <c r="H27">
        <f t="shared" ca="1" si="26"/>
        <v>0</v>
      </c>
      <c r="I27">
        <f t="shared" ca="1" si="27"/>
        <v>4</v>
      </c>
      <c r="J27">
        <f t="shared" ca="1" si="9"/>
        <v>0</v>
      </c>
      <c r="K27">
        <f ca="1">IF(OR($C27="S",$C27=0),0,MATCH(OFFSET($D27,0,$C27)+IF($C27&lt;&gt;1,1,COUNTIF(QCI!$A$13:$A$24,ORÇAMENTO!E27)),OFFSET($D27,1,$C27,ROW($C$264)-ROW($C27)),0))</f>
        <v>0</v>
      </c>
      <c r="L27" s="139" t="str">
        <f t="shared" ca="1" si="28"/>
        <v>F</v>
      </c>
      <c r="M27" s="140" t="s">
        <v>199</v>
      </c>
      <c r="N27" s="141" t="str">
        <f t="shared" ca="1" si="29"/>
        <v>Serviço</v>
      </c>
      <c r="O27" s="142" t="str">
        <f t="shared" ca="1" si="30"/>
        <v>1.3.4.</v>
      </c>
      <c r="P27" s="143" t="s">
        <v>247</v>
      </c>
      <c r="Q27" s="144" t="s">
        <v>484</v>
      </c>
      <c r="R27" s="145" t="s">
        <v>498</v>
      </c>
      <c r="S27" s="146" t="s">
        <v>501</v>
      </c>
      <c r="T27" s="147">
        <f ca="1">OFFSET(CÁLCULO!H$15,ROW($T27)-ROW(T$15),0)</f>
        <v>11.52</v>
      </c>
      <c r="U27" s="148">
        <v>125.08</v>
      </c>
      <c r="V27" s="149" t="s">
        <v>156</v>
      </c>
      <c r="W27" s="147">
        <f ca="1">IF($C27="S",ROUND(IF(TIPOORCAMENTO="Proposto",ORÇAMENTO.CustoUnitario*(1+$AH27),ORÇAMENTO.PrecoUnitarioLicitado),15-13*$AF$10),0)</f>
        <v>152.6</v>
      </c>
      <c r="X27" s="150">
        <f ca="1">IF($C27="S",IF(Import.TipoArredondamento&lt;&gt;"TransfereGOV",VTOTAL1,SUM(OFFSET(CÁLCULO!$AA$15,ROW($X27)-ROW($X$15),1):OFFSET(CÁLCULO!$AL$15,ROW($X27)-ROW($X$15),-1))),IF($C27=0,0,ROUND(SomaAgrup,15-13*$AF$11)))</f>
        <v>1757.95</v>
      </c>
      <c r="Y27" s="151" t="s">
        <v>245</v>
      </c>
      <c r="Z27" t="str">
        <f t="shared" ca="1" si="31"/>
        <v>RA</v>
      </c>
      <c r="AA27" s="152">
        <f ca="1">IF($C27="S",IF($Z27="CP",$X27,IF($Z27="RA",(($X27)*QCI!$AA$3),0)),SomaAgrup)</f>
        <v>147.72637206708035</v>
      </c>
      <c r="AB27" s="153">
        <f t="shared" ca="1" si="18"/>
        <v>0</v>
      </c>
      <c r="AC27" s="154" t="str">
        <f ca="1">IF($N27="","",IF(ORÇAMENTO.Descricao="","DESCRIÇÃO",IF(AND($C27="S",ORÇAMENTO.Unidade=""),"UNIDADE",IF($X27&lt;0,"VALOR NEGATIVO",IF(OR(AND(TIPOORCAMENTO="Proposto",$AG27&lt;&gt;"",$AG27&gt;0,ORÇAMENTO.CustoUnitario&gt;$AG27),AND(TIPOORCAMENTO="LICITADO",ORÇAMENTO.PrecoUnitarioLicitado&gt;$AN27)),"ACIMA REF.","")))))</f>
        <v/>
      </c>
      <c r="AD27" s="667" t="str">
        <f ca="1">IF(C27&lt;=CRONO.NivelExibicao,MAX($AD$15:OFFSET(AD27,-1,0))+IF($C27&lt;&gt;1,1,MAX(1,COUNTIF(QCI!$A$13:$A$24,OFFSET($E27,-1,0)))),"")</f>
        <v/>
      </c>
      <c r="AE27" s="110" t="str">
        <f ca="1">IF(AND($C27="S",ORÇAMENTO.CodBarra&lt;&gt;""),IF(ORÇAMENTO.Fonte="",ORÇAMENTO.CodBarra,CONCATENATE(ORÇAMENTO.Fonte," ",ORÇAMENTO.CodBarra)))</f>
        <v>SINAPI 105004</v>
      </c>
      <c r="AF27" s="155" t="str">
        <f ca="1">IF(ISERROR(INDIRECT(ORÇAMENTO.BancoRef)),"(abra o arquivo 'Referência "&amp;Excel_BuiltIn_Database&amp;".xlsm)",IF(OR($C27&lt;&gt;"S",ORÇAMENTO.CodBarra=""),"(Sem Código)",IF(ISERROR(MATCH($AE27,INDIRECT(ORÇAMENTO.BancoRef),0)),"(Código não identificado nas referências)",MATCH($AE27,INDIRECT(ORÇAMENTO.BancoRef),0))))</f>
        <v>(abra o arquivo 'Referência 11-2024.xlsm)</v>
      </c>
      <c r="AG27" s="574">
        <f ca="1">ROUND(IF(DESONERACAO="sim",REFERENCIA.Desonerado,REFERENCIA.NaoDesonerado),2)</f>
        <v>0</v>
      </c>
      <c r="AH27" s="575">
        <f t="shared" ca="1" si="19"/>
        <v>0.22</v>
      </c>
      <c r="AJ27" s="577"/>
      <c r="AL27" s="607"/>
      <c r="AM27" s="426">
        <f t="shared" ca="1" si="0"/>
        <v>1757.95</v>
      </c>
      <c r="AN27" s="650">
        <f t="shared" ca="1" si="20"/>
        <v>152.6</v>
      </c>
    </row>
    <row r="28" spans="1:40" ht="13.8">
      <c r="A28">
        <f t="shared" si="1"/>
        <v>2</v>
      </c>
      <c r="B28">
        <f t="shared" ca="1" si="2"/>
        <v>2</v>
      </c>
      <c r="C28">
        <f t="shared" ca="1" si="3"/>
        <v>2</v>
      </c>
      <c r="D28">
        <f t="shared" ca="1" si="4"/>
        <v>2</v>
      </c>
      <c r="E28">
        <f ca="1">IF($C28=1,OFFSET(E28,-1,0)+MAX(1,COUNTIF(QCI!$A$13:$A$24,OFFSET(ORÇAMENTO!E28,-1,0))),OFFSET(E28,-1,0))</f>
        <v>1</v>
      </c>
      <c r="F28">
        <f t="shared" ca="1" si="5"/>
        <v>4</v>
      </c>
      <c r="G28">
        <f t="shared" ca="1" si="6"/>
        <v>0</v>
      </c>
      <c r="H28">
        <f t="shared" ca="1" si="7"/>
        <v>0</v>
      </c>
      <c r="I28">
        <f t="shared" ca="1" si="8"/>
        <v>0</v>
      </c>
      <c r="J28">
        <f t="shared" ca="1" si="9"/>
        <v>236</v>
      </c>
      <c r="K28">
        <f ca="1">IF(OR($C28="S",$C28=0),0,MATCH(OFFSET($D28,0,$C28)+IF($C28&lt;&gt;1,1,COUNTIF(QCI!$A$13:$A$24,ORÇAMENTO!E28)),OFFSET($D28,1,$C28,ROW($C$264)-ROW($C28)),0))</f>
        <v>2</v>
      </c>
      <c r="L28" s="139" t="str">
        <f t="shared" ca="1" si="10"/>
        <v>F</v>
      </c>
      <c r="M28" s="140" t="s">
        <v>196</v>
      </c>
      <c r="N28" s="141" t="str">
        <f t="shared" ca="1" si="11"/>
        <v>Nível 2</v>
      </c>
      <c r="O28" s="142" t="str">
        <f t="shared" ca="1" si="12"/>
        <v>1.4.</v>
      </c>
      <c r="P28" s="143" t="s">
        <v>247</v>
      </c>
      <c r="Q28" s="144"/>
      <c r="R28" s="145" t="s">
        <v>455</v>
      </c>
      <c r="S28" s="146" t="s">
        <v>166</v>
      </c>
      <c r="T28" s="147">
        <f ca="1">OFFSET(CÁLCULO!H$15,ROW($T28)-ROW(T$15),0)</f>
        <v>0</v>
      </c>
      <c r="U28" s="148"/>
      <c r="V28" s="149" t="s">
        <v>156</v>
      </c>
      <c r="W28" s="147">
        <f ca="1">IF($C28="S",ROUND(IF(TIPOORCAMENTO="Proposto",ORÇAMENTO.CustoUnitario*(1+$AH28),ORÇAMENTO.PrecoUnitarioLicitado),15-13*$AF$10),0)</f>
        <v>0</v>
      </c>
      <c r="X28" s="150">
        <f ca="1">IF($C28="S",IF(Import.TipoArredondamento&lt;&gt;"TransfereGOV",VTOTAL1,SUM(OFFSET(CÁLCULO!$AA$15,ROW($X28)-ROW($X$15),1):OFFSET(CÁLCULO!$AL$15,ROW($X28)-ROW($X$15),-1))),IF($C28=0,0,ROUND(SomaAgrup,15-13*$AF$11)))</f>
        <v>12992.89</v>
      </c>
      <c r="Y28" s="151" t="s">
        <v>245</v>
      </c>
      <c r="Z28" t="str">
        <f t="shared" ca="1" si="13"/>
        <v/>
      </c>
      <c r="AA28" s="152">
        <f ca="1">IF($C28="S",IF($Z28="CP",$X28,IF($Z28="RA",(($X28)*QCI!$AA$3),0)),SomaAgrup)</f>
        <v>1091.8356622012273</v>
      </c>
      <c r="AB28" s="153">
        <f t="shared" ca="1" si="14"/>
        <v>0</v>
      </c>
      <c r="AC28" s="154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s="100">
        <f ca="1">IF(C28&lt;=CRONO.NivelExibicao,MAX($AD$15:OFFSET(AD28,-1,0))+IF($C28&lt;&gt;1,1,MAX(1,COUNTIF(QCI!$A$13:$A$24,OFFSET($E28,-1,0)))),"")</f>
        <v>5</v>
      </c>
      <c r="AE28" s="110" t="b">
        <f ca="1">IF(AND($C28="S",ORÇAMENTO.CodBarra&lt;&gt;""),IF(ORÇAMENTO.Fonte="",ORÇAMENTO.CodBarra,CONCATENATE(ORÇAMENTO.Fonte," ",ORÇAMENTO.CodBarra)))</f>
        <v>0</v>
      </c>
      <c r="AF28" s="155" t="str">
        <f ca="1">IF(ISERROR(INDIRECT(ORÇAMENTO.BancoRef)),"(abra o arquivo 'Referência "&amp;Excel_BuiltIn_Database&amp;".xlsm)",IF(OR($C28&lt;&gt;"S",ORÇAMENTO.CodBarra=""),"(Sem Código)",IF(ISERROR(MATCH($AE28,INDIRECT(ORÇAMENTO.BancoRef),0)),"(Código não identificado nas referências)",MATCH($AE28,INDIRECT(ORÇAMENTO.BancoRef),0))))</f>
        <v>(abra o arquivo 'Referência 11-2024.xlsm)</v>
      </c>
      <c r="AG28" s="574">
        <f ca="1">ROUND(IF(DESONERACAO="sim",REFERENCIA.Desonerado,REFERENCIA.NaoDesonerado),2)</f>
        <v>0</v>
      </c>
      <c r="AH28" s="575">
        <f t="shared" ca="1" si="15"/>
        <v>0.22</v>
      </c>
      <c r="AJ28" s="577"/>
      <c r="AL28" s="607"/>
      <c r="AM28" s="426">
        <f t="shared" ca="1" si="0"/>
        <v>12992.89</v>
      </c>
      <c r="AN28" s="650">
        <f t="shared" ca="1" si="16"/>
        <v>0</v>
      </c>
    </row>
    <row r="29" spans="1:40" ht="39.6">
      <c r="A29" t="str">
        <f t="shared" si="1"/>
        <v>S</v>
      </c>
      <c r="B29">
        <f t="shared" ca="1" si="2"/>
        <v>2</v>
      </c>
      <c r="C29" t="str">
        <f t="shared" ca="1" si="3"/>
        <v>S</v>
      </c>
      <c r="D29">
        <f t="shared" ca="1" si="4"/>
        <v>0</v>
      </c>
      <c r="E29">
        <f ca="1">IF($C29=1,OFFSET(E29,-1,0)+MAX(1,COUNTIF(QCI!$A$13:$A$24,OFFSET(ORÇAMENTO!E29,-1,0))),OFFSET(E29,-1,0))</f>
        <v>1</v>
      </c>
      <c r="F29">
        <f t="shared" ca="1" si="5"/>
        <v>4</v>
      </c>
      <c r="G29">
        <f t="shared" ca="1" si="6"/>
        <v>0</v>
      </c>
      <c r="H29">
        <f t="shared" ca="1" si="7"/>
        <v>0</v>
      </c>
      <c r="I29">
        <f t="shared" ca="1" si="8"/>
        <v>1</v>
      </c>
      <c r="J29">
        <f t="shared" ca="1" si="9"/>
        <v>0</v>
      </c>
      <c r="K29">
        <f ca="1">IF(OR($C29="S",$C29=0),0,MATCH(OFFSET($D29,0,$C29)+IF($C29&lt;&gt;1,1,COUNTIF(QCI!$A$13:$A$24,ORÇAMENTO!E29)),OFFSET($D29,1,$C29,ROW($C$264)-ROW($C29)),0))</f>
        <v>0</v>
      </c>
      <c r="L29" s="139" t="str">
        <f t="shared" ca="1" si="10"/>
        <v>F</v>
      </c>
      <c r="M29" s="140" t="s">
        <v>199</v>
      </c>
      <c r="N29" s="141" t="str">
        <f t="shared" ca="1" si="11"/>
        <v>Serviço</v>
      </c>
      <c r="O29" s="142" t="str">
        <f t="shared" ca="1" si="12"/>
        <v>1.4.1.</v>
      </c>
      <c r="P29" s="143" t="s">
        <v>247</v>
      </c>
      <c r="Q29" s="144" t="s">
        <v>458</v>
      </c>
      <c r="R29" s="145" t="s">
        <v>499</v>
      </c>
      <c r="S29" s="146" t="s">
        <v>501</v>
      </c>
      <c r="T29" s="147">
        <f ca="1">OFFSET(CÁLCULO!H$15,ROW($T29)-ROW(T$15),0)</f>
        <v>276.67999999999995</v>
      </c>
      <c r="U29" s="148">
        <v>38.49</v>
      </c>
      <c r="V29" s="149" t="s">
        <v>156</v>
      </c>
      <c r="W29" s="147">
        <f ca="1">IF($C29="S",ROUND(IF(TIPOORCAMENTO="Proposto",ORÇAMENTO.CustoUnitario*(1+$AH29),ORÇAMENTO.PrecoUnitarioLicitado),15-13*$AF$10),0)</f>
        <v>46.96</v>
      </c>
      <c r="X29" s="150">
        <f ca="1">IF($C29="S",IF(Import.TipoArredondamento&lt;&gt;"TransfereGOV",VTOTAL1,SUM(OFFSET(CÁLCULO!$AA$15,ROW($X29)-ROW($X$15),1):OFFSET(CÁLCULO!$AL$15,ROW($X29)-ROW($X$15),-1))),IF($C29=0,0,ROUND(SomaAgrup,15-13*$AF$11)))</f>
        <v>12992.89</v>
      </c>
      <c r="Y29" s="151" t="s">
        <v>245</v>
      </c>
      <c r="Z29" t="str">
        <f t="shared" ca="1" si="13"/>
        <v>RA</v>
      </c>
      <c r="AA29" s="152">
        <f ca="1">IF($C29="S",IF($Z29="CP",$X29,IF($Z29="RA",(($X29)*QCI!$AA$3),0)),SomaAgrup)</f>
        <v>1091.8356622012273</v>
      </c>
      <c r="AB29" s="153">
        <f t="shared" ca="1" si="14"/>
        <v>0</v>
      </c>
      <c r="AC29" s="154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s="100" t="str">
        <f ca="1">IF(C29&lt;=CRONO.NivelExibicao,MAX($AD$15:OFFSET(AD29,-1,0))+IF($C29&lt;&gt;1,1,MAX(1,COUNTIF(QCI!$A$13:$A$24,OFFSET($E29,-1,0)))),"")</f>
        <v/>
      </c>
      <c r="AE29" s="110" t="str">
        <f ca="1">IF(AND($C29="S",ORÇAMENTO.CodBarra&lt;&gt;""),IF(ORÇAMENTO.Fonte="",ORÇAMENTO.CodBarra,CONCATENATE(ORÇAMENTO.Fonte," ",ORÇAMENTO.CodBarra)))</f>
        <v>SINAPI 102509</v>
      </c>
      <c r="AF29" s="155" t="str">
        <f ca="1">IF(ISERROR(INDIRECT(ORÇAMENTO.BancoRef)),"(abra o arquivo 'Referência "&amp;Excel_BuiltIn_Database&amp;".xlsm)",IF(OR($C29&lt;&gt;"S",ORÇAMENTO.CodBarra=""),"(Sem Código)",IF(ISERROR(MATCH($AE29,INDIRECT(ORÇAMENTO.BancoRef),0)),"(Código não identificado nas referências)",MATCH($AE29,INDIRECT(ORÇAMENTO.BancoRef),0))))</f>
        <v>(abra o arquivo 'Referência 11-2024.xlsm)</v>
      </c>
      <c r="AG29" s="574">
        <f ca="1">ROUND(IF(DESONERACAO="sim",REFERENCIA.Desonerado,REFERENCIA.NaoDesonerado),2)</f>
        <v>0</v>
      </c>
      <c r="AH29" s="575">
        <f t="shared" ca="1" si="15"/>
        <v>0.22</v>
      </c>
      <c r="AJ29" s="577"/>
      <c r="AL29" s="607"/>
      <c r="AM29" s="426">
        <f t="shared" ca="1" si="0"/>
        <v>12992.89</v>
      </c>
      <c r="AN29" s="650">
        <f t="shared" ca="1" si="16"/>
        <v>46.96</v>
      </c>
    </row>
    <row r="30" spans="1:40" ht="13.8">
      <c r="A30">
        <f t="shared" si="1"/>
        <v>2</v>
      </c>
      <c r="B30">
        <f t="shared" ca="1" si="2"/>
        <v>2</v>
      </c>
      <c r="C30">
        <f t="shared" ca="1" si="3"/>
        <v>2</v>
      </c>
      <c r="D30">
        <f t="shared" ca="1" si="4"/>
        <v>234</v>
      </c>
      <c r="E30">
        <f ca="1">IF($C30=1,OFFSET(E30,-1,0)+MAX(1,COUNTIF(QCI!$A$13:$A$24,OFFSET(ORÇAMENTO!E30,-1,0))),OFFSET(E30,-1,0))</f>
        <v>1</v>
      </c>
      <c r="F30">
        <f t="shared" ca="1" si="5"/>
        <v>5</v>
      </c>
      <c r="G30">
        <f t="shared" ca="1" si="6"/>
        <v>0</v>
      </c>
      <c r="H30">
        <f t="shared" ca="1" si="7"/>
        <v>0</v>
      </c>
      <c r="I30">
        <f t="shared" ca="1" si="8"/>
        <v>0</v>
      </c>
      <c r="J30">
        <f t="shared" ca="1" si="9"/>
        <v>234</v>
      </c>
      <c r="K30" t="e">
        <f ca="1">IF(OR($C30="S",$C30=0),0,MATCH(OFFSET($D30,0,$C30)+IF($C30&lt;&gt;1,1,COUNTIF(QCI!$A$13:$A$24,ORÇAMENTO!E30)),OFFSET($D30,1,$C30,ROW($C$264)-ROW($C30)),0))</f>
        <v>#N/A</v>
      </c>
      <c r="L30" s="139" t="str">
        <f t="shared" ca="1" si="10"/>
        <v>F</v>
      </c>
      <c r="M30" s="140" t="s">
        <v>196</v>
      </c>
      <c r="N30" s="141" t="str">
        <f t="shared" ca="1" si="11"/>
        <v>Nível 2</v>
      </c>
      <c r="O30" s="142" t="str">
        <f t="shared" ca="1" si="12"/>
        <v>1.5.</v>
      </c>
      <c r="P30" s="143" t="s">
        <v>247</v>
      </c>
      <c r="Q30" s="144"/>
      <c r="R30" s="145" t="s">
        <v>464</v>
      </c>
      <c r="S30" s="146" t="s">
        <v>166</v>
      </c>
      <c r="T30" s="147">
        <f ca="1">OFFSET(CÁLCULO!H$15,ROW($T30)-ROW(T$15),0)</f>
        <v>0</v>
      </c>
      <c r="U30" s="148"/>
      <c r="V30" s="149" t="s">
        <v>156</v>
      </c>
      <c r="W30" s="147">
        <f ca="1">IF($C30="S",ROUND(IF(TIPOORCAMENTO="Proposto",ORÇAMENTO.CustoUnitario*(1+$AH30),ORÇAMENTO.PrecoUnitarioLicitado),15-13*$AF$10),0)</f>
        <v>0</v>
      </c>
      <c r="X30" s="150">
        <f ca="1">IF($C30="S",IF(Import.TipoArredondamento&lt;&gt;"TransfereGOV",VTOTAL1,SUM(OFFSET(CÁLCULO!$AA$15,ROW($X30)-ROW($X$15),1):OFFSET(CÁLCULO!$AL$15,ROW($X30)-ROW($X$15),-1))),IF($C30=0,0,ROUND(SomaAgrup,15-13*$AF$11)))</f>
        <v>16790.919999999998</v>
      </c>
      <c r="Y30" s="151" t="s">
        <v>245</v>
      </c>
      <c r="Z30" t="str">
        <f t="shared" ca="1" si="13"/>
        <v/>
      </c>
      <c r="AA30" s="152">
        <f ca="1">IF($C30="S",IF($Z30="CP",$X30,IF($Z30="RA",(($X30)*QCI!$AA$3),0)),SomaAgrup)</f>
        <v>1410.9967264533011</v>
      </c>
      <c r="AB30" s="153">
        <f t="shared" ca="1" si="14"/>
        <v>0</v>
      </c>
      <c r="AC30" s="154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s="100">
        <f ca="1">IF(C30&lt;=CRONO.NivelExibicao,MAX($AD$15:OFFSET(AD30,-1,0))+IF($C30&lt;&gt;1,1,MAX(1,COUNTIF(QCI!$A$13:$A$24,OFFSET($E30,-1,0)))),"")</f>
        <v>6</v>
      </c>
      <c r="AE30" s="110" t="b">
        <f ca="1">IF(AND($C30="S",ORÇAMENTO.CodBarra&lt;&gt;""),IF(ORÇAMENTO.Fonte="",ORÇAMENTO.CodBarra,CONCATENATE(ORÇAMENTO.Fonte," ",ORÇAMENTO.CodBarra)))</f>
        <v>0</v>
      </c>
      <c r="AF30" s="155" t="str">
        <f ca="1">IF(ISERROR(INDIRECT(ORÇAMENTO.BancoRef)),"(abra o arquivo 'Referência "&amp;Excel_BuiltIn_Database&amp;".xlsm)",IF(OR($C30&lt;&gt;"S",ORÇAMENTO.CodBarra=""),"(Sem Código)",IF(ISERROR(MATCH($AE30,INDIRECT(ORÇAMENTO.BancoRef),0)),"(Código não identificado nas referências)",MATCH($AE30,INDIRECT(ORÇAMENTO.BancoRef),0))))</f>
        <v>(abra o arquivo 'Referência 11-2024.xlsm)</v>
      </c>
      <c r="AG30" s="574">
        <f ca="1">ROUND(IF(DESONERACAO="sim",REFERENCIA.Desonerado,REFERENCIA.NaoDesonerado),2)</f>
        <v>0</v>
      </c>
      <c r="AH30" s="575">
        <f t="shared" ca="1" si="15"/>
        <v>0.22</v>
      </c>
      <c r="AJ30" s="577"/>
      <c r="AL30" s="607"/>
      <c r="AM30" s="426">
        <f t="shared" ca="1" si="0"/>
        <v>16790.919999999998</v>
      </c>
      <c r="AN30" s="650">
        <f t="shared" ca="1" si="16"/>
        <v>0</v>
      </c>
    </row>
    <row r="31" spans="1:40" ht="26.4">
      <c r="A31" t="str">
        <f t="shared" si="1"/>
        <v>S</v>
      </c>
      <c r="B31">
        <f t="shared" ca="1" si="2"/>
        <v>2</v>
      </c>
      <c r="C31" t="str">
        <f t="shared" ca="1" si="3"/>
        <v>S</v>
      </c>
      <c r="D31">
        <f t="shared" ca="1" si="4"/>
        <v>0</v>
      </c>
      <c r="E31">
        <f ca="1">IF($C31=1,OFFSET(E31,-1,0)+MAX(1,COUNTIF(QCI!$A$13:$A$24,OFFSET(ORÇAMENTO!E31,-1,0))),OFFSET(E31,-1,0))</f>
        <v>1</v>
      </c>
      <c r="F31">
        <f t="shared" ca="1" si="5"/>
        <v>5</v>
      </c>
      <c r="G31">
        <f t="shared" ca="1" si="6"/>
        <v>0</v>
      </c>
      <c r="H31">
        <f t="shared" ca="1" si="7"/>
        <v>0</v>
      </c>
      <c r="I31">
        <f t="shared" ca="1" si="8"/>
        <v>1</v>
      </c>
      <c r="J31">
        <f t="shared" ca="1" si="9"/>
        <v>0</v>
      </c>
      <c r="K31">
        <f ca="1">IF(OR($C31="S",$C31=0),0,MATCH(OFFSET($D31,0,$C31)+IF($C31&lt;&gt;1,1,COUNTIF(QCI!$A$13:$A$24,ORÇAMENTO!E31)),OFFSET($D31,1,$C31,ROW($C$264)-ROW($C31)),0))</f>
        <v>0</v>
      </c>
      <c r="L31" s="139" t="str">
        <f t="shared" ca="1" si="10"/>
        <v>F</v>
      </c>
      <c r="M31" s="140" t="s">
        <v>199</v>
      </c>
      <c r="N31" s="141" t="str">
        <f t="shared" ca="1" si="11"/>
        <v>Serviço</v>
      </c>
      <c r="O31" s="142" t="str">
        <f t="shared" ca="1" si="12"/>
        <v>1.5.1.</v>
      </c>
      <c r="P31" s="143" t="s">
        <v>247</v>
      </c>
      <c r="Q31" s="144" t="s">
        <v>465</v>
      </c>
      <c r="R31" s="145" t="s">
        <v>500</v>
      </c>
      <c r="S31" s="146" t="s">
        <v>503</v>
      </c>
      <c r="T31" s="147">
        <f ca="1">OFFSET(CÁLCULO!H$15,ROW($T31)-ROW(T$15),0)</f>
        <v>51.05</v>
      </c>
      <c r="U31" s="148">
        <v>163.6</v>
      </c>
      <c r="V31" s="149" t="s">
        <v>156</v>
      </c>
      <c r="W31" s="147">
        <f ca="1">IF($C31="S",ROUND(IF(TIPOORCAMENTO="Proposto",ORÇAMENTO.CustoUnitario*(1+$AH31),ORÇAMENTO.PrecoUnitarioLicitado),15-13*$AF$10),0)</f>
        <v>199.59</v>
      </c>
      <c r="X31" s="150">
        <f ca="1">IF($C31="S",IF(Import.TipoArredondamento&lt;&gt;"TransfereGOV",VTOTAL1,SUM(OFFSET(CÁLCULO!$AA$15,ROW($X31)-ROW($X$15),1):OFFSET(CÁLCULO!$AL$15,ROW($X31)-ROW($X$15),-1))),IF($C31=0,0,ROUND(SomaAgrup,15-13*$AF$11)))</f>
        <v>10189.07</v>
      </c>
      <c r="Y31" s="151" t="s">
        <v>245</v>
      </c>
      <c r="Z31" t="str">
        <f t="shared" ca="1" si="13"/>
        <v>RA</v>
      </c>
      <c r="AA31" s="152">
        <f ca="1">IF($C31="S",IF($Z31="CP",$X31,IF($Z31="RA",(($X31)*QCI!$AA$3),0)),SomaAgrup)</f>
        <v>856.22136342758677</v>
      </c>
      <c r="AB31" s="153">
        <f t="shared" ca="1" si="14"/>
        <v>0</v>
      </c>
      <c r="AC31" s="154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s="100" t="str">
        <f ca="1">IF(C31&lt;=CRONO.NivelExibicao,MAX($AD$15:OFFSET(AD31,-1,0))+IF($C31&lt;&gt;1,1,MAX(1,COUNTIF(QCI!$A$13:$A$24,OFFSET($E31,-1,0)))),"")</f>
        <v/>
      </c>
      <c r="AE31" s="110" t="str">
        <f ca="1">IF(AND($C31="S",ORÇAMENTO.CodBarra&lt;&gt;""),IF(ORÇAMENTO.Fonte="",ORÇAMENTO.CodBarra,CONCATENATE(ORÇAMENTO.Fonte," ",ORÇAMENTO.CodBarra)))</f>
        <v>SINAPI 94293</v>
      </c>
      <c r="AF31" s="155" t="str">
        <f ca="1">IF(ISERROR(INDIRECT(ORÇAMENTO.BancoRef)),"(abra o arquivo 'Referência "&amp;Excel_BuiltIn_Database&amp;".xlsm)",IF(OR($C31&lt;&gt;"S",ORÇAMENTO.CodBarra=""),"(Sem Código)",IF(ISERROR(MATCH($AE31,INDIRECT(ORÇAMENTO.BancoRef),0)),"(Código não identificado nas referências)",MATCH($AE31,INDIRECT(ORÇAMENTO.BancoRef),0))))</f>
        <v>(abra o arquivo 'Referência 11-2024.xlsm)</v>
      </c>
      <c r="AG31" s="574">
        <f ca="1">ROUND(IF(DESONERACAO="sim",REFERENCIA.Desonerado,REFERENCIA.NaoDesonerado),2)</f>
        <v>0</v>
      </c>
      <c r="AH31" s="575">
        <f t="shared" ca="1" si="15"/>
        <v>0.22</v>
      </c>
      <c r="AJ31" s="577"/>
      <c r="AL31" s="607"/>
      <c r="AM31" s="426">
        <f t="shared" ca="1" si="0"/>
        <v>10189.07</v>
      </c>
      <c r="AN31" s="650">
        <f t="shared" ca="1" si="16"/>
        <v>199.59</v>
      </c>
    </row>
    <row r="32" spans="1:40" ht="13.8">
      <c r="A32" t="str">
        <f t="shared" si="1"/>
        <v>S</v>
      </c>
      <c r="B32">
        <f t="shared" ca="1" si="2"/>
        <v>2</v>
      </c>
      <c r="C32" t="str">
        <f t="shared" ca="1" si="3"/>
        <v>S</v>
      </c>
      <c r="D32">
        <f t="shared" ca="1" si="4"/>
        <v>0</v>
      </c>
      <c r="E32">
        <f ca="1">IF($C32=1,OFFSET(E32,-1,0)+MAX(1,COUNTIF(QCI!$A$13:$A$24,OFFSET(ORÇAMENTO!E32,-1,0))),OFFSET(E32,-1,0))</f>
        <v>1</v>
      </c>
      <c r="F32">
        <f t="shared" ca="1" si="5"/>
        <v>5</v>
      </c>
      <c r="G32">
        <f t="shared" ca="1" si="6"/>
        <v>0</v>
      </c>
      <c r="H32">
        <f t="shared" ca="1" si="7"/>
        <v>0</v>
      </c>
      <c r="I32">
        <f t="shared" ca="1" si="8"/>
        <v>2</v>
      </c>
      <c r="J32">
        <f t="shared" ca="1" si="9"/>
        <v>0</v>
      </c>
      <c r="K32">
        <f ca="1">IF(OR($C32="S",$C32=0),0,MATCH(OFFSET($D32,0,$C32)+IF($C32&lt;&gt;1,1,COUNTIF(QCI!$A$13:$A$24,ORÇAMENTO!E32)),OFFSET($D32,1,$C32,ROW($C$264)-ROW($C32)),0))</f>
        <v>0</v>
      </c>
      <c r="L32" s="139" t="str">
        <f t="shared" ca="1" si="10"/>
        <v>F</v>
      </c>
      <c r="M32" s="140" t="s">
        <v>199</v>
      </c>
      <c r="N32" s="141" t="str">
        <f t="shared" ca="1" si="11"/>
        <v>Serviço</v>
      </c>
      <c r="O32" s="142" t="str">
        <f t="shared" ca="1" si="12"/>
        <v>1.5.2.</v>
      </c>
      <c r="P32" s="143" t="s">
        <v>476</v>
      </c>
      <c r="Q32" s="144" t="s">
        <v>477</v>
      </c>
      <c r="R32" s="145" t="s">
        <v>488</v>
      </c>
      <c r="S32" s="146" t="s">
        <v>489</v>
      </c>
      <c r="T32" s="147">
        <f ca="1">OFFSET(CÁLCULO!H$15,ROW($T32)-ROW(T$15),0)</f>
        <v>29</v>
      </c>
      <c r="U32" s="148">
        <v>186.6</v>
      </c>
      <c r="V32" s="149" t="s">
        <v>156</v>
      </c>
      <c r="W32" s="147">
        <f ca="1">IF($C32="S",ROUND(IF(TIPOORCAMENTO="Proposto",ORÇAMENTO.CustoUnitario*(1+$AH32),ORÇAMENTO.PrecoUnitarioLicitado),15-13*$AF$10),0)</f>
        <v>227.65</v>
      </c>
      <c r="X32" s="150">
        <f ca="1">IF($C32="S",IF(Import.TipoArredondamento&lt;&gt;"TransfereGOV",VTOTAL1,SUM(OFFSET(CÁLCULO!$AA$15,ROW($X32)-ROW($X$15),1):OFFSET(CÁLCULO!$AL$15,ROW($X32)-ROW($X$15),-1))),IF($C32=0,0,ROUND(SomaAgrup,15-13*$AF$11)))</f>
        <v>6601.85</v>
      </c>
      <c r="Y32" s="151" t="s">
        <v>245</v>
      </c>
      <c r="Z32" t="str">
        <f t="shared" ca="1" si="13"/>
        <v>RA</v>
      </c>
      <c r="AA32" s="152">
        <f ca="1">IF($C32="S",IF($Z32="CP",$X32,IF($Z32="RA",(($X32)*QCI!$AA$3),0)),SomaAgrup)</f>
        <v>554.77536302571423</v>
      </c>
      <c r="AB32" s="153">
        <f t="shared" ca="1" si="14"/>
        <v>0</v>
      </c>
      <c r="AC32" s="154" t="str">
        <f ca="1">IF($N32="","",IF(ORÇAMENTO.Descricao="","DESCRIÇÃO",IF(AND($C32="S",ORÇAMENTO.Unidade=""),"UNIDADE",IF($X32&lt;0,"VALOR NEGATIVO",IF(OR(AND(TIPOORCAMENTO="Proposto",$AG32&lt;&gt;"",$AG32&gt;0,ORÇAMENTO.CustoUnitario&gt;$AG32),AND(TIPOORCAMENTO="LICITADO",ORÇAMENTO.PrecoUnitarioLicitado&gt;$AN32)),"ACIMA REF.","")))))</f>
        <v/>
      </c>
      <c r="AD32" s="100" t="str">
        <f ca="1">IF(C32&lt;=CRONO.NivelExibicao,MAX($AD$15:OFFSET(AD32,-1,0))+IF($C32&lt;&gt;1,1,MAX(1,COUNTIF(QCI!$A$13:$A$24,OFFSET($E32,-1,0)))),"")</f>
        <v/>
      </c>
      <c r="AE32" s="110" t="str">
        <f ca="1">IF(AND($C32="S",ORÇAMENTO.CodBarra&lt;&gt;""),IF(ORÇAMENTO.Fonte="",ORÇAMENTO.CodBarra,CONCATENATE(ORÇAMENTO.Fonte," ",ORÇAMENTO.CodBarra)))</f>
        <v>SIURB_INFRA 6021000</v>
      </c>
      <c r="AF32" s="155" t="str">
        <f ca="1">IF(ISERROR(INDIRECT(ORÇAMENTO.BancoRef)),"(abra o arquivo 'Referência "&amp;Excel_BuiltIn_Database&amp;".xlsm)",IF(OR($C32&lt;&gt;"S",ORÇAMENTO.CodBarra=""),"(Sem Código)",IF(ISERROR(MATCH($AE32,INDIRECT(ORÇAMENTO.BancoRef),0)),"(Código não identificado nas referências)",MATCH($AE32,INDIRECT(ORÇAMENTO.BancoRef),0))))</f>
        <v>(abra o arquivo 'Referência 11-2024.xlsm)</v>
      </c>
      <c r="AG32" s="574">
        <f ca="1">ROUND(IF(DESONERACAO="sim",REFERENCIA.Desonerado,REFERENCIA.NaoDesonerado),2)</f>
        <v>0</v>
      </c>
      <c r="AH32" s="575">
        <f t="shared" ca="1" si="15"/>
        <v>0.22</v>
      </c>
      <c r="AJ32" s="577"/>
      <c r="AL32" s="607"/>
      <c r="AM32" s="426">
        <f t="shared" ca="1" si="0"/>
        <v>6601.85</v>
      </c>
      <c r="AN32" s="650">
        <f t="shared" ca="1" si="16"/>
        <v>227.65</v>
      </c>
    </row>
    <row r="33" spans="1:40" ht="13.8" hidden="1">
      <c r="A33" t="str">
        <f t="shared" si="1"/>
        <v>S</v>
      </c>
      <c r="B33">
        <f t="shared" ca="1" si="2"/>
        <v>2</v>
      </c>
      <c r="C33" t="str">
        <f t="shared" ca="1" si="3"/>
        <v>S</v>
      </c>
      <c r="D33">
        <f t="shared" ca="1" si="4"/>
        <v>0</v>
      </c>
      <c r="E33">
        <f ca="1">IF($C33=1,OFFSET(E33,-1,0)+MAX(1,COUNTIF(QCI!$A$13:$A$24,OFFSET(ORÇAMENTO!E33,-1,0))),OFFSET(E33,-1,0))</f>
        <v>1</v>
      </c>
      <c r="F33">
        <f t="shared" ca="1" si="5"/>
        <v>5</v>
      </c>
      <c r="G33">
        <f t="shared" ca="1" si="6"/>
        <v>0</v>
      </c>
      <c r="H33">
        <f t="shared" ca="1" si="7"/>
        <v>0</v>
      </c>
      <c r="I33">
        <f t="shared" ca="1" si="8"/>
        <v>2</v>
      </c>
      <c r="J33">
        <f t="shared" ca="1" si="9"/>
        <v>0</v>
      </c>
      <c r="K33">
        <f ca="1">IF(OR($C33="S",$C33=0),0,MATCH(OFFSET($D33,0,$C33)+IF($C33&lt;&gt;1,1,COUNTIF(QCI!$A$13:$A$24,ORÇAMENTO!E33)),OFFSET($D33,1,$C33,ROW($C$264)-ROW($C33)),0))</f>
        <v>0</v>
      </c>
      <c r="L33" s="139" t="str">
        <f t="shared" ca="1" si="10"/>
        <v/>
      </c>
      <c r="M33" s="140" t="s">
        <v>199</v>
      </c>
      <c r="N33" s="141" t="str">
        <f t="shared" ca="1" si="11"/>
        <v>Serviço</v>
      </c>
      <c r="O33" s="142" t="str">
        <f t="shared" ca="1" si="12"/>
        <v>-</v>
      </c>
      <c r="P33" s="143" t="s">
        <v>247</v>
      </c>
      <c r="Q33" s="144"/>
      <c r="R33" s="145" t="str">
        <f ca="1">IF($C33="S",REFERENCIA.Descricao,"(digite a descrição aqui)")</f>
        <v>(abra o arquivo 'Referência 11-2024.xlsm)</v>
      </c>
      <c r="S33" s="146" t="str">
        <f ca="1">REFERENCIA.Unidade</f>
        <v>-</v>
      </c>
      <c r="T33" s="147">
        <f ca="1">OFFSET(CÁLCULO!H$15,ROW($T33)-ROW(T$15),0)</f>
        <v>0</v>
      </c>
      <c r="U33" s="148"/>
      <c r="V33" s="149" t="s">
        <v>156</v>
      </c>
      <c r="W33" s="147">
        <f ca="1">IF($C33="S",ROUND(IF(TIPOORCAMENTO="Proposto",ORÇAMENTO.CustoUnitario*(1+$AH33),ORÇAMENTO.PrecoUnitarioLicitado),15-13*$AF$10),0)</f>
        <v>0</v>
      </c>
      <c r="X33" s="150">
        <f ca="1">IF($C33="S",IF(Import.TipoArredondamento&lt;&gt;"TransfereGOV",VTOTAL1,SUM(OFFSET(CÁLCULO!$AA$15,ROW($X33)-ROW($X$15),1):OFFSET(CÁLCULO!$AL$15,ROW($X33)-ROW($X$15),-1))),IF($C33=0,0,ROUND(SomaAgrup,15-13*$AF$11)))</f>
        <v>0</v>
      </c>
      <c r="Y33" s="151" t="s">
        <v>245</v>
      </c>
      <c r="Z33" t="str">
        <f t="shared" ca="1" si="13"/>
        <v/>
      </c>
      <c r="AA33" s="152">
        <f ca="1">IF($C33="S",IF($Z33="CP",$X33,IF($Z33="RA",(($X33)*QCI!$AA$3),0)),SomaAgrup)</f>
        <v>0</v>
      </c>
      <c r="AB33" s="153">
        <f t="shared" ca="1" si="14"/>
        <v>0</v>
      </c>
      <c r="AC33" s="154" t="str">
        <f ca="1">IF($N33="","",IF(ORÇAMENTO.Descricao="","DESCRIÇÃO",IF(AND($C33="S",ORÇAMENTO.Unidade=""),"UNIDADE",IF($X33&lt;0,"VALOR NEGATIVO",IF(OR(AND(TIPOORCAMENTO="Proposto",$AG33&lt;&gt;"",$AG33&gt;0,ORÇAMENTO.CustoUnitario&gt;$AG33),AND(TIPOORCAMENTO="LICITADO",ORÇAMENTO.PrecoUnitarioLicitado&gt;$AN33)),"ACIMA REF.","")))))</f>
        <v/>
      </c>
      <c r="AD33" s="100" t="str">
        <f ca="1">IF(C33&lt;=CRONO.NivelExibicao,MAX($AD$15:OFFSET(AD33,-1,0))+IF($C33&lt;&gt;1,1,MAX(1,COUNTIF(QCI!$A$13:$A$24,OFFSET($E33,-1,0)))),"")</f>
        <v/>
      </c>
      <c r="AE33" s="110" t="b">
        <f ca="1">IF(AND($C33="S",ORÇAMENTO.CodBarra&lt;&gt;""),IF(ORÇAMENTO.Fonte="",ORÇAMENTO.CodBarra,CONCATENATE(ORÇAMENTO.Fonte," ",ORÇAMENTO.CodBarra)))</f>
        <v>0</v>
      </c>
      <c r="AF33" s="155" t="str">
        <f ca="1">IF(ISERROR(INDIRECT(ORÇAMENTO.BancoRef)),"(abra o arquivo 'Referência "&amp;Excel_BuiltIn_Database&amp;".xlsm)",IF(OR($C33&lt;&gt;"S",ORÇAMENTO.CodBarra=""),"(Sem Código)",IF(ISERROR(MATCH($AE33,INDIRECT(ORÇAMENTO.BancoRef),0)),"(Código não identificado nas referências)",MATCH($AE33,INDIRECT(ORÇAMENTO.BancoRef),0))))</f>
        <v>(abra o arquivo 'Referência 11-2024.xlsm)</v>
      </c>
      <c r="AG33" s="574">
        <f ca="1">ROUND(IF(DESONERACAO="sim",REFERENCIA.Desonerado,REFERENCIA.NaoDesonerado),2)</f>
        <v>0</v>
      </c>
      <c r="AH33" s="575">
        <f t="shared" ca="1" si="15"/>
        <v>0.22</v>
      </c>
      <c r="AJ33" s="577"/>
      <c r="AL33" s="607"/>
      <c r="AM33" s="426">
        <f t="shared" ca="1" si="0"/>
        <v>0</v>
      </c>
      <c r="AN33" s="650">
        <f t="shared" ca="1" si="16"/>
        <v>0</v>
      </c>
    </row>
    <row r="34" spans="1:40" ht="13.8" hidden="1">
      <c r="A34" t="str">
        <f t="shared" si="1"/>
        <v>S</v>
      </c>
      <c r="B34">
        <f t="shared" ca="1" si="2"/>
        <v>2</v>
      </c>
      <c r="C34" t="str">
        <f t="shared" ca="1" si="3"/>
        <v>S</v>
      </c>
      <c r="D34">
        <f t="shared" ca="1" si="4"/>
        <v>0</v>
      </c>
      <c r="E34">
        <f ca="1">IF($C34=1,OFFSET(E34,-1,0)+MAX(1,COUNTIF(QCI!$A$13:$A$24,OFFSET(ORÇAMENTO!E34,-1,0))),OFFSET(E34,-1,0))</f>
        <v>1</v>
      </c>
      <c r="F34">
        <f t="shared" ca="1" si="5"/>
        <v>5</v>
      </c>
      <c r="G34">
        <f t="shared" ca="1" si="6"/>
        <v>0</v>
      </c>
      <c r="H34">
        <f t="shared" ca="1" si="7"/>
        <v>0</v>
      </c>
      <c r="I34">
        <f t="shared" ca="1" si="8"/>
        <v>2</v>
      </c>
      <c r="J34">
        <f t="shared" ca="1" si="9"/>
        <v>0</v>
      </c>
      <c r="K34">
        <f ca="1">IF(OR($C34="S",$C34=0),0,MATCH(OFFSET($D34,0,$C34)+IF($C34&lt;&gt;1,1,COUNTIF(QCI!$A$13:$A$24,ORÇAMENTO!E34)),OFFSET($D34,1,$C34,ROW($C$264)-ROW($C34)),0))</f>
        <v>0</v>
      </c>
      <c r="L34" s="139" t="str">
        <f t="shared" ca="1" si="10"/>
        <v/>
      </c>
      <c r="M34" s="140" t="s">
        <v>199</v>
      </c>
      <c r="N34" s="141" t="str">
        <f t="shared" ca="1" si="11"/>
        <v>Serviço</v>
      </c>
      <c r="O34" s="142" t="str">
        <f t="shared" ca="1" si="12"/>
        <v>-</v>
      </c>
      <c r="P34" s="143" t="s">
        <v>247</v>
      </c>
      <c r="Q34" s="144"/>
      <c r="R34" s="145" t="str">
        <f ca="1">IF($C34="S",REFERENCIA.Descricao,"(digite a descrição aqui)")</f>
        <v>(abra o arquivo 'Referência 11-2024.xlsm)</v>
      </c>
      <c r="S34" s="146" t="str">
        <f ca="1">REFERENCIA.Unidade</f>
        <v>-</v>
      </c>
      <c r="T34" s="147">
        <f ca="1">OFFSET(CÁLCULO!H$15,ROW($T34)-ROW(T$15),0)</f>
        <v>0</v>
      </c>
      <c r="U34" s="148"/>
      <c r="V34" s="149" t="s">
        <v>156</v>
      </c>
      <c r="W34" s="147">
        <f ca="1">IF($C34="S",ROUND(IF(TIPOORCAMENTO="Proposto",ORÇAMENTO.CustoUnitario*(1+$AH34),ORÇAMENTO.PrecoUnitarioLicitado),15-13*$AF$10),0)</f>
        <v>0</v>
      </c>
      <c r="X34" s="150">
        <f ca="1">IF($C34="S",IF(Import.TipoArredondamento&lt;&gt;"TransfereGOV",VTOTAL1,SUM(OFFSET(CÁLCULO!$AA$15,ROW($X34)-ROW($X$15),1):OFFSET(CÁLCULO!$AL$15,ROW($X34)-ROW($X$15),-1))),IF($C34=0,0,ROUND(SomaAgrup,15-13*$AF$11)))</f>
        <v>0</v>
      </c>
      <c r="Y34" s="151" t="s">
        <v>245</v>
      </c>
      <c r="Z34" t="str">
        <f t="shared" ca="1" si="13"/>
        <v/>
      </c>
      <c r="AA34" s="152">
        <f ca="1">IF($C34="S",IF($Z34="CP",$X34,IF($Z34="RA",(($X34)*QCI!$AA$3),0)),SomaAgrup)</f>
        <v>0</v>
      </c>
      <c r="AB34" s="153">
        <f t="shared" ca="1" si="14"/>
        <v>0</v>
      </c>
      <c r="AC34" s="154" t="str">
        <f ca="1">IF($N34="","",IF(ORÇAMENTO.Descricao="","DESCRIÇÃO",IF(AND($C34="S",ORÇAMENTO.Unidade=""),"UNIDADE",IF($X34&lt;0,"VALOR NEGATIVO",IF(OR(AND(TIPOORCAMENTO="Proposto",$AG34&lt;&gt;"",$AG34&gt;0,ORÇAMENTO.CustoUnitario&gt;$AG34),AND(TIPOORCAMENTO="LICITADO",ORÇAMENTO.PrecoUnitarioLicitado&gt;$AN34)),"ACIMA REF.","")))))</f>
        <v/>
      </c>
      <c r="AD34" s="100" t="str">
        <f ca="1">IF(C34&lt;=CRONO.NivelExibicao,MAX($AD$15:OFFSET(AD34,-1,0))+IF($C34&lt;&gt;1,1,MAX(1,COUNTIF(QCI!$A$13:$A$24,OFFSET($E34,-1,0)))),"")</f>
        <v/>
      </c>
      <c r="AE34" s="110" t="b">
        <f ca="1">IF(AND($C34="S",ORÇAMENTO.CodBarra&lt;&gt;""),IF(ORÇAMENTO.Fonte="",ORÇAMENTO.CodBarra,CONCATENATE(ORÇAMENTO.Fonte," ",ORÇAMENTO.CodBarra)))</f>
        <v>0</v>
      </c>
      <c r="AF34" s="155" t="str">
        <f ca="1">IF(ISERROR(INDIRECT(ORÇAMENTO.BancoRef)),"(abra o arquivo 'Referência "&amp;Excel_BuiltIn_Database&amp;".xlsm)",IF(OR($C34&lt;&gt;"S",ORÇAMENTO.CodBarra=""),"(Sem Código)",IF(ISERROR(MATCH($AE34,INDIRECT(ORÇAMENTO.BancoRef),0)),"(Código não identificado nas referências)",MATCH($AE34,INDIRECT(ORÇAMENTO.BancoRef),0))))</f>
        <v>(abra o arquivo 'Referência 11-2024.xlsm)</v>
      </c>
      <c r="AG34" s="574">
        <f ca="1">ROUND(IF(DESONERACAO="sim",REFERENCIA.Desonerado,REFERENCIA.NaoDesonerado),2)</f>
        <v>0</v>
      </c>
      <c r="AH34" s="575">
        <f t="shared" ca="1" si="15"/>
        <v>0.22</v>
      </c>
      <c r="AJ34" s="577"/>
      <c r="AL34" s="607"/>
      <c r="AM34" s="426">
        <f t="shared" ca="1" si="0"/>
        <v>0</v>
      </c>
      <c r="AN34" s="650">
        <f t="shared" ca="1" si="16"/>
        <v>0</v>
      </c>
    </row>
    <row r="35" spans="1:40" ht="13.8" hidden="1">
      <c r="A35" t="str">
        <f t="shared" si="1"/>
        <v>S</v>
      </c>
      <c r="B35">
        <f t="shared" ca="1" si="2"/>
        <v>2</v>
      </c>
      <c r="C35" t="str">
        <f t="shared" ca="1" si="3"/>
        <v>S</v>
      </c>
      <c r="D35">
        <f t="shared" ca="1" si="4"/>
        <v>0</v>
      </c>
      <c r="E35">
        <f ca="1">IF($C35=1,OFFSET(E35,-1,0)+MAX(1,COUNTIF(QCI!$A$13:$A$24,OFFSET(ORÇAMENTO!E35,-1,0))),OFFSET(E35,-1,0))</f>
        <v>1</v>
      </c>
      <c r="F35">
        <f t="shared" ca="1" si="5"/>
        <v>5</v>
      </c>
      <c r="G35">
        <f t="shared" ca="1" si="6"/>
        <v>0</v>
      </c>
      <c r="H35">
        <f t="shared" ca="1" si="7"/>
        <v>0</v>
      </c>
      <c r="I35">
        <f t="shared" ca="1" si="8"/>
        <v>2</v>
      </c>
      <c r="J35">
        <f t="shared" ca="1" si="9"/>
        <v>0</v>
      </c>
      <c r="K35">
        <f ca="1">IF(OR($C35="S",$C35=0),0,MATCH(OFFSET($D35,0,$C35)+IF($C35&lt;&gt;1,1,COUNTIF(QCI!$A$13:$A$24,ORÇAMENTO!E35)),OFFSET($D35,1,$C35,ROW($C$264)-ROW($C35)),0))</f>
        <v>0</v>
      </c>
      <c r="L35" s="139" t="str">
        <f t="shared" ca="1" si="10"/>
        <v/>
      </c>
      <c r="M35" s="140" t="s">
        <v>199</v>
      </c>
      <c r="N35" s="141" t="str">
        <f t="shared" ca="1" si="11"/>
        <v>Serviço</v>
      </c>
      <c r="O35" s="142" t="str">
        <f t="shared" ca="1" si="12"/>
        <v>-</v>
      </c>
      <c r="P35" s="143" t="s">
        <v>247</v>
      </c>
      <c r="Q35" s="144"/>
      <c r="R35" s="145" t="str">
        <f ca="1">IF($C35="S",REFERENCIA.Descricao,"(digite a descrição aqui)")</f>
        <v>(abra o arquivo 'Referência 11-2024.xlsm)</v>
      </c>
      <c r="S35" s="146" t="str">
        <f ca="1">REFERENCIA.Unidade</f>
        <v>-</v>
      </c>
      <c r="T35" s="147">
        <f ca="1">OFFSET(CÁLCULO!H$15,ROW($T35)-ROW(T$15),0)</f>
        <v>0</v>
      </c>
      <c r="U35" s="148"/>
      <c r="V35" s="149" t="s">
        <v>156</v>
      </c>
      <c r="W35" s="147">
        <f ca="1">IF($C35="S",ROUND(IF(TIPOORCAMENTO="Proposto",ORÇAMENTO.CustoUnitario*(1+$AH35),ORÇAMENTO.PrecoUnitarioLicitado),15-13*$AF$10),0)</f>
        <v>0</v>
      </c>
      <c r="X35" s="150">
        <f ca="1">IF($C35="S",IF(Import.TipoArredondamento&lt;&gt;"TransfereGOV",VTOTAL1,SUM(OFFSET(CÁLCULO!$AA$15,ROW($X35)-ROW($X$15),1):OFFSET(CÁLCULO!$AL$15,ROW($X35)-ROW($X$15),-1))),IF($C35=0,0,ROUND(SomaAgrup,15-13*$AF$11)))</f>
        <v>0</v>
      </c>
      <c r="Y35" s="151" t="s">
        <v>245</v>
      </c>
      <c r="Z35" t="str">
        <f t="shared" ca="1" si="13"/>
        <v/>
      </c>
      <c r="AA35" s="152">
        <f ca="1">IF($C35="S",IF($Z35="CP",$X35,IF($Z35="RA",(($X35)*QCI!$AA$3),0)),SomaAgrup)</f>
        <v>0</v>
      </c>
      <c r="AB35" s="153">
        <f t="shared" ca="1" si="14"/>
        <v>0</v>
      </c>
      <c r="AC35" s="154" t="str">
        <f ca="1">IF($N35="","",IF(ORÇAMENTO.Descricao="","DESCRIÇÃO",IF(AND($C35="S",ORÇAMENTO.Unidade=""),"UNIDADE",IF($X35&lt;0,"VALOR NEGATIVO",IF(OR(AND(TIPOORCAMENTO="Proposto",$AG35&lt;&gt;"",$AG35&gt;0,ORÇAMENTO.CustoUnitario&gt;$AG35),AND(TIPOORCAMENTO="LICITADO",ORÇAMENTO.PrecoUnitarioLicitado&gt;$AN35)),"ACIMA REF.","")))))</f>
        <v/>
      </c>
      <c r="AD35" s="100" t="str">
        <f ca="1">IF(C35&lt;=CRONO.NivelExibicao,MAX($AD$15:OFFSET(AD35,-1,0))+IF($C35&lt;&gt;1,1,MAX(1,COUNTIF(QCI!$A$13:$A$24,OFFSET($E35,-1,0)))),"")</f>
        <v/>
      </c>
      <c r="AE35" s="110" t="b">
        <f ca="1">IF(AND($C35="S",ORÇAMENTO.CodBarra&lt;&gt;""),IF(ORÇAMENTO.Fonte="",ORÇAMENTO.CodBarra,CONCATENATE(ORÇAMENTO.Fonte," ",ORÇAMENTO.CodBarra)))</f>
        <v>0</v>
      </c>
      <c r="AF35" s="155" t="str">
        <f ca="1">IF(ISERROR(INDIRECT(ORÇAMENTO.BancoRef)),"(abra o arquivo 'Referência "&amp;Excel_BuiltIn_Database&amp;".xlsm)",IF(OR($C35&lt;&gt;"S",ORÇAMENTO.CodBarra=""),"(Sem Código)",IF(ISERROR(MATCH($AE35,INDIRECT(ORÇAMENTO.BancoRef),0)),"(Código não identificado nas referências)",MATCH($AE35,INDIRECT(ORÇAMENTO.BancoRef),0))))</f>
        <v>(abra o arquivo 'Referência 11-2024.xlsm)</v>
      </c>
      <c r="AG35" s="574">
        <f ca="1">ROUND(IF(DESONERACAO="sim",REFERENCIA.Desonerado,REFERENCIA.NaoDesonerado),2)</f>
        <v>0</v>
      </c>
      <c r="AH35" s="575">
        <f t="shared" ca="1" si="15"/>
        <v>0.22</v>
      </c>
      <c r="AJ35" s="577"/>
      <c r="AL35" s="607"/>
      <c r="AM35" s="426">
        <f t="shared" ca="1" si="0"/>
        <v>0</v>
      </c>
      <c r="AN35" s="650">
        <f t="shared" ca="1" si="16"/>
        <v>0</v>
      </c>
    </row>
    <row r="36" spans="1:40" ht="13.8" hidden="1">
      <c r="A36" t="str">
        <f t="shared" si="1"/>
        <v>S</v>
      </c>
      <c r="B36">
        <f t="shared" ca="1" si="2"/>
        <v>2</v>
      </c>
      <c r="C36" t="str">
        <f t="shared" ca="1" si="3"/>
        <v>S</v>
      </c>
      <c r="D36">
        <f t="shared" ca="1" si="4"/>
        <v>0</v>
      </c>
      <c r="E36">
        <f ca="1">IF($C36=1,OFFSET(E36,-1,0)+MAX(1,COUNTIF(QCI!$A$13:$A$24,OFFSET(ORÇAMENTO!E36,-1,0))),OFFSET(E36,-1,0))</f>
        <v>1</v>
      </c>
      <c r="F36">
        <f t="shared" ca="1" si="5"/>
        <v>5</v>
      </c>
      <c r="G36">
        <f t="shared" ca="1" si="6"/>
        <v>0</v>
      </c>
      <c r="H36">
        <f t="shared" ca="1" si="7"/>
        <v>0</v>
      </c>
      <c r="I36">
        <f t="shared" ca="1" si="8"/>
        <v>2</v>
      </c>
      <c r="J36">
        <f t="shared" ca="1" si="9"/>
        <v>0</v>
      </c>
      <c r="K36">
        <f ca="1">IF(OR($C36="S",$C36=0),0,MATCH(OFFSET($D36,0,$C36)+IF($C36&lt;&gt;1,1,COUNTIF(QCI!$A$13:$A$24,ORÇAMENTO!E36)),OFFSET($D36,1,$C36,ROW($C$264)-ROW($C36)),0))</f>
        <v>0</v>
      </c>
      <c r="L36" s="139" t="str">
        <f t="shared" ca="1" si="10"/>
        <v/>
      </c>
      <c r="M36" s="140" t="s">
        <v>199</v>
      </c>
      <c r="N36" s="141" t="str">
        <f t="shared" ca="1" si="11"/>
        <v>Serviço</v>
      </c>
      <c r="O36" s="142" t="str">
        <f t="shared" ca="1" si="12"/>
        <v>-</v>
      </c>
      <c r="P36" s="143" t="s">
        <v>247</v>
      </c>
      <c r="Q36" s="144"/>
      <c r="R36" s="145" t="str">
        <f ca="1">IF($C36="S",REFERENCIA.Descricao,"(digite a descrição aqui)")</f>
        <v>(abra o arquivo 'Referência 11-2024.xlsm)</v>
      </c>
      <c r="S36" s="146" t="str">
        <f ca="1">REFERENCIA.Unidade</f>
        <v>-</v>
      </c>
      <c r="T36" s="147">
        <f ca="1">OFFSET(CÁLCULO!H$15,ROW($T36)-ROW(T$15),0)</f>
        <v>0</v>
      </c>
      <c r="U36" s="148"/>
      <c r="V36" s="149" t="s">
        <v>156</v>
      </c>
      <c r="W36" s="147">
        <f ca="1">IF($C36="S",ROUND(IF(TIPOORCAMENTO="Proposto",ORÇAMENTO.CustoUnitario*(1+$AH36),ORÇAMENTO.PrecoUnitarioLicitado),15-13*$AF$10),0)</f>
        <v>0</v>
      </c>
      <c r="X36" s="150">
        <f ca="1">IF($C36="S",IF(Import.TipoArredondamento&lt;&gt;"TransfereGOV",VTOTAL1,SUM(OFFSET(CÁLCULO!$AA$15,ROW($X36)-ROW($X$15),1):OFFSET(CÁLCULO!$AL$15,ROW($X36)-ROW($X$15),-1))),IF($C36=0,0,ROUND(SomaAgrup,15-13*$AF$11)))</f>
        <v>0</v>
      </c>
      <c r="Y36" s="151" t="s">
        <v>245</v>
      </c>
      <c r="Z36" t="str">
        <f t="shared" ca="1" si="13"/>
        <v/>
      </c>
      <c r="AA36" s="152">
        <f ca="1">IF($C36="S",IF($Z36="CP",$X36,IF($Z36="RA",(($X36)*QCI!$AA$3),0)),SomaAgrup)</f>
        <v>0</v>
      </c>
      <c r="AB36" s="153">
        <f t="shared" ca="1" si="14"/>
        <v>0</v>
      </c>
      <c r="AC36" s="154" t="str">
        <f ca="1">IF($N36="","",IF(ORÇAMENTO.Descricao="","DESCRIÇÃO",IF(AND($C36="S",ORÇAMENTO.Unidade=""),"UNIDADE",IF($X36&lt;0,"VALOR NEGATIVO",IF(OR(AND(TIPOORCAMENTO="Proposto",$AG36&lt;&gt;"",$AG36&gt;0,ORÇAMENTO.CustoUnitario&gt;$AG36),AND(TIPOORCAMENTO="LICITADO",ORÇAMENTO.PrecoUnitarioLicitado&gt;$AN36)),"ACIMA REF.","")))))</f>
        <v/>
      </c>
      <c r="AD36" s="100" t="str">
        <f ca="1">IF(C36&lt;=CRONO.NivelExibicao,MAX($AD$15:OFFSET(AD36,-1,0))+IF($C36&lt;&gt;1,1,MAX(1,COUNTIF(QCI!$A$13:$A$24,OFFSET($E36,-1,0)))),"")</f>
        <v/>
      </c>
      <c r="AE36" s="110" t="b">
        <f ca="1">IF(AND($C36="S",ORÇAMENTO.CodBarra&lt;&gt;""),IF(ORÇAMENTO.Fonte="",ORÇAMENTO.CodBarra,CONCATENATE(ORÇAMENTO.Fonte," ",ORÇAMENTO.CodBarra)))</f>
        <v>0</v>
      </c>
      <c r="AF36" s="155" t="str">
        <f ca="1">IF(ISERROR(INDIRECT(ORÇAMENTO.BancoRef)),"(abra o arquivo 'Referência "&amp;Excel_BuiltIn_Database&amp;".xlsm)",IF(OR($C36&lt;&gt;"S",ORÇAMENTO.CodBarra=""),"(Sem Código)",IF(ISERROR(MATCH($AE36,INDIRECT(ORÇAMENTO.BancoRef),0)),"(Código não identificado nas referências)",MATCH($AE36,INDIRECT(ORÇAMENTO.BancoRef),0))))</f>
        <v>(abra o arquivo 'Referência 11-2024.xlsm)</v>
      </c>
      <c r="AG36" s="574">
        <f ca="1">ROUND(IF(DESONERACAO="sim",REFERENCIA.Desonerado,REFERENCIA.NaoDesonerado),2)</f>
        <v>0</v>
      </c>
      <c r="AH36" s="575">
        <f t="shared" ca="1" si="15"/>
        <v>0.22</v>
      </c>
      <c r="AJ36" s="577"/>
      <c r="AL36" s="607"/>
      <c r="AM36" s="426">
        <f t="shared" ca="1" si="0"/>
        <v>0</v>
      </c>
      <c r="AN36" s="650">
        <f t="shared" ca="1" si="16"/>
        <v>0</v>
      </c>
    </row>
    <row r="37" spans="1:40" ht="13.8" hidden="1">
      <c r="A37" t="str">
        <f t="shared" si="1"/>
        <v>S</v>
      </c>
      <c r="B37">
        <f t="shared" ca="1" si="2"/>
        <v>2</v>
      </c>
      <c r="C37" t="str">
        <f t="shared" ca="1" si="3"/>
        <v>S</v>
      </c>
      <c r="D37">
        <f t="shared" ca="1" si="4"/>
        <v>0</v>
      </c>
      <c r="E37">
        <f ca="1">IF($C37=1,OFFSET(E37,-1,0)+MAX(1,COUNTIF(QCI!$A$13:$A$24,OFFSET(ORÇAMENTO!E37,-1,0))),OFFSET(E37,-1,0))</f>
        <v>1</v>
      </c>
      <c r="F37">
        <f t="shared" ca="1" si="5"/>
        <v>5</v>
      </c>
      <c r="G37">
        <f t="shared" ca="1" si="6"/>
        <v>0</v>
      </c>
      <c r="H37">
        <f t="shared" ca="1" si="7"/>
        <v>0</v>
      </c>
      <c r="I37">
        <f t="shared" ca="1" si="8"/>
        <v>2</v>
      </c>
      <c r="J37">
        <f t="shared" ca="1" si="9"/>
        <v>0</v>
      </c>
      <c r="K37">
        <f ca="1">IF(OR($C37="S",$C37=0),0,MATCH(OFFSET($D37,0,$C37)+IF($C37&lt;&gt;1,1,COUNTIF(QCI!$A$13:$A$24,ORÇAMENTO!E37)),OFFSET($D37,1,$C37,ROW($C$264)-ROW($C37)),0))</f>
        <v>0</v>
      </c>
      <c r="L37" s="139" t="str">
        <f t="shared" ca="1" si="10"/>
        <v/>
      </c>
      <c r="M37" s="140" t="s">
        <v>199</v>
      </c>
      <c r="N37" s="141" t="str">
        <f t="shared" ca="1" si="11"/>
        <v>Serviço</v>
      </c>
      <c r="O37" s="142" t="str">
        <f t="shared" ca="1" si="12"/>
        <v>-</v>
      </c>
      <c r="P37" s="143" t="s">
        <v>247</v>
      </c>
      <c r="Q37" s="144"/>
      <c r="R37" s="145" t="str">
        <f ca="1">IF($C37="S",REFERENCIA.Descricao,"(digite a descrição aqui)")</f>
        <v>(abra o arquivo 'Referência 11-2024.xlsm)</v>
      </c>
      <c r="S37" s="146" t="str">
        <f ca="1">REFERENCIA.Unidade</f>
        <v>-</v>
      </c>
      <c r="T37" s="147">
        <f ca="1">OFFSET(CÁLCULO!H$15,ROW($T37)-ROW(T$15),0)</f>
        <v>0</v>
      </c>
      <c r="U37" s="148"/>
      <c r="V37" s="149" t="s">
        <v>156</v>
      </c>
      <c r="W37" s="147">
        <f ca="1">IF($C37="S",ROUND(IF(TIPOORCAMENTO="Proposto",ORÇAMENTO.CustoUnitario*(1+$AH37),ORÇAMENTO.PrecoUnitarioLicitado),15-13*$AF$10),0)</f>
        <v>0</v>
      </c>
      <c r="X37" s="150">
        <f ca="1">IF($C37="S",IF(Import.TipoArredondamento&lt;&gt;"TransfereGOV",VTOTAL1,SUM(OFFSET(CÁLCULO!$AA$15,ROW($X37)-ROW($X$15),1):OFFSET(CÁLCULO!$AL$15,ROW($X37)-ROW($X$15),-1))),IF($C37=0,0,ROUND(SomaAgrup,15-13*$AF$11)))</f>
        <v>0</v>
      </c>
      <c r="Y37" s="151" t="s">
        <v>245</v>
      </c>
      <c r="Z37" t="str">
        <f t="shared" ca="1" si="13"/>
        <v/>
      </c>
      <c r="AA37" s="152">
        <f ca="1">IF($C37="S",IF($Z37="CP",$X37,IF($Z37="RA",(($X37)*QCI!$AA$3),0)),SomaAgrup)</f>
        <v>0</v>
      </c>
      <c r="AB37" s="153">
        <f t="shared" ca="1" si="14"/>
        <v>0</v>
      </c>
      <c r="AC37" s="154" t="str">
        <f ca="1">IF($N37="","",IF(ORÇAMENTO.Descricao="","DESCRIÇÃO",IF(AND($C37="S",ORÇAMENTO.Unidade=""),"UNIDADE",IF($X37&lt;0,"VALOR NEGATIVO",IF(OR(AND(TIPOORCAMENTO="Proposto",$AG37&lt;&gt;"",$AG37&gt;0,ORÇAMENTO.CustoUnitario&gt;$AG37),AND(TIPOORCAMENTO="LICITADO",ORÇAMENTO.PrecoUnitarioLicitado&gt;$AN37)),"ACIMA REF.","")))))</f>
        <v/>
      </c>
      <c r="AD37" s="100" t="str">
        <f ca="1">IF(C37&lt;=CRONO.NivelExibicao,MAX($AD$15:OFFSET(AD37,-1,0))+IF($C37&lt;&gt;1,1,MAX(1,COUNTIF(QCI!$A$13:$A$24,OFFSET($E37,-1,0)))),"")</f>
        <v/>
      </c>
      <c r="AE37" s="110" t="b">
        <f ca="1">IF(AND($C37="S",ORÇAMENTO.CodBarra&lt;&gt;""),IF(ORÇAMENTO.Fonte="",ORÇAMENTO.CodBarra,CONCATENATE(ORÇAMENTO.Fonte," ",ORÇAMENTO.CodBarra)))</f>
        <v>0</v>
      </c>
      <c r="AF37" s="155" t="str">
        <f ca="1">IF(ISERROR(INDIRECT(ORÇAMENTO.BancoRef)),"(abra o arquivo 'Referência "&amp;Excel_BuiltIn_Database&amp;".xlsm)",IF(OR($C37&lt;&gt;"S",ORÇAMENTO.CodBarra=""),"(Sem Código)",IF(ISERROR(MATCH($AE37,INDIRECT(ORÇAMENTO.BancoRef),0)),"(Código não identificado nas referências)",MATCH($AE37,INDIRECT(ORÇAMENTO.BancoRef),0))))</f>
        <v>(abra o arquivo 'Referência 11-2024.xlsm)</v>
      </c>
      <c r="AG37" s="574">
        <f ca="1">ROUND(IF(DESONERACAO="sim",REFERENCIA.Desonerado,REFERENCIA.NaoDesonerado),2)</f>
        <v>0</v>
      </c>
      <c r="AH37" s="575">
        <f t="shared" ca="1" si="15"/>
        <v>0.22</v>
      </c>
      <c r="AJ37" s="577"/>
      <c r="AL37" s="607"/>
      <c r="AM37" s="426">
        <f t="shared" ca="1" si="0"/>
        <v>0</v>
      </c>
      <c r="AN37" s="650">
        <f t="shared" ca="1" si="16"/>
        <v>0</v>
      </c>
    </row>
    <row r="38" spans="1:40" ht="13.8" hidden="1">
      <c r="A38" t="str">
        <f t="shared" si="1"/>
        <v>S</v>
      </c>
      <c r="B38">
        <f t="shared" ca="1" si="2"/>
        <v>2</v>
      </c>
      <c r="C38" t="str">
        <f t="shared" ca="1" si="3"/>
        <v>S</v>
      </c>
      <c r="D38">
        <f t="shared" ca="1" si="4"/>
        <v>0</v>
      </c>
      <c r="E38">
        <f ca="1">IF($C38=1,OFFSET(E38,-1,0)+MAX(1,COUNTIF(QCI!$A$13:$A$24,OFFSET(ORÇAMENTO!E38,-1,0))),OFFSET(E38,-1,0))</f>
        <v>1</v>
      </c>
      <c r="F38">
        <f t="shared" ca="1" si="5"/>
        <v>5</v>
      </c>
      <c r="G38">
        <f t="shared" ca="1" si="6"/>
        <v>0</v>
      </c>
      <c r="H38">
        <f t="shared" ca="1" si="7"/>
        <v>0</v>
      </c>
      <c r="I38">
        <f t="shared" ca="1" si="8"/>
        <v>2</v>
      </c>
      <c r="J38">
        <f t="shared" ca="1" si="9"/>
        <v>0</v>
      </c>
      <c r="K38">
        <f ca="1">IF(OR($C38="S",$C38=0),0,MATCH(OFFSET($D38,0,$C38)+IF($C38&lt;&gt;1,1,COUNTIF(QCI!$A$13:$A$24,ORÇAMENTO!E38)),OFFSET($D38,1,$C38,ROW($C$264)-ROW($C38)),0))</f>
        <v>0</v>
      </c>
      <c r="L38" s="139" t="str">
        <f t="shared" ca="1" si="10"/>
        <v/>
      </c>
      <c r="M38" s="140" t="s">
        <v>199</v>
      </c>
      <c r="N38" s="141" t="str">
        <f t="shared" ca="1" si="11"/>
        <v>Serviço</v>
      </c>
      <c r="O38" s="142" t="str">
        <f t="shared" ca="1" si="12"/>
        <v>-</v>
      </c>
      <c r="P38" s="143" t="s">
        <v>247</v>
      </c>
      <c r="Q38" s="144"/>
      <c r="R38" s="145" t="str">
        <f ca="1">IF($C38="S",REFERENCIA.Descricao,"(digite a descrição aqui)")</f>
        <v>(abra o arquivo 'Referência 11-2024.xlsm)</v>
      </c>
      <c r="S38" s="146" t="str">
        <f ca="1">REFERENCIA.Unidade</f>
        <v>-</v>
      </c>
      <c r="T38" s="147">
        <f ca="1">OFFSET(CÁLCULO!H$15,ROW($T38)-ROW(T$15),0)</f>
        <v>0</v>
      </c>
      <c r="U38" s="148"/>
      <c r="V38" s="149" t="s">
        <v>156</v>
      </c>
      <c r="W38" s="147">
        <f ca="1">IF($C38="S",ROUND(IF(TIPOORCAMENTO="Proposto",ORÇAMENTO.CustoUnitario*(1+$AH38),ORÇAMENTO.PrecoUnitarioLicitado),15-13*$AF$10),0)</f>
        <v>0</v>
      </c>
      <c r="X38" s="150">
        <f ca="1">IF($C38="S",IF(Import.TipoArredondamento&lt;&gt;"TransfereGOV",VTOTAL1,SUM(OFFSET(CÁLCULO!$AA$15,ROW($X38)-ROW($X$15),1):OFFSET(CÁLCULO!$AL$15,ROW($X38)-ROW($X$15),-1))),IF($C38=0,0,ROUND(SomaAgrup,15-13*$AF$11)))</f>
        <v>0</v>
      </c>
      <c r="Y38" s="151" t="s">
        <v>245</v>
      </c>
      <c r="Z38" t="str">
        <f t="shared" ca="1" si="13"/>
        <v/>
      </c>
      <c r="AA38" s="152">
        <f ca="1">IF($C38="S",IF($Z38="CP",$X38,IF($Z38="RA",(($X38)*QCI!$AA$3),0)),SomaAgrup)</f>
        <v>0</v>
      </c>
      <c r="AB38" s="153">
        <f t="shared" ca="1" si="14"/>
        <v>0</v>
      </c>
      <c r="AC38" s="154" t="str">
        <f ca="1">IF($N38="","",IF(ORÇAMENTO.Descricao="","DESCRIÇÃO",IF(AND($C38="S",ORÇAMENTO.Unidade=""),"UNIDADE",IF($X38&lt;0,"VALOR NEGATIVO",IF(OR(AND(TIPOORCAMENTO="Proposto",$AG38&lt;&gt;"",$AG38&gt;0,ORÇAMENTO.CustoUnitario&gt;$AG38),AND(TIPOORCAMENTO="LICITADO",ORÇAMENTO.PrecoUnitarioLicitado&gt;$AN38)),"ACIMA REF.","")))))</f>
        <v/>
      </c>
      <c r="AD38" s="100" t="str">
        <f ca="1">IF(C38&lt;=CRONO.NivelExibicao,MAX($AD$15:OFFSET(AD38,-1,0))+IF($C38&lt;&gt;1,1,MAX(1,COUNTIF(QCI!$A$13:$A$24,OFFSET($E38,-1,0)))),"")</f>
        <v/>
      </c>
      <c r="AE38" s="110" t="b">
        <f ca="1">IF(AND($C38="S",ORÇAMENTO.CodBarra&lt;&gt;""),IF(ORÇAMENTO.Fonte="",ORÇAMENTO.CodBarra,CONCATENATE(ORÇAMENTO.Fonte," ",ORÇAMENTO.CodBarra)))</f>
        <v>0</v>
      </c>
      <c r="AF38" s="155" t="str">
        <f ca="1">IF(ISERROR(INDIRECT(ORÇAMENTO.BancoRef)),"(abra o arquivo 'Referência "&amp;Excel_BuiltIn_Database&amp;".xlsm)",IF(OR($C38&lt;&gt;"S",ORÇAMENTO.CodBarra=""),"(Sem Código)",IF(ISERROR(MATCH($AE38,INDIRECT(ORÇAMENTO.BancoRef),0)),"(Código não identificado nas referências)",MATCH($AE38,INDIRECT(ORÇAMENTO.BancoRef),0))))</f>
        <v>(abra o arquivo 'Referência 11-2024.xlsm)</v>
      </c>
      <c r="AG38" s="574">
        <f ca="1">ROUND(IF(DESONERACAO="sim",REFERENCIA.Desonerado,REFERENCIA.NaoDesonerado),2)</f>
        <v>0</v>
      </c>
      <c r="AH38" s="575">
        <f t="shared" ca="1" si="15"/>
        <v>0.22</v>
      </c>
      <c r="AJ38" s="577"/>
      <c r="AL38" s="607"/>
      <c r="AM38" s="426">
        <f t="shared" ca="1" si="0"/>
        <v>0</v>
      </c>
      <c r="AN38" s="650">
        <f t="shared" ca="1" si="16"/>
        <v>0</v>
      </c>
    </row>
    <row r="39" spans="1:40" ht="13.8" hidden="1">
      <c r="A39" t="str">
        <f t="shared" si="1"/>
        <v>S</v>
      </c>
      <c r="B39">
        <f t="shared" ca="1" si="2"/>
        <v>2</v>
      </c>
      <c r="C39" t="str">
        <f t="shared" ca="1" si="3"/>
        <v>S</v>
      </c>
      <c r="D39">
        <f t="shared" ca="1" si="4"/>
        <v>0</v>
      </c>
      <c r="E39">
        <f ca="1">IF($C39=1,OFFSET(E39,-1,0)+MAX(1,COUNTIF(QCI!$A$13:$A$24,OFFSET(ORÇAMENTO!E39,-1,0))),OFFSET(E39,-1,0))</f>
        <v>1</v>
      </c>
      <c r="F39">
        <f t="shared" ca="1" si="5"/>
        <v>5</v>
      </c>
      <c r="G39">
        <f t="shared" ca="1" si="6"/>
        <v>0</v>
      </c>
      <c r="H39">
        <f t="shared" ca="1" si="7"/>
        <v>0</v>
      </c>
      <c r="I39">
        <f t="shared" ca="1" si="8"/>
        <v>2</v>
      </c>
      <c r="J39">
        <f t="shared" ca="1" si="9"/>
        <v>0</v>
      </c>
      <c r="K39">
        <f ca="1">IF(OR($C39="S",$C39=0),0,MATCH(OFFSET($D39,0,$C39)+IF($C39&lt;&gt;1,1,COUNTIF(QCI!$A$13:$A$24,ORÇAMENTO!E39)),OFFSET($D39,1,$C39,ROW($C$264)-ROW($C39)),0))</f>
        <v>0</v>
      </c>
      <c r="L39" s="139" t="str">
        <f t="shared" ca="1" si="10"/>
        <v/>
      </c>
      <c r="M39" s="140" t="s">
        <v>199</v>
      </c>
      <c r="N39" s="141" t="str">
        <f t="shared" ca="1" si="11"/>
        <v>Serviço</v>
      </c>
      <c r="O39" s="142" t="str">
        <f t="shared" ca="1" si="12"/>
        <v>-</v>
      </c>
      <c r="P39" s="143" t="s">
        <v>247</v>
      </c>
      <c r="Q39" s="144"/>
      <c r="R39" s="145" t="str">
        <f ca="1">IF($C39="S",REFERENCIA.Descricao,"(digite a descrição aqui)")</f>
        <v>(abra o arquivo 'Referência 11-2024.xlsm)</v>
      </c>
      <c r="S39" s="146" t="str">
        <f ca="1">REFERENCIA.Unidade</f>
        <v>-</v>
      </c>
      <c r="T39" s="147">
        <f ca="1">OFFSET(CÁLCULO!H$15,ROW($T39)-ROW(T$15),0)</f>
        <v>0</v>
      </c>
      <c r="U39" s="148"/>
      <c r="V39" s="149" t="s">
        <v>156</v>
      </c>
      <c r="W39" s="147">
        <f ca="1">IF($C39="S",ROUND(IF(TIPOORCAMENTO="Proposto",ORÇAMENTO.CustoUnitario*(1+$AH39),ORÇAMENTO.PrecoUnitarioLicitado),15-13*$AF$10),0)</f>
        <v>0</v>
      </c>
      <c r="X39" s="150">
        <f ca="1">IF($C39="S",IF(Import.TipoArredondamento&lt;&gt;"TransfereGOV",VTOTAL1,SUM(OFFSET(CÁLCULO!$AA$15,ROW($X39)-ROW($X$15),1):OFFSET(CÁLCULO!$AL$15,ROW($X39)-ROW($X$15),-1))),IF($C39=0,0,ROUND(SomaAgrup,15-13*$AF$11)))</f>
        <v>0</v>
      </c>
      <c r="Y39" s="151" t="s">
        <v>245</v>
      </c>
      <c r="Z39" t="str">
        <f t="shared" ca="1" si="13"/>
        <v/>
      </c>
      <c r="AA39" s="152">
        <f ca="1">IF($C39="S",IF($Z39="CP",$X39,IF($Z39="RA",(($X39)*QCI!$AA$3),0)),SomaAgrup)</f>
        <v>0</v>
      </c>
      <c r="AB39" s="153">
        <f t="shared" ca="1" si="14"/>
        <v>0</v>
      </c>
      <c r="AC39" s="154" t="str">
        <f ca="1">IF($N39="","",IF(ORÇAMENTO.Descricao="","DESCRIÇÃO",IF(AND($C39="S",ORÇAMENTO.Unidade=""),"UNIDADE",IF($X39&lt;0,"VALOR NEGATIVO",IF(OR(AND(TIPOORCAMENTO="Proposto",$AG39&lt;&gt;"",$AG39&gt;0,ORÇAMENTO.CustoUnitario&gt;$AG39),AND(TIPOORCAMENTO="LICITADO",ORÇAMENTO.PrecoUnitarioLicitado&gt;$AN39)),"ACIMA REF.","")))))</f>
        <v/>
      </c>
      <c r="AD39" s="100" t="str">
        <f ca="1">IF(C39&lt;=CRONO.NivelExibicao,MAX($AD$15:OFFSET(AD39,-1,0))+IF($C39&lt;&gt;1,1,MAX(1,COUNTIF(QCI!$A$13:$A$24,OFFSET($E39,-1,0)))),"")</f>
        <v/>
      </c>
      <c r="AE39" s="110" t="b">
        <f ca="1">IF(AND($C39="S",ORÇAMENTO.CodBarra&lt;&gt;""),IF(ORÇAMENTO.Fonte="",ORÇAMENTO.CodBarra,CONCATENATE(ORÇAMENTO.Fonte," ",ORÇAMENTO.CodBarra)))</f>
        <v>0</v>
      </c>
      <c r="AF39" s="155" t="str">
        <f ca="1">IF(ISERROR(INDIRECT(ORÇAMENTO.BancoRef)),"(abra o arquivo 'Referência "&amp;Excel_BuiltIn_Database&amp;".xlsm)",IF(OR($C39&lt;&gt;"S",ORÇAMENTO.CodBarra=""),"(Sem Código)",IF(ISERROR(MATCH($AE39,INDIRECT(ORÇAMENTO.BancoRef),0)),"(Código não identificado nas referências)",MATCH($AE39,INDIRECT(ORÇAMENTO.BancoRef),0))))</f>
        <v>(abra o arquivo 'Referência 11-2024.xlsm)</v>
      </c>
      <c r="AG39" s="574">
        <f ca="1">ROUND(IF(DESONERACAO="sim",REFERENCIA.Desonerado,REFERENCIA.NaoDesonerado),2)</f>
        <v>0</v>
      </c>
      <c r="AH39" s="575">
        <f t="shared" ca="1" si="15"/>
        <v>0.22</v>
      </c>
      <c r="AJ39" s="577"/>
      <c r="AL39" s="607"/>
      <c r="AM39" s="426">
        <f t="shared" ca="1" si="0"/>
        <v>0</v>
      </c>
      <c r="AN39" s="650">
        <f t="shared" ca="1" si="16"/>
        <v>0</v>
      </c>
    </row>
    <row r="40" spans="1:40" ht="13.8" hidden="1">
      <c r="A40" t="str">
        <f t="shared" si="1"/>
        <v>S</v>
      </c>
      <c r="B40">
        <f t="shared" ca="1" si="2"/>
        <v>2</v>
      </c>
      <c r="C40" t="str">
        <f t="shared" ca="1" si="3"/>
        <v>S</v>
      </c>
      <c r="D40">
        <f t="shared" ca="1" si="4"/>
        <v>0</v>
      </c>
      <c r="E40">
        <f ca="1">IF($C40=1,OFFSET(E40,-1,0)+MAX(1,COUNTIF(QCI!$A$13:$A$24,OFFSET(ORÇAMENTO!E40,-1,0))),OFFSET(E40,-1,0))</f>
        <v>1</v>
      </c>
      <c r="F40">
        <f t="shared" ca="1" si="5"/>
        <v>5</v>
      </c>
      <c r="G40">
        <f t="shared" ca="1" si="6"/>
        <v>0</v>
      </c>
      <c r="H40">
        <f t="shared" ca="1" si="7"/>
        <v>0</v>
      </c>
      <c r="I40">
        <f t="shared" ca="1" si="8"/>
        <v>2</v>
      </c>
      <c r="J40">
        <f t="shared" ca="1" si="9"/>
        <v>0</v>
      </c>
      <c r="K40">
        <f ca="1">IF(OR($C40="S",$C40=0),0,MATCH(OFFSET($D40,0,$C40)+IF($C40&lt;&gt;1,1,COUNTIF(QCI!$A$13:$A$24,ORÇAMENTO!E40)),OFFSET($D40,1,$C40,ROW($C$264)-ROW($C40)),0))</f>
        <v>0</v>
      </c>
      <c r="L40" s="139" t="str">
        <f t="shared" ca="1" si="10"/>
        <v/>
      </c>
      <c r="M40" s="140" t="s">
        <v>199</v>
      </c>
      <c r="N40" s="141" t="str">
        <f t="shared" ca="1" si="11"/>
        <v>Serviço</v>
      </c>
      <c r="O40" s="142" t="str">
        <f t="shared" ca="1" si="12"/>
        <v>-</v>
      </c>
      <c r="P40" s="143" t="s">
        <v>247</v>
      </c>
      <c r="Q40" s="144"/>
      <c r="R40" s="145" t="str">
        <f ca="1">IF($C40="S",REFERENCIA.Descricao,"(digite a descrição aqui)")</f>
        <v>(abra o arquivo 'Referência 11-2024.xlsm)</v>
      </c>
      <c r="S40" s="146" t="str">
        <f ca="1">REFERENCIA.Unidade</f>
        <v>-</v>
      </c>
      <c r="T40" s="147">
        <f ca="1">OFFSET(CÁLCULO!H$15,ROW($T40)-ROW(T$15),0)</f>
        <v>0</v>
      </c>
      <c r="U40" s="148"/>
      <c r="V40" s="149" t="s">
        <v>156</v>
      </c>
      <c r="W40" s="147">
        <f ca="1">IF($C40="S",ROUND(IF(TIPOORCAMENTO="Proposto",ORÇAMENTO.CustoUnitario*(1+$AH40),ORÇAMENTO.PrecoUnitarioLicitado),15-13*$AF$10),0)</f>
        <v>0</v>
      </c>
      <c r="X40" s="150">
        <f ca="1">IF($C40="S",IF(Import.TipoArredondamento&lt;&gt;"TransfereGOV",VTOTAL1,SUM(OFFSET(CÁLCULO!$AA$15,ROW($X40)-ROW($X$15),1):OFFSET(CÁLCULO!$AL$15,ROW($X40)-ROW($X$15),-1))),IF($C40=0,0,ROUND(SomaAgrup,15-13*$AF$11)))</f>
        <v>0</v>
      </c>
      <c r="Y40" s="151" t="s">
        <v>245</v>
      </c>
      <c r="Z40" t="str">
        <f t="shared" ca="1" si="13"/>
        <v/>
      </c>
      <c r="AA40" s="152">
        <f ca="1">IF($C40="S",IF($Z40="CP",$X40,IF($Z40="RA",(($X40)*QCI!$AA$3),0)),SomaAgrup)</f>
        <v>0</v>
      </c>
      <c r="AB40" s="153">
        <f t="shared" ca="1" si="14"/>
        <v>0</v>
      </c>
      <c r="AC40" s="154" t="str">
        <f ca="1">IF($N40="","",IF(ORÇAMENTO.Descricao="","DESCRIÇÃO",IF(AND($C40="S",ORÇAMENTO.Unidade=""),"UNIDADE",IF($X40&lt;0,"VALOR NEGATIVO",IF(OR(AND(TIPOORCAMENTO="Proposto",$AG40&lt;&gt;"",$AG40&gt;0,ORÇAMENTO.CustoUnitario&gt;$AG40),AND(TIPOORCAMENTO="LICITADO",ORÇAMENTO.PrecoUnitarioLicitado&gt;$AN40)),"ACIMA REF.","")))))</f>
        <v/>
      </c>
      <c r="AD40" s="100" t="str">
        <f ca="1">IF(C40&lt;=CRONO.NivelExibicao,MAX($AD$15:OFFSET(AD40,-1,0))+IF($C40&lt;&gt;1,1,MAX(1,COUNTIF(QCI!$A$13:$A$24,OFFSET($E40,-1,0)))),"")</f>
        <v/>
      </c>
      <c r="AE40" s="110" t="b">
        <f ca="1">IF(AND($C40="S",ORÇAMENTO.CodBarra&lt;&gt;""),IF(ORÇAMENTO.Fonte="",ORÇAMENTO.CodBarra,CONCATENATE(ORÇAMENTO.Fonte," ",ORÇAMENTO.CodBarra)))</f>
        <v>0</v>
      </c>
      <c r="AF40" s="155" t="str">
        <f ca="1">IF(ISERROR(INDIRECT(ORÇAMENTO.BancoRef)),"(abra o arquivo 'Referência "&amp;Excel_BuiltIn_Database&amp;".xlsm)",IF(OR($C40&lt;&gt;"S",ORÇAMENTO.CodBarra=""),"(Sem Código)",IF(ISERROR(MATCH($AE40,INDIRECT(ORÇAMENTO.BancoRef),0)),"(Código não identificado nas referências)",MATCH($AE40,INDIRECT(ORÇAMENTO.BancoRef),0))))</f>
        <v>(abra o arquivo 'Referência 11-2024.xlsm)</v>
      </c>
      <c r="AG40" s="574">
        <f ca="1">ROUND(IF(DESONERACAO="sim",REFERENCIA.Desonerado,REFERENCIA.NaoDesonerado),2)</f>
        <v>0</v>
      </c>
      <c r="AH40" s="575">
        <f t="shared" ca="1" si="15"/>
        <v>0.22</v>
      </c>
      <c r="AJ40" s="577"/>
      <c r="AL40" s="607"/>
      <c r="AM40" s="426">
        <f t="shared" ca="1" si="0"/>
        <v>0</v>
      </c>
      <c r="AN40" s="650">
        <f t="shared" ca="1" si="16"/>
        <v>0</v>
      </c>
    </row>
    <row r="41" spans="1:40" ht="13.8" hidden="1">
      <c r="A41" t="str">
        <f t="shared" si="1"/>
        <v>S</v>
      </c>
      <c r="B41">
        <f t="shared" ca="1" si="2"/>
        <v>2</v>
      </c>
      <c r="C41" t="str">
        <f t="shared" ca="1" si="3"/>
        <v>S</v>
      </c>
      <c r="D41">
        <f t="shared" ca="1" si="4"/>
        <v>0</v>
      </c>
      <c r="E41">
        <f ca="1">IF($C41=1,OFFSET(E41,-1,0)+MAX(1,COUNTIF(QCI!$A$13:$A$24,OFFSET(ORÇAMENTO!E41,-1,0))),OFFSET(E41,-1,0))</f>
        <v>1</v>
      </c>
      <c r="F41">
        <f t="shared" ca="1" si="5"/>
        <v>5</v>
      </c>
      <c r="G41">
        <f t="shared" ca="1" si="6"/>
        <v>0</v>
      </c>
      <c r="H41">
        <f t="shared" ca="1" si="7"/>
        <v>0</v>
      </c>
      <c r="I41">
        <f t="shared" ca="1" si="8"/>
        <v>2</v>
      </c>
      <c r="J41">
        <f t="shared" ca="1" si="9"/>
        <v>0</v>
      </c>
      <c r="K41">
        <f ca="1">IF(OR($C41="S",$C41=0),0,MATCH(OFFSET($D41,0,$C41)+IF($C41&lt;&gt;1,1,COUNTIF(QCI!$A$13:$A$24,ORÇAMENTO!E41)),OFFSET($D41,1,$C41,ROW($C$264)-ROW($C41)),0))</f>
        <v>0</v>
      </c>
      <c r="L41" s="139" t="str">
        <f t="shared" ca="1" si="10"/>
        <v/>
      </c>
      <c r="M41" s="140" t="s">
        <v>199</v>
      </c>
      <c r="N41" s="141" t="str">
        <f t="shared" ca="1" si="11"/>
        <v>Serviço</v>
      </c>
      <c r="O41" s="142" t="str">
        <f t="shared" ca="1" si="12"/>
        <v>-</v>
      </c>
      <c r="P41" s="143" t="s">
        <v>247</v>
      </c>
      <c r="Q41" s="144"/>
      <c r="R41" s="145" t="str">
        <f ca="1">IF($C41="S",REFERENCIA.Descricao,"(digite a descrição aqui)")</f>
        <v>(abra o arquivo 'Referência 11-2024.xlsm)</v>
      </c>
      <c r="S41" s="146" t="str">
        <f ca="1">REFERENCIA.Unidade</f>
        <v>-</v>
      </c>
      <c r="T41" s="147">
        <f ca="1">OFFSET(CÁLCULO!H$15,ROW($T41)-ROW(T$15),0)</f>
        <v>0</v>
      </c>
      <c r="U41" s="148"/>
      <c r="V41" s="149" t="s">
        <v>156</v>
      </c>
      <c r="W41" s="147">
        <f ca="1">IF($C41="S",ROUND(IF(TIPOORCAMENTO="Proposto",ORÇAMENTO.CustoUnitario*(1+$AH41),ORÇAMENTO.PrecoUnitarioLicitado),15-13*$AF$10),0)</f>
        <v>0</v>
      </c>
      <c r="X41" s="150">
        <f ca="1">IF($C41="S",IF(Import.TipoArredondamento&lt;&gt;"TransfereGOV",VTOTAL1,SUM(OFFSET(CÁLCULO!$AA$15,ROW($X41)-ROW($X$15),1):OFFSET(CÁLCULO!$AL$15,ROW($X41)-ROW($X$15),-1))),IF($C41=0,0,ROUND(SomaAgrup,15-13*$AF$11)))</f>
        <v>0</v>
      </c>
      <c r="Y41" s="151" t="s">
        <v>245</v>
      </c>
      <c r="Z41" t="str">
        <f t="shared" ca="1" si="13"/>
        <v/>
      </c>
      <c r="AA41" s="152">
        <f ca="1">IF($C41="S",IF($Z41="CP",$X41,IF($Z41="RA",(($X41)*QCI!$AA$3),0)),SomaAgrup)</f>
        <v>0</v>
      </c>
      <c r="AB41" s="153">
        <f t="shared" ca="1" si="14"/>
        <v>0</v>
      </c>
      <c r="AC41" s="154" t="str">
        <f ca="1">IF($N41="","",IF(ORÇAMENTO.Descricao="","DESCRIÇÃO",IF(AND($C41="S",ORÇAMENTO.Unidade=""),"UNIDADE",IF($X41&lt;0,"VALOR NEGATIVO",IF(OR(AND(TIPOORCAMENTO="Proposto",$AG41&lt;&gt;"",$AG41&gt;0,ORÇAMENTO.CustoUnitario&gt;$AG41),AND(TIPOORCAMENTO="LICITADO",ORÇAMENTO.PrecoUnitarioLicitado&gt;$AN41)),"ACIMA REF.","")))))</f>
        <v/>
      </c>
      <c r="AD41" s="100" t="str">
        <f ca="1">IF(C41&lt;=CRONO.NivelExibicao,MAX($AD$15:OFFSET(AD41,-1,0))+IF($C41&lt;&gt;1,1,MAX(1,COUNTIF(QCI!$A$13:$A$24,OFFSET($E41,-1,0)))),"")</f>
        <v/>
      </c>
      <c r="AE41" s="110" t="b">
        <f ca="1">IF(AND($C41="S",ORÇAMENTO.CodBarra&lt;&gt;""),IF(ORÇAMENTO.Fonte="",ORÇAMENTO.CodBarra,CONCATENATE(ORÇAMENTO.Fonte," ",ORÇAMENTO.CodBarra)))</f>
        <v>0</v>
      </c>
      <c r="AF41" s="155" t="str">
        <f ca="1">IF(ISERROR(INDIRECT(ORÇAMENTO.BancoRef)),"(abra o arquivo 'Referência "&amp;Excel_BuiltIn_Database&amp;".xlsm)",IF(OR($C41&lt;&gt;"S",ORÇAMENTO.CodBarra=""),"(Sem Código)",IF(ISERROR(MATCH($AE41,INDIRECT(ORÇAMENTO.BancoRef),0)),"(Código não identificado nas referências)",MATCH($AE41,INDIRECT(ORÇAMENTO.BancoRef),0))))</f>
        <v>(abra o arquivo 'Referência 11-2024.xlsm)</v>
      </c>
      <c r="AG41" s="574">
        <f ca="1">ROUND(IF(DESONERACAO="sim",REFERENCIA.Desonerado,REFERENCIA.NaoDesonerado),2)</f>
        <v>0</v>
      </c>
      <c r="AH41" s="575">
        <f t="shared" ca="1" si="15"/>
        <v>0.22</v>
      </c>
      <c r="AJ41" s="577"/>
      <c r="AL41" s="607"/>
      <c r="AM41" s="426">
        <f t="shared" ca="1" si="0"/>
        <v>0</v>
      </c>
      <c r="AN41" s="650">
        <f t="shared" ca="1" si="16"/>
        <v>0</v>
      </c>
    </row>
    <row r="42" spans="1:40" ht="13.8" hidden="1">
      <c r="A42" t="str">
        <f t="shared" si="1"/>
        <v>S</v>
      </c>
      <c r="B42">
        <f t="shared" ca="1" si="2"/>
        <v>2</v>
      </c>
      <c r="C42" t="str">
        <f t="shared" ca="1" si="3"/>
        <v>S</v>
      </c>
      <c r="D42">
        <f t="shared" ca="1" si="4"/>
        <v>0</v>
      </c>
      <c r="E42">
        <f ca="1">IF($C42=1,OFFSET(E42,-1,0)+MAX(1,COUNTIF(QCI!$A$13:$A$24,OFFSET(ORÇAMENTO!E42,-1,0))),OFFSET(E42,-1,0))</f>
        <v>1</v>
      </c>
      <c r="F42">
        <f t="shared" ca="1" si="5"/>
        <v>5</v>
      </c>
      <c r="G42">
        <f t="shared" ca="1" si="6"/>
        <v>0</v>
      </c>
      <c r="H42">
        <f t="shared" ca="1" si="7"/>
        <v>0</v>
      </c>
      <c r="I42">
        <f t="shared" ca="1" si="8"/>
        <v>2</v>
      </c>
      <c r="J42">
        <f t="shared" ca="1" si="9"/>
        <v>0</v>
      </c>
      <c r="K42">
        <f ca="1">IF(OR($C42="S",$C42=0),0,MATCH(OFFSET($D42,0,$C42)+IF($C42&lt;&gt;1,1,COUNTIF(QCI!$A$13:$A$24,ORÇAMENTO!E42)),OFFSET($D42,1,$C42,ROW($C$264)-ROW($C42)),0))</f>
        <v>0</v>
      </c>
      <c r="L42" s="139" t="str">
        <f t="shared" ca="1" si="10"/>
        <v/>
      </c>
      <c r="M42" s="140" t="s">
        <v>199</v>
      </c>
      <c r="N42" s="141" t="str">
        <f t="shared" ca="1" si="11"/>
        <v>Serviço</v>
      </c>
      <c r="O42" s="142" t="str">
        <f t="shared" ca="1" si="12"/>
        <v>-</v>
      </c>
      <c r="P42" s="143" t="s">
        <v>247</v>
      </c>
      <c r="Q42" s="144"/>
      <c r="R42" s="145" t="str">
        <f ca="1">IF($C42="S",REFERENCIA.Descricao,"(digite a descrição aqui)")</f>
        <v>(abra o arquivo 'Referência 11-2024.xlsm)</v>
      </c>
      <c r="S42" s="146" t="str">
        <f ca="1">REFERENCIA.Unidade</f>
        <v>-</v>
      </c>
      <c r="T42" s="147">
        <f ca="1">OFFSET(CÁLCULO!H$15,ROW($T42)-ROW(T$15),0)</f>
        <v>0</v>
      </c>
      <c r="U42" s="148"/>
      <c r="V42" s="149" t="s">
        <v>156</v>
      </c>
      <c r="W42" s="147">
        <f ca="1">IF($C42="S",ROUND(IF(TIPOORCAMENTO="Proposto",ORÇAMENTO.CustoUnitario*(1+$AH42),ORÇAMENTO.PrecoUnitarioLicitado),15-13*$AF$10),0)</f>
        <v>0</v>
      </c>
      <c r="X42" s="150">
        <f ca="1">IF($C42="S",IF(Import.TipoArredondamento&lt;&gt;"TransfereGOV",VTOTAL1,SUM(OFFSET(CÁLCULO!$AA$15,ROW($X42)-ROW($X$15),1):OFFSET(CÁLCULO!$AL$15,ROW($X42)-ROW($X$15),-1))),IF($C42=0,0,ROUND(SomaAgrup,15-13*$AF$11)))</f>
        <v>0</v>
      </c>
      <c r="Y42" s="151" t="s">
        <v>245</v>
      </c>
      <c r="Z42" t="str">
        <f t="shared" ca="1" si="13"/>
        <v/>
      </c>
      <c r="AA42" s="152">
        <f ca="1">IF($C42="S",IF($Z42="CP",$X42,IF($Z42="RA",(($X42)*QCI!$AA$3),0)),SomaAgrup)</f>
        <v>0</v>
      </c>
      <c r="AB42" s="153">
        <f t="shared" ca="1" si="14"/>
        <v>0</v>
      </c>
      <c r="AC42" s="154" t="str">
        <f ca="1">IF($N42="","",IF(ORÇAMENTO.Descricao="","DESCRIÇÃO",IF(AND($C42="S",ORÇAMENTO.Unidade=""),"UNIDADE",IF($X42&lt;0,"VALOR NEGATIVO",IF(OR(AND(TIPOORCAMENTO="Proposto",$AG42&lt;&gt;"",$AG42&gt;0,ORÇAMENTO.CustoUnitario&gt;$AG42),AND(TIPOORCAMENTO="LICITADO",ORÇAMENTO.PrecoUnitarioLicitado&gt;$AN42)),"ACIMA REF.","")))))</f>
        <v/>
      </c>
      <c r="AD42" s="100" t="str">
        <f ca="1">IF(C42&lt;=CRONO.NivelExibicao,MAX($AD$15:OFFSET(AD42,-1,0))+IF($C42&lt;&gt;1,1,MAX(1,COUNTIF(QCI!$A$13:$A$24,OFFSET($E42,-1,0)))),"")</f>
        <v/>
      </c>
      <c r="AE42" s="110" t="b">
        <f ca="1">IF(AND($C42="S",ORÇAMENTO.CodBarra&lt;&gt;""),IF(ORÇAMENTO.Fonte="",ORÇAMENTO.CodBarra,CONCATENATE(ORÇAMENTO.Fonte," ",ORÇAMENTO.CodBarra)))</f>
        <v>0</v>
      </c>
      <c r="AF42" s="155" t="str">
        <f ca="1">IF(ISERROR(INDIRECT(ORÇAMENTO.BancoRef)),"(abra o arquivo 'Referência "&amp;Excel_BuiltIn_Database&amp;".xlsm)",IF(OR($C42&lt;&gt;"S",ORÇAMENTO.CodBarra=""),"(Sem Código)",IF(ISERROR(MATCH($AE42,INDIRECT(ORÇAMENTO.BancoRef),0)),"(Código não identificado nas referências)",MATCH($AE42,INDIRECT(ORÇAMENTO.BancoRef),0))))</f>
        <v>(abra o arquivo 'Referência 11-2024.xlsm)</v>
      </c>
      <c r="AG42" s="574">
        <f ca="1">ROUND(IF(DESONERACAO="sim",REFERENCIA.Desonerado,REFERENCIA.NaoDesonerado),2)</f>
        <v>0</v>
      </c>
      <c r="AH42" s="575">
        <f t="shared" ca="1" si="15"/>
        <v>0.22</v>
      </c>
      <c r="AJ42" s="577"/>
      <c r="AL42" s="607"/>
      <c r="AM42" s="426">
        <f t="shared" ca="1" si="0"/>
        <v>0</v>
      </c>
      <c r="AN42" s="650">
        <f t="shared" ca="1" si="16"/>
        <v>0</v>
      </c>
    </row>
    <row r="43" spans="1:40" ht="13.8" hidden="1">
      <c r="A43" t="str">
        <f t="shared" si="1"/>
        <v>S</v>
      </c>
      <c r="B43">
        <f t="shared" ca="1" si="2"/>
        <v>2</v>
      </c>
      <c r="C43" t="str">
        <f t="shared" ca="1" si="3"/>
        <v>S</v>
      </c>
      <c r="D43">
        <f t="shared" ca="1" si="4"/>
        <v>0</v>
      </c>
      <c r="E43">
        <f ca="1">IF($C43=1,OFFSET(E43,-1,0)+MAX(1,COUNTIF(QCI!$A$13:$A$24,OFFSET(ORÇAMENTO!E43,-1,0))),OFFSET(E43,-1,0))</f>
        <v>1</v>
      </c>
      <c r="F43">
        <f t="shared" ca="1" si="5"/>
        <v>5</v>
      </c>
      <c r="G43">
        <f t="shared" ca="1" si="6"/>
        <v>0</v>
      </c>
      <c r="H43">
        <f t="shared" ca="1" si="7"/>
        <v>0</v>
      </c>
      <c r="I43">
        <f t="shared" ca="1" si="8"/>
        <v>2</v>
      </c>
      <c r="J43">
        <f t="shared" ca="1" si="9"/>
        <v>0</v>
      </c>
      <c r="K43">
        <f ca="1">IF(OR($C43="S",$C43=0),0,MATCH(OFFSET($D43,0,$C43)+IF($C43&lt;&gt;1,1,COUNTIF(QCI!$A$13:$A$24,ORÇAMENTO!E43)),OFFSET($D43,1,$C43,ROW($C$264)-ROW($C43)),0))</f>
        <v>0</v>
      </c>
      <c r="L43" s="139" t="str">
        <f t="shared" ca="1" si="10"/>
        <v/>
      </c>
      <c r="M43" s="140" t="s">
        <v>199</v>
      </c>
      <c r="N43" s="141" t="str">
        <f t="shared" ca="1" si="11"/>
        <v>Serviço</v>
      </c>
      <c r="O43" s="142" t="str">
        <f t="shared" ca="1" si="12"/>
        <v>-</v>
      </c>
      <c r="P43" s="143" t="s">
        <v>247</v>
      </c>
      <c r="Q43" s="144"/>
      <c r="R43" s="145" t="str">
        <f ca="1">IF($C43="S",REFERENCIA.Descricao,"(digite a descrição aqui)")</f>
        <v>(abra o arquivo 'Referência 11-2024.xlsm)</v>
      </c>
      <c r="S43" s="146" t="str">
        <f ca="1">REFERENCIA.Unidade</f>
        <v>-</v>
      </c>
      <c r="T43" s="147">
        <f ca="1">OFFSET(CÁLCULO!H$15,ROW($T43)-ROW(T$15),0)</f>
        <v>0</v>
      </c>
      <c r="U43" s="148"/>
      <c r="V43" s="149" t="s">
        <v>156</v>
      </c>
      <c r="W43" s="147">
        <f ca="1">IF($C43="S",ROUND(IF(TIPOORCAMENTO="Proposto",ORÇAMENTO.CustoUnitario*(1+$AH43),ORÇAMENTO.PrecoUnitarioLicitado),15-13*$AF$10),0)</f>
        <v>0</v>
      </c>
      <c r="X43" s="150">
        <f ca="1">IF($C43="S",IF(Import.TipoArredondamento&lt;&gt;"TransfereGOV",VTOTAL1,SUM(OFFSET(CÁLCULO!$AA$15,ROW($X43)-ROW($X$15),1):OFFSET(CÁLCULO!$AL$15,ROW($X43)-ROW($X$15),-1))),IF($C43=0,0,ROUND(SomaAgrup,15-13*$AF$11)))</f>
        <v>0</v>
      </c>
      <c r="Y43" s="151" t="s">
        <v>245</v>
      </c>
      <c r="Z43" t="str">
        <f t="shared" ca="1" si="13"/>
        <v/>
      </c>
      <c r="AA43" s="152">
        <f ca="1">IF($C43="S",IF($Z43="CP",$X43,IF($Z43="RA",(($X43)*QCI!$AA$3),0)),SomaAgrup)</f>
        <v>0</v>
      </c>
      <c r="AB43" s="153">
        <f t="shared" ca="1" si="14"/>
        <v>0</v>
      </c>
      <c r="AC43" s="154" t="str">
        <f ca="1">IF($N43="","",IF(ORÇAMENTO.Descricao="","DESCRIÇÃO",IF(AND($C43="S",ORÇAMENTO.Unidade=""),"UNIDADE",IF($X43&lt;0,"VALOR NEGATIVO",IF(OR(AND(TIPOORCAMENTO="Proposto",$AG43&lt;&gt;"",$AG43&gt;0,ORÇAMENTO.CustoUnitario&gt;$AG43),AND(TIPOORCAMENTO="LICITADO",ORÇAMENTO.PrecoUnitarioLicitado&gt;$AN43)),"ACIMA REF.","")))))</f>
        <v/>
      </c>
      <c r="AD43" s="100" t="str">
        <f ca="1">IF(C43&lt;=CRONO.NivelExibicao,MAX($AD$15:OFFSET(AD43,-1,0))+IF($C43&lt;&gt;1,1,MAX(1,COUNTIF(QCI!$A$13:$A$24,OFFSET($E43,-1,0)))),"")</f>
        <v/>
      </c>
      <c r="AE43" s="110" t="b">
        <f ca="1">IF(AND($C43="S",ORÇAMENTO.CodBarra&lt;&gt;""),IF(ORÇAMENTO.Fonte="",ORÇAMENTO.CodBarra,CONCATENATE(ORÇAMENTO.Fonte," ",ORÇAMENTO.CodBarra)))</f>
        <v>0</v>
      </c>
      <c r="AF43" s="155" t="str">
        <f ca="1">IF(ISERROR(INDIRECT(ORÇAMENTO.BancoRef)),"(abra o arquivo 'Referência "&amp;Excel_BuiltIn_Database&amp;".xlsm)",IF(OR($C43&lt;&gt;"S",ORÇAMENTO.CodBarra=""),"(Sem Código)",IF(ISERROR(MATCH($AE43,INDIRECT(ORÇAMENTO.BancoRef),0)),"(Código não identificado nas referências)",MATCH($AE43,INDIRECT(ORÇAMENTO.BancoRef),0))))</f>
        <v>(abra o arquivo 'Referência 11-2024.xlsm)</v>
      </c>
      <c r="AG43" s="574">
        <f ca="1">ROUND(IF(DESONERACAO="sim",REFERENCIA.Desonerado,REFERENCIA.NaoDesonerado),2)</f>
        <v>0</v>
      </c>
      <c r="AH43" s="575">
        <f t="shared" ca="1" si="15"/>
        <v>0.22</v>
      </c>
      <c r="AJ43" s="577"/>
      <c r="AL43" s="607"/>
      <c r="AM43" s="426">
        <f t="shared" ca="1" si="0"/>
        <v>0</v>
      </c>
      <c r="AN43" s="650">
        <f t="shared" ca="1" si="16"/>
        <v>0</v>
      </c>
    </row>
    <row r="44" spans="1:40" ht="13.8" hidden="1">
      <c r="A44" t="str">
        <f t="shared" si="1"/>
        <v>S</v>
      </c>
      <c r="B44">
        <f t="shared" ca="1" si="2"/>
        <v>2</v>
      </c>
      <c r="C44" t="str">
        <f t="shared" ca="1" si="3"/>
        <v>S</v>
      </c>
      <c r="D44">
        <f t="shared" ca="1" si="4"/>
        <v>0</v>
      </c>
      <c r="E44">
        <f ca="1">IF($C44=1,OFFSET(E44,-1,0)+MAX(1,COUNTIF(QCI!$A$13:$A$24,OFFSET(ORÇAMENTO!E44,-1,0))),OFFSET(E44,-1,0))</f>
        <v>1</v>
      </c>
      <c r="F44">
        <f t="shared" ca="1" si="5"/>
        <v>5</v>
      </c>
      <c r="G44">
        <f t="shared" ca="1" si="6"/>
        <v>0</v>
      </c>
      <c r="H44">
        <f t="shared" ca="1" si="7"/>
        <v>0</v>
      </c>
      <c r="I44">
        <f t="shared" ca="1" si="8"/>
        <v>2</v>
      </c>
      <c r="J44">
        <f t="shared" ca="1" si="9"/>
        <v>0</v>
      </c>
      <c r="K44">
        <f ca="1">IF(OR($C44="S",$C44=0),0,MATCH(OFFSET($D44,0,$C44)+IF($C44&lt;&gt;1,1,COUNTIF(QCI!$A$13:$A$24,ORÇAMENTO!E44)),OFFSET($D44,1,$C44,ROW($C$264)-ROW($C44)),0))</f>
        <v>0</v>
      </c>
      <c r="L44" s="139" t="str">
        <f t="shared" ca="1" si="10"/>
        <v/>
      </c>
      <c r="M44" s="140" t="s">
        <v>199</v>
      </c>
      <c r="N44" s="141" t="str">
        <f t="shared" ca="1" si="11"/>
        <v>Serviço</v>
      </c>
      <c r="O44" s="142" t="str">
        <f t="shared" ca="1" si="12"/>
        <v>-</v>
      </c>
      <c r="P44" s="143" t="s">
        <v>247</v>
      </c>
      <c r="Q44" s="144"/>
      <c r="R44" s="145" t="str">
        <f ca="1">IF($C44="S",REFERENCIA.Descricao,"(digite a descrição aqui)")</f>
        <v>(abra o arquivo 'Referência 11-2024.xlsm)</v>
      </c>
      <c r="S44" s="146" t="str">
        <f ca="1">REFERENCIA.Unidade</f>
        <v>-</v>
      </c>
      <c r="T44" s="147">
        <f ca="1">OFFSET(CÁLCULO!H$15,ROW($T44)-ROW(T$15),0)</f>
        <v>0</v>
      </c>
      <c r="U44" s="148"/>
      <c r="V44" s="149" t="s">
        <v>156</v>
      </c>
      <c r="W44" s="147">
        <f ca="1">IF($C44="S",ROUND(IF(TIPOORCAMENTO="Proposto",ORÇAMENTO.CustoUnitario*(1+$AH44),ORÇAMENTO.PrecoUnitarioLicitado),15-13*$AF$10),0)</f>
        <v>0</v>
      </c>
      <c r="X44" s="150">
        <f ca="1">IF($C44="S",IF(Import.TipoArredondamento&lt;&gt;"TransfereGOV",VTOTAL1,SUM(OFFSET(CÁLCULO!$AA$15,ROW($X44)-ROW($X$15),1):OFFSET(CÁLCULO!$AL$15,ROW($X44)-ROW($X$15),-1))),IF($C44=0,0,ROUND(SomaAgrup,15-13*$AF$11)))</f>
        <v>0</v>
      </c>
      <c r="Y44" s="151" t="s">
        <v>245</v>
      </c>
      <c r="Z44" t="str">
        <f t="shared" ca="1" si="13"/>
        <v/>
      </c>
      <c r="AA44" s="152">
        <f ca="1">IF($C44="S",IF($Z44="CP",$X44,IF($Z44="RA",(($X44)*QCI!$AA$3),0)),SomaAgrup)</f>
        <v>0</v>
      </c>
      <c r="AB44" s="153">
        <f t="shared" ca="1" si="14"/>
        <v>0</v>
      </c>
      <c r="AC44" s="154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100" t="str">
        <f ca="1">IF(C44&lt;=CRONO.NivelExibicao,MAX($AD$15:OFFSET(AD44,-1,0))+IF($C44&lt;&gt;1,1,MAX(1,COUNTIF(QCI!$A$13:$A$24,OFFSET($E44,-1,0)))),"")</f>
        <v/>
      </c>
      <c r="AE44" s="110" t="b">
        <f ca="1">IF(AND($C44="S",ORÇAMENTO.CodBarra&lt;&gt;""),IF(ORÇAMENTO.Fonte="",ORÇAMENTO.CodBarra,CONCATENATE(ORÇAMENTO.Fonte," ",ORÇAMENTO.CodBarra)))</f>
        <v>0</v>
      </c>
      <c r="AF44" s="155" t="str">
        <f ca="1">IF(ISERROR(INDIRECT(ORÇAMENTO.BancoRef)),"(abra o arquivo 'Referência "&amp;Excel_BuiltIn_Database&amp;".xlsm)",IF(OR($C44&lt;&gt;"S",ORÇAMENTO.CodBarra=""),"(Sem Código)",IF(ISERROR(MATCH($AE44,INDIRECT(ORÇAMENTO.BancoRef),0)),"(Código não identificado nas referências)",MATCH($AE44,INDIRECT(ORÇAMENTO.BancoRef),0))))</f>
        <v>(abra o arquivo 'Referência 11-2024.xlsm)</v>
      </c>
      <c r="AG44" s="574">
        <f ca="1">ROUND(IF(DESONERACAO="sim",REFERENCIA.Desonerado,REFERENCIA.NaoDesonerado),2)</f>
        <v>0</v>
      </c>
      <c r="AH44" s="575">
        <f t="shared" ca="1" si="15"/>
        <v>0.22</v>
      </c>
      <c r="AJ44" s="577"/>
      <c r="AL44" s="607"/>
      <c r="AM44" s="426">
        <f t="shared" ca="1" si="0"/>
        <v>0</v>
      </c>
      <c r="AN44" s="650">
        <f t="shared" ca="1" si="16"/>
        <v>0</v>
      </c>
    </row>
    <row r="45" spans="1:40" ht="13.8" hidden="1">
      <c r="A45" t="str">
        <f t="shared" si="1"/>
        <v>S</v>
      </c>
      <c r="B45">
        <f t="shared" ca="1" si="2"/>
        <v>2</v>
      </c>
      <c r="C45" t="str">
        <f t="shared" ca="1" si="3"/>
        <v>S</v>
      </c>
      <c r="D45">
        <f t="shared" ca="1" si="4"/>
        <v>0</v>
      </c>
      <c r="E45">
        <f ca="1">IF($C45=1,OFFSET(E45,-1,0)+MAX(1,COUNTIF(QCI!$A$13:$A$24,OFFSET(ORÇAMENTO!E45,-1,0))),OFFSET(E45,-1,0))</f>
        <v>1</v>
      </c>
      <c r="F45">
        <f t="shared" ca="1" si="5"/>
        <v>5</v>
      </c>
      <c r="G45">
        <f t="shared" ca="1" si="6"/>
        <v>0</v>
      </c>
      <c r="H45">
        <f t="shared" ca="1" si="7"/>
        <v>0</v>
      </c>
      <c r="I45">
        <f t="shared" ca="1" si="8"/>
        <v>2</v>
      </c>
      <c r="J45">
        <f t="shared" ca="1" si="9"/>
        <v>0</v>
      </c>
      <c r="K45">
        <f ca="1">IF(OR($C45="S",$C45=0),0,MATCH(OFFSET($D45,0,$C45)+IF($C45&lt;&gt;1,1,COUNTIF(QCI!$A$13:$A$24,ORÇAMENTO!E45)),OFFSET($D45,1,$C45,ROW($C$264)-ROW($C45)),0))</f>
        <v>0</v>
      </c>
      <c r="L45" s="139" t="str">
        <f t="shared" ca="1" si="10"/>
        <v/>
      </c>
      <c r="M45" s="140" t="s">
        <v>199</v>
      </c>
      <c r="N45" s="141" t="str">
        <f t="shared" ca="1" si="11"/>
        <v>Serviço</v>
      </c>
      <c r="O45" s="142" t="str">
        <f t="shared" ca="1" si="12"/>
        <v>-</v>
      </c>
      <c r="P45" s="143" t="s">
        <v>247</v>
      </c>
      <c r="Q45" s="144"/>
      <c r="R45" s="145" t="str">
        <f ca="1">IF($C45="S",REFERENCIA.Descricao,"(digite a descrição aqui)")</f>
        <v>(abra o arquivo 'Referência 11-2024.xlsm)</v>
      </c>
      <c r="S45" s="146" t="str">
        <f ca="1">REFERENCIA.Unidade</f>
        <v>-</v>
      </c>
      <c r="T45" s="147">
        <f ca="1">OFFSET(CÁLCULO!H$15,ROW($T45)-ROW(T$15),0)</f>
        <v>0</v>
      </c>
      <c r="U45" s="148"/>
      <c r="V45" s="149" t="s">
        <v>156</v>
      </c>
      <c r="W45" s="147">
        <f ca="1">IF($C45="S",ROUND(IF(TIPOORCAMENTO="Proposto",ORÇAMENTO.CustoUnitario*(1+$AH45),ORÇAMENTO.PrecoUnitarioLicitado),15-13*$AF$10),0)</f>
        <v>0</v>
      </c>
      <c r="X45" s="150">
        <f ca="1">IF($C45="S",IF(Import.TipoArredondamento&lt;&gt;"TransfereGOV",VTOTAL1,SUM(OFFSET(CÁLCULO!$AA$15,ROW($X45)-ROW($X$15),1):OFFSET(CÁLCULO!$AL$15,ROW($X45)-ROW($X$15),-1))),IF($C45=0,0,ROUND(SomaAgrup,15-13*$AF$11)))</f>
        <v>0</v>
      </c>
      <c r="Y45" s="151" t="s">
        <v>245</v>
      </c>
      <c r="Z45" t="str">
        <f t="shared" ca="1" si="13"/>
        <v/>
      </c>
      <c r="AA45" s="152">
        <f ca="1">IF($C45="S",IF($Z45="CP",$X45,IF($Z45="RA",(($X45)*QCI!$AA$3),0)),SomaAgrup)</f>
        <v>0</v>
      </c>
      <c r="AB45" s="153">
        <f t="shared" ca="1" si="14"/>
        <v>0</v>
      </c>
      <c r="AC45" s="154" t="str">
        <f ca="1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 s="100" t="str">
        <f ca="1">IF(C45&lt;=CRONO.NivelExibicao,MAX($AD$15:OFFSET(AD45,-1,0))+IF($C45&lt;&gt;1,1,MAX(1,COUNTIF(QCI!$A$13:$A$24,OFFSET($E45,-1,0)))),"")</f>
        <v/>
      </c>
      <c r="AE45" s="110" t="b">
        <f ca="1">IF(AND($C45="S",ORÇAMENTO.CodBarra&lt;&gt;""),IF(ORÇAMENTO.Fonte="",ORÇAMENTO.CodBarra,CONCATENATE(ORÇAMENTO.Fonte," ",ORÇAMENTO.CodBarra)))</f>
        <v>0</v>
      </c>
      <c r="AF45" s="155" t="str">
        <f ca="1">IF(ISERROR(INDIRECT(ORÇAMENTO.BancoRef)),"(abra o arquivo 'Referência "&amp;Excel_BuiltIn_Database&amp;".xlsm)",IF(OR($C45&lt;&gt;"S",ORÇAMENTO.CodBarra=""),"(Sem Código)",IF(ISERROR(MATCH($AE45,INDIRECT(ORÇAMENTO.BancoRef),0)),"(Código não identificado nas referências)",MATCH($AE45,INDIRECT(ORÇAMENTO.BancoRef),0))))</f>
        <v>(abra o arquivo 'Referência 11-2024.xlsm)</v>
      </c>
      <c r="AG45" s="574">
        <f ca="1">ROUND(IF(DESONERACAO="sim",REFERENCIA.Desonerado,REFERENCIA.NaoDesonerado),2)</f>
        <v>0</v>
      </c>
      <c r="AH45" s="575">
        <f t="shared" ca="1" si="15"/>
        <v>0.22</v>
      </c>
      <c r="AJ45" s="577"/>
      <c r="AL45" s="607"/>
      <c r="AM45" s="426">
        <f t="shared" ca="1" si="0"/>
        <v>0</v>
      </c>
      <c r="AN45" s="650">
        <f t="shared" ca="1" si="16"/>
        <v>0</v>
      </c>
    </row>
    <row r="46" spans="1:40" ht="13.8" hidden="1">
      <c r="A46" t="str">
        <f t="shared" si="1"/>
        <v>S</v>
      </c>
      <c r="B46">
        <f t="shared" ca="1" si="2"/>
        <v>2</v>
      </c>
      <c r="C46" t="str">
        <f t="shared" ca="1" si="3"/>
        <v>S</v>
      </c>
      <c r="D46">
        <f t="shared" ca="1" si="4"/>
        <v>0</v>
      </c>
      <c r="E46">
        <f ca="1">IF($C46=1,OFFSET(E46,-1,0)+MAX(1,COUNTIF(QCI!$A$13:$A$24,OFFSET(ORÇAMENTO!E46,-1,0))),OFFSET(E46,-1,0))</f>
        <v>1</v>
      </c>
      <c r="F46">
        <f t="shared" ca="1" si="5"/>
        <v>5</v>
      </c>
      <c r="G46">
        <f t="shared" ca="1" si="6"/>
        <v>0</v>
      </c>
      <c r="H46">
        <f t="shared" ca="1" si="7"/>
        <v>0</v>
      </c>
      <c r="I46">
        <f t="shared" ca="1" si="8"/>
        <v>2</v>
      </c>
      <c r="J46">
        <f t="shared" ca="1" si="9"/>
        <v>0</v>
      </c>
      <c r="K46">
        <f ca="1">IF(OR($C46="S",$C46=0),0,MATCH(OFFSET($D46,0,$C46)+IF($C46&lt;&gt;1,1,COUNTIF(QCI!$A$13:$A$24,ORÇAMENTO!E46)),OFFSET($D46,1,$C46,ROW($C$264)-ROW($C46)),0))</f>
        <v>0</v>
      </c>
      <c r="L46" s="139" t="str">
        <f t="shared" ca="1" si="10"/>
        <v/>
      </c>
      <c r="M46" s="140" t="s">
        <v>199</v>
      </c>
      <c r="N46" s="141" t="str">
        <f t="shared" ca="1" si="11"/>
        <v>Serviço</v>
      </c>
      <c r="O46" s="142" t="str">
        <f t="shared" ca="1" si="12"/>
        <v>-</v>
      </c>
      <c r="P46" s="143" t="s">
        <v>247</v>
      </c>
      <c r="Q46" s="144"/>
      <c r="R46" s="145" t="str">
        <f ca="1">IF($C46="S",REFERENCIA.Descricao,"(digite a descrição aqui)")</f>
        <v>(abra o arquivo 'Referência 11-2024.xlsm)</v>
      </c>
      <c r="S46" s="146" t="str">
        <f ca="1">REFERENCIA.Unidade</f>
        <v>-</v>
      </c>
      <c r="T46" s="147">
        <f ca="1">OFFSET(CÁLCULO!H$15,ROW($T46)-ROW(T$15),0)</f>
        <v>0</v>
      </c>
      <c r="U46" s="148"/>
      <c r="V46" s="149" t="s">
        <v>156</v>
      </c>
      <c r="W46" s="147">
        <f ca="1">IF($C46="S",ROUND(IF(TIPOORCAMENTO="Proposto",ORÇAMENTO.CustoUnitario*(1+$AH46),ORÇAMENTO.PrecoUnitarioLicitado),15-13*$AF$10),0)</f>
        <v>0</v>
      </c>
      <c r="X46" s="150">
        <f ca="1">IF($C46="S",IF(Import.TipoArredondamento&lt;&gt;"TransfereGOV",VTOTAL1,SUM(OFFSET(CÁLCULO!$AA$15,ROW($X46)-ROW($X$15),1):OFFSET(CÁLCULO!$AL$15,ROW($X46)-ROW($X$15),-1))),IF($C46=0,0,ROUND(SomaAgrup,15-13*$AF$11)))</f>
        <v>0</v>
      </c>
      <c r="Y46" s="151" t="s">
        <v>245</v>
      </c>
      <c r="Z46" t="str">
        <f t="shared" ca="1" si="13"/>
        <v/>
      </c>
      <c r="AA46" s="152">
        <f ca="1">IF($C46="S",IF($Z46="CP",$X46,IF($Z46="RA",(($X46)*QCI!$AA$3),0)),SomaAgrup)</f>
        <v>0</v>
      </c>
      <c r="AB46" s="153">
        <f t="shared" ca="1" si="14"/>
        <v>0</v>
      </c>
      <c r="AC46" s="154" t="str">
        <f ca="1">IF($N46="","",IF(ORÇAMENTO.Descricao="","DESCRIÇÃO",IF(AND($C46="S",ORÇAMENTO.Unidade=""),"UNIDADE",IF($X46&lt;0,"VALOR NEGATIVO",IF(OR(AND(TIPOORCAMENTO="Proposto",$AG46&lt;&gt;"",$AG46&gt;0,ORÇAMENTO.CustoUnitario&gt;$AG46),AND(TIPOORCAMENTO="LICITADO",ORÇAMENTO.PrecoUnitarioLicitado&gt;$AN46)),"ACIMA REF.","")))))</f>
        <v/>
      </c>
      <c r="AD46" s="100" t="str">
        <f ca="1">IF(C46&lt;=CRONO.NivelExibicao,MAX($AD$15:OFFSET(AD46,-1,0))+IF($C46&lt;&gt;1,1,MAX(1,COUNTIF(QCI!$A$13:$A$24,OFFSET($E46,-1,0)))),"")</f>
        <v/>
      </c>
      <c r="AE46" s="110" t="b">
        <f ca="1">IF(AND($C46="S",ORÇAMENTO.CodBarra&lt;&gt;""),IF(ORÇAMENTO.Fonte="",ORÇAMENTO.CodBarra,CONCATENATE(ORÇAMENTO.Fonte," ",ORÇAMENTO.CodBarra)))</f>
        <v>0</v>
      </c>
      <c r="AF46" s="155" t="str">
        <f ca="1">IF(ISERROR(INDIRECT(ORÇAMENTO.BancoRef)),"(abra o arquivo 'Referência "&amp;Excel_BuiltIn_Database&amp;".xlsm)",IF(OR($C46&lt;&gt;"S",ORÇAMENTO.CodBarra=""),"(Sem Código)",IF(ISERROR(MATCH($AE46,INDIRECT(ORÇAMENTO.BancoRef),0)),"(Código não identificado nas referências)",MATCH($AE46,INDIRECT(ORÇAMENTO.BancoRef),0))))</f>
        <v>(abra o arquivo 'Referência 11-2024.xlsm)</v>
      </c>
      <c r="AG46" s="574">
        <f ca="1">ROUND(IF(DESONERACAO="sim",REFERENCIA.Desonerado,REFERENCIA.NaoDesonerado),2)</f>
        <v>0</v>
      </c>
      <c r="AH46" s="575">
        <f t="shared" ca="1" si="15"/>
        <v>0.22</v>
      </c>
      <c r="AJ46" s="577"/>
      <c r="AL46" s="607"/>
      <c r="AM46" s="426">
        <f t="shared" ca="1" si="0"/>
        <v>0</v>
      </c>
      <c r="AN46" s="650">
        <f t="shared" ca="1" si="16"/>
        <v>0</v>
      </c>
    </row>
    <row r="47" spans="1:40" ht="13.8" hidden="1">
      <c r="A47" t="str">
        <f t="shared" si="1"/>
        <v>S</v>
      </c>
      <c r="B47">
        <f t="shared" ca="1" si="2"/>
        <v>2</v>
      </c>
      <c r="C47" t="str">
        <f t="shared" ca="1" si="3"/>
        <v>S</v>
      </c>
      <c r="D47">
        <f t="shared" ca="1" si="4"/>
        <v>0</v>
      </c>
      <c r="E47">
        <f ca="1">IF($C47=1,OFFSET(E47,-1,0)+MAX(1,COUNTIF(QCI!$A$13:$A$24,OFFSET(ORÇAMENTO!E47,-1,0))),OFFSET(E47,-1,0))</f>
        <v>1</v>
      </c>
      <c r="F47">
        <f t="shared" ca="1" si="5"/>
        <v>5</v>
      </c>
      <c r="G47">
        <f t="shared" ca="1" si="6"/>
        <v>0</v>
      </c>
      <c r="H47">
        <f t="shared" ca="1" si="7"/>
        <v>0</v>
      </c>
      <c r="I47">
        <f t="shared" ca="1" si="8"/>
        <v>2</v>
      </c>
      <c r="J47">
        <f t="shared" ref="J47:J77" ca="1" si="32">IF(OR($C47="S",$C47=0),0,MATCH(0,OFFSET($D47,1,$C47,ROW($C$264)-ROW($C47)),0))</f>
        <v>0</v>
      </c>
      <c r="K47">
        <f ca="1">IF(OR($C47="S",$C47=0),0,MATCH(OFFSET($D47,0,$C47)+IF($C47&lt;&gt;1,1,COUNTIF(QCI!$A$13:$A$24,ORÇAMENTO!E47)),OFFSET($D47,1,$C47,ROW($C$264)-ROW($C47)),0))</f>
        <v>0</v>
      </c>
      <c r="L47" s="139" t="str">
        <f t="shared" ca="1" si="10"/>
        <v/>
      </c>
      <c r="M47" s="140" t="s">
        <v>199</v>
      </c>
      <c r="N47" s="141" t="str">
        <f t="shared" ca="1" si="11"/>
        <v>Serviço</v>
      </c>
      <c r="O47" s="142" t="str">
        <f t="shared" ca="1" si="12"/>
        <v>-</v>
      </c>
      <c r="P47" s="143" t="s">
        <v>247</v>
      </c>
      <c r="Q47" s="144"/>
      <c r="R47" s="145" t="str">
        <f ca="1">IF($C47="S",REFERENCIA.Descricao,"(digite a descrição aqui)")</f>
        <v>(abra o arquivo 'Referência 11-2024.xlsm)</v>
      </c>
      <c r="S47" s="146" t="str">
        <f ca="1">REFERENCIA.Unidade</f>
        <v>-</v>
      </c>
      <c r="T47" s="147">
        <f ca="1">OFFSET(CÁLCULO!H$15,ROW($T47)-ROW(T$15),0)</f>
        <v>0</v>
      </c>
      <c r="U47" s="148"/>
      <c r="V47" s="149" t="s">
        <v>156</v>
      </c>
      <c r="W47" s="147">
        <f ca="1">IF($C47="S",ROUND(IF(TIPOORCAMENTO="Proposto",ORÇAMENTO.CustoUnitario*(1+$AH47),ORÇAMENTO.PrecoUnitarioLicitado),15-13*$AF$10),0)</f>
        <v>0</v>
      </c>
      <c r="X47" s="150">
        <f ca="1">IF($C47="S",IF(Import.TipoArredondamento&lt;&gt;"TransfereGOV",VTOTAL1,SUM(OFFSET(CÁLCULO!$AA$15,ROW($X47)-ROW($X$15),1):OFFSET(CÁLCULO!$AL$15,ROW($X47)-ROW($X$15),-1))),IF($C47=0,0,ROUND(SomaAgrup,15-13*$AF$11)))</f>
        <v>0</v>
      </c>
      <c r="Y47" s="151" t="s">
        <v>245</v>
      </c>
      <c r="Z47" t="str">
        <f t="shared" ca="1" si="13"/>
        <v/>
      </c>
      <c r="AA47" s="152">
        <f ca="1">IF($C47="S",IF($Z47="CP",$X47,IF($Z47="RA",(($X47)*QCI!$AA$3),0)),SomaAgrup)</f>
        <v>0</v>
      </c>
      <c r="AB47" s="153">
        <f t="shared" ca="1" si="14"/>
        <v>0</v>
      </c>
      <c r="AC47" s="154" t="str">
        <f ca="1">IF($N47="","",IF(ORÇAMENTO.Descricao="","DESCRIÇÃO",IF(AND($C47="S",ORÇAMENTO.Unidade=""),"UNIDADE",IF($X47&lt;0,"VALOR NEGATIVO",IF(OR(AND(TIPOORCAMENTO="Proposto",$AG47&lt;&gt;"",$AG47&gt;0,ORÇAMENTO.CustoUnitario&gt;$AG47),AND(TIPOORCAMENTO="LICITADO",ORÇAMENTO.PrecoUnitarioLicitado&gt;$AN47)),"ACIMA REF.","")))))</f>
        <v/>
      </c>
      <c r="AD47" s="100" t="str">
        <f ca="1">IF(C47&lt;=CRONO.NivelExibicao,MAX($AD$15:OFFSET(AD47,-1,0))+IF($C47&lt;&gt;1,1,MAX(1,COUNTIF(QCI!$A$13:$A$24,OFFSET($E47,-1,0)))),"")</f>
        <v/>
      </c>
      <c r="AE47" s="110" t="b">
        <f ca="1">IF(AND($C47="S",ORÇAMENTO.CodBarra&lt;&gt;""),IF(ORÇAMENTO.Fonte="",ORÇAMENTO.CodBarra,CONCATENATE(ORÇAMENTO.Fonte," ",ORÇAMENTO.CodBarra)))</f>
        <v>0</v>
      </c>
      <c r="AF47" s="155" t="str">
        <f ca="1">IF(ISERROR(INDIRECT(ORÇAMENTO.BancoRef)),"(abra o arquivo 'Referência "&amp;Excel_BuiltIn_Database&amp;".xlsm)",IF(OR($C47&lt;&gt;"S",ORÇAMENTO.CodBarra=""),"(Sem Código)",IF(ISERROR(MATCH($AE47,INDIRECT(ORÇAMENTO.BancoRef),0)),"(Código não identificado nas referências)",MATCH($AE47,INDIRECT(ORÇAMENTO.BancoRef),0))))</f>
        <v>(abra o arquivo 'Referência 11-2024.xlsm)</v>
      </c>
      <c r="AG47" s="574">
        <f ca="1">ROUND(IF(DESONERACAO="sim",REFERENCIA.Desonerado,REFERENCIA.NaoDesonerado),2)</f>
        <v>0</v>
      </c>
      <c r="AH47" s="575">
        <f t="shared" ca="1" si="15"/>
        <v>0.22</v>
      </c>
      <c r="AJ47" s="577"/>
      <c r="AL47" s="607"/>
      <c r="AM47" s="426">
        <f t="shared" ca="1" si="0"/>
        <v>0</v>
      </c>
      <c r="AN47" s="650">
        <f t="shared" ca="1" si="16"/>
        <v>0</v>
      </c>
    </row>
    <row r="48" spans="1:40" ht="13.8" hidden="1">
      <c r="A48" t="str">
        <f t="shared" si="1"/>
        <v>S</v>
      </c>
      <c r="B48">
        <f t="shared" ca="1" si="2"/>
        <v>2</v>
      </c>
      <c r="C48" t="str">
        <f t="shared" ca="1" si="3"/>
        <v>S</v>
      </c>
      <c r="D48">
        <f t="shared" ca="1" si="4"/>
        <v>0</v>
      </c>
      <c r="E48">
        <f ca="1">IF($C48=1,OFFSET(E48,-1,0)+MAX(1,COUNTIF(QCI!$A$13:$A$24,OFFSET(ORÇAMENTO!E48,-1,0))),OFFSET(E48,-1,0))</f>
        <v>1</v>
      </c>
      <c r="F48">
        <f t="shared" ca="1" si="5"/>
        <v>5</v>
      </c>
      <c r="G48">
        <f t="shared" ca="1" si="6"/>
        <v>0</v>
      </c>
      <c r="H48">
        <f t="shared" ca="1" si="7"/>
        <v>0</v>
      </c>
      <c r="I48">
        <f t="shared" ca="1" si="8"/>
        <v>2</v>
      </c>
      <c r="J48">
        <f t="shared" ca="1" si="32"/>
        <v>0</v>
      </c>
      <c r="K48">
        <f ca="1">IF(OR($C48="S",$C48=0),0,MATCH(OFFSET($D48,0,$C48)+IF($C48&lt;&gt;1,1,COUNTIF(QCI!$A$13:$A$24,ORÇAMENTO!E48)),OFFSET($D48,1,$C48,ROW($C$264)-ROW($C48)),0))</f>
        <v>0</v>
      </c>
      <c r="L48" s="139" t="str">
        <f t="shared" ca="1" si="10"/>
        <v/>
      </c>
      <c r="M48" s="140" t="s">
        <v>199</v>
      </c>
      <c r="N48" s="141" t="str">
        <f t="shared" ca="1" si="11"/>
        <v>Serviço</v>
      </c>
      <c r="O48" s="142" t="str">
        <f t="shared" ca="1" si="12"/>
        <v>-</v>
      </c>
      <c r="P48" s="143" t="s">
        <v>247</v>
      </c>
      <c r="Q48" s="144"/>
      <c r="R48" s="145" t="str">
        <f ca="1">IF($C48="S",REFERENCIA.Descricao,"(digite a descrição aqui)")</f>
        <v>(abra o arquivo 'Referência 11-2024.xlsm)</v>
      </c>
      <c r="S48" s="146" t="str">
        <f ca="1">REFERENCIA.Unidade</f>
        <v>-</v>
      </c>
      <c r="T48" s="147">
        <f ca="1">OFFSET(CÁLCULO!H$15,ROW($T48)-ROW(T$15),0)</f>
        <v>0</v>
      </c>
      <c r="U48" s="148"/>
      <c r="V48" s="149" t="s">
        <v>156</v>
      </c>
      <c r="W48" s="147">
        <f ca="1">IF($C48="S",ROUND(IF(TIPOORCAMENTO="Proposto",ORÇAMENTO.CustoUnitario*(1+$AH48),ORÇAMENTO.PrecoUnitarioLicitado),15-13*$AF$10),0)</f>
        <v>0</v>
      </c>
      <c r="X48" s="150">
        <f ca="1">IF($C48="S",IF(Import.TipoArredondamento&lt;&gt;"TransfereGOV",VTOTAL1,SUM(OFFSET(CÁLCULO!$AA$15,ROW($X48)-ROW($X$15),1):OFFSET(CÁLCULO!$AL$15,ROW($X48)-ROW($X$15),-1))),IF($C48=0,0,ROUND(SomaAgrup,15-13*$AF$11)))</f>
        <v>0</v>
      </c>
      <c r="Y48" s="151" t="s">
        <v>245</v>
      </c>
      <c r="Z48" t="str">
        <f t="shared" ca="1" si="13"/>
        <v/>
      </c>
      <c r="AA48" s="152">
        <f ca="1">IF($C48="S",IF($Z48="CP",$X48,IF($Z48="RA",(($X48)*QCI!$AA$3),0)),SomaAgrup)</f>
        <v>0</v>
      </c>
      <c r="AB48" s="153">
        <f t="shared" ca="1" si="14"/>
        <v>0</v>
      </c>
      <c r="AC48" s="154" t="str">
        <f ca="1">IF($N48="","",IF(ORÇAMENTO.Descricao="","DESCRIÇÃO",IF(AND($C48="S",ORÇAMENTO.Unidade=""),"UNIDADE",IF($X48&lt;0,"VALOR NEGATIVO",IF(OR(AND(TIPOORCAMENTO="Proposto",$AG48&lt;&gt;"",$AG48&gt;0,ORÇAMENTO.CustoUnitario&gt;$AG48),AND(TIPOORCAMENTO="LICITADO",ORÇAMENTO.PrecoUnitarioLicitado&gt;$AN48)),"ACIMA REF.","")))))</f>
        <v/>
      </c>
      <c r="AD48" s="100" t="str">
        <f ca="1">IF(C48&lt;=CRONO.NivelExibicao,MAX($AD$15:OFFSET(AD48,-1,0))+IF($C48&lt;&gt;1,1,MAX(1,COUNTIF(QCI!$A$13:$A$24,OFFSET($E48,-1,0)))),"")</f>
        <v/>
      </c>
      <c r="AE48" s="110" t="b">
        <f ca="1">IF(AND($C48="S",ORÇAMENTO.CodBarra&lt;&gt;""),IF(ORÇAMENTO.Fonte="",ORÇAMENTO.CodBarra,CONCATENATE(ORÇAMENTO.Fonte," ",ORÇAMENTO.CodBarra)))</f>
        <v>0</v>
      </c>
      <c r="AF48" s="155" t="str">
        <f ca="1">IF(ISERROR(INDIRECT(ORÇAMENTO.BancoRef)),"(abra o arquivo 'Referência "&amp;Excel_BuiltIn_Database&amp;".xlsm)",IF(OR($C48&lt;&gt;"S",ORÇAMENTO.CodBarra=""),"(Sem Código)",IF(ISERROR(MATCH($AE48,INDIRECT(ORÇAMENTO.BancoRef),0)),"(Código não identificado nas referências)",MATCH($AE48,INDIRECT(ORÇAMENTO.BancoRef),0))))</f>
        <v>(abra o arquivo 'Referência 11-2024.xlsm)</v>
      </c>
      <c r="AG48" s="574">
        <f ca="1">ROUND(IF(DESONERACAO="sim",REFERENCIA.Desonerado,REFERENCIA.NaoDesonerado),2)</f>
        <v>0</v>
      </c>
      <c r="AH48" s="575">
        <f t="shared" ca="1" si="15"/>
        <v>0.22</v>
      </c>
      <c r="AJ48" s="577"/>
      <c r="AL48" s="607"/>
      <c r="AM48" s="426">
        <f t="shared" ca="1" si="0"/>
        <v>0</v>
      </c>
      <c r="AN48" s="650">
        <f t="shared" ca="1" si="16"/>
        <v>0</v>
      </c>
    </row>
    <row r="49" spans="1:40" ht="13.8" hidden="1">
      <c r="A49" t="str">
        <f t="shared" si="1"/>
        <v>S</v>
      </c>
      <c r="B49">
        <f t="shared" ca="1" si="2"/>
        <v>2</v>
      </c>
      <c r="C49" t="str">
        <f t="shared" ca="1" si="3"/>
        <v>S</v>
      </c>
      <c r="D49">
        <f t="shared" ca="1" si="4"/>
        <v>0</v>
      </c>
      <c r="E49">
        <f ca="1">IF($C49=1,OFFSET(E49,-1,0)+MAX(1,COUNTIF(QCI!$A$13:$A$24,OFFSET(ORÇAMENTO!E49,-1,0))),OFFSET(E49,-1,0))</f>
        <v>1</v>
      </c>
      <c r="F49">
        <f t="shared" ca="1" si="5"/>
        <v>5</v>
      </c>
      <c r="G49">
        <f t="shared" ca="1" si="6"/>
        <v>0</v>
      </c>
      <c r="H49">
        <f t="shared" ca="1" si="7"/>
        <v>0</v>
      </c>
      <c r="I49">
        <f t="shared" ca="1" si="8"/>
        <v>2</v>
      </c>
      <c r="J49">
        <f t="shared" ca="1" si="32"/>
        <v>0</v>
      </c>
      <c r="K49">
        <f ca="1">IF(OR($C49="S",$C49=0),0,MATCH(OFFSET($D49,0,$C49)+IF($C49&lt;&gt;1,1,COUNTIF(QCI!$A$13:$A$24,ORÇAMENTO!E49)),OFFSET($D49,1,$C49,ROW($C$264)-ROW($C49)),0))</f>
        <v>0</v>
      </c>
      <c r="L49" s="139" t="str">
        <f t="shared" ca="1" si="10"/>
        <v/>
      </c>
      <c r="M49" s="140" t="s">
        <v>199</v>
      </c>
      <c r="N49" s="141" t="str">
        <f t="shared" ca="1" si="11"/>
        <v>Serviço</v>
      </c>
      <c r="O49" s="142" t="str">
        <f t="shared" ca="1" si="12"/>
        <v>-</v>
      </c>
      <c r="P49" s="143" t="s">
        <v>247</v>
      </c>
      <c r="Q49" s="144"/>
      <c r="R49" s="145" t="str">
        <f ca="1">IF($C49="S",REFERENCIA.Descricao,"(digite a descrição aqui)")</f>
        <v>(abra o arquivo 'Referência 11-2024.xlsm)</v>
      </c>
      <c r="S49" s="146" t="str">
        <f ca="1">REFERENCIA.Unidade</f>
        <v>-</v>
      </c>
      <c r="T49" s="147">
        <f ca="1">OFFSET(CÁLCULO!H$15,ROW($T49)-ROW(T$15),0)</f>
        <v>0</v>
      </c>
      <c r="U49" s="148"/>
      <c r="V49" s="149" t="s">
        <v>156</v>
      </c>
      <c r="W49" s="147">
        <f ca="1">IF($C49="S",ROUND(IF(TIPOORCAMENTO="Proposto",ORÇAMENTO.CustoUnitario*(1+$AH49),ORÇAMENTO.PrecoUnitarioLicitado),15-13*$AF$10),0)</f>
        <v>0</v>
      </c>
      <c r="X49" s="150">
        <f ca="1">IF($C49="S",IF(Import.TipoArredondamento&lt;&gt;"TransfereGOV",VTOTAL1,SUM(OFFSET(CÁLCULO!$AA$15,ROW($X49)-ROW($X$15),1):OFFSET(CÁLCULO!$AL$15,ROW($X49)-ROW($X$15),-1))),IF($C49=0,0,ROUND(SomaAgrup,15-13*$AF$11)))</f>
        <v>0</v>
      </c>
      <c r="Y49" s="151" t="s">
        <v>245</v>
      </c>
      <c r="Z49" t="str">
        <f t="shared" ca="1" si="13"/>
        <v/>
      </c>
      <c r="AA49" s="152">
        <f ca="1">IF($C49="S",IF($Z49="CP",$X49,IF($Z49="RA",(($X49)*QCI!$AA$3),0)),SomaAgrup)</f>
        <v>0</v>
      </c>
      <c r="AB49" s="153">
        <f t="shared" ca="1" si="14"/>
        <v>0</v>
      </c>
      <c r="AC49" s="154" t="str">
        <f ca="1">IF($N49="","",IF(ORÇAMENTO.Descricao="","DESCRIÇÃO",IF(AND($C49="S",ORÇAMENTO.Unidade=""),"UNIDADE",IF($X49&lt;0,"VALOR NEGATIVO",IF(OR(AND(TIPOORCAMENTO="Proposto",$AG49&lt;&gt;"",$AG49&gt;0,ORÇAMENTO.CustoUnitario&gt;$AG49),AND(TIPOORCAMENTO="LICITADO",ORÇAMENTO.PrecoUnitarioLicitado&gt;$AN49)),"ACIMA REF.","")))))</f>
        <v/>
      </c>
      <c r="AD49" s="100" t="str">
        <f ca="1">IF(C49&lt;=CRONO.NivelExibicao,MAX($AD$15:OFFSET(AD49,-1,0))+IF($C49&lt;&gt;1,1,MAX(1,COUNTIF(QCI!$A$13:$A$24,OFFSET($E49,-1,0)))),"")</f>
        <v/>
      </c>
      <c r="AE49" s="110" t="b">
        <f ca="1">IF(AND($C49="S",ORÇAMENTO.CodBarra&lt;&gt;""),IF(ORÇAMENTO.Fonte="",ORÇAMENTO.CodBarra,CONCATENATE(ORÇAMENTO.Fonte," ",ORÇAMENTO.CodBarra)))</f>
        <v>0</v>
      </c>
      <c r="AF49" s="155" t="str">
        <f ca="1">IF(ISERROR(INDIRECT(ORÇAMENTO.BancoRef)),"(abra o arquivo 'Referência "&amp;Excel_BuiltIn_Database&amp;".xlsm)",IF(OR($C49&lt;&gt;"S",ORÇAMENTO.CodBarra=""),"(Sem Código)",IF(ISERROR(MATCH($AE49,INDIRECT(ORÇAMENTO.BancoRef),0)),"(Código não identificado nas referências)",MATCH($AE49,INDIRECT(ORÇAMENTO.BancoRef),0))))</f>
        <v>(abra o arquivo 'Referência 11-2024.xlsm)</v>
      </c>
      <c r="AG49" s="574">
        <f ca="1">ROUND(IF(DESONERACAO="sim",REFERENCIA.Desonerado,REFERENCIA.NaoDesonerado),2)</f>
        <v>0</v>
      </c>
      <c r="AH49" s="575">
        <f t="shared" ca="1" si="15"/>
        <v>0.22</v>
      </c>
      <c r="AJ49" s="577"/>
      <c r="AL49" s="607"/>
      <c r="AM49" s="426">
        <f t="shared" ca="1" si="0"/>
        <v>0</v>
      </c>
      <c r="AN49" s="650">
        <f t="shared" ca="1" si="16"/>
        <v>0</v>
      </c>
    </row>
    <row r="50" spans="1:40" ht="13.8" hidden="1">
      <c r="A50" t="str">
        <f t="shared" si="1"/>
        <v>S</v>
      </c>
      <c r="B50">
        <f t="shared" ca="1" si="2"/>
        <v>2</v>
      </c>
      <c r="C50" t="str">
        <f t="shared" ca="1" si="3"/>
        <v>S</v>
      </c>
      <c r="D50">
        <f t="shared" ca="1" si="4"/>
        <v>0</v>
      </c>
      <c r="E50">
        <f ca="1">IF($C50=1,OFFSET(E50,-1,0)+MAX(1,COUNTIF(QCI!$A$13:$A$24,OFFSET(ORÇAMENTO!E50,-1,0))),OFFSET(E50,-1,0))</f>
        <v>1</v>
      </c>
      <c r="F50">
        <f t="shared" ca="1" si="5"/>
        <v>5</v>
      </c>
      <c r="G50">
        <f t="shared" ca="1" si="6"/>
        <v>0</v>
      </c>
      <c r="H50">
        <f t="shared" ca="1" si="7"/>
        <v>0</v>
      </c>
      <c r="I50">
        <f t="shared" ca="1" si="8"/>
        <v>2</v>
      </c>
      <c r="J50">
        <f t="shared" ca="1" si="32"/>
        <v>0</v>
      </c>
      <c r="K50">
        <f ca="1">IF(OR($C50="S",$C50=0),0,MATCH(OFFSET($D50,0,$C50)+IF($C50&lt;&gt;1,1,COUNTIF(QCI!$A$13:$A$24,ORÇAMENTO!E50)),OFFSET($D50,1,$C50,ROW($C$264)-ROW($C50)),0))</f>
        <v>0</v>
      </c>
      <c r="L50" s="139" t="str">
        <f t="shared" ca="1" si="10"/>
        <v/>
      </c>
      <c r="M50" s="140" t="s">
        <v>199</v>
      </c>
      <c r="N50" s="141" t="str">
        <f t="shared" ca="1" si="11"/>
        <v>Serviço</v>
      </c>
      <c r="O50" s="142" t="str">
        <f t="shared" ca="1" si="12"/>
        <v>-</v>
      </c>
      <c r="P50" s="143" t="s">
        <v>247</v>
      </c>
      <c r="Q50" s="144"/>
      <c r="R50" s="145" t="str">
        <f ca="1">IF($C50="S",REFERENCIA.Descricao,"(digite a descrição aqui)")</f>
        <v>(abra o arquivo 'Referência 11-2024.xlsm)</v>
      </c>
      <c r="S50" s="146" t="str">
        <f ca="1">REFERENCIA.Unidade</f>
        <v>-</v>
      </c>
      <c r="T50" s="147">
        <f ca="1">OFFSET(CÁLCULO!H$15,ROW($T50)-ROW(T$15),0)</f>
        <v>0</v>
      </c>
      <c r="U50" s="148"/>
      <c r="V50" s="149" t="s">
        <v>156</v>
      </c>
      <c r="W50" s="147">
        <f ca="1">IF($C50="S",ROUND(IF(TIPOORCAMENTO="Proposto",ORÇAMENTO.CustoUnitario*(1+$AH50),ORÇAMENTO.PrecoUnitarioLicitado),15-13*$AF$10),0)</f>
        <v>0</v>
      </c>
      <c r="X50" s="150">
        <f ca="1">IF($C50="S",IF(Import.TipoArredondamento&lt;&gt;"TransfereGOV",VTOTAL1,SUM(OFFSET(CÁLCULO!$AA$15,ROW($X50)-ROW($X$15),1):OFFSET(CÁLCULO!$AL$15,ROW($X50)-ROW($X$15),-1))),IF($C50=0,0,ROUND(SomaAgrup,15-13*$AF$11)))</f>
        <v>0</v>
      </c>
      <c r="Y50" s="151" t="s">
        <v>245</v>
      </c>
      <c r="Z50" t="str">
        <f t="shared" ca="1" si="13"/>
        <v/>
      </c>
      <c r="AA50" s="152">
        <f ca="1">IF($C50="S",IF($Z50="CP",$X50,IF($Z50="RA",(($X50)*QCI!$AA$3),0)),SomaAgrup)</f>
        <v>0</v>
      </c>
      <c r="AB50" s="153">
        <f t="shared" ca="1" si="14"/>
        <v>0</v>
      </c>
      <c r="AC50" s="154" t="str">
        <f ca="1">IF($N50="","",IF(ORÇAMENTO.Descricao="","DESCRIÇÃO",IF(AND($C50="S",ORÇAMENTO.Unidade=""),"UNIDADE",IF($X50&lt;0,"VALOR NEGATIVO",IF(OR(AND(TIPOORCAMENTO="Proposto",$AG50&lt;&gt;"",$AG50&gt;0,ORÇAMENTO.CustoUnitario&gt;$AG50),AND(TIPOORCAMENTO="LICITADO",ORÇAMENTO.PrecoUnitarioLicitado&gt;$AN50)),"ACIMA REF.","")))))</f>
        <v/>
      </c>
      <c r="AD50" s="100" t="str">
        <f ca="1">IF(C50&lt;=CRONO.NivelExibicao,MAX($AD$15:OFFSET(AD50,-1,0))+IF($C50&lt;&gt;1,1,MAX(1,COUNTIF(QCI!$A$13:$A$24,OFFSET($E50,-1,0)))),"")</f>
        <v/>
      </c>
      <c r="AE50" s="110" t="b">
        <f ca="1">IF(AND($C50="S",ORÇAMENTO.CodBarra&lt;&gt;""),IF(ORÇAMENTO.Fonte="",ORÇAMENTO.CodBarra,CONCATENATE(ORÇAMENTO.Fonte," ",ORÇAMENTO.CodBarra)))</f>
        <v>0</v>
      </c>
      <c r="AF50" s="155" t="str">
        <f ca="1">IF(ISERROR(INDIRECT(ORÇAMENTO.BancoRef)),"(abra o arquivo 'Referência "&amp;Excel_BuiltIn_Database&amp;".xlsm)",IF(OR($C50&lt;&gt;"S",ORÇAMENTO.CodBarra=""),"(Sem Código)",IF(ISERROR(MATCH($AE50,INDIRECT(ORÇAMENTO.BancoRef),0)),"(Código não identificado nas referências)",MATCH($AE50,INDIRECT(ORÇAMENTO.BancoRef),0))))</f>
        <v>(abra o arquivo 'Referência 11-2024.xlsm)</v>
      </c>
      <c r="AG50" s="574">
        <f ca="1">ROUND(IF(DESONERACAO="sim",REFERENCIA.Desonerado,REFERENCIA.NaoDesonerado),2)</f>
        <v>0</v>
      </c>
      <c r="AH50" s="575">
        <f t="shared" ca="1" si="15"/>
        <v>0.22</v>
      </c>
      <c r="AJ50" s="577"/>
      <c r="AL50" s="607"/>
      <c r="AM50" s="426">
        <f t="shared" ca="1" si="0"/>
        <v>0</v>
      </c>
      <c r="AN50" s="650">
        <f t="shared" ca="1" si="16"/>
        <v>0</v>
      </c>
    </row>
    <row r="51" spans="1:40" ht="13.8" hidden="1">
      <c r="A51" t="str">
        <f t="shared" si="1"/>
        <v>S</v>
      </c>
      <c r="B51">
        <f t="shared" ca="1" si="2"/>
        <v>2</v>
      </c>
      <c r="C51" t="str">
        <f t="shared" ca="1" si="3"/>
        <v>S</v>
      </c>
      <c r="D51">
        <f t="shared" ca="1" si="4"/>
        <v>0</v>
      </c>
      <c r="E51">
        <f ca="1">IF($C51=1,OFFSET(E51,-1,0)+MAX(1,COUNTIF(QCI!$A$13:$A$24,OFFSET(ORÇAMENTO!E51,-1,0))),OFFSET(E51,-1,0))</f>
        <v>1</v>
      </c>
      <c r="F51">
        <f t="shared" ca="1" si="5"/>
        <v>5</v>
      </c>
      <c r="G51">
        <f t="shared" ca="1" si="6"/>
        <v>0</v>
      </c>
      <c r="H51">
        <f t="shared" ca="1" si="7"/>
        <v>0</v>
      </c>
      <c r="I51">
        <f t="shared" ca="1" si="8"/>
        <v>2</v>
      </c>
      <c r="J51">
        <f t="shared" ca="1" si="32"/>
        <v>0</v>
      </c>
      <c r="K51">
        <f ca="1">IF(OR($C51="S",$C51=0),0,MATCH(OFFSET($D51,0,$C51)+IF($C51&lt;&gt;1,1,COUNTIF(QCI!$A$13:$A$24,ORÇAMENTO!E51)),OFFSET($D51,1,$C51,ROW($C$264)-ROW($C51)),0))</f>
        <v>0</v>
      </c>
      <c r="L51" s="139" t="str">
        <f t="shared" ca="1" si="10"/>
        <v/>
      </c>
      <c r="M51" s="140" t="s">
        <v>199</v>
      </c>
      <c r="N51" s="141" t="str">
        <f t="shared" ca="1" si="11"/>
        <v>Serviço</v>
      </c>
      <c r="O51" s="142" t="str">
        <f t="shared" ca="1" si="12"/>
        <v>-</v>
      </c>
      <c r="P51" s="143" t="s">
        <v>247</v>
      </c>
      <c r="Q51" s="144"/>
      <c r="R51" s="145" t="str">
        <f ca="1">IF($C51="S",REFERENCIA.Descricao,"(digite a descrição aqui)")</f>
        <v>(abra o arquivo 'Referência 11-2024.xlsm)</v>
      </c>
      <c r="S51" s="146" t="str">
        <f ca="1">REFERENCIA.Unidade</f>
        <v>-</v>
      </c>
      <c r="T51" s="147">
        <f ca="1">OFFSET(CÁLCULO!H$15,ROW($T51)-ROW(T$15),0)</f>
        <v>0</v>
      </c>
      <c r="U51" s="148"/>
      <c r="V51" s="149" t="s">
        <v>156</v>
      </c>
      <c r="W51" s="147">
        <f ca="1">IF($C51="S",ROUND(IF(TIPOORCAMENTO="Proposto",ORÇAMENTO.CustoUnitario*(1+$AH51),ORÇAMENTO.PrecoUnitarioLicitado),15-13*$AF$10),0)</f>
        <v>0</v>
      </c>
      <c r="X51" s="150">
        <f ca="1">IF($C51="S",IF(Import.TipoArredondamento&lt;&gt;"TransfereGOV",VTOTAL1,SUM(OFFSET(CÁLCULO!$AA$15,ROW($X51)-ROW($X$15),1):OFFSET(CÁLCULO!$AL$15,ROW($X51)-ROW($X$15),-1))),IF($C51=0,0,ROUND(SomaAgrup,15-13*$AF$11)))</f>
        <v>0</v>
      </c>
      <c r="Y51" s="151" t="s">
        <v>245</v>
      </c>
      <c r="Z51" t="str">
        <f t="shared" ca="1" si="13"/>
        <v/>
      </c>
      <c r="AA51" s="152">
        <f ca="1">IF($C51="S",IF($Z51="CP",$X51,IF($Z51="RA",(($X51)*QCI!$AA$3),0)),SomaAgrup)</f>
        <v>0</v>
      </c>
      <c r="AB51" s="153">
        <f t="shared" ca="1" si="14"/>
        <v>0</v>
      </c>
      <c r="AC51" s="154" t="str">
        <f ca="1">IF($N51="","",IF(ORÇAMENTO.Descricao="","DESCRIÇÃO",IF(AND($C51="S",ORÇAMENTO.Unidade=""),"UNIDADE",IF($X51&lt;0,"VALOR NEGATIVO",IF(OR(AND(TIPOORCAMENTO="Proposto",$AG51&lt;&gt;"",$AG51&gt;0,ORÇAMENTO.CustoUnitario&gt;$AG51),AND(TIPOORCAMENTO="LICITADO",ORÇAMENTO.PrecoUnitarioLicitado&gt;$AN51)),"ACIMA REF.","")))))</f>
        <v/>
      </c>
      <c r="AD51" s="100" t="str">
        <f ca="1">IF(C51&lt;=CRONO.NivelExibicao,MAX($AD$15:OFFSET(AD51,-1,0))+IF($C51&lt;&gt;1,1,MAX(1,COUNTIF(QCI!$A$13:$A$24,OFFSET($E51,-1,0)))),"")</f>
        <v/>
      </c>
      <c r="AE51" s="110" t="b">
        <f ca="1">IF(AND($C51="S",ORÇAMENTO.CodBarra&lt;&gt;""),IF(ORÇAMENTO.Fonte="",ORÇAMENTO.CodBarra,CONCATENATE(ORÇAMENTO.Fonte," ",ORÇAMENTO.CodBarra)))</f>
        <v>0</v>
      </c>
      <c r="AF51" s="155" t="str">
        <f ca="1">IF(ISERROR(INDIRECT(ORÇAMENTO.BancoRef)),"(abra o arquivo 'Referência "&amp;Excel_BuiltIn_Database&amp;".xlsm)",IF(OR($C51&lt;&gt;"S",ORÇAMENTO.CodBarra=""),"(Sem Código)",IF(ISERROR(MATCH($AE51,INDIRECT(ORÇAMENTO.BancoRef),0)),"(Código não identificado nas referências)",MATCH($AE51,INDIRECT(ORÇAMENTO.BancoRef),0))))</f>
        <v>(abra o arquivo 'Referência 11-2024.xlsm)</v>
      </c>
      <c r="AG51" s="574">
        <f ca="1">ROUND(IF(DESONERACAO="sim",REFERENCIA.Desonerado,REFERENCIA.NaoDesonerado),2)</f>
        <v>0</v>
      </c>
      <c r="AH51" s="575">
        <f t="shared" ca="1" si="15"/>
        <v>0.22</v>
      </c>
      <c r="AJ51" s="577"/>
      <c r="AL51" s="607"/>
      <c r="AM51" s="426">
        <f t="shared" ca="1" si="0"/>
        <v>0</v>
      </c>
      <c r="AN51" s="650">
        <f t="shared" ca="1" si="16"/>
        <v>0</v>
      </c>
    </row>
    <row r="52" spans="1:40" ht="13.8" hidden="1">
      <c r="A52" t="str">
        <f t="shared" si="1"/>
        <v>S</v>
      </c>
      <c r="B52">
        <f t="shared" ca="1" si="2"/>
        <v>2</v>
      </c>
      <c r="C52" t="str">
        <f t="shared" ca="1" si="3"/>
        <v>S</v>
      </c>
      <c r="D52">
        <f t="shared" ca="1" si="4"/>
        <v>0</v>
      </c>
      <c r="E52">
        <f ca="1">IF($C52=1,OFFSET(E52,-1,0)+MAX(1,COUNTIF(QCI!$A$13:$A$24,OFFSET(ORÇAMENTO!E52,-1,0))),OFFSET(E52,-1,0))</f>
        <v>1</v>
      </c>
      <c r="F52">
        <f t="shared" ca="1" si="5"/>
        <v>5</v>
      </c>
      <c r="G52">
        <f t="shared" ca="1" si="6"/>
        <v>0</v>
      </c>
      <c r="H52">
        <f t="shared" ca="1" si="7"/>
        <v>0</v>
      </c>
      <c r="I52">
        <f t="shared" ca="1" si="8"/>
        <v>2</v>
      </c>
      <c r="J52">
        <f t="shared" ca="1" si="32"/>
        <v>0</v>
      </c>
      <c r="K52">
        <f ca="1">IF(OR($C52="S",$C52=0),0,MATCH(OFFSET($D52,0,$C52)+IF($C52&lt;&gt;1,1,COUNTIF(QCI!$A$13:$A$24,ORÇAMENTO!E52)),OFFSET($D52,1,$C52,ROW($C$264)-ROW($C52)),0))</f>
        <v>0</v>
      </c>
      <c r="L52" s="139" t="str">
        <f t="shared" ca="1" si="10"/>
        <v/>
      </c>
      <c r="M52" s="140" t="s">
        <v>199</v>
      </c>
      <c r="N52" s="141" t="str">
        <f t="shared" ca="1" si="11"/>
        <v>Serviço</v>
      </c>
      <c r="O52" s="142" t="str">
        <f t="shared" ca="1" si="12"/>
        <v>-</v>
      </c>
      <c r="P52" s="143" t="s">
        <v>247</v>
      </c>
      <c r="Q52" s="144"/>
      <c r="R52" s="145" t="str">
        <f ca="1">IF($C52="S",REFERENCIA.Descricao,"(digite a descrição aqui)")</f>
        <v>(abra o arquivo 'Referência 11-2024.xlsm)</v>
      </c>
      <c r="S52" s="146" t="str">
        <f ca="1">REFERENCIA.Unidade</f>
        <v>-</v>
      </c>
      <c r="T52" s="147">
        <f ca="1">OFFSET(CÁLCULO!H$15,ROW($T52)-ROW(T$15),0)</f>
        <v>0</v>
      </c>
      <c r="U52" s="148"/>
      <c r="V52" s="149" t="s">
        <v>156</v>
      </c>
      <c r="W52" s="147">
        <f ca="1">IF($C52="S",ROUND(IF(TIPOORCAMENTO="Proposto",ORÇAMENTO.CustoUnitario*(1+$AH52),ORÇAMENTO.PrecoUnitarioLicitado),15-13*$AF$10),0)</f>
        <v>0</v>
      </c>
      <c r="X52" s="150">
        <f ca="1">IF($C52="S",IF(Import.TipoArredondamento&lt;&gt;"TransfereGOV",VTOTAL1,SUM(OFFSET(CÁLCULO!$AA$15,ROW($X52)-ROW($X$15),1):OFFSET(CÁLCULO!$AL$15,ROW($X52)-ROW($X$15),-1))),IF($C52=0,0,ROUND(SomaAgrup,15-13*$AF$11)))</f>
        <v>0</v>
      </c>
      <c r="Y52" s="151" t="s">
        <v>245</v>
      </c>
      <c r="Z52" t="str">
        <f t="shared" ca="1" si="13"/>
        <v/>
      </c>
      <c r="AA52" s="152">
        <f ca="1">IF($C52="S",IF($Z52="CP",$X52,IF($Z52="RA",(($X52)*QCI!$AA$3),0)),SomaAgrup)</f>
        <v>0</v>
      </c>
      <c r="AB52" s="153">
        <f t="shared" ca="1" si="14"/>
        <v>0</v>
      </c>
      <c r="AC52" s="154" t="str">
        <f ca="1">IF($N52="","",IF(ORÇAMENTO.Descricao="","DESCRIÇÃO",IF(AND($C52="S",ORÇAMENTO.Unidade=""),"UNIDADE",IF($X52&lt;0,"VALOR NEGATIVO",IF(OR(AND(TIPOORCAMENTO="Proposto",$AG52&lt;&gt;"",$AG52&gt;0,ORÇAMENTO.CustoUnitario&gt;$AG52),AND(TIPOORCAMENTO="LICITADO",ORÇAMENTO.PrecoUnitarioLicitado&gt;$AN52)),"ACIMA REF.","")))))</f>
        <v/>
      </c>
      <c r="AD52" s="100" t="str">
        <f ca="1">IF(C52&lt;=CRONO.NivelExibicao,MAX($AD$15:OFFSET(AD52,-1,0))+IF($C52&lt;&gt;1,1,MAX(1,COUNTIF(QCI!$A$13:$A$24,OFFSET($E52,-1,0)))),"")</f>
        <v/>
      </c>
      <c r="AE52" s="110" t="b">
        <f ca="1">IF(AND($C52="S",ORÇAMENTO.CodBarra&lt;&gt;""),IF(ORÇAMENTO.Fonte="",ORÇAMENTO.CodBarra,CONCATENATE(ORÇAMENTO.Fonte," ",ORÇAMENTO.CodBarra)))</f>
        <v>0</v>
      </c>
      <c r="AF52" s="155" t="str">
        <f ca="1">IF(ISERROR(INDIRECT(ORÇAMENTO.BancoRef)),"(abra o arquivo 'Referência "&amp;Excel_BuiltIn_Database&amp;".xlsm)",IF(OR($C52&lt;&gt;"S",ORÇAMENTO.CodBarra=""),"(Sem Código)",IF(ISERROR(MATCH($AE52,INDIRECT(ORÇAMENTO.BancoRef),0)),"(Código não identificado nas referências)",MATCH($AE52,INDIRECT(ORÇAMENTO.BancoRef),0))))</f>
        <v>(abra o arquivo 'Referência 11-2024.xlsm)</v>
      </c>
      <c r="AG52" s="574">
        <f ca="1">ROUND(IF(DESONERACAO="sim",REFERENCIA.Desonerado,REFERENCIA.NaoDesonerado),2)</f>
        <v>0</v>
      </c>
      <c r="AH52" s="575">
        <f t="shared" ca="1" si="15"/>
        <v>0.22</v>
      </c>
      <c r="AJ52" s="577"/>
      <c r="AL52" s="607"/>
      <c r="AM52" s="426">
        <f t="shared" ca="1" si="0"/>
        <v>0</v>
      </c>
      <c r="AN52" s="650">
        <f t="shared" ca="1" si="16"/>
        <v>0</v>
      </c>
    </row>
    <row r="53" spans="1:40" ht="13.8" hidden="1">
      <c r="A53" t="str">
        <f t="shared" si="1"/>
        <v>S</v>
      </c>
      <c r="B53">
        <f t="shared" ca="1" si="2"/>
        <v>2</v>
      </c>
      <c r="C53" t="str">
        <f t="shared" ca="1" si="3"/>
        <v>S</v>
      </c>
      <c r="D53">
        <f t="shared" ca="1" si="4"/>
        <v>0</v>
      </c>
      <c r="E53">
        <f ca="1">IF($C53=1,OFFSET(E53,-1,0)+MAX(1,COUNTIF(QCI!$A$13:$A$24,OFFSET(ORÇAMENTO!E53,-1,0))),OFFSET(E53,-1,0))</f>
        <v>1</v>
      </c>
      <c r="F53">
        <f t="shared" ca="1" si="5"/>
        <v>5</v>
      </c>
      <c r="G53">
        <f t="shared" ca="1" si="6"/>
        <v>0</v>
      </c>
      <c r="H53">
        <f t="shared" ca="1" si="7"/>
        <v>0</v>
      </c>
      <c r="I53">
        <f t="shared" ca="1" si="8"/>
        <v>2</v>
      </c>
      <c r="J53">
        <f t="shared" ca="1" si="32"/>
        <v>0</v>
      </c>
      <c r="K53">
        <f ca="1">IF(OR($C53="S",$C53=0),0,MATCH(OFFSET($D53,0,$C53)+IF($C53&lt;&gt;1,1,COUNTIF(QCI!$A$13:$A$24,ORÇAMENTO!E53)),OFFSET($D53,1,$C53,ROW($C$264)-ROW($C53)),0))</f>
        <v>0</v>
      </c>
      <c r="L53" s="139" t="str">
        <f t="shared" ca="1" si="10"/>
        <v/>
      </c>
      <c r="M53" s="140" t="s">
        <v>199</v>
      </c>
      <c r="N53" s="141" t="str">
        <f t="shared" ca="1" si="11"/>
        <v>Serviço</v>
      </c>
      <c r="O53" s="142" t="str">
        <f t="shared" ca="1" si="12"/>
        <v>-</v>
      </c>
      <c r="P53" s="143" t="s">
        <v>247</v>
      </c>
      <c r="Q53" s="144"/>
      <c r="R53" s="145" t="str">
        <f ca="1">IF($C53="S",REFERENCIA.Descricao,"(digite a descrição aqui)")</f>
        <v>(abra o arquivo 'Referência 11-2024.xlsm)</v>
      </c>
      <c r="S53" s="146" t="str">
        <f ca="1">REFERENCIA.Unidade</f>
        <v>-</v>
      </c>
      <c r="T53" s="147">
        <f ca="1">OFFSET(CÁLCULO!H$15,ROW($T53)-ROW(T$15),0)</f>
        <v>0</v>
      </c>
      <c r="U53" s="148"/>
      <c r="V53" s="149" t="s">
        <v>156</v>
      </c>
      <c r="W53" s="147">
        <f ca="1">IF($C53="S",ROUND(IF(TIPOORCAMENTO="Proposto",ORÇAMENTO.CustoUnitario*(1+$AH53),ORÇAMENTO.PrecoUnitarioLicitado),15-13*$AF$10),0)</f>
        <v>0</v>
      </c>
      <c r="X53" s="150">
        <f ca="1">IF($C53="S",IF(Import.TipoArredondamento&lt;&gt;"TransfereGOV",VTOTAL1,SUM(OFFSET(CÁLCULO!$AA$15,ROW($X53)-ROW($X$15),1):OFFSET(CÁLCULO!$AL$15,ROW($X53)-ROW($X$15),-1))),IF($C53=0,0,ROUND(SomaAgrup,15-13*$AF$11)))</f>
        <v>0</v>
      </c>
      <c r="Y53" s="151" t="s">
        <v>245</v>
      </c>
      <c r="Z53" t="str">
        <f t="shared" ca="1" si="13"/>
        <v/>
      </c>
      <c r="AA53" s="152">
        <f ca="1">IF($C53="S",IF($Z53="CP",$X53,IF($Z53="RA",(($X53)*QCI!$AA$3),0)),SomaAgrup)</f>
        <v>0</v>
      </c>
      <c r="AB53" s="153">
        <f t="shared" ca="1" si="14"/>
        <v>0</v>
      </c>
      <c r="AC53" s="154" t="str">
        <f ca="1">IF($N53="","",IF(ORÇAMENTO.Descricao="","DESCRIÇÃO",IF(AND($C53="S",ORÇAMENTO.Unidade=""),"UNIDADE",IF($X53&lt;0,"VALOR NEGATIVO",IF(OR(AND(TIPOORCAMENTO="Proposto",$AG53&lt;&gt;"",$AG53&gt;0,ORÇAMENTO.CustoUnitario&gt;$AG53),AND(TIPOORCAMENTO="LICITADO",ORÇAMENTO.PrecoUnitarioLicitado&gt;$AN53)),"ACIMA REF.","")))))</f>
        <v/>
      </c>
      <c r="AD53" s="100" t="str">
        <f ca="1">IF(C53&lt;=CRONO.NivelExibicao,MAX($AD$15:OFFSET(AD53,-1,0))+IF($C53&lt;&gt;1,1,MAX(1,COUNTIF(QCI!$A$13:$A$24,OFFSET($E53,-1,0)))),"")</f>
        <v/>
      </c>
      <c r="AE53" s="110" t="b">
        <f ca="1">IF(AND($C53="S",ORÇAMENTO.CodBarra&lt;&gt;""),IF(ORÇAMENTO.Fonte="",ORÇAMENTO.CodBarra,CONCATENATE(ORÇAMENTO.Fonte," ",ORÇAMENTO.CodBarra)))</f>
        <v>0</v>
      </c>
      <c r="AF53" s="155" t="str">
        <f ca="1">IF(ISERROR(INDIRECT(ORÇAMENTO.BancoRef)),"(abra o arquivo 'Referência "&amp;Excel_BuiltIn_Database&amp;".xlsm)",IF(OR($C53&lt;&gt;"S",ORÇAMENTO.CodBarra=""),"(Sem Código)",IF(ISERROR(MATCH($AE53,INDIRECT(ORÇAMENTO.BancoRef),0)),"(Código não identificado nas referências)",MATCH($AE53,INDIRECT(ORÇAMENTO.BancoRef),0))))</f>
        <v>(abra o arquivo 'Referência 11-2024.xlsm)</v>
      </c>
      <c r="AG53" s="574">
        <f ca="1">ROUND(IF(DESONERACAO="sim",REFERENCIA.Desonerado,REFERENCIA.NaoDesonerado),2)</f>
        <v>0</v>
      </c>
      <c r="AH53" s="575">
        <f t="shared" ca="1" si="15"/>
        <v>0.22</v>
      </c>
      <c r="AJ53" s="577"/>
      <c r="AL53" s="607"/>
      <c r="AM53" s="426">
        <f t="shared" ca="1" si="0"/>
        <v>0</v>
      </c>
      <c r="AN53" s="650">
        <f t="shared" ca="1" si="16"/>
        <v>0</v>
      </c>
    </row>
    <row r="54" spans="1:40" ht="13.8" hidden="1">
      <c r="A54" t="str">
        <f t="shared" si="1"/>
        <v>S</v>
      </c>
      <c r="B54">
        <f t="shared" ca="1" si="2"/>
        <v>2</v>
      </c>
      <c r="C54" t="str">
        <f t="shared" ca="1" si="3"/>
        <v>S</v>
      </c>
      <c r="D54">
        <f t="shared" ca="1" si="4"/>
        <v>0</v>
      </c>
      <c r="E54">
        <f ca="1">IF($C54=1,OFFSET(E54,-1,0)+MAX(1,COUNTIF(QCI!$A$13:$A$24,OFFSET(ORÇAMENTO!E54,-1,0))),OFFSET(E54,-1,0))</f>
        <v>1</v>
      </c>
      <c r="F54">
        <f t="shared" ca="1" si="5"/>
        <v>5</v>
      </c>
      <c r="G54">
        <f t="shared" ca="1" si="6"/>
        <v>0</v>
      </c>
      <c r="H54">
        <f t="shared" ca="1" si="7"/>
        <v>0</v>
      </c>
      <c r="I54">
        <f t="shared" ca="1" si="8"/>
        <v>2</v>
      </c>
      <c r="J54">
        <f t="shared" ca="1" si="32"/>
        <v>0</v>
      </c>
      <c r="K54">
        <f ca="1">IF(OR($C54="S",$C54=0),0,MATCH(OFFSET($D54,0,$C54)+IF($C54&lt;&gt;1,1,COUNTIF(QCI!$A$13:$A$24,ORÇAMENTO!E54)),OFFSET($D54,1,$C54,ROW($C$264)-ROW($C54)),0))</f>
        <v>0</v>
      </c>
      <c r="L54" s="139" t="str">
        <f t="shared" ca="1" si="10"/>
        <v/>
      </c>
      <c r="M54" s="140" t="s">
        <v>199</v>
      </c>
      <c r="N54" s="141" t="str">
        <f t="shared" ca="1" si="11"/>
        <v>Serviço</v>
      </c>
      <c r="O54" s="142" t="str">
        <f t="shared" ca="1" si="12"/>
        <v>-</v>
      </c>
      <c r="P54" s="143" t="s">
        <v>247</v>
      </c>
      <c r="Q54" s="144"/>
      <c r="R54" s="145" t="str">
        <f ca="1">IF($C54="S",REFERENCIA.Descricao,"(digite a descrição aqui)")</f>
        <v>(abra o arquivo 'Referência 11-2024.xlsm)</v>
      </c>
      <c r="S54" s="146" t="str">
        <f ca="1">REFERENCIA.Unidade</f>
        <v>-</v>
      </c>
      <c r="T54" s="147">
        <f ca="1">OFFSET(CÁLCULO!H$15,ROW($T54)-ROW(T$15),0)</f>
        <v>0</v>
      </c>
      <c r="U54" s="148"/>
      <c r="V54" s="149" t="s">
        <v>156</v>
      </c>
      <c r="W54" s="147">
        <f ca="1">IF($C54="S",ROUND(IF(TIPOORCAMENTO="Proposto",ORÇAMENTO.CustoUnitario*(1+$AH54),ORÇAMENTO.PrecoUnitarioLicitado),15-13*$AF$10),0)</f>
        <v>0</v>
      </c>
      <c r="X54" s="150">
        <f ca="1">IF($C54="S",IF(Import.TipoArredondamento&lt;&gt;"TransfereGOV",VTOTAL1,SUM(OFFSET(CÁLCULO!$AA$15,ROW($X54)-ROW($X$15),1):OFFSET(CÁLCULO!$AL$15,ROW($X54)-ROW($X$15),-1))),IF($C54=0,0,ROUND(SomaAgrup,15-13*$AF$11)))</f>
        <v>0</v>
      </c>
      <c r="Y54" s="151" t="s">
        <v>245</v>
      </c>
      <c r="Z54" t="str">
        <f t="shared" ca="1" si="13"/>
        <v/>
      </c>
      <c r="AA54" s="152">
        <f ca="1">IF($C54="S",IF($Z54="CP",$X54,IF($Z54="RA",(($X54)*QCI!$AA$3),0)),SomaAgrup)</f>
        <v>0</v>
      </c>
      <c r="AB54" s="153">
        <f t="shared" ca="1" si="14"/>
        <v>0</v>
      </c>
      <c r="AC54" s="154" t="str">
        <f ca="1">IF($N54="","",IF(ORÇAMENTO.Descricao="","DESCRIÇÃO",IF(AND($C54="S",ORÇAMENTO.Unidade=""),"UNIDADE",IF($X54&lt;0,"VALOR NEGATIVO",IF(OR(AND(TIPOORCAMENTO="Proposto",$AG54&lt;&gt;"",$AG54&gt;0,ORÇAMENTO.CustoUnitario&gt;$AG54),AND(TIPOORCAMENTO="LICITADO",ORÇAMENTO.PrecoUnitarioLicitado&gt;$AN54)),"ACIMA REF.","")))))</f>
        <v/>
      </c>
      <c r="AD54" s="100" t="str">
        <f ca="1">IF(C54&lt;=CRONO.NivelExibicao,MAX($AD$15:OFFSET(AD54,-1,0))+IF($C54&lt;&gt;1,1,MAX(1,COUNTIF(QCI!$A$13:$A$24,OFFSET($E54,-1,0)))),"")</f>
        <v/>
      </c>
      <c r="AE54" s="110" t="b">
        <f ca="1">IF(AND($C54="S",ORÇAMENTO.CodBarra&lt;&gt;""),IF(ORÇAMENTO.Fonte="",ORÇAMENTO.CodBarra,CONCATENATE(ORÇAMENTO.Fonte," ",ORÇAMENTO.CodBarra)))</f>
        <v>0</v>
      </c>
      <c r="AF54" s="155" t="str">
        <f ca="1">IF(ISERROR(INDIRECT(ORÇAMENTO.BancoRef)),"(abra o arquivo 'Referência "&amp;Excel_BuiltIn_Database&amp;".xlsm)",IF(OR($C54&lt;&gt;"S",ORÇAMENTO.CodBarra=""),"(Sem Código)",IF(ISERROR(MATCH($AE54,INDIRECT(ORÇAMENTO.BancoRef),0)),"(Código não identificado nas referências)",MATCH($AE54,INDIRECT(ORÇAMENTO.BancoRef),0))))</f>
        <v>(abra o arquivo 'Referência 11-2024.xlsm)</v>
      </c>
      <c r="AG54" s="574">
        <f ca="1">ROUND(IF(DESONERACAO="sim",REFERENCIA.Desonerado,REFERENCIA.NaoDesonerado),2)</f>
        <v>0</v>
      </c>
      <c r="AH54" s="575">
        <f t="shared" ca="1" si="15"/>
        <v>0.22</v>
      </c>
      <c r="AJ54" s="577"/>
      <c r="AL54" s="607"/>
      <c r="AM54" s="426">
        <f t="shared" ca="1" si="0"/>
        <v>0</v>
      </c>
      <c r="AN54" s="650">
        <f t="shared" ca="1" si="16"/>
        <v>0</v>
      </c>
    </row>
    <row r="55" spans="1:40" ht="13.8" hidden="1">
      <c r="A55" t="str">
        <f t="shared" si="1"/>
        <v>S</v>
      </c>
      <c r="B55">
        <f t="shared" ca="1" si="2"/>
        <v>2</v>
      </c>
      <c r="C55" t="str">
        <f t="shared" ca="1" si="3"/>
        <v>S</v>
      </c>
      <c r="D55">
        <f t="shared" ca="1" si="4"/>
        <v>0</v>
      </c>
      <c r="E55">
        <f ca="1">IF($C55=1,OFFSET(E55,-1,0)+MAX(1,COUNTIF(QCI!$A$13:$A$24,OFFSET(ORÇAMENTO!E55,-1,0))),OFFSET(E55,-1,0))</f>
        <v>1</v>
      </c>
      <c r="F55">
        <f t="shared" ca="1" si="5"/>
        <v>5</v>
      </c>
      <c r="G55">
        <f t="shared" ca="1" si="6"/>
        <v>0</v>
      </c>
      <c r="H55">
        <f t="shared" ca="1" si="7"/>
        <v>0</v>
      </c>
      <c r="I55">
        <f t="shared" ca="1" si="8"/>
        <v>2</v>
      </c>
      <c r="J55">
        <f t="shared" ca="1" si="32"/>
        <v>0</v>
      </c>
      <c r="K55">
        <f ca="1">IF(OR($C55="S",$C55=0),0,MATCH(OFFSET($D55,0,$C55)+IF($C55&lt;&gt;1,1,COUNTIF(QCI!$A$13:$A$24,ORÇAMENTO!E55)),OFFSET($D55,1,$C55,ROW($C$264)-ROW($C55)),0))</f>
        <v>0</v>
      </c>
      <c r="L55" s="139" t="str">
        <f t="shared" ca="1" si="10"/>
        <v/>
      </c>
      <c r="M55" s="140" t="s">
        <v>199</v>
      </c>
      <c r="N55" s="141" t="str">
        <f t="shared" ca="1" si="11"/>
        <v>Serviço</v>
      </c>
      <c r="O55" s="142" t="str">
        <f t="shared" ca="1" si="12"/>
        <v>-</v>
      </c>
      <c r="P55" s="143" t="s">
        <v>247</v>
      </c>
      <c r="Q55" s="144"/>
      <c r="R55" s="145" t="str">
        <f ca="1">IF($C55="S",REFERENCIA.Descricao,"(digite a descrição aqui)")</f>
        <v>(abra o arquivo 'Referência 11-2024.xlsm)</v>
      </c>
      <c r="S55" s="146" t="str">
        <f ca="1">REFERENCIA.Unidade</f>
        <v>-</v>
      </c>
      <c r="T55" s="147">
        <f ca="1">OFFSET(CÁLCULO!H$15,ROW($T55)-ROW(T$15),0)</f>
        <v>0</v>
      </c>
      <c r="U55" s="148"/>
      <c r="V55" s="149" t="s">
        <v>156</v>
      </c>
      <c r="W55" s="147">
        <f ca="1">IF($C55="S",ROUND(IF(TIPOORCAMENTO="Proposto",ORÇAMENTO.CustoUnitario*(1+$AH55),ORÇAMENTO.PrecoUnitarioLicitado),15-13*$AF$10),0)</f>
        <v>0</v>
      </c>
      <c r="X55" s="150">
        <f ca="1">IF($C55="S",IF(Import.TipoArredondamento&lt;&gt;"TransfereGOV",VTOTAL1,SUM(OFFSET(CÁLCULO!$AA$15,ROW($X55)-ROW($X$15),1):OFFSET(CÁLCULO!$AL$15,ROW($X55)-ROW($X$15),-1))),IF($C55=0,0,ROUND(SomaAgrup,15-13*$AF$11)))</f>
        <v>0</v>
      </c>
      <c r="Y55" s="151" t="s">
        <v>245</v>
      </c>
      <c r="Z55" t="str">
        <f t="shared" ca="1" si="13"/>
        <v/>
      </c>
      <c r="AA55" s="152">
        <f ca="1">IF($C55="S",IF($Z55="CP",$X55,IF($Z55="RA",(($X55)*QCI!$AA$3),0)),SomaAgrup)</f>
        <v>0</v>
      </c>
      <c r="AB55" s="153">
        <f t="shared" ca="1" si="14"/>
        <v>0</v>
      </c>
      <c r="AC55" s="154" t="str">
        <f ca="1">IF($N55="","",IF(ORÇAMENTO.Descricao="","DESCRIÇÃO",IF(AND($C55="S",ORÇAMENTO.Unidade=""),"UNIDADE",IF($X55&lt;0,"VALOR NEGATIVO",IF(OR(AND(TIPOORCAMENTO="Proposto",$AG55&lt;&gt;"",$AG55&gt;0,ORÇAMENTO.CustoUnitario&gt;$AG55),AND(TIPOORCAMENTO="LICITADO",ORÇAMENTO.PrecoUnitarioLicitado&gt;$AN55)),"ACIMA REF.","")))))</f>
        <v/>
      </c>
      <c r="AD55" s="100" t="str">
        <f ca="1">IF(C55&lt;=CRONO.NivelExibicao,MAX($AD$15:OFFSET(AD55,-1,0))+IF($C55&lt;&gt;1,1,MAX(1,COUNTIF(QCI!$A$13:$A$24,OFFSET($E55,-1,0)))),"")</f>
        <v/>
      </c>
      <c r="AE55" s="110" t="b">
        <f ca="1">IF(AND($C55="S",ORÇAMENTO.CodBarra&lt;&gt;""),IF(ORÇAMENTO.Fonte="",ORÇAMENTO.CodBarra,CONCATENATE(ORÇAMENTO.Fonte," ",ORÇAMENTO.CodBarra)))</f>
        <v>0</v>
      </c>
      <c r="AF55" s="155" t="str">
        <f ca="1">IF(ISERROR(INDIRECT(ORÇAMENTO.BancoRef)),"(abra o arquivo 'Referência "&amp;Excel_BuiltIn_Database&amp;".xlsm)",IF(OR($C55&lt;&gt;"S",ORÇAMENTO.CodBarra=""),"(Sem Código)",IF(ISERROR(MATCH($AE55,INDIRECT(ORÇAMENTO.BancoRef),0)),"(Código não identificado nas referências)",MATCH($AE55,INDIRECT(ORÇAMENTO.BancoRef),0))))</f>
        <v>(abra o arquivo 'Referência 11-2024.xlsm)</v>
      </c>
      <c r="AG55" s="574">
        <f ca="1">ROUND(IF(DESONERACAO="sim",REFERENCIA.Desonerado,REFERENCIA.NaoDesonerado),2)</f>
        <v>0</v>
      </c>
      <c r="AH55" s="575">
        <f t="shared" ca="1" si="15"/>
        <v>0.22</v>
      </c>
      <c r="AJ55" s="577"/>
      <c r="AL55" s="607"/>
      <c r="AM55" s="426">
        <f t="shared" ca="1" si="0"/>
        <v>0</v>
      </c>
      <c r="AN55" s="650">
        <f t="shared" ca="1" si="16"/>
        <v>0</v>
      </c>
    </row>
    <row r="56" spans="1:40" ht="13.8" hidden="1">
      <c r="A56" t="str">
        <f t="shared" si="1"/>
        <v>S</v>
      </c>
      <c r="B56">
        <f t="shared" ca="1" si="2"/>
        <v>2</v>
      </c>
      <c r="C56" t="str">
        <f t="shared" ca="1" si="3"/>
        <v>S</v>
      </c>
      <c r="D56">
        <f t="shared" ca="1" si="4"/>
        <v>0</v>
      </c>
      <c r="E56">
        <f ca="1">IF($C56=1,OFFSET(E56,-1,0)+MAX(1,COUNTIF(QCI!$A$13:$A$24,OFFSET(ORÇAMENTO!E56,-1,0))),OFFSET(E56,-1,0))</f>
        <v>1</v>
      </c>
      <c r="F56">
        <f t="shared" ca="1" si="5"/>
        <v>5</v>
      </c>
      <c r="G56">
        <f t="shared" ca="1" si="6"/>
        <v>0</v>
      </c>
      <c r="H56">
        <f t="shared" ca="1" si="7"/>
        <v>0</v>
      </c>
      <c r="I56">
        <f t="shared" ca="1" si="8"/>
        <v>2</v>
      </c>
      <c r="J56">
        <f t="shared" ca="1" si="32"/>
        <v>0</v>
      </c>
      <c r="K56">
        <f ca="1">IF(OR($C56="S",$C56=0),0,MATCH(OFFSET($D56,0,$C56)+IF($C56&lt;&gt;1,1,COUNTIF(QCI!$A$13:$A$24,ORÇAMENTO!E56)),OFFSET($D56,1,$C56,ROW($C$264)-ROW($C56)),0))</f>
        <v>0</v>
      </c>
      <c r="L56" s="139" t="str">
        <f t="shared" ca="1" si="10"/>
        <v/>
      </c>
      <c r="M56" s="140" t="s">
        <v>199</v>
      </c>
      <c r="N56" s="141" t="str">
        <f t="shared" ca="1" si="11"/>
        <v>Serviço</v>
      </c>
      <c r="O56" s="142" t="str">
        <f t="shared" ca="1" si="12"/>
        <v>-</v>
      </c>
      <c r="P56" s="143" t="s">
        <v>247</v>
      </c>
      <c r="Q56" s="144"/>
      <c r="R56" s="145" t="str">
        <f ca="1">IF($C56="S",REFERENCIA.Descricao,"(digite a descrição aqui)")</f>
        <v>(abra o arquivo 'Referência 11-2024.xlsm)</v>
      </c>
      <c r="S56" s="146" t="str">
        <f ca="1">REFERENCIA.Unidade</f>
        <v>-</v>
      </c>
      <c r="T56" s="147">
        <f ca="1">OFFSET(CÁLCULO!H$15,ROW($T56)-ROW(T$15),0)</f>
        <v>0</v>
      </c>
      <c r="U56" s="148"/>
      <c r="V56" s="149" t="s">
        <v>156</v>
      </c>
      <c r="W56" s="147">
        <f ca="1">IF($C56="S",ROUND(IF(TIPOORCAMENTO="Proposto",ORÇAMENTO.CustoUnitario*(1+$AH56),ORÇAMENTO.PrecoUnitarioLicitado),15-13*$AF$10),0)</f>
        <v>0</v>
      </c>
      <c r="X56" s="150">
        <f ca="1">IF($C56="S",IF(Import.TipoArredondamento&lt;&gt;"TransfereGOV",VTOTAL1,SUM(OFFSET(CÁLCULO!$AA$15,ROW($X56)-ROW($X$15),1):OFFSET(CÁLCULO!$AL$15,ROW($X56)-ROW($X$15),-1))),IF($C56=0,0,ROUND(SomaAgrup,15-13*$AF$11)))</f>
        <v>0</v>
      </c>
      <c r="Y56" s="151" t="s">
        <v>245</v>
      </c>
      <c r="Z56" t="str">
        <f t="shared" ca="1" si="13"/>
        <v/>
      </c>
      <c r="AA56" s="152">
        <f ca="1">IF($C56="S",IF($Z56="CP",$X56,IF($Z56="RA",(($X56)*QCI!$AA$3),0)),SomaAgrup)</f>
        <v>0</v>
      </c>
      <c r="AB56" s="153">
        <f t="shared" ca="1" si="14"/>
        <v>0</v>
      </c>
      <c r="AC56" s="154" t="str">
        <f ca="1">IF($N56="","",IF(ORÇAMENTO.Descricao="","DESCRIÇÃO",IF(AND($C56="S",ORÇAMENTO.Unidade=""),"UNIDADE",IF($X56&lt;0,"VALOR NEGATIVO",IF(OR(AND(TIPOORCAMENTO="Proposto",$AG56&lt;&gt;"",$AG56&gt;0,ORÇAMENTO.CustoUnitario&gt;$AG56),AND(TIPOORCAMENTO="LICITADO",ORÇAMENTO.PrecoUnitarioLicitado&gt;$AN56)),"ACIMA REF.","")))))</f>
        <v/>
      </c>
      <c r="AD56" s="100" t="str">
        <f ca="1">IF(C56&lt;=CRONO.NivelExibicao,MAX($AD$15:OFFSET(AD56,-1,0))+IF($C56&lt;&gt;1,1,MAX(1,COUNTIF(QCI!$A$13:$A$24,OFFSET($E56,-1,0)))),"")</f>
        <v/>
      </c>
      <c r="AE56" s="110" t="b">
        <f ca="1">IF(AND($C56="S",ORÇAMENTO.CodBarra&lt;&gt;""),IF(ORÇAMENTO.Fonte="",ORÇAMENTO.CodBarra,CONCATENATE(ORÇAMENTO.Fonte," ",ORÇAMENTO.CodBarra)))</f>
        <v>0</v>
      </c>
      <c r="AF56" s="155" t="str">
        <f ca="1">IF(ISERROR(INDIRECT(ORÇAMENTO.BancoRef)),"(abra o arquivo 'Referência "&amp;Excel_BuiltIn_Database&amp;".xlsm)",IF(OR($C56&lt;&gt;"S",ORÇAMENTO.CodBarra=""),"(Sem Código)",IF(ISERROR(MATCH($AE56,INDIRECT(ORÇAMENTO.BancoRef),0)),"(Código não identificado nas referências)",MATCH($AE56,INDIRECT(ORÇAMENTO.BancoRef),0))))</f>
        <v>(abra o arquivo 'Referência 11-2024.xlsm)</v>
      </c>
      <c r="AG56" s="574">
        <f ca="1">ROUND(IF(DESONERACAO="sim",REFERENCIA.Desonerado,REFERENCIA.NaoDesonerado),2)</f>
        <v>0</v>
      </c>
      <c r="AH56" s="575">
        <f t="shared" ca="1" si="15"/>
        <v>0.22</v>
      </c>
      <c r="AJ56" s="577"/>
      <c r="AL56" s="607"/>
      <c r="AM56" s="426">
        <f t="shared" ca="1" si="0"/>
        <v>0</v>
      </c>
      <c r="AN56" s="650">
        <f t="shared" ca="1" si="16"/>
        <v>0</v>
      </c>
    </row>
    <row r="57" spans="1:40" ht="13.8" hidden="1">
      <c r="A57" t="str">
        <f t="shared" si="1"/>
        <v>S</v>
      </c>
      <c r="B57">
        <f t="shared" ca="1" si="2"/>
        <v>2</v>
      </c>
      <c r="C57" t="str">
        <f t="shared" ca="1" si="3"/>
        <v>S</v>
      </c>
      <c r="D57">
        <f t="shared" ca="1" si="4"/>
        <v>0</v>
      </c>
      <c r="E57">
        <f ca="1">IF($C57=1,OFFSET(E57,-1,0)+MAX(1,COUNTIF(QCI!$A$13:$A$24,OFFSET(ORÇAMENTO!E57,-1,0))),OFFSET(E57,-1,0))</f>
        <v>1</v>
      </c>
      <c r="F57">
        <f t="shared" ca="1" si="5"/>
        <v>5</v>
      </c>
      <c r="G57">
        <f t="shared" ca="1" si="6"/>
        <v>0</v>
      </c>
      <c r="H57">
        <f t="shared" ca="1" si="7"/>
        <v>0</v>
      </c>
      <c r="I57">
        <f t="shared" ca="1" si="8"/>
        <v>2</v>
      </c>
      <c r="J57">
        <f t="shared" ca="1" si="32"/>
        <v>0</v>
      </c>
      <c r="K57">
        <f ca="1">IF(OR($C57="S",$C57=0),0,MATCH(OFFSET($D57,0,$C57)+IF($C57&lt;&gt;1,1,COUNTIF(QCI!$A$13:$A$24,ORÇAMENTO!E57)),OFFSET($D57,1,$C57,ROW($C$264)-ROW($C57)),0))</f>
        <v>0</v>
      </c>
      <c r="L57" s="139" t="str">
        <f t="shared" ca="1" si="10"/>
        <v/>
      </c>
      <c r="M57" s="140" t="s">
        <v>199</v>
      </c>
      <c r="N57" s="141" t="str">
        <f t="shared" ca="1" si="11"/>
        <v>Serviço</v>
      </c>
      <c r="O57" s="142" t="str">
        <f t="shared" ca="1" si="12"/>
        <v>-</v>
      </c>
      <c r="P57" s="143" t="s">
        <v>247</v>
      </c>
      <c r="Q57" s="144"/>
      <c r="R57" s="145" t="str">
        <f ca="1">IF($C57="S",REFERENCIA.Descricao,"(digite a descrição aqui)")</f>
        <v>(abra o arquivo 'Referência 11-2024.xlsm)</v>
      </c>
      <c r="S57" s="146" t="str">
        <f ca="1">REFERENCIA.Unidade</f>
        <v>-</v>
      </c>
      <c r="T57" s="147">
        <f ca="1">OFFSET(CÁLCULO!H$15,ROW($T57)-ROW(T$15),0)</f>
        <v>0</v>
      </c>
      <c r="U57" s="148"/>
      <c r="V57" s="149" t="s">
        <v>156</v>
      </c>
      <c r="W57" s="147">
        <f ca="1">IF($C57="S",ROUND(IF(TIPOORCAMENTO="Proposto",ORÇAMENTO.CustoUnitario*(1+$AH57),ORÇAMENTO.PrecoUnitarioLicitado),15-13*$AF$10),0)</f>
        <v>0</v>
      </c>
      <c r="X57" s="150">
        <f ca="1">IF($C57="S",IF(Import.TipoArredondamento&lt;&gt;"TransfereGOV",VTOTAL1,SUM(OFFSET(CÁLCULO!$AA$15,ROW($X57)-ROW($X$15),1):OFFSET(CÁLCULO!$AL$15,ROW($X57)-ROW($X$15),-1))),IF($C57=0,0,ROUND(SomaAgrup,15-13*$AF$11)))</f>
        <v>0</v>
      </c>
      <c r="Y57" s="151" t="s">
        <v>245</v>
      </c>
      <c r="Z57" t="str">
        <f t="shared" ca="1" si="13"/>
        <v/>
      </c>
      <c r="AA57" s="152">
        <f ca="1">IF($C57="S",IF($Z57="CP",$X57,IF($Z57="RA",(($X57)*QCI!$AA$3),0)),SomaAgrup)</f>
        <v>0</v>
      </c>
      <c r="AB57" s="153">
        <f t="shared" ca="1" si="14"/>
        <v>0</v>
      </c>
      <c r="AC57" s="154" t="str">
        <f ca="1">IF($N57="","",IF(ORÇAMENTO.Descricao="","DESCRIÇÃO",IF(AND($C57="S",ORÇAMENTO.Unidade=""),"UNIDADE",IF($X57&lt;0,"VALOR NEGATIVO",IF(OR(AND(TIPOORCAMENTO="Proposto",$AG57&lt;&gt;"",$AG57&gt;0,ORÇAMENTO.CustoUnitario&gt;$AG57),AND(TIPOORCAMENTO="LICITADO",ORÇAMENTO.PrecoUnitarioLicitado&gt;$AN57)),"ACIMA REF.","")))))</f>
        <v/>
      </c>
      <c r="AD57" s="100" t="str">
        <f ca="1">IF(C57&lt;=CRONO.NivelExibicao,MAX($AD$15:OFFSET(AD57,-1,0))+IF($C57&lt;&gt;1,1,MAX(1,COUNTIF(QCI!$A$13:$A$24,OFFSET($E57,-1,0)))),"")</f>
        <v/>
      </c>
      <c r="AE57" s="110" t="b">
        <f ca="1">IF(AND($C57="S",ORÇAMENTO.CodBarra&lt;&gt;""),IF(ORÇAMENTO.Fonte="",ORÇAMENTO.CodBarra,CONCATENATE(ORÇAMENTO.Fonte," ",ORÇAMENTO.CodBarra)))</f>
        <v>0</v>
      </c>
      <c r="AF57" s="155" t="str">
        <f ca="1">IF(ISERROR(INDIRECT(ORÇAMENTO.BancoRef)),"(abra o arquivo 'Referência "&amp;Excel_BuiltIn_Database&amp;".xlsm)",IF(OR($C57&lt;&gt;"S",ORÇAMENTO.CodBarra=""),"(Sem Código)",IF(ISERROR(MATCH($AE57,INDIRECT(ORÇAMENTO.BancoRef),0)),"(Código não identificado nas referências)",MATCH($AE57,INDIRECT(ORÇAMENTO.BancoRef),0))))</f>
        <v>(abra o arquivo 'Referência 11-2024.xlsm)</v>
      </c>
      <c r="AG57" s="574">
        <f ca="1">ROUND(IF(DESONERACAO="sim",REFERENCIA.Desonerado,REFERENCIA.NaoDesonerado),2)</f>
        <v>0</v>
      </c>
      <c r="AH57" s="575">
        <f t="shared" ca="1" si="15"/>
        <v>0.22</v>
      </c>
      <c r="AJ57" s="577"/>
      <c r="AL57" s="607"/>
      <c r="AM57" s="426">
        <f t="shared" ca="1" si="0"/>
        <v>0</v>
      </c>
      <c r="AN57" s="650">
        <f t="shared" ca="1" si="16"/>
        <v>0</v>
      </c>
    </row>
    <row r="58" spans="1:40" ht="13.8" hidden="1">
      <c r="A58" t="str">
        <f t="shared" si="1"/>
        <v>S</v>
      </c>
      <c r="B58">
        <f t="shared" ca="1" si="2"/>
        <v>2</v>
      </c>
      <c r="C58" t="str">
        <f t="shared" ca="1" si="3"/>
        <v>S</v>
      </c>
      <c r="D58">
        <f t="shared" ca="1" si="4"/>
        <v>0</v>
      </c>
      <c r="E58">
        <f ca="1">IF($C58=1,OFFSET(E58,-1,0)+MAX(1,COUNTIF(QCI!$A$13:$A$24,OFFSET(ORÇAMENTO!E58,-1,0))),OFFSET(E58,-1,0))</f>
        <v>1</v>
      </c>
      <c r="F58">
        <f t="shared" ca="1" si="5"/>
        <v>5</v>
      </c>
      <c r="G58">
        <f t="shared" ca="1" si="6"/>
        <v>0</v>
      </c>
      <c r="H58">
        <f t="shared" ca="1" si="7"/>
        <v>0</v>
      </c>
      <c r="I58">
        <f t="shared" ca="1" si="8"/>
        <v>2</v>
      </c>
      <c r="J58">
        <f t="shared" ca="1" si="32"/>
        <v>0</v>
      </c>
      <c r="K58">
        <f ca="1">IF(OR($C58="S",$C58=0),0,MATCH(OFFSET($D58,0,$C58)+IF($C58&lt;&gt;1,1,COUNTIF(QCI!$A$13:$A$24,ORÇAMENTO!E58)),OFFSET($D58,1,$C58,ROW($C$264)-ROW($C58)),0))</f>
        <v>0</v>
      </c>
      <c r="L58" s="139" t="str">
        <f t="shared" ca="1" si="10"/>
        <v/>
      </c>
      <c r="M58" s="140" t="s">
        <v>199</v>
      </c>
      <c r="N58" s="141" t="str">
        <f t="shared" ca="1" si="11"/>
        <v>Serviço</v>
      </c>
      <c r="O58" s="142" t="str">
        <f t="shared" ca="1" si="12"/>
        <v>-</v>
      </c>
      <c r="P58" s="143" t="s">
        <v>247</v>
      </c>
      <c r="Q58" s="144"/>
      <c r="R58" s="145" t="str">
        <f ca="1">IF($C58="S",REFERENCIA.Descricao,"(digite a descrição aqui)")</f>
        <v>(abra o arquivo 'Referência 11-2024.xlsm)</v>
      </c>
      <c r="S58" s="146" t="str">
        <f ca="1">REFERENCIA.Unidade</f>
        <v>-</v>
      </c>
      <c r="T58" s="147">
        <f ca="1">OFFSET(CÁLCULO!H$15,ROW($T58)-ROW(T$15),0)</f>
        <v>0</v>
      </c>
      <c r="U58" s="148"/>
      <c r="V58" s="149" t="s">
        <v>156</v>
      </c>
      <c r="W58" s="147">
        <f ca="1">IF($C58="S",ROUND(IF(TIPOORCAMENTO="Proposto",ORÇAMENTO.CustoUnitario*(1+$AH58),ORÇAMENTO.PrecoUnitarioLicitado),15-13*$AF$10),0)</f>
        <v>0</v>
      </c>
      <c r="X58" s="150">
        <f ca="1">IF($C58="S",IF(Import.TipoArredondamento&lt;&gt;"TransfereGOV",VTOTAL1,SUM(OFFSET(CÁLCULO!$AA$15,ROW($X58)-ROW($X$15),1):OFFSET(CÁLCULO!$AL$15,ROW($X58)-ROW($X$15),-1))),IF($C58=0,0,ROUND(SomaAgrup,15-13*$AF$11)))</f>
        <v>0</v>
      </c>
      <c r="Y58" s="151" t="s">
        <v>245</v>
      </c>
      <c r="Z58" t="str">
        <f t="shared" ca="1" si="13"/>
        <v/>
      </c>
      <c r="AA58" s="152">
        <f ca="1">IF($C58="S",IF($Z58="CP",$X58,IF($Z58="RA",(($X58)*QCI!$AA$3),0)),SomaAgrup)</f>
        <v>0</v>
      </c>
      <c r="AB58" s="153">
        <f t="shared" ca="1" si="14"/>
        <v>0</v>
      </c>
      <c r="AC58" s="154" t="str">
        <f ca="1">IF($N58="","",IF(ORÇAMENTO.Descricao="","DESCRIÇÃO",IF(AND($C58="S",ORÇAMENTO.Unidade=""),"UNIDADE",IF($X58&lt;0,"VALOR NEGATIVO",IF(OR(AND(TIPOORCAMENTO="Proposto",$AG58&lt;&gt;"",$AG58&gt;0,ORÇAMENTO.CustoUnitario&gt;$AG58),AND(TIPOORCAMENTO="LICITADO",ORÇAMENTO.PrecoUnitarioLicitado&gt;$AN58)),"ACIMA REF.","")))))</f>
        <v/>
      </c>
      <c r="AD58" s="100" t="str">
        <f ca="1">IF(C58&lt;=CRONO.NivelExibicao,MAX($AD$15:OFFSET(AD58,-1,0))+IF($C58&lt;&gt;1,1,MAX(1,COUNTIF(QCI!$A$13:$A$24,OFFSET($E58,-1,0)))),"")</f>
        <v/>
      </c>
      <c r="AE58" s="110" t="b">
        <f ca="1">IF(AND($C58="S",ORÇAMENTO.CodBarra&lt;&gt;""),IF(ORÇAMENTO.Fonte="",ORÇAMENTO.CodBarra,CONCATENATE(ORÇAMENTO.Fonte," ",ORÇAMENTO.CodBarra)))</f>
        <v>0</v>
      </c>
      <c r="AF58" s="155" t="str">
        <f ca="1">IF(ISERROR(INDIRECT(ORÇAMENTO.BancoRef)),"(abra o arquivo 'Referência "&amp;Excel_BuiltIn_Database&amp;".xlsm)",IF(OR($C58&lt;&gt;"S",ORÇAMENTO.CodBarra=""),"(Sem Código)",IF(ISERROR(MATCH($AE58,INDIRECT(ORÇAMENTO.BancoRef),0)),"(Código não identificado nas referências)",MATCH($AE58,INDIRECT(ORÇAMENTO.BancoRef),0))))</f>
        <v>(abra o arquivo 'Referência 11-2024.xlsm)</v>
      </c>
      <c r="AG58" s="574">
        <f ca="1">ROUND(IF(DESONERACAO="sim",REFERENCIA.Desonerado,REFERENCIA.NaoDesonerado),2)</f>
        <v>0</v>
      </c>
      <c r="AH58" s="575">
        <f t="shared" ca="1" si="15"/>
        <v>0.22</v>
      </c>
      <c r="AJ58" s="577"/>
      <c r="AL58" s="607"/>
      <c r="AM58" s="426">
        <f t="shared" ca="1" si="0"/>
        <v>0</v>
      </c>
      <c r="AN58" s="650">
        <f t="shared" ca="1" si="16"/>
        <v>0</v>
      </c>
    </row>
    <row r="59" spans="1:40" ht="13.8" hidden="1">
      <c r="A59" t="str">
        <f t="shared" si="1"/>
        <v>S</v>
      </c>
      <c r="B59">
        <f t="shared" ca="1" si="2"/>
        <v>2</v>
      </c>
      <c r="C59" t="str">
        <f t="shared" ca="1" si="3"/>
        <v>S</v>
      </c>
      <c r="D59">
        <f t="shared" ca="1" si="4"/>
        <v>0</v>
      </c>
      <c r="E59">
        <f ca="1">IF($C59=1,OFFSET(E59,-1,0)+MAX(1,COUNTIF(QCI!$A$13:$A$24,OFFSET(ORÇAMENTO!E59,-1,0))),OFFSET(E59,-1,0))</f>
        <v>1</v>
      </c>
      <c r="F59">
        <f t="shared" ca="1" si="5"/>
        <v>5</v>
      </c>
      <c r="G59">
        <f t="shared" ca="1" si="6"/>
        <v>0</v>
      </c>
      <c r="H59">
        <f t="shared" ca="1" si="7"/>
        <v>0</v>
      </c>
      <c r="I59">
        <f t="shared" ca="1" si="8"/>
        <v>2</v>
      </c>
      <c r="J59">
        <f t="shared" ca="1" si="32"/>
        <v>0</v>
      </c>
      <c r="K59">
        <f ca="1">IF(OR($C59="S",$C59=0),0,MATCH(OFFSET($D59,0,$C59)+IF($C59&lt;&gt;1,1,COUNTIF(QCI!$A$13:$A$24,ORÇAMENTO!E59)),OFFSET($D59,1,$C59,ROW($C$264)-ROW($C59)),0))</f>
        <v>0</v>
      </c>
      <c r="L59" s="139" t="str">
        <f t="shared" ca="1" si="10"/>
        <v/>
      </c>
      <c r="M59" s="140" t="s">
        <v>199</v>
      </c>
      <c r="N59" s="141" t="str">
        <f t="shared" ca="1" si="11"/>
        <v>Serviço</v>
      </c>
      <c r="O59" s="142" t="str">
        <f t="shared" ca="1" si="12"/>
        <v>-</v>
      </c>
      <c r="P59" s="143" t="s">
        <v>247</v>
      </c>
      <c r="Q59" s="144"/>
      <c r="R59" s="145" t="str">
        <f ca="1">IF($C59="S",REFERENCIA.Descricao,"(digite a descrição aqui)")</f>
        <v>(abra o arquivo 'Referência 11-2024.xlsm)</v>
      </c>
      <c r="S59" s="146" t="str">
        <f ca="1">REFERENCIA.Unidade</f>
        <v>-</v>
      </c>
      <c r="T59" s="147">
        <f ca="1">OFFSET(CÁLCULO!H$15,ROW($T59)-ROW(T$15),0)</f>
        <v>0</v>
      </c>
      <c r="U59" s="148"/>
      <c r="V59" s="149" t="s">
        <v>156</v>
      </c>
      <c r="W59" s="147">
        <f ca="1">IF($C59="S",ROUND(IF(TIPOORCAMENTO="Proposto",ORÇAMENTO.CustoUnitario*(1+$AH59),ORÇAMENTO.PrecoUnitarioLicitado),15-13*$AF$10),0)</f>
        <v>0</v>
      </c>
      <c r="X59" s="150">
        <f ca="1">IF($C59="S",IF(Import.TipoArredondamento&lt;&gt;"TransfereGOV",VTOTAL1,SUM(OFFSET(CÁLCULO!$AA$15,ROW($X59)-ROW($X$15),1):OFFSET(CÁLCULO!$AL$15,ROW($X59)-ROW($X$15),-1))),IF($C59=0,0,ROUND(SomaAgrup,15-13*$AF$11)))</f>
        <v>0</v>
      </c>
      <c r="Y59" s="151" t="s">
        <v>245</v>
      </c>
      <c r="Z59" t="str">
        <f t="shared" ca="1" si="13"/>
        <v/>
      </c>
      <c r="AA59" s="152">
        <f ca="1">IF($C59="S",IF($Z59="CP",$X59,IF($Z59="RA",(($X59)*QCI!$AA$3),0)),SomaAgrup)</f>
        <v>0</v>
      </c>
      <c r="AB59" s="153">
        <f t="shared" ca="1" si="14"/>
        <v>0</v>
      </c>
      <c r="AC59" s="154" t="str">
        <f ca="1">IF($N59="","",IF(ORÇAMENTO.Descricao="","DESCRIÇÃO",IF(AND($C59="S",ORÇAMENTO.Unidade=""),"UNIDADE",IF($X59&lt;0,"VALOR NEGATIVO",IF(OR(AND(TIPOORCAMENTO="Proposto",$AG59&lt;&gt;"",$AG59&gt;0,ORÇAMENTO.CustoUnitario&gt;$AG59),AND(TIPOORCAMENTO="LICITADO",ORÇAMENTO.PrecoUnitarioLicitado&gt;$AN59)),"ACIMA REF.","")))))</f>
        <v/>
      </c>
      <c r="AD59" s="100" t="str">
        <f ca="1">IF(C59&lt;=CRONO.NivelExibicao,MAX($AD$15:OFFSET(AD59,-1,0))+IF($C59&lt;&gt;1,1,MAX(1,COUNTIF(QCI!$A$13:$A$24,OFFSET($E59,-1,0)))),"")</f>
        <v/>
      </c>
      <c r="AE59" s="110" t="b">
        <f ca="1">IF(AND($C59="S",ORÇAMENTO.CodBarra&lt;&gt;""),IF(ORÇAMENTO.Fonte="",ORÇAMENTO.CodBarra,CONCATENATE(ORÇAMENTO.Fonte," ",ORÇAMENTO.CodBarra)))</f>
        <v>0</v>
      </c>
      <c r="AF59" s="155" t="str">
        <f ca="1">IF(ISERROR(INDIRECT(ORÇAMENTO.BancoRef)),"(abra o arquivo 'Referência "&amp;Excel_BuiltIn_Database&amp;".xlsm)",IF(OR($C59&lt;&gt;"S",ORÇAMENTO.CodBarra=""),"(Sem Código)",IF(ISERROR(MATCH($AE59,INDIRECT(ORÇAMENTO.BancoRef),0)),"(Código não identificado nas referências)",MATCH($AE59,INDIRECT(ORÇAMENTO.BancoRef),0))))</f>
        <v>(abra o arquivo 'Referência 11-2024.xlsm)</v>
      </c>
      <c r="AG59" s="574">
        <f ca="1">ROUND(IF(DESONERACAO="sim",REFERENCIA.Desonerado,REFERENCIA.NaoDesonerado),2)</f>
        <v>0</v>
      </c>
      <c r="AH59" s="575">
        <f t="shared" ca="1" si="15"/>
        <v>0.22</v>
      </c>
      <c r="AJ59" s="577"/>
      <c r="AL59" s="607"/>
      <c r="AM59" s="426">
        <f t="shared" ca="1" si="0"/>
        <v>0</v>
      </c>
      <c r="AN59" s="650">
        <f t="shared" ca="1" si="16"/>
        <v>0</v>
      </c>
    </row>
    <row r="60" spans="1:40" ht="13.8" hidden="1">
      <c r="A60" t="str">
        <f t="shared" si="1"/>
        <v>S</v>
      </c>
      <c r="B60">
        <f t="shared" ca="1" si="2"/>
        <v>2</v>
      </c>
      <c r="C60" t="str">
        <f t="shared" ca="1" si="3"/>
        <v>S</v>
      </c>
      <c r="D60">
        <f t="shared" ca="1" si="4"/>
        <v>0</v>
      </c>
      <c r="E60">
        <f ca="1">IF($C60=1,OFFSET(E60,-1,0)+MAX(1,COUNTIF(QCI!$A$13:$A$24,OFFSET(ORÇAMENTO!E60,-1,0))),OFFSET(E60,-1,0))</f>
        <v>1</v>
      </c>
      <c r="F60">
        <f t="shared" ca="1" si="5"/>
        <v>5</v>
      </c>
      <c r="G60">
        <f t="shared" ca="1" si="6"/>
        <v>0</v>
      </c>
      <c r="H60">
        <f t="shared" ca="1" si="7"/>
        <v>0</v>
      </c>
      <c r="I60">
        <f t="shared" ca="1" si="8"/>
        <v>2</v>
      </c>
      <c r="J60">
        <f t="shared" ca="1" si="32"/>
        <v>0</v>
      </c>
      <c r="K60">
        <f ca="1">IF(OR($C60="S",$C60=0),0,MATCH(OFFSET($D60,0,$C60)+IF($C60&lt;&gt;1,1,COUNTIF(QCI!$A$13:$A$24,ORÇAMENTO!E60)),OFFSET($D60,1,$C60,ROW($C$264)-ROW($C60)),0))</f>
        <v>0</v>
      </c>
      <c r="L60" s="139" t="str">
        <f t="shared" ca="1" si="10"/>
        <v/>
      </c>
      <c r="M60" s="140" t="s">
        <v>199</v>
      </c>
      <c r="N60" s="141" t="str">
        <f t="shared" ca="1" si="11"/>
        <v>Serviço</v>
      </c>
      <c r="O60" s="142" t="str">
        <f t="shared" ca="1" si="12"/>
        <v>-</v>
      </c>
      <c r="P60" s="143" t="s">
        <v>247</v>
      </c>
      <c r="Q60" s="144"/>
      <c r="R60" s="145" t="str">
        <f ca="1">IF($C60="S",REFERENCIA.Descricao,"(digite a descrição aqui)")</f>
        <v>(abra o arquivo 'Referência 11-2024.xlsm)</v>
      </c>
      <c r="S60" s="146" t="str">
        <f ca="1">REFERENCIA.Unidade</f>
        <v>-</v>
      </c>
      <c r="T60" s="147">
        <f ca="1">OFFSET(CÁLCULO!H$15,ROW($T60)-ROW(T$15),0)</f>
        <v>0</v>
      </c>
      <c r="U60" s="148"/>
      <c r="V60" s="149" t="s">
        <v>156</v>
      </c>
      <c r="W60" s="147">
        <f ca="1">IF($C60="S",ROUND(IF(TIPOORCAMENTO="Proposto",ORÇAMENTO.CustoUnitario*(1+$AH60),ORÇAMENTO.PrecoUnitarioLicitado),15-13*$AF$10),0)</f>
        <v>0</v>
      </c>
      <c r="X60" s="150">
        <f ca="1">IF($C60="S",IF(Import.TipoArredondamento&lt;&gt;"TransfereGOV",VTOTAL1,SUM(OFFSET(CÁLCULO!$AA$15,ROW($X60)-ROW($X$15),1):OFFSET(CÁLCULO!$AL$15,ROW($X60)-ROW($X$15),-1))),IF($C60=0,0,ROUND(SomaAgrup,15-13*$AF$11)))</f>
        <v>0</v>
      </c>
      <c r="Y60" s="151" t="s">
        <v>245</v>
      </c>
      <c r="Z60" t="str">
        <f t="shared" ca="1" si="13"/>
        <v/>
      </c>
      <c r="AA60" s="152">
        <f ca="1">IF($C60="S",IF($Z60="CP",$X60,IF($Z60="RA",(($X60)*QCI!$AA$3),0)),SomaAgrup)</f>
        <v>0</v>
      </c>
      <c r="AB60" s="153">
        <f t="shared" ca="1" si="14"/>
        <v>0</v>
      </c>
      <c r="AC60" s="154" t="str">
        <f ca="1">IF($N60="","",IF(ORÇAMENTO.Descricao="","DESCRIÇÃO",IF(AND($C60="S",ORÇAMENTO.Unidade=""),"UNIDADE",IF($X60&lt;0,"VALOR NEGATIVO",IF(OR(AND(TIPOORCAMENTO="Proposto",$AG60&lt;&gt;"",$AG60&gt;0,ORÇAMENTO.CustoUnitario&gt;$AG60),AND(TIPOORCAMENTO="LICITADO",ORÇAMENTO.PrecoUnitarioLicitado&gt;$AN60)),"ACIMA REF.","")))))</f>
        <v/>
      </c>
      <c r="AD60" s="100" t="str">
        <f ca="1">IF(C60&lt;=CRONO.NivelExibicao,MAX($AD$15:OFFSET(AD60,-1,0))+IF($C60&lt;&gt;1,1,MAX(1,COUNTIF(QCI!$A$13:$A$24,OFFSET($E60,-1,0)))),"")</f>
        <v/>
      </c>
      <c r="AE60" s="110" t="b">
        <f ca="1">IF(AND($C60="S",ORÇAMENTO.CodBarra&lt;&gt;""),IF(ORÇAMENTO.Fonte="",ORÇAMENTO.CodBarra,CONCATENATE(ORÇAMENTO.Fonte," ",ORÇAMENTO.CodBarra)))</f>
        <v>0</v>
      </c>
      <c r="AF60" s="155" t="str">
        <f ca="1">IF(ISERROR(INDIRECT(ORÇAMENTO.BancoRef)),"(abra o arquivo 'Referência "&amp;Excel_BuiltIn_Database&amp;".xlsm)",IF(OR($C60&lt;&gt;"S",ORÇAMENTO.CodBarra=""),"(Sem Código)",IF(ISERROR(MATCH($AE60,INDIRECT(ORÇAMENTO.BancoRef),0)),"(Código não identificado nas referências)",MATCH($AE60,INDIRECT(ORÇAMENTO.BancoRef),0))))</f>
        <v>(abra o arquivo 'Referência 11-2024.xlsm)</v>
      </c>
      <c r="AG60" s="574">
        <f ca="1">ROUND(IF(DESONERACAO="sim",REFERENCIA.Desonerado,REFERENCIA.NaoDesonerado),2)</f>
        <v>0</v>
      </c>
      <c r="AH60" s="575">
        <f t="shared" ca="1" si="15"/>
        <v>0.22</v>
      </c>
      <c r="AJ60" s="577"/>
      <c r="AL60" s="607"/>
      <c r="AM60" s="426">
        <f t="shared" ca="1" si="0"/>
        <v>0</v>
      </c>
      <c r="AN60" s="650">
        <f t="shared" ca="1" si="16"/>
        <v>0</v>
      </c>
    </row>
    <row r="61" spans="1:40" ht="13.8" hidden="1">
      <c r="A61" t="str">
        <f t="shared" si="1"/>
        <v>S</v>
      </c>
      <c r="B61">
        <f t="shared" ca="1" si="2"/>
        <v>2</v>
      </c>
      <c r="C61" t="str">
        <f t="shared" ca="1" si="3"/>
        <v>S</v>
      </c>
      <c r="D61">
        <f t="shared" ca="1" si="4"/>
        <v>0</v>
      </c>
      <c r="E61">
        <f ca="1">IF($C61=1,OFFSET(E61,-1,0)+MAX(1,COUNTIF(QCI!$A$13:$A$24,OFFSET(ORÇAMENTO!E61,-1,0))),OFFSET(E61,-1,0))</f>
        <v>1</v>
      </c>
      <c r="F61">
        <f t="shared" ca="1" si="5"/>
        <v>5</v>
      </c>
      <c r="G61">
        <f t="shared" ca="1" si="6"/>
        <v>0</v>
      </c>
      <c r="H61">
        <f t="shared" ca="1" si="7"/>
        <v>0</v>
      </c>
      <c r="I61">
        <f t="shared" ca="1" si="8"/>
        <v>2</v>
      </c>
      <c r="J61">
        <f t="shared" ca="1" si="32"/>
        <v>0</v>
      </c>
      <c r="K61">
        <f ca="1">IF(OR($C61="S",$C61=0),0,MATCH(OFFSET($D61,0,$C61)+IF($C61&lt;&gt;1,1,COUNTIF(QCI!$A$13:$A$24,ORÇAMENTO!E61)),OFFSET($D61,1,$C61,ROW($C$264)-ROW($C61)),0))</f>
        <v>0</v>
      </c>
      <c r="L61" s="139" t="str">
        <f t="shared" ca="1" si="10"/>
        <v/>
      </c>
      <c r="M61" s="140" t="s">
        <v>199</v>
      </c>
      <c r="N61" s="141" t="str">
        <f t="shared" ca="1" si="11"/>
        <v>Serviço</v>
      </c>
      <c r="O61" s="142" t="str">
        <f t="shared" ca="1" si="12"/>
        <v>-</v>
      </c>
      <c r="P61" s="143" t="s">
        <v>247</v>
      </c>
      <c r="Q61" s="144"/>
      <c r="R61" s="145" t="str">
        <f ca="1">IF($C61="S",REFERENCIA.Descricao,"(digite a descrição aqui)")</f>
        <v>(abra o arquivo 'Referência 11-2024.xlsm)</v>
      </c>
      <c r="S61" s="146" t="str">
        <f ca="1">REFERENCIA.Unidade</f>
        <v>-</v>
      </c>
      <c r="T61" s="147">
        <f ca="1">OFFSET(CÁLCULO!H$15,ROW($T61)-ROW(T$15),0)</f>
        <v>0</v>
      </c>
      <c r="U61" s="148"/>
      <c r="V61" s="149" t="s">
        <v>156</v>
      </c>
      <c r="W61" s="147">
        <f ca="1">IF($C61="S",ROUND(IF(TIPOORCAMENTO="Proposto",ORÇAMENTO.CustoUnitario*(1+$AH61),ORÇAMENTO.PrecoUnitarioLicitado),15-13*$AF$10),0)</f>
        <v>0</v>
      </c>
      <c r="X61" s="150">
        <f ca="1">IF($C61="S",IF(Import.TipoArredondamento&lt;&gt;"TransfereGOV",VTOTAL1,SUM(OFFSET(CÁLCULO!$AA$15,ROW($X61)-ROW($X$15),1):OFFSET(CÁLCULO!$AL$15,ROW($X61)-ROW($X$15),-1))),IF($C61=0,0,ROUND(SomaAgrup,15-13*$AF$11)))</f>
        <v>0</v>
      </c>
      <c r="Y61" s="151" t="s">
        <v>245</v>
      </c>
      <c r="Z61" t="str">
        <f t="shared" ca="1" si="13"/>
        <v/>
      </c>
      <c r="AA61" s="152">
        <f ca="1">IF($C61="S",IF($Z61="CP",$X61,IF($Z61="RA",(($X61)*QCI!$AA$3),0)),SomaAgrup)</f>
        <v>0</v>
      </c>
      <c r="AB61" s="153">
        <f t="shared" ca="1" si="14"/>
        <v>0</v>
      </c>
      <c r="AC61" s="154" t="str">
        <f ca="1">IF($N61="","",IF(ORÇAMENTO.Descricao="","DESCRIÇÃO",IF(AND($C61="S",ORÇAMENTO.Unidade=""),"UNIDADE",IF($X61&lt;0,"VALOR NEGATIVO",IF(OR(AND(TIPOORCAMENTO="Proposto",$AG61&lt;&gt;"",$AG61&gt;0,ORÇAMENTO.CustoUnitario&gt;$AG61),AND(TIPOORCAMENTO="LICITADO",ORÇAMENTO.PrecoUnitarioLicitado&gt;$AN61)),"ACIMA REF.","")))))</f>
        <v/>
      </c>
      <c r="AD61" s="100" t="str">
        <f ca="1">IF(C61&lt;=CRONO.NivelExibicao,MAX($AD$15:OFFSET(AD61,-1,0))+IF($C61&lt;&gt;1,1,MAX(1,COUNTIF(QCI!$A$13:$A$24,OFFSET($E61,-1,0)))),"")</f>
        <v/>
      </c>
      <c r="AE61" s="110" t="b">
        <f ca="1">IF(AND($C61="S",ORÇAMENTO.CodBarra&lt;&gt;""),IF(ORÇAMENTO.Fonte="",ORÇAMENTO.CodBarra,CONCATENATE(ORÇAMENTO.Fonte," ",ORÇAMENTO.CodBarra)))</f>
        <v>0</v>
      </c>
      <c r="AF61" s="155" t="str">
        <f ca="1">IF(ISERROR(INDIRECT(ORÇAMENTO.BancoRef)),"(abra o arquivo 'Referência "&amp;Excel_BuiltIn_Database&amp;".xlsm)",IF(OR($C61&lt;&gt;"S",ORÇAMENTO.CodBarra=""),"(Sem Código)",IF(ISERROR(MATCH($AE61,INDIRECT(ORÇAMENTO.BancoRef),0)),"(Código não identificado nas referências)",MATCH($AE61,INDIRECT(ORÇAMENTO.BancoRef),0))))</f>
        <v>(abra o arquivo 'Referência 11-2024.xlsm)</v>
      </c>
      <c r="AG61" s="574">
        <f ca="1">ROUND(IF(DESONERACAO="sim",REFERENCIA.Desonerado,REFERENCIA.NaoDesonerado),2)</f>
        <v>0</v>
      </c>
      <c r="AH61" s="575">
        <f t="shared" ca="1" si="15"/>
        <v>0.22</v>
      </c>
      <c r="AJ61" s="577"/>
      <c r="AL61" s="607"/>
      <c r="AM61" s="426">
        <f t="shared" ca="1" si="0"/>
        <v>0</v>
      </c>
      <c r="AN61" s="650">
        <f t="shared" ca="1" si="16"/>
        <v>0</v>
      </c>
    </row>
    <row r="62" spans="1:40" ht="13.8" hidden="1">
      <c r="A62" t="str">
        <f t="shared" si="1"/>
        <v>S</v>
      </c>
      <c r="B62">
        <f t="shared" ca="1" si="2"/>
        <v>2</v>
      </c>
      <c r="C62" t="str">
        <f t="shared" ca="1" si="3"/>
        <v>S</v>
      </c>
      <c r="D62">
        <f t="shared" ca="1" si="4"/>
        <v>0</v>
      </c>
      <c r="E62">
        <f ca="1">IF($C62=1,OFFSET(E62,-1,0)+MAX(1,COUNTIF(QCI!$A$13:$A$24,OFFSET(ORÇAMENTO!E62,-1,0))),OFFSET(E62,-1,0))</f>
        <v>1</v>
      </c>
      <c r="F62">
        <f t="shared" ca="1" si="5"/>
        <v>5</v>
      </c>
      <c r="G62">
        <f t="shared" ca="1" si="6"/>
        <v>0</v>
      </c>
      <c r="H62">
        <f t="shared" ca="1" si="7"/>
        <v>0</v>
      </c>
      <c r="I62">
        <f t="shared" ca="1" si="8"/>
        <v>2</v>
      </c>
      <c r="J62">
        <f t="shared" ca="1" si="32"/>
        <v>0</v>
      </c>
      <c r="K62">
        <f ca="1">IF(OR($C62="S",$C62=0),0,MATCH(OFFSET($D62,0,$C62)+IF($C62&lt;&gt;1,1,COUNTIF(QCI!$A$13:$A$24,ORÇAMENTO!E62)),OFFSET($D62,1,$C62,ROW($C$264)-ROW($C62)),0))</f>
        <v>0</v>
      </c>
      <c r="L62" s="139" t="str">
        <f t="shared" ca="1" si="10"/>
        <v/>
      </c>
      <c r="M62" s="140" t="s">
        <v>199</v>
      </c>
      <c r="N62" s="141" t="str">
        <f t="shared" ca="1" si="11"/>
        <v>Serviço</v>
      </c>
      <c r="O62" s="142" t="str">
        <f t="shared" ca="1" si="12"/>
        <v>-</v>
      </c>
      <c r="P62" s="143" t="s">
        <v>247</v>
      </c>
      <c r="Q62" s="144"/>
      <c r="R62" s="145" t="str">
        <f ca="1">IF($C62="S",REFERENCIA.Descricao,"(digite a descrição aqui)")</f>
        <v>(abra o arquivo 'Referência 11-2024.xlsm)</v>
      </c>
      <c r="S62" s="146" t="str">
        <f ca="1">REFERENCIA.Unidade</f>
        <v>-</v>
      </c>
      <c r="T62" s="147">
        <f ca="1">OFFSET(CÁLCULO!H$15,ROW($T62)-ROW(T$15),0)</f>
        <v>0</v>
      </c>
      <c r="U62" s="148"/>
      <c r="V62" s="149" t="s">
        <v>156</v>
      </c>
      <c r="W62" s="147">
        <f ca="1">IF($C62="S",ROUND(IF(TIPOORCAMENTO="Proposto",ORÇAMENTO.CustoUnitario*(1+$AH62),ORÇAMENTO.PrecoUnitarioLicitado),15-13*$AF$10),0)</f>
        <v>0</v>
      </c>
      <c r="X62" s="150">
        <f ca="1">IF($C62="S",IF(Import.TipoArredondamento&lt;&gt;"TransfereGOV",VTOTAL1,SUM(OFFSET(CÁLCULO!$AA$15,ROW($X62)-ROW($X$15),1):OFFSET(CÁLCULO!$AL$15,ROW($X62)-ROW($X$15),-1))),IF($C62=0,0,ROUND(SomaAgrup,15-13*$AF$11)))</f>
        <v>0</v>
      </c>
      <c r="Y62" s="151" t="s">
        <v>245</v>
      </c>
      <c r="Z62" t="str">
        <f t="shared" ca="1" si="13"/>
        <v/>
      </c>
      <c r="AA62" s="152">
        <f ca="1">IF($C62="S",IF($Z62="CP",$X62,IF($Z62="RA",(($X62)*QCI!$AA$3),0)),SomaAgrup)</f>
        <v>0</v>
      </c>
      <c r="AB62" s="153">
        <f t="shared" ca="1" si="14"/>
        <v>0</v>
      </c>
      <c r="AC62" s="154" t="str">
        <f ca="1">IF($N62="","",IF(ORÇAMENTO.Descricao="","DESCRIÇÃO",IF(AND($C62="S",ORÇAMENTO.Unidade=""),"UNIDADE",IF($X62&lt;0,"VALOR NEGATIVO",IF(OR(AND(TIPOORCAMENTO="Proposto",$AG62&lt;&gt;"",$AG62&gt;0,ORÇAMENTO.CustoUnitario&gt;$AG62),AND(TIPOORCAMENTO="LICITADO",ORÇAMENTO.PrecoUnitarioLicitado&gt;$AN62)),"ACIMA REF.","")))))</f>
        <v/>
      </c>
      <c r="AD62" s="100" t="str">
        <f ca="1">IF(C62&lt;=CRONO.NivelExibicao,MAX($AD$15:OFFSET(AD62,-1,0))+IF($C62&lt;&gt;1,1,MAX(1,COUNTIF(QCI!$A$13:$A$24,OFFSET($E62,-1,0)))),"")</f>
        <v/>
      </c>
      <c r="AE62" s="110" t="b">
        <f ca="1">IF(AND($C62="S",ORÇAMENTO.CodBarra&lt;&gt;""),IF(ORÇAMENTO.Fonte="",ORÇAMENTO.CodBarra,CONCATENATE(ORÇAMENTO.Fonte," ",ORÇAMENTO.CodBarra)))</f>
        <v>0</v>
      </c>
      <c r="AF62" s="155" t="str">
        <f ca="1">IF(ISERROR(INDIRECT(ORÇAMENTO.BancoRef)),"(abra o arquivo 'Referência "&amp;Excel_BuiltIn_Database&amp;".xlsm)",IF(OR($C62&lt;&gt;"S",ORÇAMENTO.CodBarra=""),"(Sem Código)",IF(ISERROR(MATCH($AE62,INDIRECT(ORÇAMENTO.BancoRef),0)),"(Código não identificado nas referências)",MATCH($AE62,INDIRECT(ORÇAMENTO.BancoRef),0))))</f>
        <v>(abra o arquivo 'Referência 11-2024.xlsm)</v>
      </c>
      <c r="AG62" s="574">
        <f ca="1">ROUND(IF(DESONERACAO="sim",REFERENCIA.Desonerado,REFERENCIA.NaoDesonerado),2)</f>
        <v>0</v>
      </c>
      <c r="AH62" s="575">
        <f t="shared" ca="1" si="15"/>
        <v>0.22</v>
      </c>
      <c r="AJ62" s="577"/>
      <c r="AL62" s="607"/>
      <c r="AM62" s="426">
        <f t="shared" ca="1" si="0"/>
        <v>0</v>
      </c>
      <c r="AN62" s="650">
        <f t="shared" ca="1" si="16"/>
        <v>0</v>
      </c>
    </row>
    <row r="63" spans="1:40" ht="13.8" hidden="1">
      <c r="A63" t="str">
        <f t="shared" si="1"/>
        <v>S</v>
      </c>
      <c r="B63">
        <f t="shared" ca="1" si="2"/>
        <v>2</v>
      </c>
      <c r="C63" t="str">
        <f t="shared" ca="1" si="3"/>
        <v>S</v>
      </c>
      <c r="D63">
        <f t="shared" ca="1" si="4"/>
        <v>0</v>
      </c>
      <c r="E63">
        <f ca="1">IF($C63=1,OFFSET(E63,-1,0)+MAX(1,COUNTIF(QCI!$A$13:$A$24,OFFSET(ORÇAMENTO!E63,-1,0))),OFFSET(E63,-1,0))</f>
        <v>1</v>
      </c>
      <c r="F63">
        <f t="shared" ca="1" si="5"/>
        <v>5</v>
      </c>
      <c r="G63">
        <f t="shared" ca="1" si="6"/>
        <v>0</v>
      </c>
      <c r="H63">
        <f t="shared" ca="1" si="7"/>
        <v>0</v>
      </c>
      <c r="I63">
        <f t="shared" ca="1" si="8"/>
        <v>2</v>
      </c>
      <c r="J63">
        <f t="shared" ca="1" si="32"/>
        <v>0</v>
      </c>
      <c r="K63">
        <f ca="1">IF(OR($C63="S",$C63=0),0,MATCH(OFFSET($D63,0,$C63)+IF($C63&lt;&gt;1,1,COUNTIF(QCI!$A$13:$A$24,ORÇAMENTO!E63)),OFFSET($D63,1,$C63,ROW($C$264)-ROW($C63)),0))</f>
        <v>0</v>
      </c>
      <c r="L63" s="139" t="str">
        <f t="shared" ca="1" si="10"/>
        <v/>
      </c>
      <c r="M63" s="140" t="s">
        <v>199</v>
      </c>
      <c r="N63" s="141" t="str">
        <f t="shared" ca="1" si="11"/>
        <v>Serviço</v>
      </c>
      <c r="O63" s="142" t="str">
        <f t="shared" ca="1" si="12"/>
        <v>-</v>
      </c>
      <c r="P63" s="143" t="s">
        <v>247</v>
      </c>
      <c r="Q63" s="144"/>
      <c r="R63" s="145" t="str">
        <f ca="1">IF($C63="S",REFERENCIA.Descricao,"(digite a descrição aqui)")</f>
        <v>(abra o arquivo 'Referência 11-2024.xlsm)</v>
      </c>
      <c r="S63" s="146" t="str">
        <f ca="1">REFERENCIA.Unidade</f>
        <v>-</v>
      </c>
      <c r="T63" s="147">
        <f ca="1">OFFSET(CÁLCULO!H$15,ROW($T63)-ROW(T$15),0)</f>
        <v>0</v>
      </c>
      <c r="U63" s="148"/>
      <c r="V63" s="149" t="s">
        <v>156</v>
      </c>
      <c r="W63" s="147">
        <f ca="1">IF($C63="S",ROUND(IF(TIPOORCAMENTO="Proposto",ORÇAMENTO.CustoUnitario*(1+$AH63),ORÇAMENTO.PrecoUnitarioLicitado),15-13*$AF$10),0)</f>
        <v>0</v>
      </c>
      <c r="X63" s="150">
        <f ca="1">IF($C63="S",IF(Import.TipoArredondamento&lt;&gt;"TransfereGOV",VTOTAL1,SUM(OFFSET(CÁLCULO!$AA$15,ROW($X63)-ROW($X$15),1):OFFSET(CÁLCULO!$AL$15,ROW($X63)-ROW($X$15),-1))),IF($C63=0,0,ROUND(SomaAgrup,15-13*$AF$11)))</f>
        <v>0</v>
      </c>
      <c r="Y63" s="151" t="s">
        <v>245</v>
      </c>
      <c r="Z63" t="str">
        <f t="shared" ca="1" si="13"/>
        <v/>
      </c>
      <c r="AA63" s="152">
        <f ca="1">IF($C63="S",IF($Z63="CP",$X63,IF($Z63="RA",(($X63)*QCI!$AA$3),0)),SomaAgrup)</f>
        <v>0</v>
      </c>
      <c r="AB63" s="153">
        <f t="shared" ca="1" si="14"/>
        <v>0</v>
      </c>
      <c r="AC63" s="154" t="str">
        <f ca="1">IF($N63="","",IF(ORÇAMENTO.Descricao="","DESCRIÇÃO",IF(AND($C63="S",ORÇAMENTO.Unidade=""),"UNIDADE",IF($X63&lt;0,"VALOR NEGATIVO",IF(OR(AND(TIPOORCAMENTO="Proposto",$AG63&lt;&gt;"",$AG63&gt;0,ORÇAMENTO.CustoUnitario&gt;$AG63),AND(TIPOORCAMENTO="LICITADO",ORÇAMENTO.PrecoUnitarioLicitado&gt;$AN63)),"ACIMA REF.","")))))</f>
        <v/>
      </c>
      <c r="AD63" s="100" t="str">
        <f ca="1">IF(C63&lt;=CRONO.NivelExibicao,MAX($AD$15:OFFSET(AD63,-1,0))+IF($C63&lt;&gt;1,1,MAX(1,COUNTIF(QCI!$A$13:$A$24,OFFSET($E63,-1,0)))),"")</f>
        <v/>
      </c>
      <c r="AE63" s="110" t="b">
        <f ca="1">IF(AND($C63="S",ORÇAMENTO.CodBarra&lt;&gt;""),IF(ORÇAMENTO.Fonte="",ORÇAMENTO.CodBarra,CONCATENATE(ORÇAMENTO.Fonte," ",ORÇAMENTO.CodBarra)))</f>
        <v>0</v>
      </c>
      <c r="AF63" s="155" t="str">
        <f ca="1">IF(ISERROR(INDIRECT(ORÇAMENTO.BancoRef)),"(abra o arquivo 'Referência "&amp;Excel_BuiltIn_Database&amp;".xlsm)",IF(OR($C63&lt;&gt;"S",ORÇAMENTO.CodBarra=""),"(Sem Código)",IF(ISERROR(MATCH($AE63,INDIRECT(ORÇAMENTO.BancoRef),0)),"(Código não identificado nas referências)",MATCH($AE63,INDIRECT(ORÇAMENTO.BancoRef),0))))</f>
        <v>(abra o arquivo 'Referência 11-2024.xlsm)</v>
      </c>
      <c r="AG63" s="574">
        <f ca="1">ROUND(IF(DESONERACAO="sim",REFERENCIA.Desonerado,REFERENCIA.NaoDesonerado),2)</f>
        <v>0</v>
      </c>
      <c r="AH63" s="575">
        <f t="shared" ca="1" si="15"/>
        <v>0.22</v>
      </c>
      <c r="AJ63" s="577"/>
      <c r="AL63" s="607"/>
      <c r="AM63" s="426">
        <f t="shared" ca="1" si="0"/>
        <v>0</v>
      </c>
      <c r="AN63" s="650">
        <f t="shared" ca="1" si="16"/>
        <v>0</v>
      </c>
    </row>
    <row r="64" spans="1:40" ht="13.8" hidden="1">
      <c r="A64" t="str">
        <f t="shared" si="1"/>
        <v>S</v>
      </c>
      <c r="B64">
        <f t="shared" ca="1" si="2"/>
        <v>2</v>
      </c>
      <c r="C64" t="str">
        <f t="shared" ca="1" si="3"/>
        <v>S</v>
      </c>
      <c r="D64">
        <f t="shared" ca="1" si="4"/>
        <v>0</v>
      </c>
      <c r="E64">
        <f ca="1">IF($C64=1,OFFSET(E64,-1,0)+MAX(1,COUNTIF(QCI!$A$13:$A$24,OFFSET(ORÇAMENTO!E64,-1,0))),OFFSET(E64,-1,0))</f>
        <v>1</v>
      </c>
      <c r="F64">
        <f t="shared" ca="1" si="5"/>
        <v>5</v>
      </c>
      <c r="G64">
        <f t="shared" ca="1" si="6"/>
        <v>0</v>
      </c>
      <c r="H64">
        <f t="shared" ca="1" si="7"/>
        <v>0</v>
      </c>
      <c r="I64">
        <f t="shared" ca="1" si="8"/>
        <v>2</v>
      </c>
      <c r="J64">
        <f t="shared" ca="1" si="32"/>
        <v>0</v>
      </c>
      <c r="K64">
        <f ca="1">IF(OR($C64="S",$C64=0),0,MATCH(OFFSET($D64,0,$C64)+IF($C64&lt;&gt;1,1,COUNTIF(QCI!$A$13:$A$24,ORÇAMENTO!E64)),OFFSET($D64,1,$C64,ROW($C$264)-ROW($C64)),0))</f>
        <v>0</v>
      </c>
      <c r="L64" s="139" t="str">
        <f t="shared" ca="1" si="10"/>
        <v/>
      </c>
      <c r="M64" s="140" t="s">
        <v>199</v>
      </c>
      <c r="N64" s="141" t="str">
        <f t="shared" ca="1" si="11"/>
        <v>Serviço</v>
      </c>
      <c r="O64" s="142" t="str">
        <f t="shared" ca="1" si="12"/>
        <v>-</v>
      </c>
      <c r="P64" s="143" t="s">
        <v>247</v>
      </c>
      <c r="Q64" s="144"/>
      <c r="R64" s="145" t="str">
        <f ca="1">IF($C64="S",REFERENCIA.Descricao,"(digite a descrição aqui)")</f>
        <v>(abra o arquivo 'Referência 11-2024.xlsm)</v>
      </c>
      <c r="S64" s="146" t="str">
        <f ca="1">REFERENCIA.Unidade</f>
        <v>-</v>
      </c>
      <c r="T64" s="147">
        <f ca="1">OFFSET(CÁLCULO!H$15,ROW($T64)-ROW(T$15),0)</f>
        <v>0</v>
      </c>
      <c r="U64" s="148"/>
      <c r="V64" s="149" t="s">
        <v>156</v>
      </c>
      <c r="W64" s="147">
        <f ca="1">IF($C64="S",ROUND(IF(TIPOORCAMENTO="Proposto",ORÇAMENTO.CustoUnitario*(1+$AH64),ORÇAMENTO.PrecoUnitarioLicitado),15-13*$AF$10),0)</f>
        <v>0</v>
      </c>
      <c r="X64" s="150">
        <f ca="1">IF($C64="S",IF(Import.TipoArredondamento&lt;&gt;"TransfereGOV",VTOTAL1,SUM(OFFSET(CÁLCULO!$AA$15,ROW($X64)-ROW($X$15),1):OFFSET(CÁLCULO!$AL$15,ROW($X64)-ROW($X$15),-1))),IF($C64=0,0,ROUND(SomaAgrup,15-13*$AF$11)))</f>
        <v>0</v>
      </c>
      <c r="Y64" s="151" t="s">
        <v>245</v>
      </c>
      <c r="Z64" t="str">
        <f t="shared" ca="1" si="13"/>
        <v/>
      </c>
      <c r="AA64" s="152">
        <f ca="1">IF($C64="S",IF($Z64="CP",$X64,IF($Z64="RA",(($X64)*QCI!$AA$3),0)),SomaAgrup)</f>
        <v>0</v>
      </c>
      <c r="AB64" s="153">
        <f t="shared" ca="1" si="14"/>
        <v>0</v>
      </c>
      <c r="AC64" s="154" t="str">
        <f ca="1">IF($N64="","",IF(ORÇAMENTO.Descricao="","DESCRIÇÃO",IF(AND($C64="S",ORÇAMENTO.Unidade=""),"UNIDADE",IF($X64&lt;0,"VALOR NEGATIVO",IF(OR(AND(TIPOORCAMENTO="Proposto",$AG64&lt;&gt;"",$AG64&gt;0,ORÇAMENTO.CustoUnitario&gt;$AG64),AND(TIPOORCAMENTO="LICITADO",ORÇAMENTO.PrecoUnitarioLicitado&gt;$AN64)),"ACIMA REF.","")))))</f>
        <v/>
      </c>
      <c r="AD64" s="100" t="str">
        <f ca="1">IF(C64&lt;=CRONO.NivelExibicao,MAX($AD$15:OFFSET(AD64,-1,0))+IF($C64&lt;&gt;1,1,MAX(1,COUNTIF(QCI!$A$13:$A$24,OFFSET($E64,-1,0)))),"")</f>
        <v/>
      </c>
      <c r="AE64" s="110" t="b">
        <f ca="1">IF(AND($C64="S",ORÇAMENTO.CodBarra&lt;&gt;""),IF(ORÇAMENTO.Fonte="",ORÇAMENTO.CodBarra,CONCATENATE(ORÇAMENTO.Fonte," ",ORÇAMENTO.CodBarra)))</f>
        <v>0</v>
      </c>
      <c r="AF64" s="155" t="str">
        <f ca="1">IF(ISERROR(INDIRECT(ORÇAMENTO.BancoRef)),"(abra o arquivo 'Referência "&amp;Excel_BuiltIn_Database&amp;".xlsm)",IF(OR($C64&lt;&gt;"S",ORÇAMENTO.CodBarra=""),"(Sem Código)",IF(ISERROR(MATCH($AE64,INDIRECT(ORÇAMENTO.BancoRef),0)),"(Código não identificado nas referências)",MATCH($AE64,INDIRECT(ORÇAMENTO.BancoRef),0))))</f>
        <v>(abra o arquivo 'Referência 11-2024.xlsm)</v>
      </c>
      <c r="AG64" s="574">
        <f ca="1">ROUND(IF(DESONERACAO="sim",REFERENCIA.Desonerado,REFERENCIA.NaoDesonerado),2)</f>
        <v>0</v>
      </c>
      <c r="AH64" s="575">
        <f t="shared" ca="1" si="15"/>
        <v>0.22</v>
      </c>
      <c r="AJ64" s="577"/>
      <c r="AL64" s="607"/>
      <c r="AM64" s="426">
        <f t="shared" ca="1" si="0"/>
        <v>0</v>
      </c>
      <c r="AN64" s="650">
        <f t="shared" ca="1" si="16"/>
        <v>0</v>
      </c>
    </row>
    <row r="65" spans="1:40" ht="13.8" hidden="1">
      <c r="A65" t="str">
        <f t="shared" si="1"/>
        <v>S</v>
      </c>
      <c r="B65">
        <f t="shared" ca="1" si="2"/>
        <v>2</v>
      </c>
      <c r="C65" t="str">
        <f t="shared" ca="1" si="3"/>
        <v>S</v>
      </c>
      <c r="D65">
        <f t="shared" ca="1" si="4"/>
        <v>0</v>
      </c>
      <c r="E65">
        <f ca="1">IF($C65=1,OFFSET(E65,-1,0)+MAX(1,COUNTIF(QCI!$A$13:$A$24,OFFSET(ORÇAMENTO!E65,-1,0))),OFFSET(E65,-1,0))</f>
        <v>1</v>
      </c>
      <c r="F65">
        <f t="shared" ca="1" si="5"/>
        <v>5</v>
      </c>
      <c r="G65">
        <f t="shared" ca="1" si="6"/>
        <v>0</v>
      </c>
      <c r="H65">
        <f t="shared" ca="1" si="7"/>
        <v>0</v>
      </c>
      <c r="I65">
        <f t="shared" ca="1" si="8"/>
        <v>2</v>
      </c>
      <c r="J65">
        <f t="shared" ca="1" si="32"/>
        <v>0</v>
      </c>
      <c r="K65">
        <f ca="1">IF(OR($C65="S",$C65=0),0,MATCH(OFFSET($D65,0,$C65)+IF($C65&lt;&gt;1,1,COUNTIF(QCI!$A$13:$A$24,ORÇAMENTO!E65)),OFFSET($D65,1,$C65,ROW($C$264)-ROW($C65)),0))</f>
        <v>0</v>
      </c>
      <c r="L65" s="139" t="str">
        <f t="shared" ca="1" si="10"/>
        <v/>
      </c>
      <c r="M65" s="140" t="s">
        <v>199</v>
      </c>
      <c r="N65" s="141" t="str">
        <f t="shared" ca="1" si="11"/>
        <v>Serviço</v>
      </c>
      <c r="O65" s="142" t="str">
        <f t="shared" ca="1" si="12"/>
        <v>-</v>
      </c>
      <c r="P65" s="143" t="s">
        <v>247</v>
      </c>
      <c r="Q65" s="144"/>
      <c r="R65" s="145" t="str">
        <f ca="1">IF($C65="S",REFERENCIA.Descricao,"(digite a descrição aqui)")</f>
        <v>(abra o arquivo 'Referência 11-2024.xlsm)</v>
      </c>
      <c r="S65" s="146" t="str">
        <f ca="1">REFERENCIA.Unidade</f>
        <v>-</v>
      </c>
      <c r="T65" s="147">
        <f ca="1">OFFSET(CÁLCULO!H$15,ROW($T65)-ROW(T$15),0)</f>
        <v>0</v>
      </c>
      <c r="U65" s="148"/>
      <c r="V65" s="149" t="s">
        <v>156</v>
      </c>
      <c r="W65" s="147">
        <f ca="1">IF($C65="S",ROUND(IF(TIPOORCAMENTO="Proposto",ORÇAMENTO.CustoUnitario*(1+$AH65),ORÇAMENTO.PrecoUnitarioLicitado),15-13*$AF$10),0)</f>
        <v>0</v>
      </c>
      <c r="X65" s="150">
        <f ca="1">IF($C65="S",IF(Import.TipoArredondamento&lt;&gt;"TransfereGOV",VTOTAL1,SUM(OFFSET(CÁLCULO!$AA$15,ROW($X65)-ROW($X$15),1):OFFSET(CÁLCULO!$AL$15,ROW($X65)-ROW($X$15),-1))),IF($C65=0,0,ROUND(SomaAgrup,15-13*$AF$11)))</f>
        <v>0</v>
      </c>
      <c r="Y65" s="151" t="s">
        <v>245</v>
      </c>
      <c r="Z65" t="str">
        <f t="shared" ca="1" si="13"/>
        <v/>
      </c>
      <c r="AA65" s="152">
        <f ca="1">IF($C65="S",IF($Z65="CP",$X65,IF($Z65="RA",(($X65)*QCI!$AA$3),0)),SomaAgrup)</f>
        <v>0</v>
      </c>
      <c r="AB65" s="153">
        <f t="shared" ca="1" si="14"/>
        <v>0</v>
      </c>
      <c r="AC65" s="154" t="str">
        <f ca="1">IF($N65="","",IF(ORÇAMENTO.Descricao="","DESCRIÇÃO",IF(AND($C65="S",ORÇAMENTO.Unidade=""),"UNIDADE",IF($X65&lt;0,"VALOR NEGATIVO",IF(OR(AND(TIPOORCAMENTO="Proposto",$AG65&lt;&gt;"",$AG65&gt;0,ORÇAMENTO.CustoUnitario&gt;$AG65),AND(TIPOORCAMENTO="LICITADO",ORÇAMENTO.PrecoUnitarioLicitado&gt;$AN65)),"ACIMA REF.","")))))</f>
        <v/>
      </c>
      <c r="AD65" s="100" t="str">
        <f ca="1">IF(C65&lt;=CRONO.NivelExibicao,MAX($AD$15:OFFSET(AD65,-1,0))+IF($C65&lt;&gt;1,1,MAX(1,COUNTIF(QCI!$A$13:$A$24,OFFSET($E65,-1,0)))),"")</f>
        <v/>
      </c>
      <c r="AE65" s="110" t="b">
        <f ca="1">IF(AND($C65="S",ORÇAMENTO.CodBarra&lt;&gt;""),IF(ORÇAMENTO.Fonte="",ORÇAMENTO.CodBarra,CONCATENATE(ORÇAMENTO.Fonte," ",ORÇAMENTO.CodBarra)))</f>
        <v>0</v>
      </c>
      <c r="AF65" s="155" t="str">
        <f ca="1">IF(ISERROR(INDIRECT(ORÇAMENTO.BancoRef)),"(abra o arquivo 'Referência "&amp;Excel_BuiltIn_Database&amp;".xlsm)",IF(OR($C65&lt;&gt;"S",ORÇAMENTO.CodBarra=""),"(Sem Código)",IF(ISERROR(MATCH($AE65,INDIRECT(ORÇAMENTO.BancoRef),0)),"(Código não identificado nas referências)",MATCH($AE65,INDIRECT(ORÇAMENTO.BancoRef),0))))</f>
        <v>(abra o arquivo 'Referência 11-2024.xlsm)</v>
      </c>
      <c r="AG65" s="574">
        <f ca="1">ROUND(IF(DESONERACAO="sim",REFERENCIA.Desonerado,REFERENCIA.NaoDesonerado),2)</f>
        <v>0</v>
      </c>
      <c r="AH65" s="575">
        <f t="shared" ca="1" si="15"/>
        <v>0.22</v>
      </c>
      <c r="AJ65" s="577"/>
      <c r="AL65" s="607"/>
      <c r="AM65" s="426">
        <f t="shared" ca="1" si="0"/>
        <v>0</v>
      </c>
      <c r="AN65" s="650">
        <f t="shared" ca="1" si="16"/>
        <v>0</v>
      </c>
    </row>
    <row r="66" spans="1:40" ht="13.8" hidden="1">
      <c r="A66" t="str">
        <f t="shared" si="1"/>
        <v>S</v>
      </c>
      <c r="B66">
        <f t="shared" ca="1" si="2"/>
        <v>2</v>
      </c>
      <c r="C66" t="str">
        <f t="shared" ca="1" si="3"/>
        <v>S</v>
      </c>
      <c r="D66">
        <f t="shared" ca="1" si="4"/>
        <v>0</v>
      </c>
      <c r="E66">
        <f ca="1">IF($C66=1,OFFSET(E66,-1,0)+MAX(1,COUNTIF(QCI!$A$13:$A$24,OFFSET(ORÇAMENTO!E66,-1,0))),OFFSET(E66,-1,0))</f>
        <v>1</v>
      </c>
      <c r="F66">
        <f t="shared" ca="1" si="5"/>
        <v>5</v>
      </c>
      <c r="G66">
        <f t="shared" ca="1" si="6"/>
        <v>0</v>
      </c>
      <c r="H66">
        <f t="shared" ca="1" si="7"/>
        <v>0</v>
      </c>
      <c r="I66">
        <f t="shared" ca="1" si="8"/>
        <v>2</v>
      </c>
      <c r="J66">
        <f t="shared" ca="1" si="32"/>
        <v>0</v>
      </c>
      <c r="K66">
        <f ca="1">IF(OR($C66="S",$C66=0),0,MATCH(OFFSET($D66,0,$C66)+IF($C66&lt;&gt;1,1,COUNTIF(QCI!$A$13:$A$24,ORÇAMENTO!E66)),OFFSET($D66,1,$C66,ROW($C$264)-ROW($C66)),0))</f>
        <v>0</v>
      </c>
      <c r="L66" s="139" t="str">
        <f t="shared" ca="1" si="10"/>
        <v/>
      </c>
      <c r="M66" s="140" t="s">
        <v>199</v>
      </c>
      <c r="N66" s="141" t="str">
        <f t="shared" ca="1" si="11"/>
        <v>Serviço</v>
      </c>
      <c r="O66" s="142" t="str">
        <f t="shared" ca="1" si="12"/>
        <v>-</v>
      </c>
      <c r="P66" s="143" t="s">
        <v>247</v>
      </c>
      <c r="Q66" s="144"/>
      <c r="R66" s="145" t="str">
        <f ca="1">IF($C66="S",REFERENCIA.Descricao,"(digite a descrição aqui)")</f>
        <v>(abra o arquivo 'Referência 11-2024.xlsm)</v>
      </c>
      <c r="S66" s="146" t="str">
        <f ca="1">REFERENCIA.Unidade</f>
        <v>-</v>
      </c>
      <c r="T66" s="147">
        <f ca="1">OFFSET(CÁLCULO!H$15,ROW($T66)-ROW(T$15),0)</f>
        <v>0</v>
      </c>
      <c r="U66" s="148"/>
      <c r="V66" s="149" t="s">
        <v>156</v>
      </c>
      <c r="W66" s="147">
        <f ca="1">IF($C66="S",ROUND(IF(TIPOORCAMENTO="Proposto",ORÇAMENTO.CustoUnitario*(1+$AH66),ORÇAMENTO.PrecoUnitarioLicitado),15-13*$AF$10),0)</f>
        <v>0</v>
      </c>
      <c r="X66" s="150">
        <f ca="1">IF($C66="S",IF(Import.TipoArredondamento&lt;&gt;"TransfereGOV",VTOTAL1,SUM(OFFSET(CÁLCULO!$AA$15,ROW($X66)-ROW($X$15),1):OFFSET(CÁLCULO!$AL$15,ROW($X66)-ROW($X$15),-1))),IF($C66=0,0,ROUND(SomaAgrup,15-13*$AF$11)))</f>
        <v>0</v>
      </c>
      <c r="Y66" s="151" t="s">
        <v>245</v>
      </c>
      <c r="Z66" t="str">
        <f t="shared" ca="1" si="13"/>
        <v/>
      </c>
      <c r="AA66" s="152">
        <f ca="1">IF($C66="S",IF($Z66="CP",$X66,IF($Z66="RA",(($X66)*QCI!$AA$3),0)),SomaAgrup)</f>
        <v>0</v>
      </c>
      <c r="AB66" s="153">
        <f t="shared" ca="1" si="14"/>
        <v>0</v>
      </c>
      <c r="AC66" s="154" t="str">
        <f ca="1">IF($N66="","",IF(ORÇAMENTO.Descricao="","DESCRIÇÃO",IF(AND($C66="S",ORÇAMENTO.Unidade=""),"UNIDADE",IF($X66&lt;0,"VALOR NEGATIVO",IF(OR(AND(TIPOORCAMENTO="Proposto",$AG66&lt;&gt;"",$AG66&gt;0,ORÇAMENTO.CustoUnitario&gt;$AG66),AND(TIPOORCAMENTO="LICITADO",ORÇAMENTO.PrecoUnitarioLicitado&gt;$AN66)),"ACIMA REF.","")))))</f>
        <v/>
      </c>
      <c r="AD66" s="100" t="str">
        <f ca="1">IF(C66&lt;=CRONO.NivelExibicao,MAX($AD$15:OFFSET(AD66,-1,0))+IF($C66&lt;&gt;1,1,MAX(1,COUNTIF(QCI!$A$13:$A$24,OFFSET($E66,-1,0)))),"")</f>
        <v/>
      </c>
      <c r="AE66" s="110" t="b">
        <f ca="1">IF(AND($C66="S",ORÇAMENTO.CodBarra&lt;&gt;""),IF(ORÇAMENTO.Fonte="",ORÇAMENTO.CodBarra,CONCATENATE(ORÇAMENTO.Fonte," ",ORÇAMENTO.CodBarra)))</f>
        <v>0</v>
      </c>
      <c r="AF66" s="155" t="str">
        <f ca="1">IF(ISERROR(INDIRECT(ORÇAMENTO.BancoRef)),"(abra o arquivo 'Referência "&amp;Excel_BuiltIn_Database&amp;".xlsm)",IF(OR($C66&lt;&gt;"S",ORÇAMENTO.CodBarra=""),"(Sem Código)",IF(ISERROR(MATCH($AE66,INDIRECT(ORÇAMENTO.BancoRef),0)),"(Código não identificado nas referências)",MATCH($AE66,INDIRECT(ORÇAMENTO.BancoRef),0))))</f>
        <v>(abra o arquivo 'Referência 11-2024.xlsm)</v>
      </c>
      <c r="AG66" s="574">
        <f ca="1">ROUND(IF(DESONERACAO="sim",REFERENCIA.Desonerado,REFERENCIA.NaoDesonerado),2)</f>
        <v>0</v>
      </c>
      <c r="AH66" s="575">
        <f t="shared" ca="1" si="15"/>
        <v>0.22</v>
      </c>
      <c r="AJ66" s="577"/>
      <c r="AL66" s="607"/>
      <c r="AM66" s="426">
        <f t="shared" ca="1" si="0"/>
        <v>0</v>
      </c>
      <c r="AN66" s="650">
        <f t="shared" ca="1" si="16"/>
        <v>0</v>
      </c>
    </row>
    <row r="67" spans="1:40" ht="13.8" hidden="1">
      <c r="A67" t="str">
        <f t="shared" si="1"/>
        <v>S</v>
      </c>
      <c r="B67">
        <f t="shared" ca="1" si="2"/>
        <v>2</v>
      </c>
      <c r="C67" t="str">
        <f t="shared" ca="1" si="3"/>
        <v>S</v>
      </c>
      <c r="D67">
        <f t="shared" ca="1" si="4"/>
        <v>0</v>
      </c>
      <c r="E67">
        <f ca="1">IF($C67=1,OFFSET(E67,-1,0)+MAX(1,COUNTIF(QCI!$A$13:$A$24,OFFSET(ORÇAMENTO!E67,-1,0))),OFFSET(E67,-1,0))</f>
        <v>1</v>
      </c>
      <c r="F67">
        <f t="shared" ca="1" si="5"/>
        <v>5</v>
      </c>
      <c r="G67">
        <f t="shared" ca="1" si="6"/>
        <v>0</v>
      </c>
      <c r="H67">
        <f t="shared" ca="1" si="7"/>
        <v>0</v>
      </c>
      <c r="I67">
        <f t="shared" ca="1" si="8"/>
        <v>2</v>
      </c>
      <c r="J67">
        <f t="shared" ca="1" si="32"/>
        <v>0</v>
      </c>
      <c r="K67">
        <f ca="1">IF(OR($C67="S",$C67=0),0,MATCH(OFFSET($D67,0,$C67)+IF($C67&lt;&gt;1,1,COUNTIF(QCI!$A$13:$A$24,ORÇAMENTO!E67)),OFFSET($D67,1,$C67,ROW($C$264)-ROW($C67)),0))</f>
        <v>0</v>
      </c>
      <c r="L67" s="139" t="str">
        <f t="shared" ca="1" si="10"/>
        <v/>
      </c>
      <c r="M67" s="140" t="s">
        <v>199</v>
      </c>
      <c r="N67" s="141" t="str">
        <f t="shared" ca="1" si="11"/>
        <v>Serviço</v>
      </c>
      <c r="O67" s="142" t="str">
        <f t="shared" ca="1" si="12"/>
        <v>-</v>
      </c>
      <c r="P67" s="143" t="s">
        <v>247</v>
      </c>
      <c r="Q67" s="144"/>
      <c r="R67" s="145" t="str">
        <f ca="1">IF($C67="S",REFERENCIA.Descricao,"(digite a descrição aqui)")</f>
        <v>(abra o arquivo 'Referência 11-2024.xlsm)</v>
      </c>
      <c r="S67" s="146" t="str">
        <f ca="1">REFERENCIA.Unidade</f>
        <v>-</v>
      </c>
      <c r="T67" s="147">
        <f ca="1">OFFSET(CÁLCULO!H$15,ROW($T67)-ROW(T$15),0)</f>
        <v>0</v>
      </c>
      <c r="U67" s="148"/>
      <c r="V67" s="149" t="s">
        <v>156</v>
      </c>
      <c r="W67" s="147">
        <f ca="1">IF($C67="S",ROUND(IF(TIPOORCAMENTO="Proposto",ORÇAMENTO.CustoUnitario*(1+$AH67),ORÇAMENTO.PrecoUnitarioLicitado),15-13*$AF$10),0)</f>
        <v>0</v>
      </c>
      <c r="X67" s="150">
        <f ca="1">IF($C67="S",IF(Import.TipoArredondamento&lt;&gt;"TransfereGOV",VTOTAL1,SUM(OFFSET(CÁLCULO!$AA$15,ROW($X67)-ROW($X$15),1):OFFSET(CÁLCULO!$AL$15,ROW($X67)-ROW($X$15),-1))),IF($C67=0,0,ROUND(SomaAgrup,15-13*$AF$11)))</f>
        <v>0</v>
      </c>
      <c r="Y67" s="151" t="s">
        <v>245</v>
      </c>
      <c r="Z67" t="str">
        <f t="shared" ca="1" si="13"/>
        <v/>
      </c>
      <c r="AA67" s="152">
        <f ca="1">IF($C67="S",IF($Z67="CP",$X67,IF($Z67="RA",(($X67)*QCI!$AA$3),0)),SomaAgrup)</f>
        <v>0</v>
      </c>
      <c r="AB67" s="153">
        <f t="shared" ca="1" si="14"/>
        <v>0</v>
      </c>
      <c r="AC67" s="154" t="str">
        <f ca="1">IF($N67="","",IF(ORÇAMENTO.Descricao="","DESCRIÇÃO",IF(AND($C67="S",ORÇAMENTO.Unidade=""),"UNIDADE",IF($X67&lt;0,"VALOR NEGATIVO",IF(OR(AND(TIPOORCAMENTO="Proposto",$AG67&lt;&gt;"",$AG67&gt;0,ORÇAMENTO.CustoUnitario&gt;$AG67),AND(TIPOORCAMENTO="LICITADO",ORÇAMENTO.PrecoUnitarioLicitado&gt;$AN67)),"ACIMA REF.","")))))</f>
        <v/>
      </c>
      <c r="AD67" s="100" t="str">
        <f ca="1">IF(C67&lt;=CRONO.NivelExibicao,MAX($AD$15:OFFSET(AD67,-1,0))+IF($C67&lt;&gt;1,1,MAX(1,COUNTIF(QCI!$A$13:$A$24,OFFSET($E67,-1,0)))),"")</f>
        <v/>
      </c>
      <c r="AE67" s="110" t="b">
        <f ca="1">IF(AND($C67="S",ORÇAMENTO.CodBarra&lt;&gt;""),IF(ORÇAMENTO.Fonte="",ORÇAMENTO.CodBarra,CONCATENATE(ORÇAMENTO.Fonte," ",ORÇAMENTO.CodBarra)))</f>
        <v>0</v>
      </c>
      <c r="AF67" s="155" t="str">
        <f ca="1">IF(ISERROR(INDIRECT(ORÇAMENTO.BancoRef)),"(abra o arquivo 'Referência "&amp;Excel_BuiltIn_Database&amp;".xlsm)",IF(OR($C67&lt;&gt;"S",ORÇAMENTO.CodBarra=""),"(Sem Código)",IF(ISERROR(MATCH($AE67,INDIRECT(ORÇAMENTO.BancoRef),0)),"(Código não identificado nas referências)",MATCH($AE67,INDIRECT(ORÇAMENTO.BancoRef),0))))</f>
        <v>(abra o arquivo 'Referência 11-2024.xlsm)</v>
      </c>
      <c r="AG67" s="574">
        <f ca="1">ROUND(IF(DESONERACAO="sim",REFERENCIA.Desonerado,REFERENCIA.NaoDesonerado),2)</f>
        <v>0</v>
      </c>
      <c r="AH67" s="575">
        <f t="shared" ca="1" si="15"/>
        <v>0.22</v>
      </c>
      <c r="AJ67" s="577"/>
      <c r="AL67" s="607"/>
      <c r="AM67" s="426">
        <f t="shared" ca="1" si="0"/>
        <v>0</v>
      </c>
      <c r="AN67" s="650">
        <f t="shared" ca="1" si="16"/>
        <v>0</v>
      </c>
    </row>
    <row r="68" spans="1:40" ht="13.8" hidden="1">
      <c r="A68" t="str">
        <f t="shared" si="1"/>
        <v>S</v>
      </c>
      <c r="B68">
        <f t="shared" ca="1" si="2"/>
        <v>2</v>
      </c>
      <c r="C68" t="str">
        <f t="shared" ca="1" si="3"/>
        <v>S</v>
      </c>
      <c r="D68">
        <f t="shared" ca="1" si="4"/>
        <v>0</v>
      </c>
      <c r="E68">
        <f ca="1">IF($C68=1,OFFSET(E68,-1,0)+MAX(1,COUNTIF(QCI!$A$13:$A$24,OFFSET(ORÇAMENTO!E68,-1,0))),OFFSET(E68,-1,0))</f>
        <v>1</v>
      </c>
      <c r="F68">
        <f t="shared" ca="1" si="5"/>
        <v>5</v>
      </c>
      <c r="G68">
        <f t="shared" ca="1" si="6"/>
        <v>0</v>
      </c>
      <c r="H68">
        <f t="shared" ca="1" si="7"/>
        <v>0</v>
      </c>
      <c r="I68">
        <f t="shared" ca="1" si="8"/>
        <v>2</v>
      </c>
      <c r="J68">
        <f t="shared" ca="1" si="32"/>
        <v>0</v>
      </c>
      <c r="K68">
        <f ca="1">IF(OR($C68="S",$C68=0),0,MATCH(OFFSET($D68,0,$C68)+IF($C68&lt;&gt;1,1,COUNTIF(QCI!$A$13:$A$24,ORÇAMENTO!E68)),OFFSET($D68,1,$C68,ROW($C$264)-ROW($C68)),0))</f>
        <v>0</v>
      </c>
      <c r="L68" s="139" t="str">
        <f t="shared" ca="1" si="10"/>
        <v/>
      </c>
      <c r="M68" s="140" t="s">
        <v>199</v>
      </c>
      <c r="N68" s="141" t="str">
        <f t="shared" ca="1" si="11"/>
        <v>Serviço</v>
      </c>
      <c r="O68" s="142" t="str">
        <f t="shared" ca="1" si="12"/>
        <v>-</v>
      </c>
      <c r="P68" s="143" t="s">
        <v>247</v>
      </c>
      <c r="Q68" s="144"/>
      <c r="R68" s="145" t="str">
        <f ca="1">IF($C68="S",REFERENCIA.Descricao,"(digite a descrição aqui)")</f>
        <v>(abra o arquivo 'Referência 11-2024.xlsm)</v>
      </c>
      <c r="S68" s="146" t="str">
        <f ca="1">REFERENCIA.Unidade</f>
        <v>-</v>
      </c>
      <c r="T68" s="147">
        <f ca="1">OFFSET(CÁLCULO!H$15,ROW($T68)-ROW(T$15),0)</f>
        <v>0</v>
      </c>
      <c r="U68" s="148"/>
      <c r="V68" s="149" t="s">
        <v>156</v>
      </c>
      <c r="W68" s="147">
        <f ca="1">IF($C68="S",ROUND(IF(TIPOORCAMENTO="Proposto",ORÇAMENTO.CustoUnitario*(1+$AH68),ORÇAMENTO.PrecoUnitarioLicitado),15-13*$AF$10),0)</f>
        <v>0</v>
      </c>
      <c r="X68" s="150">
        <f ca="1">IF($C68="S",IF(Import.TipoArredondamento&lt;&gt;"TransfereGOV",VTOTAL1,SUM(OFFSET(CÁLCULO!$AA$15,ROW($X68)-ROW($X$15),1):OFFSET(CÁLCULO!$AL$15,ROW($X68)-ROW($X$15),-1))),IF($C68=0,0,ROUND(SomaAgrup,15-13*$AF$11)))</f>
        <v>0</v>
      </c>
      <c r="Y68" s="151" t="s">
        <v>245</v>
      </c>
      <c r="Z68" t="str">
        <f t="shared" ca="1" si="13"/>
        <v/>
      </c>
      <c r="AA68" s="152">
        <f ca="1">IF($C68="S",IF($Z68="CP",$X68,IF($Z68="RA",(($X68)*QCI!$AA$3),0)),SomaAgrup)</f>
        <v>0</v>
      </c>
      <c r="AB68" s="153">
        <f t="shared" ca="1" si="14"/>
        <v>0</v>
      </c>
      <c r="AC68" s="154" t="str">
        <f ca="1">IF($N68="","",IF(ORÇAMENTO.Descricao="","DESCRIÇÃO",IF(AND($C68="S",ORÇAMENTO.Unidade=""),"UNIDADE",IF($X68&lt;0,"VALOR NEGATIVO",IF(OR(AND(TIPOORCAMENTO="Proposto",$AG68&lt;&gt;"",$AG68&gt;0,ORÇAMENTO.CustoUnitario&gt;$AG68),AND(TIPOORCAMENTO="LICITADO",ORÇAMENTO.PrecoUnitarioLicitado&gt;$AN68)),"ACIMA REF.","")))))</f>
        <v/>
      </c>
      <c r="AD68" s="100" t="str">
        <f ca="1">IF(C68&lt;=CRONO.NivelExibicao,MAX($AD$15:OFFSET(AD68,-1,0))+IF($C68&lt;&gt;1,1,MAX(1,COUNTIF(QCI!$A$13:$A$24,OFFSET($E68,-1,0)))),"")</f>
        <v/>
      </c>
      <c r="AE68" s="110" t="b">
        <f ca="1">IF(AND($C68="S",ORÇAMENTO.CodBarra&lt;&gt;""),IF(ORÇAMENTO.Fonte="",ORÇAMENTO.CodBarra,CONCATENATE(ORÇAMENTO.Fonte," ",ORÇAMENTO.CodBarra)))</f>
        <v>0</v>
      </c>
      <c r="AF68" s="155" t="str">
        <f ca="1">IF(ISERROR(INDIRECT(ORÇAMENTO.BancoRef)),"(abra o arquivo 'Referência "&amp;Excel_BuiltIn_Database&amp;".xlsm)",IF(OR($C68&lt;&gt;"S",ORÇAMENTO.CodBarra=""),"(Sem Código)",IF(ISERROR(MATCH($AE68,INDIRECT(ORÇAMENTO.BancoRef),0)),"(Código não identificado nas referências)",MATCH($AE68,INDIRECT(ORÇAMENTO.BancoRef),0))))</f>
        <v>(abra o arquivo 'Referência 11-2024.xlsm)</v>
      </c>
      <c r="AG68" s="574">
        <f ca="1">ROUND(IF(DESONERACAO="sim",REFERENCIA.Desonerado,REFERENCIA.NaoDesonerado),2)</f>
        <v>0</v>
      </c>
      <c r="AH68" s="575">
        <f t="shared" ca="1" si="15"/>
        <v>0.22</v>
      </c>
      <c r="AJ68" s="577"/>
      <c r="AL68" s="607"/>
      <c r="AM68" s="426">
        <f t="shared" ca="1" si="0"/>
        <v>0</v>
      </c>
      <c r="AN68" s="650">
        <f t="shared" ca="1" si="16"/>
        <v>0</v>
      </c>
    </row>
    <row r="69" spans="1:40" ht="13.8" hidden="1">
      <c r="A69" t="str">
        <f t="shared" si="1"/>
        <v>S</v>
      </c>
      <c r="B69">
        <f t="shared" ca="1" si="2"/>
        <v>2</v>
      </c>
      <c r="C69" t="str">
        <f t="shared" ca="1" si="3"/>
        <v>S</v>
      </c>
      <c r="D69">
        <f t="shared" ca="1" si="4"/>
        <v>0</v>
      </c>
      <c r="E69">
        <f ca="1">IF($C69=1,OFFSET(E69,-1,0)+MAX(1,COUNTIF(QCI!$A$13:$A$24,OFFSET(ORÇAMENTO!E69,-1,0))),OFFSET(E69,-1,0))</f>
        <v>1</v>
      </c>
      <c r="F69">
        <f t="shared" ca="1" si="5"/>
        <v>5</v>
      </c>
      <c r="G69">
        <f t="shared" ca="1" si="6"/>
        <v>0</v>
      </c>
      <c r="H69">
        <f t="shared" ca="1" si="7"/>
        <v>0</v>
      </c>
      <c r="I69">
        <f t="shared" ca="1" si="8"/>
        <v>2</v>
      </c>
      <c r="J69">
        <f t="shared" ca="1" si="32"/>
        <v>0</v>
      </c>
      <c r="K69">
        <f ca="1">IF(OR($C69="S",$C69=0),0,MATCH(OFFSET($D69,0,$C69)+IF($C69&lt;&gt;1,1,COUNTIF(QCI!$A$13:$A$24,ORÇAMENTO!E69)),OFFSET($D69,1,$C69,ROW($C$264)-ROW($C69)),0))</f>
        <v>0</v>
      </c>
      <c r="L69" s="139" t="str">
        <f t="shared" ca="1" si="10"/>
        <v/>
      </c>
      <c r="M69" s="140" t="s">
        <v>199</v>
      </c>
      <c r="N69" s="141" t="str">
        <f t="shared" ca="1" si="11"/>
        <v>Serviço</v>
      </c>
      <c r="O69" s="142" t="str">
        <f t="shared" ca="1" si="12"/>
        <v>-</v>
      </c>
      <c r="P69" s="143" t="s">
        <v>247</v>
      </c>
      <c r="Q69" s="144"/>
      <c r="R69" s="145" t="str">
        <f ca="1">IF($C69="S",REFERENCIA.Descricao,"(digite a descrição aqui)")</f>
        <v>(abra o arquivo 'Referência 11-2024.xlsm)</v>
      </c>
      <c r="S69" s="146" t="str">
        <f ca="1">REFERENCIA.Unidade</f>
        <v>-</v>
      </c>
      <c r="T69" s="147">
        <f ca="1">OFFSET(CÁLCULO!H$15,ROW($T69)-ROW(T$15),0)</f>
        <v>0</v>
      </c>
      <c r="U69" s="148"/>
      <c r="V69" s="149" t="s">
        <v>156</v>
      </c>
      <c r="W69" s="147">
        <f ca="1">IF($C69="S",ROUND(IF(TIPOORCAMENTO="Proposto",ORÇAMENTO.CustoUnitario*(1+$AH69),ORÇAMENTO.PrecoUnitarioLicitado),15-13*$AF$10),0)</f>
        <v>0</v>
      </c>
      <c r="X69" s="150">
        <f ca="1">IF($C69="S",IF(Import.TipoArredondamento&lt;&gt;"TransfereGOV",VTOTAL1,SUM(OFFSET(CÁLCULO!$AA$15,ROW($X69)-ROW($X$15),1):OFFSET(CÁLCULO!$AL$15,ROW($X69)-ROW($X$15),-1))),IF($C69=0,0,ROUND(SomaAgrup,15-13*$AF$11)))</f>
        <v>0</v>
      </c>
      <c r="Y69" s="151" t="s">
        <v>245</v>
      </c>
      <c r="Z69" t="str">
        <f t="shared" ca="1" si="13"/>
        <v/>
      </c>
      <c r="AA69" s="152">
        <f ca="1">IF($C69="S",IF($Z69="CP",$X69,IF($Z69="RA",(($X69)*QCI!$AA$3),0)),SomaAgrup)</f>
        <v>0</v>
      </c>
      <c r="AB69" s="153">
        <f t="shared" ca="1" si="14"/>
        <v>0</v>
      </c>
      <c r="AC69" s="154" t="str">
        <f ca="1">IF($N69="","",IF(ORÇAMENTO.Descricao="","DESCRIÇÃO",IF(AND($C69="S",ORÇAMENTO.Unidade=""),"UNIDADE",IF($X69&lt;0,"VALOR NEGATIVO",IF(OR(AND(TIPOORCAMENTO="Proposto",$AG69&lt;&gt;"",$AG69&gt;0,ORÇAMENTO.CustoUnitario&gt;$AG69),AND(TIPOORCAMENTO="LICITADO",ORÇAMENTO.PrecoUnitarioLicitado&gt;$AN69)),"ACIMA REF.","")))))</f>
        <v/>
      </c>
      <c r="AD69" s="100" t="str">
        <f ca="1">IF(C69&lt;=CRONO.NivelExibicao,MAX($AD$15:OFFSET(AD69,-1,0))+IF($C69&lt;&gt;1,1,MAX(1,COUNTIF(QCI!$A$13:$A$24,OFFSET($E69,-1,0)))),"")</f>
        <v/>
      </c>
      <c r="AE69" s="110" t="b">
        <f ca="1">IF(AND($C69="S",ORÇAMENTO.CodBarra&lt;&gt;""),IF(ORÇAMENTO.Fonte="",ORÇAMENTO.CodBarra,CONCATENATE(ORÇAMENTO.Fonte," ",ORÇAMENTO.CodBarra)))</f>
        <v>0</v>
      </c>
      <c r="AF69" s="155" t="str">
        <f ca="1">IF(ISERROR(INDIRECT(ORÇAMENTO.BancoRef)),"(abra o arquivo 'Referência "&amp;Excel_BuiltIn_Database&amp;".xlsm)",IF(OR($C69&lt;&gt;"S",ORÇAMENTO.CodBarra=""),"(Sem Código)",IF(ISERROR(MATCH($AE69,INDIRECT(ORÇAMENTO.BancoRef),0)),"(Código não identificado nas referências)",MATCH($AE69,INDIRECT(ORÇAMENTO.BancoRef),0))))</f>
        <v>(abra o arquivo 'Referência 11-2024.xlsm)</v>
      </c>
      <c r="AG69" s="574">
        <f ca="1">ROUND(IF(DESONERACAO="sim",REFERENCIA.Desonerado,REFERENCIA.NaoDesonerado),2)</f>
        <v>0</v>
      </c>
      <c r="AH69" s="575">
        <f t="shared" ca="1" si="15"/>
        <v>0.22</v>
      </c>
      <c r="AJ69" s="577"/>
      <c r="AL69" s="607"/>
      <c r="AM69" s="426">
        <f t="shared" ca="1" si="0"/>
        <v>0</v>
      </c>
      <c r="AN69" s="650">
        <f t="shared" ca="1" si="16"/>
        <v>0</v>
      </c>
    </row>
    <row r="70" spans="1:40" ht="13.8" hidden="1">
      <c r="A70" t="str">
        <f t="shared" si="1"/>
        <v>S</v>
      </c>
      <c r="B70">
        <f t="shared" ca="1" si="2"/>
        <v>2</v>
      </c>
      <c r="C70" t="str">
        <f t="shared" ca="1" si="3"/>
        <v>S</v>
      </c>
      <c r="D70">
        <f t="shared" ca="1" si="4"/>
        <v>0</v>
      </c>
      <c r="E70">
        <f ca="1">IF($C70=1,OFFSET(E70,-1,0)+MAX(1,COUNTIF(QCI!$A$13:$A$24,OFFSET(ORÇAMENTO!E70,-1,0))),OFFSET(E70,-1,0))</f>
        <v>1</v>
      </c>
      <c r="F70">
        <f t="shared" ca="1" si="5"/>
        <v>5</v>
      </c>
      <c r="G70">
        <f t="shared" ca="1" si="6"/>
        <v>0</v>
      </c>
      <c r="H70">
        <f t="shared" ca="1" si="7"/>
        <v>0</v>
      </c>
      <c r="I70">
        <f t="shared" ca="1" si="8"/>
        <v>2</v>
      </c>
      <c r="J70">
        <f t="shared" ca="1" si="32"/>
        <v>0</v>
      </c>
      <c r="K70">
        <f ca="1">IF(OR($C70="S",$C70=0),0,MATCH(OFFSET($D70,0,$C70)+IF($C70&lt;&gt;1,1,COUNTIF(QCI!$A$13:$A$24,ORÇAMENTO!E70)),OFFSET($D70,1,$C70,ROW($C$264)-ROW($C70)),0))</f>
        <v>0</v>
      </c>
      <c r="L70" s="139" t="str">
        <f t="shared" ca="1" si="10"/>
        <v/>
      </c>
      <c r="M70" s="140" t="s">
        <v>199</v>
      </c>
      <c r="N70" s="141" t="str">
        <f t="shared" ca="1" si="11"/>
        <v>Serviço</v>
      </c>
      <c r="O70" s="142" t="str">
        <f t="shared" ca="1" si="12"/>
        <v>-</v>
      </c>
      <c r="P70" s="143" t="s">
        <v>247</v>
      </c>
      <c r="Q70" s="144"/>
      <c r="R70" s="145" t="str">
        <f ca="1">IF($C70="S",REFERENCIA.Descricao,"(digite a descrição aqui)")</f>
        <v>(abra o arquivo 'Referência 11-2024.xlsm)</v>
      </c>
      <c r="S70" s="146" t="str">
        <f ca="1">REFERENCIA.Unidade</f>
        <v>-</v>
      </c>
      <c r="T70" s="147">
        <f ca="1">OFFSET(CÁLCULO!H$15,ROW($T70)-ROW(T$15),0)</f>
        <v>0</v>
      </c>
      <c r="U70" s="148"/>
      <c r="V70" s="149" t="s">
        <v>156</v>
      </c>
      <c r="W70" s="147">
        <f ca="1">IF($C70="S",ROUND(IF(TIPOORCAMENTO="Proposto",ORÇAMENTO.CustoUnitario*(1+$AH70),ORÇAMENTO.PrecoUnitarioLicitado),15-13*$AF$10),0)</f>
        <v>0</v>
      </c>
      <c r="X70" s="150">
        <f ca="1">IF($C70="S",IF(Import.TipoArredondamento&lt;&gt;"TransfereGOV",VTOTAL1,SUM(OFFSET(CÁLCULO!$AA$15,ROW($X70)-ROW($X$15),1):OFFSET(CÁLCULO!$AL$15,ROW($X70)-ROW($X$15),-1))),IF($C70=0,0,ROUND(SomaAgrup,15-13*$AF$11)))</f>
        <v>0</v>
      </c>
      <c r="Y70" s="151" t="s">
        <v>245</v>
      </c>
      <c r="Z70" t="str">
        <f t="shared" ca="1" si="13"/>
        <v/>
      </c>
      <c r="AA70" s="152">
        <f ca="1">IF($C70="S",IF($Z70="CP",$X70,IF($Z70="RA",(($X70)*QCI!$AA$3),0)),SomaAgrup)</f>
        <v>0</v>
      </c>
      <c r="AB70" s="153">
        <f t="shared" ca="1" si="14"/>
        <v>0</v>
      </c>
      <c r="AC70" s="154" t="str">
        <f ca="1">IF($N70="","",IF(ORÇAMENTO.Descricao="","DESCRIÇÃO",IF(AND($C70="S",ORÇAMENTO.Unidade=""),"UNIDADE",IF($X70&lt;0,"VALOR NEGATIVO",IF(OR(AND(TIPOORCAMENTO="Proposto",$AG70&lt;&gt;"",$AG70&gt;0,ORÇAMENTO.CustoUnitario&gt;$AG70),AND(TIPOORCAMENTO="LICITADO",ORÇAMENTO.PrecoUnitarioLicitado&gt;$AN70)),"ACIMA REF.","")))))</f>
        <v/>
      </c>
      <c r="AD70" s="100" t="str">
        <f ca="1">IF(C70&lt;=CRONO.NivelExibicao,MAX($AD$15:OFFSET(AD70,-1,0))+IF($C70&lt;&gt;1,1,MAX(1,COUNTIF(QCI!$A$13:$A$24,OFFSET($E70,-1,0)))),"")</f>
        <v/>
      </c>
      <c r="AE70" s="110" t="b">
        <f ca="1">IF(AND($C70="S",ORÇAMENTO.CodBarra&lt;&gt;""),IF(ORÇAMENTO.Fonte="",ORÇAMENTO.CodBarra,CONCATENATE(ORÇAMENTO.Fonte," ",ORÇAMENTO.CodBarra)))</f>
        <v>0</v>
      </c>
      <c r="AF70" s="155" t="str">
        <f ca="1">IF(ISERROR(INDIRECT(ORÇAMENTO.BancoRef)),"(abra o arquivo 'Referência "&amp;Excel_BuiltIn_Database&amp;".xlsm)",IF(OR($C70&lt;&gt;"S",ORÇAMENTO.CodBarra=""),"(Sem Código)",IF(ISERROR(MATCH($AE70,INDIRECT(ORÇAMENTO.BancoRef),0)),"(Código não identificado nas referências)",MATCH($AE70,INDIRECT(ORÇAMENTO.BancoRef),0))))</f>
        <v>(abra o arquivo 'Referência 11-2024.xlsm)</v>
      </c>
      <c r="AG70" s="574">
        <f ca="1">ROUND(IF(DESONERACAO="sim",REFERENCIA.Desonerado,REFERENCIA.NaoDesonerado),2)</f>
        <v>0</v>
      </c>
      <c r="AH70" s="575">
        <f t="shared" ca="1" si="15"/>
        <v>0.22</v>
      </c>
      <c r="AJ70" s="577"/>
      <c r="AL70" s="607"/>
      <c r="AM70" s="426">
        <f t="shared" ca="1" si="0"/>
        <v>0</v>
      </c>
      <c r="AN70" s="650">
        <f t="shared" ca="1" si="16"/>
        <v>0</v>
      </c>
    </row>
    <row r="71" spans="1:40" ht="13.8" hidden="1">
      <c r="A71" t="str">
        <f t="shared" si="1"/>
        <v>S</v>
      </c>
      <c r="B71">
        <f t="shared" ca="1" si="2"/>
        <v>2</v>
      </c>
      <c r="C71" t="str">
        <f t="shared" ca="1" si="3"/>
        <v>S</v>
      </c>
      <c r="D71">
        <f t="shared" ca="1" si="4"/>
        <v>0</v>
      </c>
      <c r="E71">
        <f ca="1">IF($C71=1,OFFSET(E71,-1,0)+MAX(1,COUNTIF(QCI!$A$13:$A$24,OFFSET(ORÇAMENTO!E71,-1,0))),OFFSET(E71,-1,0))</f>
        <v>1</v>
      </c>
      <c r="F71">
        <f t="shared" ca="1" si="5"/>
        <v>5</v>
      </c>
      <c r="G71">
        <f t="shared" ca="1" si="6"/>
        <v>0</v>
      </c>
      <c r="H71">
        <f t="shared" ca="1" si="7"/>
        <v>0</v>
      </c>
      <c r="I71">
        <f t="shared" ca="1" si="8"/>
        <v>2</v>
      </c>
      <c r="J71">
        <f t="shared" ca="1" si="32"/>
        <v>0</v>
      </c>
      <c r="K71">
        <f ca="1">IF(OR($C71="S",$C71=0),0,MATCH(OFFSET($D71,0,$C71)+IF($C71&lt;&gt;1,1,COUNTIF(QCI!$A$13:$A$24,ORÇAMENTO!E71)),OFFSET($D71,1,$C71,ROW($C$264)-ROW($C71)),0))</f>
        <v>0</v>
      </c>
      <c r="L71" s="139" t="str">
        <f t="shared" ca="1" si="10"/>
        <v/>
      </c>
      <c r="M71" s="140" t="s">
        <v>199</v>
      </c>
      <c r="N71" s="141" t="str">
        <f t="shared" ca="1" si="11"/>
        <v>Serviço</v>
      </c>
      <c r="O71" s="142" t="str">
        <f t="shared" ca="1" si="12"/>
        <v>-</v>
      </c>
      <c r="P71" s="143" t="s">
        <v>247</v>
      </c>
      <c r="Q71" s="144"/>
      <c r="R71" s="145" t="str">
        <f ca="1">IF($C71="S",REFERENCIA.Descricao,"(digite a descrição aqui)")</f>
        <v>(abra o arquivo 'Referência 11-2024.xlsm)</v>
      </c>
      <c r="S71" s="146" t="str">
        <f ca="1">REFERENCIA.Unidade</f>
        <v>-</v>
      </c>
      <c r="T71" s="147">
        <f ca="1">OFFSET(CÁLCULO!H$15,ROW($T71)-ROW(T$15),0)</f>
        <v>0</v>
      </c>
      <c r="U71" s="148"/>
      <c r="V71" s="149" t="s">
        <v>156</v>
      </c>
      <c r="W71" s="147">
        <f ca="1">IF($C71="S",ROUND(IF(TIPOORCAMENTO="Proposto",ORÇAMENTO.CustoUnitario*(1+$AH71),ORÇAMENTO.PrecoUnitarioLicitado),15-13*$AF$10),0)</f>
        <v>0</v>
      </c>
      <c r="X71" s="150">
        <f ca="1">IF($C71="S",IF(Import.TipoArredondamento&lt;&gt;"TransfereGOV",VTOTAL1,SUM(OFFSET(CÁLCULO!$AA$15,ROW($X71)-ROW($X$15),1):OFFSET(CÁLCULO!$AL$15,ROW($X71)-ROW($X$15),-1))),IF($C71=0,0,ROUND(SomaAgrup,15-13*$AF$11)))</f>
        <v>0</v>
      </c>
      <c r="Y71" s="151" t="s">
        <v>245</v>
      </c>
      <c r="Z71" t="str">
        <f t="shared" ca="1" si="13"/>
        <v/>
      </c>
      <c r="AA71" s="152">
        <f ca="1">IF($C71="S",IF($Z71="CP",$X71,IF($Z71="RA",(($X71)*QCI!$AA$3),0)),SomaAgrup)</f>
        <v>0</v>
      </c>
      <c r="AB71" s="153">
        <f t="shared" ca="1" si="14"/>
        <v>0</v>
      </c>
      <c r="AC71" s="154" t="str">
        <f ca="1">IF($N71="","",IF(ORÇAMENTO.Descricao="","DESCRIÇÃO",IF(AND($C71="S",ORÇAMENTO.Unidade=""),"UNIDADE",IF($X71&lt;0,"VALOR NEGATIVO",IF(OR(AND(TIPOORCAMENTO="Proposto",$AG71&lt;&gt;"",$AG71&gt;0,ORÇAMENTO.CustoUnitario&gt;$AG71),AND(TIPOORCAMENTO="LICITADO",ORÇAMENTO.PrecoUnitarioLicitado&gt;$AN71)),"ACIMA REF.","")))))</f>
        <v/>
      </c>
      <c r="AD71" s="100" t="str">
        <f ca="1">IF(C71&lt;=CRONO.NivelExibicao,MAX($AD$15:OFFSET(AD71,-1,0))+IF($C71&lt;&gt;1,1,MAX(1,COUNTIF(QCI!$A$13:$A$24,OFFSET($E71,-1,0)))),"")</f>
        <v/>
      </c>
      <c r="AE71" s="110" t="b">
        <f ca="1">IF(AND($C71="S",ORÇAMENTO.CodBarra&lt;&gt;""),IF(ORÇAMENTO.Fonte="",ORÇAMENTO.CodBarra,CONCATENATE(ORÇAMENTO.Fonte," ",ORÇAMENTO.CodBarra)))</f>
        <v>0</v>
      </c>
      <c r="AF71" s="155" t="str">
        <f ca="1">IF(ISERROR(INDIRECT(ORÇAMENTO.BancoRef)),"(abra o arquivo 'Referência "&amp;Excel_BuiltIn_Database&amp;".xlsm)",IF(OR($C71&lt;&gt;"S",ORÇAMENTO.CodBarra=""),"(Sem Código)",IF(ISERROR(MATCH($AE71,INDIRECT(ORÇAMENTO.BancoRef),0)),"(Código não identificado nas referências)",MATCH($AE71,INDIRECT(ORÇAMENTO.BancoRef),0))))</f>
        <v>(abra o arquivo 'Referência 11-2024.xlsm)</v>
      </c>
      <c r="AG71" s="574">
        <f ca="1">ROUND(IF(DESONERACAO="sim",REFERENCIA.Desonerado,REFERENCIA.NaoDesonerado),2)</f>
        <v>0</v>
      </c>
      <c r="AH71" s="575">
        <f t="shared" ca="1" si="15"/>
        <v>0.22</v>
      </c>
      <c r="AJ71" s="577"/>
      <c r="AL71" s="607"/>
      <c r="AM71" s="426">
        <f t="shared" ca="1" si="0"/>
        <v>0</v>
      </c>
      <c r="AN71" s="650">
        <f t="shared" ca="1" si="16"/>
        <v>0</v>
      </c>
    </row>
    <row r="72" spans="1:40" ht="13.8" hidden="1">
      <c r="A72" t="str">
        <f t="shared" si="1"/>
        <v>S</v>
      </c>
      <c r="B72">
        <f t="shared" ca="1" si="2"/>
        <v>2</v>
      </c>
      <c r="C72" t="str">
        <f t="shared" ca="1" si="3"/>
        <v>S</v>
      </c>
      <c r="D72">
        <f t="shared" ca="1" si="4"/>
        <v>0</v>
      </c>
      <c r="E72">
        <f ca="1">IF($C72=1,OFFSET(E72,-1,0)+MAX(1,COUNTIF(QCI!$A$13:$A$24,OFFSET(ORÇAMENTO!E72,-1,0))),OFFSET(E72,-1,0))</f>
        <v>1</v>
      </c>
      <c r="F72">
        <f t="shared" ca="1" si="5"/>
        <v>5</v>
      </c>
      <c r="G72">
        <f t="shared" ca="1" si="6"/>
        <v>0</v>
      </c>
      <c r="H72">
        <f t="shared" ca="1" si="7"/>
        <v>0</v>
      </c>
      <c r="I72">
        <f t="shared" ca="1" si="8"/>
        <v>2</v>
      </c>
      <c r="J72">
        <f t="shared" ca="1" si="32"/>
        <v>0</v>
      </c>
      <c r="K72">
        <f ca="1">IF(OR($C72="S",$C72=0),0,MATCH(OFFSET($D72,0,$C72)+IF($C72&lt;&gt;1,1,COUNTIF(QCI!$A$13:$A$24,ORÇAMENTO!E72)),OFFSET($D72,1,$C72,ROW($C$264)-ROW($C72)),0))</f>
        <v>0</v>
      </c>
      <c r="L72" s="139" t="str">
        <f t="shared" ca="1" si="10"/>
        <v/>
      </c>
      <c r="M72" s="140" t="s">
        <v>199</v>
      </c>
      <c r="N72" s="141" t="str">
        <f t="shared" ca="1" si="11"/>
        <v>Serviço</v>
      </c>
      <c r="O72" s="142" t="str">
        <f t="shared" ca="1" si="12"/>
        <v>-</v>
      </c>
      <c r="P72" s="143" t="s">
        <v>247</v>
      </c>
      <c r="Q72" s="144"/>
      <c r="R72" s="145" t="str">
        <f ca="1">IF($C72="S",REFERENCIA.Descricao,"(digite a descrição aqui)")</f>
        <v>(abra o arquivo 'Referência 11-2024.xlsm)</v>
      </c>
      <c r="S72" s="146" t="str">
        <f ca="1">REFERENCIA.Unidade</f>
        <v>-</v>
      </c>
      <c r="T72" s="147">
        <f ca="1">OFFSET(CÁLCULO!H$15,ROW($T72)-ROW(T$15),0)</f>
        <v>0</v>
      </c>
      <c r="U72" s="148"/>
      <c r="V72" s="149" t="s">
        <v>156</v>
      </c>
      <c r="W72" s="147">
        <f ca="1">IF($C72="S",ROUND(IF(TIPOORCAMENTO="Proposto",ORÇAMENTO.CustoUnitario*(1+$AH72),ORÇAMENTO.PrecoUnitarioLicitado),15-13*$AF$10),0)</f>
        <v>0</v>
      </c>
      <c r="X72" s="150">
        <f ca="1">IF($C72="S",IF(Import.TipoArredondamento&lt;&gt;"TransfereGOV",VTOTAL1,SUM(OFFSET(CÁLCULO!$AA$15,ROW($X72)-ROW($X$15),1):OFFSET(CÁLCULO!$AL$15,ROW($X72)-ROW($X$15),-1))),IF($C72=0,0,ROUND(SomaAgrup,15-13*$AF$11)))</f>
        <v>0</v>
      </c>
      <c r="Y72" s="151" t="s">
        <v>245</v>
      </c>
      <c r="Z72" t="str">
        <f t="shared" ca="1" si="13"/>
        <v/>
      </c>
      <c r="AA72" s="152">
        <f ca="1">IF($C72="S",IF($Z72="CP",$X72,IF($Z72="RA",(($X72)*QCI!$AA$3),0)),SomaAgrup)</f>
        <v>0</v>
      </c>
      <c r="AB72" s="153">
        <f t="shared" ca="1" si="14"/>
        <v>0</v>
      </c>
      <c r="AC72" s="154" t="str">
        <f ca="1">IF($N72="","",IF(ORÇAMENTO.Descricao="","DESCRIÇÃO",IF(AND($C72="S",ORÇAMENTO.Unidade=""),"UNIDADE",IF($X72&lt;0,"VALOR NEGATIVO",IF(OR(AND(TIPOORCAMENTO="Proposto",$AG72&lt;&gt;"",$AG72&gt;0,ORÇAMENTO.CustoUnitario&gt;$AG72),AND(TIPOORCAMENTO="LICITADO",ORÇAMENTO.PrecoUnitarioLicitado&gt;$AN72)),"ACIMA REF.","")))))</f>
        <v/>
      </c>
      <c r="AD72" s="100" t="str">
        <f ca="1">IF(C72&lt;=CRONO.NivelExibicao,MAX($AD$15:OFFSET(AD72,-1,0))+IF($C72&lt;&gt;1,1,MAX(1,COUNTIF(QCI!$A$13:$A$24,OFFSET($E72,-1,0)))),"")</f>
        <v/>
      </c>
      <c r="AE72" s="110" t="b">
        <f ca="1">IF(AND($C72="S",ORÇAMENTO.CodBarra&lt;&gt;""),IF(ORÇAMENTO.Fonte="",ORÇAMENTO.CodBarra,CONCATENATE(ORÇAMENTO.Fonte," ",ORÇAMENTO.CodBarra)))</f>
        <v>0</v>
      </c>
      <c r="AF72" s="155" t="str">
        <f ca="1">IF(ISERROR(INDIRECT(ORÇAMENTO.BancoRef)),"(abra o arquivo 'Referência "&amp;Excel_BuiltIn_Database&amp;".xlsm)",IF(OR($C72&lt;&gt;"S",ORÇAMENTO.CodBarra=""),"(Sem Código)",IF(ISERROR(MATCH($AE72,INDIRECT(ORÇAMENTO.BancoRef),0)),"(Código não identificado nas referências)",MATCH($AE72,INDIRECT(ORÇAMENTO.BancoRef),0))))</f>
        <v>(abra o arquivo 'Referência 11-2024.xlsm)</v>
      </c>
      <c r="AG72" s="574">
        <f ca="1">ROUND(IF(DESONERACAO="sim",REFERENCIA.Desonerado,REFERENCIA.NaoDesonerado),2)</f>
        <v>0</v>
      </c>
      <c r="AH72" s="575">
        <f t="shared" ca="1" si="15"/>
        <v>0.22</v>
      </c>
      <c r="AJ72" s="577"/>
      <c r="AL72" s="607"/>
      <c r="AM72" s="426">
        <f t="shared" ca="1" si="0"/>
        <v>0</v>
      </c>
      <c r="AN72" s="650">
        <f t="shared" ca="1" si="16"/>
        <v>0</v>
      </c>
    </row>
    <row r="73" spans="1:40" ht="13.8" hidden="1">
      <c r="A73" t="str">
        <f t="shared" si="1"/>
        <v>S</v>
      </c>
      <c r="B73">
        <f t="shared" ca="1" si="2"/>
        <v>2</v>
      </c>
      <c r="C73" t="str">
        <f t="shared" ca="1" si="3"/>
        <v>S</v>
      </c>
      <c r="D73">
        <f t="shared" ca="1" si="4"/>
        <v>0</v>
      </c>
      <c r="E73">
        <f ca="1">IF($C73=1,OFFSET(E73,-1,0)+MAX(1,COUNTIF(QCI!$A$13:$A$24,OFFSET(ORÇAMENTO!E73,-1,0))),OFFSET(E73,-1,0))</f>
        <v>1</v>
      </c>
      <c r="F73">
        <f t="shared" ca="1" si="5"/>
        <v>5</v>
      </c>
      <c r="G73">
        <f t="shared" ca="1" si="6"/>
        <v>0</v>
      </c>
      <c r="H73">
        <f t="shared" ca="1" si="7"/>
        <v>0</v>
      </c>
      <c r="I73">
        <f t="shared" ca="1" si="8"/>
        <v>2</v>
      </c>
      <c r="J73">
        <f t="shared" ca="1" si="32"/>
        <v>0</v>
      </c>
      <c r="K73">
        <f ca="1">IF(OR($C73="S",$C73=0),0,MATCH(OFFSET($D73,0,$C73)+IF($C73&lt;&gt;1,1,COUNTIF(QCI!$A$13:$A$24,ORÇAMENTO!E73)),OFFSET($D73,1,$C73,ROW($C$264)-ROW($C73)),0))</f>
        <v>0</v>
      </c>
      <c r="L73" s="139" t="str">
        <f t="shared" ca="1" si="10"/>
        <v/>
      </c>
      <c r="M73" s="140" t="s">
        <v>199</v>
      </c>
      <c r="N73" s="141" t="str">
        <f t="shared" ca="1" si="11"/>
        <v>Serviço</v>
      </c>
      <c r="O73" s="142" t="str">
        <f t="shared" ca="1" si="12"/>
        <v>-</v>
      </c>
      <c r="P73" s="143" t="s">
        <v>247</v>
      </c>
      <c r="Q73" s="144"/>
      <c r="R73" s="145" t="str">
        <f ca="1">IF($C73="S",REFERENCIA.Descricao,"(digite a descrição aqui)")</f>
        <v>(abra o arquivo 'Referência 11-2024.xlsm)</v>
      </c>
      <c r="S73" s="146" t="str">
        <f ca="1">REFERENCIA.Unidade</f>
        <v>-</v>
      </c>
      <c r="T73" s="147">
        <f ca="1">OFFSET(CÁLCULO!H$15,ROW($T73)-ROW(T$15),0)</f>
        <v>0</v>
      </c>
      <c r="U73" s="148"/>
      <c r="V73" s="149" t="s">
        <v>156</v>
      </c>
      <c r="W73" s="147">
        <f ca="1">IF($C73="S",ROUND(IF(TIPOORCAMENTO="Proposto",ORÇAMENTO.CustoUnitario*(1+$AH73),ORÇAMENTO.PrecoUnitarioLicitado),15-13*$AF$10),0)</f>
        <v>0</v>
      </c>
      <c r="X73" s="150">
        <f ca="1">IF($C73="S",IF(Import.TipoArredondamento&lt;&gt;"TransfereGOV",VTOTAL1,SUM(OFFSET(CÁLCULO!$AA$15,ROW($X73)-ROW($X$15),1):OFFSET(CÁLCULO!$AL$15,ROW($X73)-ROW($X$15),-1))),IF($C73=0,0,ROUND(SomaAgrup,15-13*$AF$11)))</f>
        <v>0</v>
      </c>
      <c r="Y73" s="151" t="s">
        <v>245</v>
      </c>
      <c r="Z73" t="str">
        <f t="shared" ca="1" si="13"/>
        <v/>
      </c>
      <c r="AA73" s="152">
        <f ca="1">IF($C73="S",IF($Z73="CP",$X73,IF($Z73="RA",(($X73)*QCI!$AA$3),0)),SomaAgrup)</f>
        <v>0</v>
      </c>
      <c r="AB73" s="153">
        <f t="shared" ca="1" si="14"/>
        <v>0</v>
      </c>
      <c r="AC73" s="154" t="str">
        <f ca="1">IF($N73="","",IF(ORÇAMENTO.Descricao="","DESCRIÇÃO",IF(AND($C73="S",ORÇAMENTO.Unidade=""),"UNIDADE",IF($X73&lt;0,"VALOR NEGATIVO",IF(OR(AND(TIPOORCAMENTO="Proposto",$AG73&lt;&gt;"",$AG73&gt;0,ORÇAMENTO.CustoUnitario&gt;$AG73),AND(TIPOORCAMENTO="LICITADO",ORÇAMENTO.PrecoUnitarioLicitado&gt;$AN73)),"ACIMA REF.","")))))</f>
        <v/>
      </c>
      <c r="AD73" s="100" t="str">
        <f ca="1">IF(C73&lt;=CRONO.NivelExibicao,MAX($AD$15:OFFSET(AD73,-1,0))+IF($C73&lt;&gt;1,1,MAX(1,COUNTIF(QCI!$A$13:$A$24,OFFSET($E73,-1,0)))),"")</f>
        <v/>
      </c>
      <c r="AE73" s="110" t="b">
        <f ca="1">IF(AND($C73="S",ORÇAMENTO.CodBarra&lt;&gt;""),IF(ORÇAMENTO.Fonte="",ORÇAMENTO.CodBarra,CONCATENATE(ORÇAMENTO.Fonte," ",ORÇAMENTO.CodBarra)))</f>
        <v>0</v>
      </c>
      <c r="AF73" s="155" t="str">
        <f ca="1">IF(ISERROR(INDIRECT(ORÇAMENTO.BancoRef)),"(abra o arquivo 'Referência "&amp;Excel_BuiltIn_Database&amp;".xlsm)",IF(OR($C73&lt;&gt;"S",ORÇAMENTO.CodBarra=""),"(Sem Código)",IF(ISERROR(MATCH($AE73,INDIRECT(ORÇAMENTO.BancoRef),0)),"(Código não identificado nas referências)",MATCH($AE73,INDIRECT(ORÇAMENTO.BancoRef),0))))</f>
        <v>(abra o arquivo 'Referência 11-2024.xlsm)</v>
      </c>
      <c r="AG73" s="574">
        <f ca="1">ROUND(IF(DESONERACAO="sim",REFERENCIA.Desonerado,REFERENCIA.NaoDesonerado),2)</f>
        <v>0</v>
      </c>
      <c r="AH73" s="575">
        <f t="shared" ca="1" si="15"/>
        <v>0.22</v>
      </c>
      <c r="AJ73" s="577"/>
      <c r="AL73" s="607"/>
      <c r="AM73" s="426">
        <f t="shared" ca="1" si="0"/>
        <v>0</v>
      </c>
      <c r="AN73" s="650">
        <f t="shared" ca="1" si="16"/>
        <v>0</v>
      </c>
    </row>
    <row r="74" spans="1:40" ht="13.8" hidden="1">
      <c r="A74" t="str">
        <f t="shared" si="1"/>
        <v>S</v>
      </c>
      <c r="B74">
        <f t="shared" ca="1" si="2"/>
        <v>2</v>
      </c>
      <c r="C74" t="str">
        <f t="shared" ca="1" si="3"/>
        <v>S</v>
      </c>
      <c r="D74">
        <f t="shared" ca="1" si="4"/>
        <v>0</v>
      </c>
      <c r="E74">
        <f ca="1">IF($C74=1,OFFSET(E74,-1,0)+MAX(1,COUNTIF(QCI!$A$13:$A$24,OFFSET(ORÇAMENTO!E74,-1,0))),OFFSET(E74,-1,0))</f>
        <v>1</v>
      </c>
      <c r="F74">
        <f t="shared" ca="1" si="5"/>
        <v>5</v>
      </c>
      <c r="G74">
        <f t="shared" ca="1" si="6"/>
        <v>0</v>
      </c>
      <c r="H74">
        <f t="shared" ca="1" si="7"/>
        <v>0</v>
      </c>
      <c r="I74">
        <f t="shared" ca="1" si="8"/>
        <v>2</v>
      </c>
      <c r="J74">
        <f t="shared" ca="1" si="32"/>
        <v>0</v>
      </c>
      <c r="K74">
        <f ca="1">IF(OR($C74="S",$C74=0),0,MATCH(OFFSET($D74,0,$C74)+IF($C74&lt;&gt;1,1,COUNTIF(QCI!$A$13:$A$24,ORÇAMENTO!E74)),OFFSET($D74,1,$C74,ROW($C$264)-ROW($C74)),0))</f>
        <v>0</v>
      </c>
      <c r="L74" s="139" t="str">
        <f t="shared" ca="1" si="10"/>
        <v/>
      </c>
      <c r="M74" s="140" t="s">
        <v>199</v>
      </c>
      <c r="N74" s="141" t="str">
        <f t="shared" ca="1" si="11"/>
        <v>Serviço</v>
      </c>
      <c r="O74" s="142" t="str">
        <f t="shared" ca="1" si="12"/>
        <v>-</v>
      </c>
      <c r="P74" s="143" t="s">
        <v>247</v>
      </c>
      <c r="Q74" s="144"/>
      <c r="R74" s="145" t="str">
        <f ca="1">IF($C74="S",REFERENCIA.Descricao,"(digite a descrição aqui)")</f>
        <v>(abra o arquivo 'Referência 11-2024.xlsm)</v>
      </c>
      <c r="S74" s="146" t="str">
        <f ca="1">REFERENCIA.Unidade</f>
        <v>-</v>
      </c>
      <c r="T74" s="147">
        <f ca="1">OFFSET(CÁLCULO!H$15,ROW($T74)-ROW(T$15),0)</f>
        <v>0</v>
      </c>
      <c r="U74" s="148"/>
      <c r="V74" s="149" t="s">
        <v>156</v>
      </c>
      <c r="W74" s="147">
        <f ca="1">IF($C74="S",ROUND(IF(TIPOORCAMENTO="Proposto",ORÇAMENTO.CustoUnitario*(1+$AH74),ORÇAMENTO.PrecoUnitarioLicitado),15-13*$AF$10),0)</f>
        <v>0</v>
      </c>
      <c r="X74" s="150">
        <f ca="1">IF($C74="S",IF(Import.TipoArredondamento&lt;&gt;"TransfereGOV",VTOTAL1,SUM(OFFSET(CÁLCULO!$AA$15,ROW($X74)-ROW($X$15),1):OFFSET(CÁLCULO!$AL$15,ROW($X74)-ROW($X$15),-1))),IF($C74=0,0,ROUND(SomaAgrup,15-13*$AF$11)))</f>
        <v>0</v>
      </c>
      <c r="Y74" s="151" t="s">
        <v>245</v>
      </c>
      <c r="Z74" t="str">
        <f t="shared" ca="1" si="13"/>
        <v/>
      </c>
      <c r="AA74" s="152">
        <f ca="1">IF($C74="S",IF($Z74="CP",$X74,IF($Z74="RA",(($X74)*QCI!$AA$3),0)),SomaAgrup)</f>
        <v>0</v>
      </c>
      <c r="AB74" s="153">
        <f t="shared" ca="1" si="14"/>
        <v>0</v>
      </c>
      <c r="AC74" s="154" t="str">
        <f ca="1">IF($N74="","",IF(ORÇAMENTO.Descricao="","DESCRIÇÃO",IF(AND($C74="S",ORÇAMENTO.Unidade=""),"UNIDADE",IF($X74&lt;0,"VALOR NEGATIVO",IF(OR(AND(TIPOORCAMENTO="Proposto",$AG74&lt;&gt;"",$AG74&gt;0,ORÇAMENTO.CustoUnitario&gt;$AG74),AND(TIPOORCAMENTO="LICITADO",ORÇAMENTO.PrecoUnitarioLicitado&gt;$AN74)),"ACIMA REF.","")))))</f>
        <v/>
      </c>
      <c r="AD74" s="100" t="str">
        <f ca="1">IF(C74&lt;=CRONO.NivelExibicao,MAX($AD$15:OFFSET(AD74,-1,0))+IF($C74&lt;&gt;1,1,MAX(1,COUNTIF(QCI!$A$13:$A$24,OFFSET($E74,-1,0)))),"")</f>
        <v/>
      </c>
      <c r="AE74" s="110" t="b">
        <f ca="1">IF(AND($C74="S",ORÇAMENTO.CodBarra&lt;&gt;""),IF(ORÇAMENTO.Fonte="",ORÇAMENTO.CodBarra,CONCATENATE(ORÇAMENTO.Fonte," ",ORÇAMENTO.CodBarra)))</f>
        <v>0</v>
      </c>
      <c r="AF74" s="155" t="str">
        <f ca="1">IF(ISERROR(INDIRECT(ORÇAMENTO.BancoRef)),"(abra o arquivo 'Referência "&amp;Excel_BuiltIn_Database&amp;".xlsm)",IF(OR($C74&lt;&gt;"S",ORÇAMENTO.CodBarra=""),"(Sem Código)",IF(ISERROR(MATCH($AE74,INDIRECT(ORÇAMENTO.BancoRef),0)),"(Código não identificado nas referências)",MATCH($AE74,INDIRECT(ORÇAMENTO.BancoRef),0))))</f>
        <v>(abra o arquivo 'Referência 11-2024.xlsm)</v>
      </c>
      <c r="AG74" s="574">
        <f ca="1">ROUND(IF(DESONERACAO="sim",REFERENCIA.Desonerado,REFERENCIA.NaoDesonerado),2)</f>
        <v>0</v>
      </c>
      <c r="AH74" s="575">
        <f t="shared" ca="1" si="15"/>
        <v>0.22</v>
      </c>
      <c r="AJ74" s="577"/>
      <c r="AL74" s="607"/>
      <c r="AM74" s="426">
        <f t="shared" ca="1" si="0"/>
        <v>0</v>
      </c>
      <c r="AN74" s="650">
        <f t="shared" ca="1" si="16"/>
        <v>0</v>
      </c>
    </row>
    <row r="75" spans="1:40" ht="13.8" hidden="1">
      <c r="A75" t="str">
        <f t="shared" si="1"/>
        <v>S</v>
      </c>
      <c r="B75">
        <f t="shared" ca="1" si="2"/>
        <v>2</v>
      </c>
      <c r="C75" t="str">
        <f t="shared" ca="1" si="3"/>
        <v>S</v>
      </c>
      <c r="D75">
        <f t="shared" ca="1" si="4"/>
        <v>0</v>
      </c>
      <c r="E75">
        <f ca="1">IF($C75=1,OFFSET(E75,-1,0)+MAX(1,COUNTIF(QCI!$A$13:$A$24,OFFSET(ORÇAMENTO!E75,-1,0))),OFFSET(E75,-1,0))</f>
        <v>1</v>
      </c>
      <c r="F75">
        <f t="shared" ca="1" si="5"/>
        <v>5</v>
      </c>
      <c r="G75">
        <f t="shared" ca="1" si="6"/>
        <v>0</v>
      </c>
      <c r="H75">
        <f t="shared" ca="1" si="7"/>
        <v>0</v>
      </c>
      <c r="I75">
        <f t="shared" ca="1" si="8"/>
        <v>2</v>
      </c>
      <c r="J75">
        <f t="shared" ca="1" si="32"/>
        <v>0</v>
      </c>
      <c r="K75">
        <f ca="1">IF(OR($C75="S",$C75=0),0,MATCH(OFFSET($D75,0,$C75)+IF($C75&lt;&gt;1,1,COUNTIF(QCI!$A$13:$A$24,ORÇAMENTO!E75)),OFFSET($D75,1,$C75,ROW($C$264)-ROW($C75)),0))</f>
        <v>0</v>
      </c>
      <c r="L75" s="139" t="str">
        <f t="shared" ca="1" si="10"/>
        <v/>
      </c>
      <c r="M75" s="140" t="s">
        <v>199</v>
      </c>
      <c r="N75" s="141" t="str">
        <f t="shared" ca="1" si="11"/>
        <v>Serviço</v>
      </c>
      <c r="O75" s="142" t="str">
        <f t="shared" ca="1" si="12"/>
        <v>-</v>
      </c>
      <c r="P75" s="143" t="s">
        <v>247</v>
      </c>
      <c r="Q75" s="144"/>
      <c r="R75" s="145" t="str">
        <f ca="1">IF($C75="S",REFERENCIA.Descricao,"(digite a descrição aqui)")</f>
        <v>(abra o arquivo 'Referência 11-2024.xlsm)</v>
      </c>
      <c r="S75" s="146" t="str">
        <f ca="1">REFERENCIA.Unidade</f>
        <v>-</v>
      </c>
      <c r="T75" s="147">
        <f ca="1">OFFSET(CÁLCULO!H$15,ROW($T75)-ROW(T$15),0)</f>
        <v>0</v>
      </c>
      <c r="U75" s="148"/>
      <c r="V75" s="149" t="s">
        <v>156</v>
      </c>
      <c r="W75" s="147">
        <f ca="1">IF($C75="S",ROUND(IF(TIPOORCAMENTO="Proposto",ORÇAMENTO.CustoUnitario*(1+$AH75),ORÇAMENTO.PrecoUnitarioLicitado),15-13*$AF$10),0)</f>
        <v>0</v>
      </c>
      <c r="X75" s="150">
        <f ca="1">IF($C75="S",IF(Import.TipoArredondamento&lt;&gt;"TransfereGOV",VTOTAL1,SUM(OFFSET(CÁLCULO!$AA$15,ROW($X75)-ROW($X$15),1):OFFSET(CÁLCULO!$AL$15,ROW($X75)-ROW($X$15),-1))),IF($C75=0,0,ROUND(SomaAgrup,15-13*$AF$11)))</f>
        <v>0</v>
      </c>
      <c r="Y75" s="151" t="s">
        <v>245</v>
      </c>
      <c r="Z75" t="str">
        <f t="shared" ca="1" si="13"/>
        <v/>
      </c>
      <c r="AA75" s="152">
        <f ca="1">IF($C75="S",IF($Z75="CP",$X75,IF($Z75="RA",(($X75)*QCI!$AA$3),0)),SomaAgrup)</f>
        <v>0</v>
      </c>
      <c r="AB75" s="153">
        <f t="shared" ca="1" si="14"/>
        <v>0</v>
      </c>
      <c r="AC75" s="154" t="str">
        <f ca="1">IF($N75="","",IF(ORÇAMENTO.Descricao="","DESCRIÇÃO",IF(AND($C75="S",ORÇAMENTO.Unidade=""),"UNIDADE",IF($X75&lt;0,"VALOR NEGATIVO",IF(OR(AND(TIPOORCAMENTO="Proposto",$AG75&lt;&gt;"",$AG75&gt;0,ORÇAMENTO.CustoUnitario&gt;$AG75),AND(TIPOORCAMENTO="LICITADO",ORÇAMENTO.PrecoUnitarioLicitado&gt;$AN75)),"ACIMA REF.","")))))</f>
        <v/>
      </c>
      <c r="AD75" s="100" t="str">
        <f ca="1">IF(C75&lt;=CRONO.NivelExibicao,MAX($AD$15:OFFSET(AD75,-1,0))+IF($C75&lt;&gt;1,1,MAX(1,COUNTIF(QCI!$A$13:$A$24,OFFSET($E75,-1,0)))),"")</f>
        <v/>
      </c>
      <c r="AE75" s="110" t="b">
        <f ca="1">IF(AND($C75="S",ORÇAMENTO.CodBarra&lt;&gt;""),IF(ORÇAMENTO.Fonte="",ORÇAMENTO.CodBarra,CONCATENATE(ORÇAMENTO.Fonte," ",ORÇAMENTO.CodBarra)))</f>
        <v>0</v>
      </c>
      <c r="AF75" s="155" t="str">
        <f ca="1">IF(ISERROR(INDIRECT(ORÇAMENTO.BancoRef)),"(abra o arquivo 'Referência "&amp;Excel_BuiltIn_Database&amp;".xlsm)",IF(OR($C75&lt;&gt;"S",ORÇAMENTO.CodBarra=""),"(Sem Código)",IF(ISERROR(MATCH($AE75,INDIRECT(ORÇAMENTO.BancoRef),0)),"(Código não identificado nas referências)",MATCH($AE75,INDIRECT(ORÇAMENTO.BancoRef),0))))</f>
        <v>(abra o arquivo 'Referência 11-2024.xlsm)</v>
      </c>
      <c r="AG75" s="574">
        <f ca="1">ROUND(IF(DESONERACAO="sim",REFERENCIA.Desonerado,REFERENCIA.NaoDesonerado),2)</f>
        <v>0</v>
      </c>
      <c r="AH75" s="575">
        <f t="shared" ca="1" si="15"/>
        <v>0.22</v>
      </c>
      <c r="AJ75" s="577"/>
      <c r="AL75" s="607"/>
      <c r="AM75" s="426">
        <f t="shared" ca="1" si="0"/>
        <v>0</v>
      </c>
      <c r="AN75" s="650">
        <f t="shared" ca="1" si="16"/>
        <v>0</v>
      </c>
    </row>
    <row r="76" spans="1:40" ht="13.8" hidden="1">
      <c r="A76" t="str">
        <f t="shared" si="1"/>
        <v>S</v>
      </c>
      <c r="B76">
        <f t="shared" ca="1" si="2"/>
        <v>2</v>
      </c>
      <c r="C76" t="str">
        <f t="shared" ca="1" si="3"/>
        <v>S</v>
      </c>
      <c r="D76">
        <f t="shared" ca="1" si="4"/>
        <v>0</v>
      </c>
      <c r="E76">
        <f ca="1">IF($C76=1,OFFSET(E76,-1,0)+MAX(1,COUNTIF(QCI!$A$13:$A$24,OFFSET(ORÇAMENTO!E76,-1,0))),OFFSET(E76,-1,0))</f>
        <v>1</v>
      </c>
      <c r="F76">
        <f t="shared" ca="1" si="5"/>
        <v>5</v>
      </c>
      <c r="G76">
        <f t="shared" ca="1" si="6"/>
        <v>0</v>
      </c>
      <c r="H76">
        <f t="shared" ca="1" si="7"/>
        <v>0</v>
      </c>
      <c r="I76">
        <f t="shared" ca="1" si="8"/>
        <v>2</v>
      </c>
      <c r="J76">
        <f t="shared" ca="1" si="32"/>
        <v>0</v>
      </c>
      <c r="K76">
        <f ca="1">IF(OR($C76="S",$C76=0),0,MATCH(OFFSET($D76,0,$C76)+IF($C76&lt;&gt;1,1,COUNTIF(QCI!$A$13:$A$24,ORÇAMENTO!E76)),OFFSET($D76,1,$C76,ROW($C$264)-ROW($C76)),0))</f>
        <v>0</v>
      </c>
      <c r="L76" s="139" t="str">
        <f t="shared" ca="1" si="10"/>
        <v/>
      </c>
      <c r="M76" s="140" t="s">
        <v>199</v>
      </c>
      <c r="N76" s="141" t="str">
        <f t="shared" ca="1" si="11"/>
        <v>Serviço</v>
      </c>
      <c r="O76" s="142" t="str">
        <f t="shared" ca="1" si="12"/>
        <v>-</v>
      </c>
      <c r="P76" s="143" t="s">
        <v>247</v>
      </c>
      <c r="Q76" s="144"/>
      <c r="R76" s="145" t="str">
        <f ca="1">IF($C76="S",REFERENCIA.Descricao,"(digite a descrição aqui)")</f>
        <v>(abra o arquivo 'Referência 11-2024.xlsm)</v>
      </c>
      <c r="S76" s="146" t="str">
        <f ca="1">REFERENCIA.Unidade</f>
        <v>-</v>
      </c>
      <c r="T76" s="147">
        <f ca="1">OFFSET(CÁLCULO!H$15,ROW($T76)-ROW(T$15),0)</f>
        <v>0</v>
      </c>
      <c r="U76" s="148"/>
      <c r="V76" s="149" t="s">
        <v>156</v>
      </c>
      <c r="W76" s="147">
        <f ca="1">IF($C76="S",ROUND(IF(TIPOORCAMENTO="Proposto",ORÇAMENTO.CustoUnitario*(1+$AH76),ORÇAMENTO.PrecoUnitarioLicitado),15-13*$AF$10),0)</f>
        <v>0</v>
      </c>
      <c r="X76" s="150">
        <f ca="1">IF($C76="S",IF(Import.TipoArredondamento&lt;&gt;"TransfereGOV",VTOTAL1,SUM(OFFSET(CÁLCULO!$AA$15,ROW($X76)-ROW($X$15),1):OFFSET(CÁLCULO!$AL$15,ROW($X76)-ROW($X$15),-1))),IF($C76=0,0,ROUND(SomaAgrup,15-13*$AF$11)))</f>
        <v>0</v>
      </c>
      <c r="Y76" s="151" t="s">
        <v>245</v>
      </c>
      <c r="Z76" t="str">
        <f t="shared" ca="1" si="13"/>
        <v/>
      </c>
      <c r="AA76" s="152">
        <f ca="1">IF($C76="S",IF($Z76="CP",$X76,IF($Z76="RA",(($X76)*QCI!$AA$3),0)),SomaAgrup)</f>
        <v>0</v>
      </c>
      <c r="AB76" s="153">
        <f t="shared" ca="1" si="14"/>
        <v>0</v>
      </c>
      <c r="AC76" s="154" t="str">
        <f ca="1">IF($N76="","",IF(ORÇAMENTO.Descricao="","DESCRIÇÃO",IF(AND($C76="S",ORÇAMENTO.Unidade=""),"UNIDADE",IF($X76&lt;0,"VALOR NEGATIVO",IF(OR(AND(TIPOORCAMENTO="Proposto",$AG76&lt;&gt;"",$AG76&gt;0,ORÇAMENTO.CustoUnitario&gt;$AG76),AND(TIPOORCAMENTO="LICITADO",ORÇAMENTO.PrecoUnitarioLicitado&gt;$AN76)),"ACIMA REF.","")))))</f>
        <v/>
      </c>
      <c r="AD76" s="100" t="str">
        <f ca="1">IF(C76&lt;=CRONO.NivelExibicao,MAX($AD$15:OFFSET(AD76,-1,0))+IF($C76&lt;&gt;1,1,MAX(1,COUNTIF(QCI!$A$13:$A$24,OFFSET($E76,-1,0)))),"")</f>
        <v/>
      </c>
      <c r="AE76" s="110" t="b">
        <f ca="1">IF(AND($C76="S",ORÇAMENTO.CodBarra&lt;&gt;""),IF(ORÇAMENTO.Fonte="",ORÇAMENTO.CodBarra,CONCATENATE(ORÇAMENTO.Fonte," ",ORÇAMENTO.CodBarra)))</f>
        <v>0</v>
      </c>
      <c r="AF76" s="155" t="str">
        <f ca="1">IF(ISERROR(INDIRECT(ORÇAMENTO.BancoRef)),"(abra o arquivo 'Referência "&amp;Excel_BuiltIn_Database&amp;".xlsm)",IF(OR($C76&lt;&gt;"S",ORÇAMENTO.CodBarra=""),"(Sem Código)",IF(ISERROR(MATCH($AE76,INDIRECT(ORÇAMENTO.BancoRef),0)),"(Código não identificado nas referências)",MATCH($AE76,INDIRECT(ORÇAMENTO.BancoRef),0))))</f>
        <v>(abra o arquivo 'Referência 11-2024.xlsm)</v>
      </c>
      <c r="AG76" s="574">
        <f ca="1">ROUND(IF(DESONERACAO="sim",REFERENCIA.Desonerado,REFERENCIA.NaoDesonerado),2)</f>
        <v>0</v>
      </c>
      <c r="AH76" s="575">
        <f t="shared" ca="1" si="15"/>
        <v>0.22</v>
      </c>
      <c r="AJ76" s="577"/>
      <c r="AL76" s="607"/>
      <c r="AM76" s="426">
        <f t="shared" ref="AM76" ca="1" si="33">$X76</f>
        <v>0</v>
      </c>
      <c r="AN76" s="650">
        <f t="shared" ca="1" si="16"/>
        <v>0</v>
      </c>
    </row>
    <row r="77" spans="1:40" ht="13.8" hidden="1">
      <c r="A77" t="str">
        <f t="shared" si="1"/>
        <v>S</v>
      </c>
      <c r="B77">
        <f t="shared" ca="1" si="2"/>
        <v>2</v>
      </c>
      <c r="C77" t="str">
        <f t="shared" ca="1" si="3"/>
        <v>S</v>
      </c>
      <c r="D77">
        <f t="shared" ca="1" si="4"/>
        <v>0</v>
      </c>
      <c r="E77">
        <f ca="1">IF($C77=1,OFFSET(E77,-1,0)+MAX(1,COUNTIF(QCI!$A$13:$A$24,OFFSET(ORÇAMENTO!E77,-1,0))),OFFSET(E77,-1,0))</f>
        <v>1</v>
      </c>
      <c r="F77">
        <f t="shared" ca="1" si="5"/>
        <v>5</v>
      </c>
      <c r="G77">
        <f t="shared" ca="1" si="6"/>
        <v>0</v>
      </c>
      <c r="H77">
        <f t="shared" ca="1" si="7"/>
        <v>0</v>
      </c>
      <c r="I77">
        <f t="shared" ca="1" si="8"/>
        <v>2</v>
      </c>
      <c r="J77">
        <f t="shared" ca="1" si="32"/>
        <v>0</v>
      </c>
      <c r="K77">
        <f ca="1">IF(OR($C77="S",$C77=0),0,MATCH(OFFSET($D77,0,$C77)+IF($C77&lt;&gt;1,1,COUNTIF(QCI!$A$13:$A$24,ORÇAMENTO!E77)),OFFSET($D77,1,$C77,ROW($C$264)-ROW($C77)),0))</f>
        <v>0</v>
      </c>
      <c r="L77" s="139" t="str">
        <f t="shared" ca="1" si="10"/>
        <v/>
      </c>
      <c r="M77" s="140" t="s">
        <v>199</v>
      </c>
      <c r="N77" s="141" t="str">
        <f t="shared" ca="1" si="11"/>
        <v>Serviço</v>
      </c>
      <c r="O77" s="142" t="str">
        <f t="shared" ca="1" si="12"/>
        <v>-</v>
      </c>
      <c r="P77" s="143" t="s">
        <v>247</v>
      </c>
      <c r="Q77" s="144"/>
      <c r="R77" s="145" t="str">
        <f ca="1">IF($C77="S",REFERENCIA.Descricao,"(digite a descrição aqui)")</f>
        <v>(abra o arquivo 'Referência 11-2024.xlsm)</v>
      </c>
      <c r="S77" s="146" t="str">
        <f ca="1">REFERENCIA.Unidade</f>
        <v>-</v>
      </c>
      <c r="T77" s="147">
        <f ca="1">OFFSET(CÁLCULO!H$15,ROW($T77)-ROW(T$15),0)</f>
        <v>0</v>
      </c>
      <c r="U77" s="148"/>
      <c r="V77" s="149" t="s">
        <v>156</v>
      </c>
      <c r="W77" s="147">
        <f ca="1">IF($C77="S",ROUND(IF(TIPOORCAMENTO="Proposto",ORÇAMENTO.CustoUnitario*(1+$AH77),ORÇAMENTO.PrecoUnitarioLicitado),15-13*$AF$10),0)</f>
        <v>0</v>
      </c>
      <c r="X77" s="150">
        <f ca="1">IF($C77="S",IF(Import.TipoArredondamento&lt;&gt;"TransfereGOV",VTOTAL1,SUM(OFFSET(CÁLCULO!$AA$15,ROW($X77)-ROW($X$15),1):OFFSET(CÁLCULO!$AL$15,ROW($X77)-ROW($X$15),-1))),IF($C77=0,0,ROUND(SomaAgrup,15-13*$AF$11)))</f>
        <v>0</v>
      </c>
      <c r="Y77" s="151" t="s">
        <v>245</v>
      </c>
      <c r="Z77" t="str">
        <f t="shared" ca="1" si="13"/>
        <v/>
      </c>
      <c r="AA77" s="152">
        <f ca="1">IF($C77="S",IF($Z77="CP",$X77,IF($Z77="RA",(($X77)*QCI!$AA$3),0)),SomaAgrup)</f>
        <v>0</v>
      </c>
      <c r="AB77" s="153">
        <f t="shared" ca="1" si="14"/>
        <v>0</v>
      </c>
      <c r="AC77" s="154" t="str">
        <f ca="1">IF($N77="","",IF(ORÇAMENTO.Descricao="","DESCRIÇÃO",IF(AND($C77="S",ORÇAMENTO.Unidade=""),"UNIDADE",IF($X77&lt;0,"VALOR NEGATIVO",IF(OR(AND(TIPOORCAMENTO="Proposto",$AG77&lt;&gt;"",$AG77&gt;0,ORÇAMENTO.CustoUnitario&gt;$AG77),AND(TIPOORCAMENTO="LICITADO",ORÇAMENTO.PrecoUnitarioLicitado&gt;$AN77)),"ACIMA REF.","")))))</f>
        <v/>
      </c>
      <c r="AD77" s="100" t="str">
        <f ca="1">IF(C77&lt;=CRONO.NivelExibicao,MAX($AD$15:OFFSET(AD77,-1,0))+IF($C77&lt;&gt;1,1,MAX(1,COUNTIF(QCI!$A$13:$A$24,OFFSET($E77,-1,0)))),"")</f>
        <v/>
      </c>
      <c r="AE77" s="110" t="b">
        <f ca="1">IF(AND($C77="S",ORÇAMENTO.CodBarra&lt;&gt;""),IF(ORÇAMENTO.Fonte="",ORÇAMENTO.CodBarra,CONCATENATE(ORÇAMENTO.Fonte," ",ORÇAMENTO.CodBarra)))</f>
        <v>0</v>
      </c>
      <c r="AF77" s="155" t="str">
        <f ca="1">IF(ISERROR(INDIRECT(ORÇAMENTO.BancoRef)),"(abra o arquivo 'Referência "&amp;Excel_BuiltIn_Database&amp;".xlsm)",IF(OR($C77&lt;&gt;"S",ORÇAMENTO.CodBarra=""),"(Sem Código)",IF(ISERROR(MATCH($AE77,INDIRECT(ORÇAMENTO.BancoRef),0)),"(Código não identificado nas referências)",MATCH($AE77,INDIRECT(ORÇAMENTO.BancoRef),0))))</f>
        <v>(abra o arquivo 'Referência 11-2024.xlsm)</v>
      </c>
      <c r="AG77" s="574">
        <f ca="1">ROUND(IF(DESONERACAO="sim",REFERENCIA.Desonerado,REFERENCIA.NaoDesonerado),2)</f>
        <v>0</v>
      </c>
      <c r="AH77" s="575">
        <f t="shared" ca="1" si="15"/>
        <v>0.22</v>
      </c>
      <c r="AJ77" s="577"/>
      <c r="AL77" s="607"/>
      <c r="AM77" s="426">
        <f t="shared" ca="1" si="0"/>
        <v>0</v>
      </c>
      <c r="AN77" s="650">
        <f t="shared" ca="1" si="16"/>
        <v>0</v>
      </c>
    </row>
    <row r="78" spans="1:40" ht="13.8" hidden="1">
      <c r="A78" t="str">
        <f t="shared" ref="A78:A141" si="34">CHOOSE(1+LOG(1+2*(ORÇAMENTO.Nivel="Meta")+4*(ORÇAMENTO.Nivel="Nível 2")+8*(ORÇAMENTO.Nivel="Nível 3")+16*(ORÇAMENTO.Nivel="Nível 4")+32*(ORÇAMENTO.Nivel="Serviço"),2),0,1,2,3,4,"S")</f>
        <v>S</v>
      </c>
      <c r="B78">
        <f t="shared" ref="B78:B141" ca="1" si="35">IF(OR(C78="s",C78=0),OFFSET(B78,-1,0),C78)</f>
        <v>2</v>
      </c>
      <c r="C78" t="str">
        <f t="shared" ref="C78:C141" ca="1" si="36">IF(OFFSET(C78,-1,0)="L",1,IF(OFFSET(C78,-1,0)=1,2,IF(OR(A78="s",A78=0),"S",IF(AND(OFFSET(C78,-1,0)=2,A78=4),3,IF(AND(OR(OFFSET(C78,-1,0)="s",OFFSET(C78,-1,0)=0),A78&lt;&gt;"s",A78&gt;OFFSET(B78,-1,0)),OFFSET(B78,-1,0),A78)))))</f>
        <v>S</v>
      </c>
      <c r="D78">
        <f t="shared" ref="D78:D141" ca="1" si="37">IF(OR(C78="S",C78=0),0,IF(ISERROR(K78),J78,SMALL(J78:K78,1)))</f>
        <v>0</v>
      </c>
      <c r="E78">
        <f ca="1">IF($C78=1,OFFSET(E78,-1,0)+MAX(1,COUNTIF(QCI!$A$13:$A$24,OFFSET(ORÇAMENTO!E78,-1,0))),OFFSET(E78,-1,0))</f>
        <v>1</v>
      </c>
      <c r="F78">
        <f t="shared" ref="F78:F141" ca="1" si="38">IF($C78=1,0,IF($C78=2,OFFSET(F78,-1,0)+1,OFFSET(F78,-1,0)))</f>
        <v>5</v>
      </c>
      <c r="G78">
        <f t="shared" ref="G78:G141" ca="1" si="39">IF(AND($C78&lt;=2,$C78&lt;&gt;0),0,IF($C78=3,OFFSET(G78,-1,0)+1,OFFSET(G78,-1,0)))</f>
        <v>0</v>
      </c>
      <c r="H78">
        <f t="shared" ref="H78:H141" ca="1" si="40">IF(AND($C78&lt;=3,$C78&lt;&gt;0),0,IF($C78=4,OFFSET(H78,-1,0)+1,OFFSET(H78,-1,0)))</f>
        <v>0</v>
      </c>
      <c r="I78">
        <f t="shared" ref="I78:I141" ca="1" si="41">IF(AND($C78&lt;=4,$C78&lt;&gt;0),0,IF(AND($C78="S",$X78&gt;0),OFFSET(I78,-1,0)+1,OFFSET(I78,-1,0)))</f>
        <v>2</v>
      </c>
      <c r="J78">
        <f t="shared" ref="J78:J141" ca="1" si="42">IF(OR($C78="S",$C78=0),0,MATCH(0,OFFSET($D78,1,$C78,ROW($C$264)-ROW($C78)),0))</f>
        <v>0</v>
      </c>
      <c r="K78">
        <f ca="1">IF(OR($C78="S",$C78=0),0,MATCH(OFFSET($D78,0,$C78)+IF($C78&lt;&gt;1,1,COUNTIF(QCI!$A$13:$A$24,ORÇAMENTO!E78)),OFFSET($D78,1,$C78,ROW($C$264)-ROW($C78)),0))</f>
        <v>0</v>
      </c>
      <c r="L78" s="139" t="str">
        <f t="shared" ref="L78:L141" ca="1" si="43">IF(OR($X78&gt;0,$C78=1,$C78=2,$C78=3,$C78=4),"F","")</f>
        <v/>
      </c>
      <c r="M78" s="140" t="s">
        <v>199</v>
      </c>
      <c r="N78" s="141" t="str">
        <f t="shared" ref="N78:N141" ca="1" si="44">CHOOSE(1+LOG(1+2*(C78=1)+4*(C78=2)+8*(C78=3)+16*(C78=4)+32*(C78="S"),2),"","Meta","Nível 2","Nível 3","Nível 4","Serviço")</f>
        <v>Serviço</v>
      </c>
      <c r="O78" s="142" t="str">
        <f t="shared" ref="O78:O141" ca="1" si="45">IF(OR($C78=0,$L78=""),"-",CONCATENATE(E78&amp;".",IF(AND($A$5&gt;=2,$C78&gt;=2),F78&amp;".",""),IF(AND($A$5&gt;=3,$C78&gt;=3),G78&amp;".",""),IF(AND($A$5&gt;=4,$C78&gt;=4),H78&amp;".",""),IF($C78="S",I78&amp;".","")))</f>
        <v>-</v>
      </c>
      <c r="P78" s="143" t="s">
        <v>247</v>
      </c>
      <c r="Q78" s="144"/>
      <c r="R78" s="145" t="str">
        <f ca="1">IF($C78="S",REFERENCIA.Descricao,"(digite a descrição aqui)")</f>
        <v>(abra o arquivo 'Referência 11-2024.xlsm)</v>
      </c>
      <c r="S78" s="146" t="str">
        <f ca="1">REFERENCIA.Unidade</f>
        <v>-</v>
      </c>
      <c r="T78" s="147">
        <f ca="1">OFFSET(CÁLCULO!H$15,ROW($T78)-ROW(T$15),0)</f>
        <v>0</v>
      </c>
      <c r="U78" s="148"/>
      <c r="V78" s="149" t="s">
        <v>156</v>
      </c>
      <c r="W78" s="147">
        <f ca="1">IF($C78="S",ROUND(IF(TIPOORCAMENTO="Proposto",ORÇAMENTO.CustoUnitario*(1+$AH78),ORÇAMENTO.PrecoUnitarioLicitado),15-13*$AF$10),0)</f>
        <v>0</v>
      </c>
      <c r="X78" s="150">
        <f ca="1">IF($C78="S",IF(Import.TipoArredondamento&lt;&gt;"TransfereGOV",VTOTAL1,SUM(OFFSET(CÁLCULO!$AA$15,ROW($X78)-ROW($X$15),1):OFFSET(CÁLCULO!$AL$15,ROW($X78)-ROW($X$15),-1))),IF($C78=0,0,ROUND(SomaAgrup,15-13*$AF$11)))</f>
        <v>0</v>
      </c>
      <c r="Y78" s="151" t="s">
        <v>245</v>
      </c>
      <c r="Z78" t="str">
        <f t="shared" ref="Z78:Z141" ca="1" si="46">IF(AND($C78="S",$X78&gt;0),IF(ISBLANK($Y78),"RA",LEFT($Y78,2)),"")</f>
        <v/>
      </c>
      <c r="AA78" s="152">
        <f ca="1">IF($C78="S",IF($Z78="CP",$X78,IF($Z78="RA",(($X78)*QCI!$AA$3),0)),SomaAgrup)</f>
        <v>0</v>
      </c>
      <c r="AB78" s="153">
        <f t="shared" ref="AB78:AB141" ca="1" si="47">IF($C78="S",IF($Z78="OU",ROUND($X78,2),0),SomaAgrup)</f>
        <v>0</v>
      </c>
      <c r="AC78" s="154" t="str">
        <f ca="1">IF($N78="","",IF(ORÇAMENTO.Descricao="","DESCRIÇÃO",IF(AND($C78="S",ORÇAMENTO.Unidade=""),"UNIDADE",IF($X78&lt;0,"VALOR NEGATIVO",IF(OR(AND(TIPOORCAMENTO="Proposto",$AG78&lt;&gt;"",$AG78&gt;0,ORÇAMENTO.CustoUnitario&gt;$AG78),AND(TIPOORCAMENTO="LICITADO",ORÇAMENTO.PrecoUnitarioLicitado&gt;$AN78)),"ACIMA REF.","")))))</f>
        <v/>
      </c>
      <c r="AD78" s="100" t="str">
        <f ca="1">IF(C78&lt;=CRONO.NivelExibicao,MAX($AD$15:OFFSET(AD78,-1,0))+IF($C78&lt;&gt;1,1,MAX(1,COUNTIF(QCI!$A$13:$A$24,OFFSET($E78,-1,0)))),"")</f>
        <v/>
      </c>
      <c r="AE78" s="110" t="b">
        <f ca="1">IF(AND($C78="S",ORÇAMENTO.CodBarra&lt;&gt;""),IF(ORÇAMENTO.Fonte="",ORÇAMENTO.CodBarra,CONCATENATE(ORÇAMENTO.Fonte," ",ORÇAMENTO.CodBarra)))</f>
        <v>0</v>
      </c>
      <c r="AF78" s="155" t="str">
        <f ca="1">IF(ISERROR(INDIRECT(ORÇAMENTO.BancoRef)),"(abra o arquivo 'Referência "&amp;Excel_BuiltIn_Database&amp;".xlsm)",IF(OR($C78&lt;&gt;"S",ORÇAMENTO.CodBarra=""),"(Sem Código)",IF(ISERROR(MATCH($AE78,INDIRECT(ORÇAMENTO.BancoRef),0)),"(Código não identificado nas referências)",MATCH($AE78,INDIRECT(ORÇAMENTO.BancoRef),0))))</f>
        <v>(abra o arquivo 'Referência 11-2024.xlsm)</v>
      </c>
      <c r="AG78" s="574">
        <f ca="1">ROUND(IF(DESONERACAO="sim",REFERENCIA.Desonerado,REFERENCIA.NaoDesonerado),2)</f>
        <v>0</v>
      </c>
      <c r="AH78" s="575">
        <f t="shared" ref="AH78:AH141" ca="1" si="48">ROUND(IF(ISNUMBER(ORÇAMENTO.OpcaoBDI),ORÇAMENTO.OpcaoBDI,IF(LEFT(ORÇAMENTO.OpcaoBDI,3)="BDI",HLOOKUP(ORÇAMENTO.OpcaoBDI,$F$4:$H$5,2,FALSE),0)),15-11*$AF$9)</f>
        <v>0.22</v>
      </c>
      <c r="AJ78" s="577"/>
      <c r="AL78" s="607"/>
      <c r="AM78" s="426">
        <f t="shared" ref="AM78:AM141" ca="1" si="49">$X78</f>
        <v>0</v>
      </c>
      <c r="AN78" s="650">
        <f t="shared" ref="AN78:AN141" ca="1" si="50">ROUND(ORÇAMENTO.CustoUnitario*(1+$AH78),2)</f>
        <v>0</v>
      </c>
    </row>
    <row r="79" spans="1:40" ht="13.8" hidden="1">
      <c r="A79" t="str">
        <f t="shared" si="34"/>
        <v>S</v>
      </c>
      <c r="B79">
        <f t="shared" ca="1" si="35"/>
        <v>2</v>
      </c>
      <c r="C79" t="str">
        <f t="shared" ca="1" si="36"/>
        <v>S</v>
      </c>
      <c r="D79">
        <f t="shared" ca="1" si="37"/>
        <v>0</v>
      </c>
      <c r="E79">
        <f ca="1">IF($C79=1,OFFSET(E79,-1,0)+MAX(1,COUNTIF(QCI!$A$13:$A$24,OFFSET(ORÇAMENTO!E79,-1,0))),OFFSET(E79,-1,0))</f>
        <v>1</v>
      </c>
      <c r="F79">
        <f t="shared" ca="1" si="38"/>
        <v>5</v>
      </c>
      <c r="G79">
        <f t="shared" ca="1" si="39"/>
        <v>0</v>
      </c>
      <c r="H79">
        <f t="shared" ca="1" si="40"/>
        <v>0</v>
      </c>
      <c r="I79">
        <f t="shared" ca="1" si="41"/>
        <v>2</v>
      </c>
      <c r="J79">
        <f t="shared" ca="1" si="42"/>
        <v>0</v>
      </c>
      <c r="K79">
        <f ca="1">IF(OR($C79="S",$C79=0),0,MATCH(OFFSET($D79,0,$C79)+IF($C79&lt;&gt;1,1,COUNTIF(QCI!$A$13:$A$24,ORÇAMENTO!E79)),OFFSET($D79,1,$C79,ROW($C$264)-ROW($C79)),0))</f>
        <v>0</v>
      </c>
      <c r="L79" s="139" t="str">
        <f t="shared" ca="1" si="43"/>
        <v/>
      </c>
      <c r="M79" s="140" t="s">
        <v>199</v>
      </c>
      <c r="N79" s="141" t="str">
        <f t="shared" ca="1" si="44"/>
        <v>Serviço</v>
      </c>
      <c r="O79" s="142" t="str">
        <f t="shared" ca="1" si="45"/>
        <v>-</v>
      </c>
      <c r="P79" s="143" t="s">
        <v>247</v>
      </c>
      <c r="Q79" s="144"/>
      <c r="R79" s="145" t="str">
        <f ca="1">IF($C79="S",REFERENCIA.Descricao,"(digite a descrição aqui)")</f>
        <v>(abra o arquivo 'Referência 11-2024.xlsm)</v>
      </c>
      <c r="S79" s="146" t="str">
        <f ca="1">REFERENCIA.Unidade</f>
        <v>-</v>
      </c>
      <c r="T79" s="147">
        <f ca="1">OFFSET(CÁLCULO!H$15,ROW($T79)-ROW(T$15),0)</f>
        <v>0</v>
      </c>
      <c r="U79" s="148"/>
      <c r="V79" s="149" t="s">
        <v>156</v>
      </c>
      <c r="W79" s="147">
        <f ca="1">IF($C79="S",ROUND(IF(TIPOORCAMENTO="Proposto",ORÇAMENTO.CustoUnitario*(1+$AH79),ORÇAMENTO.PrecoUnitarioLicitado),15-13*$AF$10),0)</f>
        <v>0</v>
      </c>
      <c r="X79" s="150">
        <f ca="1">IF($C79="S",IF(Import.TipoArredondamento&lt;&gt;"TransfereGOV",VTOTAL1,SUM(OFFSET(CÁLCULO!$AA$15,ROW($X79)-ROW($X$15),1):OFFSET(CÁLCULO!$AL$15,ROW($X79)-ROW($X$15),-1))),IF($C79=0,0,ROUND(SomaAgrup,15-13*$AF$11)))</f>
        <v>0</v>
      </c>
      <c r="Y79" s="151" t="s">
        <v>245</v>
      </c>
      <c r="Z79" t="str">
        <f t="shared" ca="1" si="46"/>
        <v/>
      </c>
      <c r="AA79" s="152">
        <f ca="1">IF($C79="S",IF($Z79="CP",$X79,IF($Z79="RA",(($X79)*QCI!$AA$3),0)),SomaAgrup)</f>
        <v>0</v>
      </c>
      <c r="AB79" s="153">
        <f t="shared" ca="1" si="47"/>
        <v>0</v>
      </c>
      <c r="AC79" s="154" t="str">
        <f ca="1">IF($N79="","",IF(ORÇAMENTO.Descricao="","DESCRIÇÃO",IF(AND($C79="S",ORÇAMENTO.Unidade=""),"UNIDADE",IF($X79&lt;0,"VALOR NEGATIVO",IF(OR(AND(TIPOORCAMENTO="Proposto",$AG79&lt;&gt;"",$AG79&gt;0,ORÇAMENTO.CustoUnitario&gt;$AG79),AND(TIPOORCAMENTO="LICITADO",ORÇAMENTO.PrecoUnitarioLicitado&gt;$AN79)),"ACIMA REF.","")))))</f>
        <v/>
      </c>
      <c r="AD79" s="100" t="str">
        <f ca="1">IF(C79&lt;=CRONO.NivelExibicao,MAX($AD$15:OFFSET(AD79,-1,0))+IF($C79&lt;&gt;1,1,MAX(1,COUNTIF(QCI!$A$13:$A$24,OFFSET($E79,-1,0)))),"")</f>
        <v/>
      </c>
      <c r="AE79" s="110" t="b">
        <f ca="1">IF(AND($C79="S",ORÇAMENTO.CodBarra&lt;&gt;""),IF(ORÇAMENTO.Fonte="",ORÇAMENTO.CodBarra,CONCATENATE(ORÇAMENTO.Fonte," ",ORÇAMENTO.CodBarra)))</f>
        <v>0</v>
      </c>
      <c r="AF79" s="155" t="str">
        <f ca="1">IF(ISERROR(INDIRECT(ORÇAMENTO.BancoRef)),"(abra o arquivo 'Referência "&amp;Excel_BuiltIn_Database&amp;".xlsm)",IF(OR($C79&lt;&gt;"S",ORÇAMENTO.CodBarra=""),"(Sem Código)",IF(ISERROR(MATCH($AE79,INDIRECT(ORÇAMENTO.BancoRef),0)),"(Código não identificado nas referências)",MATCH($AE79,INDIRECT(ORÇAMENTO.BancoRef),0))))</f>
        <v>(abra o arquivo 'Referência 11-2024.xlsm)</v>
      </c>
      <c r="AG79" s="574">
        <f ca="1">ROUND(IF(DESONERACAO="sim",REFERENCIA.Desonerado,REFERENCIA.NaoDesonerado),2)</f>
        <v>0</v>
      </c>
      <c r="AH79" s="575">
        <f t="shared" ca="1" si="48"/>
        <v>0.22</v>
      </c>
      <c r="AJ79" s="577"/>
      <c r="AL79" s="607"/>
      <c r="AM79" s="426">
        <f t="shared" ca="1" si="49"/>
        <v>0</v>
      </c>
      <c r="AN79" s="650">
        <f t="shared" ca="1" si="50"/>
        <v>0</v>
      </c>
    </row>
    <row r="80" spans="1:40" ht="13.8" hidden="1">
      <c r="A80" t="str">
        <f t="shared" si="34"/>
        <v>S</v>
      </c>
      <c r="B80">
        <f t="shared" ca="1" si="35"/>
        <v>2</v>
      </c>
      <c r="C80" t="str">
        <f t="shared" ca="1" si="36"/>
        <v>S</v>
      </c>
      <c r="D80">
        <f t="shared" ca="1" si="37"/>
        <v>0</v>
      </c>
      <c r="E80">
        <f ca="1">IF($C80=1,OFFSET(E80,-1,0)+MAX(1,COUNTIF(QCI!$A$13:$A$24,OFFSET(ORÇAMENTO!E80,-1,0))),OFFSET(E80,-1,0))</f>
        <v>1</v>
      </c>
      <c r="F80">
        <f t="shared" ca="1" si="38"/>
        <v>5</v>
      </c>
      <c r="G80">
        <f t="shared" ca="1" si="39"/>
        <v>0</v>
      </c>
      <c r="H80">
        <f t="shared" ca="1" si="40"/>
        <v>0</v>
      </c>
      <c r="I80">
        <f t="shared" ca="1" si="41"/>
        <v>2</v>
      </c>
      <c r="J80">
        <f t="shared" ca="1" si="42"/>
        <v>0</v>
      </c>
      <c r="K80">
        <f ca="1">IF(OR($C80="S",$C80=0),0,MATCH(OFFSET($D80,0,$C80)+IF($C80&lt;&gt;1,1,COUNTIF(QCI!$A$13:$A$24,ORÇAMENTO!E80)),OFFSET($D80,1,$C80,ROW($C$264)-ROW($C80)),0))</f>
        <v>0</v>
      </c>
      <c r="L80" s="139" t="str">
        <f t="shared" ca="1" si="43"/>
        <v/>
      </c>
      <c r="M80" s="140" t="s">
        <v>199</v>
      </c>
      <c r="N80" s="141" t="str">
        <f t="shared" ca="1" si="44"/>
        <v>Serviço</v>
      </c>
      <c r="O80" s="142" t="str">
        <f t="shared" ca="1" si="45"/>
        <v>-</v>
      </c>
      <c r="P80" s="143" t="s">
        <v>247</v>
      </c>
      <c r="Q80" s="144"/>
      <c r="R80" s="145" t="str">
        <f ca="1">IF($C80="S",REFERENCIA.Descricao,"(digite a descrição aqui)")</f>
        <v>(abra o arquivo 'Referência 11-2024.xlsm)</v>
      </c>
      <c r="S80" s="146" t="str">
        <f ca="1">REFERENCIA.Unidade</f>
        <v>-</v>
      </c>
      <c r="T80" s="147">
        <f ca="1">OFFSET(CÁLCULO!H$15,ROW($T80)-ROW(T$15),0)</f>
        <v>0</v>
      </c>
      <c r="U80" s="148"/>
      <c r="V80" s="149" t="s">
        <v>156</v>
      </c>
      <c r="W80" s="147">
        <f ca="1">IF($C80="S",ROUND(IF(TIPOORCAMENTO="Proposto",ORÇAMENTO.CustoUnitario*(1+$AH80),ORÇAMENTO.PrecoUnitarioLicitado),15-13*$AF$10),0)</f>
        <v>0</v>
      </c>
      <c r="X80" s="150">
        <f ca="1">IF($C80="S",IF(Import.TipoArredondamento&lt;&gt;"TransfereGOV",VTOTAL1,SUM(OFFSET(CÁLCULO!$AA$15,ROW($X80)-ROW($X$15),1):OFFSET(CÁLCULO!$AL$15,ROW($X80)-ROW($X$15),-1))),IF($C80=0,0,ROUND(SomaAgrup,15-13*$AF$11)))</f>
        <v>0</v>
      </c>
      <c r="Y80" s="151" t="s">
        <v>245</v>
      </c>
      <c r="Z80" t="str">
        <f t="shared" ca="1" si="46"/>
        <v/>
      </c>
      <c r="AA80" s="152">
        <f ca="1">IF($C80="S",IF($Z80="CP",$X80,IF($Z80="RA",(($X80)*QCI!$AA$3),0)),SomaAgrup)</f>
        <v>0</v>
      </c>
      <c r="AB80" s="153">
        <f t="shared" ca="1" si="47"/>
        <v>0</v>
      </c>
      <c r="AC80" s="154" t="str">
        <f ca="1">IF($N80="","",IF(ORÇAMENTO.Descricao="","DESCRIÇÃO",IF(AND($C80="S",ORÇAMENTO.Unidade=""),"UNIDADE",IF($X80&lt;0,"VALOR NEGATIVO",IF(OR(AND(TIPOORCAMENTO="Proposto",$AG80&lt;&gt;"",$AG80&gt;0,ORÇAMENTO.CustoUnitario&gt;$AG80),AND(TIPOORCAMENTO="LICITADO",ORÇAMENTO.PrecoUnitarioLicitado&gt;$AN80)),"ACIMA REF.","")))))</f>
        <v/>
      </c>
      <c r="AD80" s="100" t="str">
        <f ca="1">IF(C80&lt;=CRONO.NivelExibicao,MAX($AD$15:OFFSET(AD80,-1,0))+IF($C80&lt;&gt;1,1,MAX(1,COUNTIF(QCI!$A$13:$A$24,OFFSET($E80,-1,0)))),"")</f>
        <v/>
      </c>
      <c r="AE80" s="110" t="b">
        <f ca="1">IF(AND($C80="S",ORÇAMENTO.CodBarra&lt;&gt;""),IF(ORÇAMENTO.Fonte="",ORÇAMENTO.CodBarra,CONCATENATE(ORÇAMENTO.Fonte," ",ORÇAMENTO.CodBarra)))</f>
        <v>0</v>
      </c>
      <c r="AF80" s="155" t="str">
        <f ca="1">IF(ISERROR(INDIRECT(ORÇAMENTO.BancoRef)),"(abra o arquivo 'Referência "&amp;Excel_BuiltIn_Database&amp;".xlsm)",IF(OR($C80&lt;&gt;"S",ORÇAMENTO.CodBarra=""),"(Sem Código)",IF(ISERROR(MATCH($AE80,INDIRECT(ORÇAMENTO.BancoRef),0)),"(Código não identificado nas referências)",MATCH($AE80,INDIRECT(ORÇAMENTO.BancoRef),0))))</f>
        <v>(abra o arquivo 'Referência 11-2024.xlsm)</v>
      </c>
      <c r="AG80" s="574">
        <f ca="1">ROUND(IF(DESONERACAO="sim",REFERENCIA.Desonerado,REFERENCIA.NaoDesonerado),2)</f>
        <v>0</v>
      </c>
      <c r="AH80" s="575">
        <f t="shared" ca="1" si="48"/>
        <v>0.22</v>
      </c>
      <c r="AJ80" s="577"/>
      <c r="AL80" s="607"/>
      <c r="AM80" s="426">
        <f t="shared" ca="1" si="49"/>
        <v>0</v>
      </c>
      <c r="AN80" s="650">
        <f t="shared" ca="1" si="50"/>
        <v>0</v>
      </c>
    </row>
    <row r="81" spans="1:40" ht="13.8" hidden="1">
      <c r="A81" t="str">
        <f t="shared" si="34"/>
        <v>S</v>
      </c>
      <c r="B81">
        <f t="shared" ca="1" si="35"/>
        <v>2</v>
      </c>
      <c r="C81" t="str">
        <f t="shared" ca="1" si="36"/>
        <v>S</v>
      </c>
      <c r="D81">
        <f t="shared" ca="1" si="37"/>
        <v>0</v>
      </c>
      <c r="E81">
        <f ca="1">IF($C81=1,OFFSET(E81,-1,0)+MAX(1,COUNTIF(QCI!$A$13:$A$24,OFFSET(ORÇAMENTO!E81,-1,0))),OFFSET(E81,-1,0))</f>
        <v>1</v>
      </c>
      <c r="F81">
        <f t="shared" ca="1" si="38"/>
        <v>5</v>
      </c>
      <c r="G81">
        <f t="shared" ca="1" si="39"/>
        <v>0</v>
      </c>
      <c r="H81">
        <f t="shared" ca="1" si="40"/>
        <v>0</v>
      </c>
      <c r="I81">
        <f t="shared" ca="1" si="41"/>
        <v>2</v>
      </c>
      <c r="J81">
        <f t="shared" ca="1" si="42"/>
        <v>0</v>
      </c>
      <c r="K81">
        <f ca="1">IF(OR($C81="S",$C81=0),0,MATCH(OFFSET($D81,0,$C81)+IF($C81&lt;&gt;1,1,COUNTIF(QCI!$A$13:$A$24,ORÇAMENTO!E81)),OFFSET($D81,1,$C81,ROW($C$264)-ROW($C81)),0))</f>
        <v>0</v>
      </c>
      <c r="L81" s="139" t="str">
        <f t="shared" ca="1" si="43"/>
        <v/>
      </c>
      <c r="M81" s="140" t="s">
        <v>199</v>
      </c>
      <c r="N81" s="141" t="str">
        <f t="shared" ca="1" si="44"/>
        <v>Serviço</v>
      </c>
      <c r="O81" s="142" t="str">
        <f t="shared" ca="1" si="45"/>
        <v>-</v>
      </c>
      <c r="P81" s="143" t="s">
        <v>247</v>
      </c>
      <c r="Q81" s="144"/>
      <c r="R81" s="145" t="str">
        <f ca="1">IF($C81="S",REFERENCIA.Descricao,"(digite a descrição aqui)")</f>
        <v>(abra o arquivo 'Referência 11-2024.xlsm)</v>
      </c>
      <c r="S81" s="146" t="str">
        <f ca="1">REFERENCIA.Unidade</f>
        <v>-</v>
      </c>
      <c r="T81" s="147">
        <f ca="1">OFFSET(CÁLCULO!H$15,ROW($T81)-ROW(T$15),0)</f>
        <v>0</v>
      </c>
      <c r="U81" s="148"/>
      <c r="V81" s="149" t="s">
        <v>156</v>
      </c>
      <c r="W81" s="147">
        <f ca="1">IF($C81="S",ROUND(IF(TIPOORCAMENTO="Proposto",ORÇAMENTO.CustoUnitario*(1+$AH81),ORÇAMENTO.PrecoUnitarioLicitado),15-13*$AF$10),0)</f>
        <v>0</v>
      </c>
      <c r="X81" s="150">
        <f ca="1">IF($C81="S",IF(Import.TipoArredondamento&lt;&gt;"TransfereGOV",VTOTAL1,SUM(OFFSET(CÁLCULO!$AA$15,ROW($X81)-ROW($X$15),1):OFFSET(CÁLCULO!$AL$15,ROW($X81)-ROW($X$15),-1))),IF($C81=0,0,ROUND(SomaAgrup,15-13*$AF$11)))</f>
        <v>0</v>
      </c>
      <c r="Y81" s="151" t="s">
        <v>245</v>
      </c>
      <c r="Z81" t="str">
        <f t="shared" ca="1" si="46"/>
        <v/>
      </c>
      <c r="AA81" s="152">
        <f ca="1">IF($C81="S",IF($Z81="CP",$X81,IF($Z81="RA",(($X81)*QCI!$AA$3),0)),SomaAgrup)</f>
        <v>0</v>
      </c>
      <c r="AB81" s="153">
        <f t="shared" ca="1" si="47"/>
        <v>0</v>
      </c>
      <c r="AC81" s="154" t="str">
        <f ca="1">IF($N81="","",IF(ORÇAMENTO.Descricao="","DESCRIÇÃO",IF(AND($C81="S",ORÇAMENTO.Unidade=""),"UNIDADE",IF($X81&lt;0,"VALOR NEGATIVO",IF(OR(AND(TIPOORCAMENTO="Proposto",$AG81&lt;&gt;"",$AG81&gt;0,ORÇAMENTO.CustoUnitario&gt;$AG81),AND(TIPOORCAMENTO="LICITADO",ORÇAMENTO.PrecoUnitarioLicitado&gt;$AN81)),"ACIMA REF.","")))))</f>
        <v/>
      </c>
      <c r="AD81" s="100" t="str">
        <f ca="1">IF(C81&lt;=CRONO.NivelExibicao,MAX($AD$15:OFFSET(AD81,-1,0))+IF($C81&lt;&gt;1,1,MAX(1,COUNTIF(QCI!$A$13:$A$24,OFFSET($E81,-1,0)))),"")</f>
        <v/>
      </c>
      <c r="AE81" s="110" t="b">
        <f ca="1">IF(AND($C81="S",ORÇAMENTO.CodBarra&lt;&gt;""),IF(ORÇAMENTO.Fonte="",ORÇAMENTO.CodBarra,CONCATENATE(ORÇAMENTO.Fonte," ",ORÇAMENTO.CodBarra)))</f>
        <v>0</v>
      </c>
      <c r="AF81" s="155" t="str">
        <f ca="1">IF(ISERROR(INDIRECT(ORÇAMENTO.BancoRef)),"(abra o arquivo 'Referência "&amp;Excel_BuiltIn_Database&amp;".xlsm)",IF(OR($C81&lt;&gt;"S",ORÇAMENTO.CodBarra=""),"(Sem Código)",IF(ISERROR(MATCH($AE81,INDIRECT(ORÇAMENTO.BancoRef),0)),"(Código não identificado nas referências)",MATCH($AE81,INDIRECT(ORÇAMENTO.BancoRef),0))))</f>
        <v>(abra o arquivo 'Referência 11-2024.xlsm)</v>
      </c>
      <c r="AG81" s="574">
        <f ca="1">ROUND(IF(DESONERACAO="sim",REFERENCIA.Desonerado,REFERENCIA.NaoDesonerado),2)</f>
        <v>0</v>
      </c>
      <c r="AH81" s="575">
        <f t="shared" ca="1" si="48"/>
        <v>0.22</v>
      </c>
      <c r="AJ81" s="577"/>
      <c r="AL81" s="607"/>
      <c r="AM81" s="426">
        <f t="shared" ca="1" si="49"/>
        <v>0</v>
      </c>
      <c r="AN81" s="650">
        <f t="shared" ca="1" si="50"/>
        <v>0</v>
      </c>
    </row>
    <row r="82" spans="1:40" ht="13.8" hidden="1">
      <c r="A82" t="str">
        <f t="shared" si="34"/>
        <v>S</v>
      </c>
      <c r="B82">
        <f t="shared" ca="1" si="35"/>
        <v>2</v>
      </c>
      <c r="C82" t="str">
        <f t="shared" ca="1" si="36"/>
        <v>S</v>
      </c>
      <c r="D82">
        <f t="shared" ca="1" si="37"/>
        <v>0</v>
      </c>
      <c r="E82">
        <f ca="1">IF($C82=1,OFFSET(E82,-1,0)+MAX(1,COUNTIF(QCI!$A$13:$A$24,OFFSET(ORÇAMENTO!E82,-1,0))),OFFSET(E82,-1,0))</f>
        <v>1</v>
      </c>
      <c r="F82">
        <f t="shared" ca="1" si="38"/>
        <v>5</v>
      </c>
      <c r="G82">
        <f t="shared" ca="1" si="39"/>
        <v>0</v>
      </c>
      <c r="H82">
        <f t="shared" ca="1" si="40"/>
        <v>0</v>
      </c>
      <c r="I82">
        <f t="shared" ca="1" si="41"/>
        <v>2</v>
      </c>
      <c r="J82">
        <f t="shared" ca="1" si="42"/>
        <v>0</v>
      </c>
      <c r="K82">
        <f ca="1">IF(OR($C82="S",$C82=0),0,MATCH(OFFSET($D82,0,$C82)+IF($C82&lt;&gt;1,1,COUNTIF(QCI!$A$13:$A$24,ORÇAMENTO!E82)),OFFSET($D82,1,$C82,ROW($C$264)-ROW($C82)),0))</f>
        <v>0</v>
      </c>
      <c r="L82" s="139" t="str">
        <f t="shared" ca="1" si="43"/>
        <v/>
      </c>
      <c r="M82" s="140" t="s">
        <v>199</v>
      </c>
      <c r="N82" s="141" t="str">
        <f t="shared" ca="1" si="44"/>
        <v>Serviço</v>
      </c>
      <c r="O82" s="142" t="str">
        <f t="shared" ca="1" si="45"/>
        <v>-</v>
      </c>
      <c r="P82" s="143" t="s">
        <v>247</v>
      </c>
      <c r="Q82" s="144"/>
      <c r="R82" s="145" t="str">
        <f ca="1">IF($C82="S",REFERENCIA.Descricao,"(digite a descrição aqui)")</f>
        <v>(abra o arquivo 'Referência 11-2024.xlsm)</v>
      </c>
      <c r="S82" s="146" t="str">
        <f ca="1">REFERENCIA.Unidade</f>
        <v>-</v>
      </c>
      <c r="T82" s="147">
        <f ca="1">OFFSET(CÁLCULO!H$15,ROW($T82)-ROW(T$15),0)</f>
        <v>0</v>
      </c>
      <c r="U82" s="148"/>
      <c r="V82" s="149" t="s">
        <v>156</v>
      </c>
      <c r="W82" s="147">
        <f ca="1">IF($C82="S",ROUND(IF(TIPOORCAMENTO="Proposto",ORÇAMENTO.CustoUnitario*(1+$AH82),ORÇAMENTO.PrecoUnitarioLicitado),15-13*$AF$10),0)</f>
        <v>0</v>
      </c>
      <c r="X82" s="150">
        <f ca="1">IF($C82="S",IF(Import.TipoArredondamento&lt;&gt;"TransfereGOV",VTOTAL1,SUM(OFFSET(CÁLCULO!$AA$15,ROW($X82)-ROW($X$15),1):OFFSET(CÁLCULO!$AL$15,ROW($X82)-ROW($X$15),-1))),IF($C82=0,0,ROUND(SomaAgrup,15-13*$AF$11)))</f>
        <v>0</v>
      </c>
      <c r="Y82" s="151" t="s">
        <v>245</v>
      </c>
      <c r="Z82" t="str">
        <f t="shared" ca="1" si="46"/>
        <v/>
      </c>
      <c r="AA82" s="152">
        <f ca="1">IF($C82="S",IF($Z82="CP",$X82,IF($Z82="RA",(($X82)*QCI!$AA$3),0)),SomaAgrup)</f>
        <v>0</v>
      </c>
      <c r="AB82" s="153">
        <f t="shared" ca="1" si="47"/>
        <v>0</v>
      </c>
      <c r="AC82" s="154" t="str">
        <f ca="1">IF($N82="","",IF(ORÇAMENTO.Descricao="","DESCRIÇÃO",IF(AND($C82="S",ORÇAMENTO.Unidade=""),"UNIDADE",IF($X82&lt;0,"VALOR NEGATIVO",IF(OR(AND(TIPOORCAMENTO="Proposto",$AG82&lt;&gt;"",$AG82&gt;0,ORÇAMENTO.CustoUnitario&gt;$AG82),AND(TIPOORCAMENTO="LICITADO",ORÇAMENTO.PrecoUnitarioLicitado&gt;$AN82)),"ACIMA REF.","")))))</f>
        <v/>
      </c>
      <c r="AD82" s="100" t="str">
        <f ca="1">IF(C82&lt;=CRONO.NivelExibicao,MAX($AD$15:OFFSET(AD82,-1,0))+IF($C82&lt;&gt;1,1,MAX(1,COUNTIF(QCI!$A$13:$A$24,OFFSET($E82,-1,0)))),"")</f>
        <v/>
      </c>
      <c r="AE82" s="110" t="b">
        <f ca="1">IF(AND($C82="S",ORÇAMENTO.CodBarra&lt;&gt;""),IF(ORÇAMENTO.Fonte="",ORÇAMENTO.CodBarra,CONCATENATE(ORÇAMENTO.Fonte," ",ORÇAMENTO.CodBarra)))</f>
        <v>0</v>
      </c>
      <c r="AF82" s="155" t="str">
        <f ca="1">IF(ISERROR(INDIRECT(ORÇAMENTO.BancoRef)),"(abra o arquivo 'Referência "&amp;Excel_BuiltIn_Database&amp;".xlsm)",IF(OR($C82&lt;&gt;"S",ORÇAMENTO.CodBarra=""),"(Sem Código)",IF(ISERROR(MATCH($AE82,INDIRECT(ORÇAMENTO.BancoRef),0)),"(Código não identificado nas referências)",MATCH($AE82,INDIRECT(ORÇAMENTO.BancoRef),0))))</f>
        <v>(abra o arquivo 'Referência 11-2024.xlsm)</v>
      </c>
      <c r="AG82" s="574">
        <f ca="1">ROUND(IF(DESONERACAO="sim",REFERENCIA.Desonerado,REFERENCIA.NaoDesonerado),2)</f>
        <v>0</v>
      </c>
      <c r="AH82" s="575">
        <f t="shared" ca="1" si="48"/>
        <v>0.22</v>
      </c>
      <c r="AJ82" s="577"/>
      <c r="AL82" s="607"/>
      <c r="AM82" s="426">
        <f t="shared" ca="1" si="49"/>
        <v>0</v>
      </c>
      <c r="AN82" s="650">
        <f t="shared" ca="1" si="50"/>
        <v>0</v>
      </c>
    </row>
    <row r="83" spans="1:40" ht="13.8" hidden="1">
      <c r="A83" t="str">
        <f t="shared" si="34"/>
        <v>S</v>
      </c>
      <c r="B83">
        <f t="shared" ca="1" si="35"/>
        <v>2</v>
      </c>
      <c r="C83" t="str">
        <f t="shared" ca="1" si="36"/>
        <v>S</v>
      </c>
      <c r="D83">
        <f t="shared" ca="1" si="37"/>
        <v>0</v>
      </c>
      <c r="E83">
        <f ca="1">IF($C83=1,OFFSET(E83,-1,0)+MAX(1,COUNTIF(QCI!$A$13:$A$24,OFFSET(ORÇAMENTO!E83,-1,0))),OFFSET(E83,-1,0))</f>
        <v>1</v>
      </c>
      <c r="F83">
        <f t="shared" ca="1" si="38"/>
        <v>5</v>
      </c>
      <c r="G83">
        <f t="shared" ca="1" si="39"/>
        <v>0</v>
      </c>
      <c r="H83">
        <f t="shared" ca="1" si="40"/>
        <v>0</v>
      </c>
      <c r="I83">
        <f t="shared" ca="1" si="41"/>
        <v>2</v>
      </c>
      <c r="J83">
        <f t="shared" ca="1" si="42"/>
        <v>0</v>
      </c>
      <c r="K83">
        <f ca="1">IF(OR($C83="S",$C83=0),0,MATCH(OFFSET($D83,0,$C83)+IF($C83&lt;&gt;1,1,COUNTIF(QCI!$A$13:$A$24,ORÇAMENTO!E83)),OFFSET($D83,1,$C83,ROW($C$264)-ROW($C83)),0))</f>
        <v>0</v>
      </c>
      <c r="L83" s="139" t="str">
        <f t="shared" ca="1" si="43"/>
        <v/>
      </c>
      <c r="M83" s="140" t="s">
        <v>199</v>
      </c>
      <c r="N83" s="141" t="str">
        <f t="shared" ca="1" si="44"/>
        <v>Serviço</v>
      </c>
      <c r="O83" s="142" t="str">
        <f t="shared" ca="1" si="45"/>
        <v>-</v>
      </c>
      <c r="P83" s="143" t="s">
        <v>247</v>
      </c>
      <c r="Q83" s="144"/>
      <c r="R83" s="145" t="str">
        <f ca="1">IF($C83="S",REFERENCIA.Descricao,"(digite a descrição aqui)")</f>
        <v>(abra o arquivo 'Referência 11-2024.xlsm)</v>
      </c>
      <c r="S83" s="146" t="str">
        <f ca="1">REFERENCIA.Unidade</f>
        <v>-</v>
      </c>
      <c r="T83" s="147">
        <f ca="1">OFFSET(CÁLCULO!H$15,ROW($T83)-ROW(T$15),0)</f>
        <v>0</v>
      </c>
      <c r="U83" s="148"/>
      <c r="V83" s="149" t="s">
        <v>156</v>
      </c>
      <c r="W83" s="147">
        <f ca="1">IF($C83="S",ROUND(IF(TIPOORCAMENTO="Proposto",ORÇAMENTO.CustoUnitario*(1+$AH83),ORÇAMENTO.PrecoUnitarioLicitado),15-13*$AF$10),0)</f>
        <v>0</v>
      </c>
      <c r="X83" s="150">
        <f ca="1">IF($C83="S",IF(Import.TipoArredondamento&lt;&gt;"TransfereGOV",VTOTAL1,SUM(OFFSET(CÁLCULO!$AA$15,ROW($X83)-ROW($X$15),1):OFFSET(CÁLCULO!$AL$15,ROW($X83)-ROW($X$15),-1))),IF($C83=0,0,ROUND(SomaAgrup,15-13*$AF$11)))</f>
        <v>0</v>
      </c>
      <c r="Y83" s="151" t="s">
        <v>245</v>
      </c>
      <c r="Z83" t="str">
        <f t="shared" ca="1" si="46"/>
        <v/>
      </c>
      <c r="AA83" s="152">
        <f ca="1">IF($C83="S",IF($Z83="CP",$X83,IF($Z83="RA",(($X83)*QCI!$AA$3),0)),SomaAgrup)</f>
        <v>0</v>
      </c>
      <c r="AB83" s="153">
        <f t="shared" ca="1" si="47"/>
        <v>0</v>
      </c>
      <c r="AC83" s="154" t="str">
        <f ca="1">IF($N83="","",IF(ORÇAMENTO.Descricao="","DESCRIÇÃO",IF(AND($C83="S",ORÇAMENTO.Unidade=""),"UNIDADE",IF($X83&lt;0,"VALOR NEGATIVO",IF(OR(AND(TIPOORCAMENTO="Proposto",$AG83&lt;&gt;"",$AG83&gt;0,ORÇAMENTO.CustoUnitario&gt;$AG83),AND(TIPOORCAMENTO="LICITADO",ORÇAMENTO.PrecoUnitarioLicitado&gt;$AN83)),"ACIMA REF.","")))))</f>
        <v/>
      </c>
      <c r="AD83" s="100" t="str">
        <f ca="1">IF(C83&lt;=CRONO.NivelExibicao,MAX($AD$15:OFFSET(AD83,-1,0))+IF($C83&lt;&gt;1,1,MAX(1,COUNTIF(QCI!$A$13:$A$24,OFFSET($E83,-1,0)))),"")</f>
        <v/>
      </c>
      <c r="AE83" s="110" t="b">
        <f ca="1">IF(AND($C83="S",ORÇAMENTO.CodBarra&lt;&gt;""),IF(ORÇAMENTO.Fonte="",ORÇAMENTO.CodBarra,CONCATENATE(ORÇAMENTO.Fonte," ",ORÇAMENTO.CodBarra)))</f>
        <v>0</v>
      </c>
      <c r="AF83" s="155" t="str">
        <f ca="1">IF(ISERROR(INDIRECT(ORÇAMENTO.BancoRef)),"(abra o arquivo 'Referência "&amp;Excel_BuiltIn_Database&amp;".xlsm)",IF(OR($C83&lt;&gt;"S",ORÇAMENTO.CodBarra=""),"(Sem Código)",IF(ISERROR(MATCH($AE83,INDIRECT(ORÇAMENTO.BancoRef),0)),"(Código não identificado nas referências)",MATCH($AE83,INDIRECT(ORÇAMENTO.BancoRef),0))))</f>
        <v>(abra o arquivo 'Referência 11-2024.xlsm)</v>
      </c>
      <c r="AG83" s="574">
        <f ca="1">ROUND(IF(DESONERACAO="sim",REFERENCIA.Desonerado,REFERENCIA.NaoDesonerado),2)</f>
        <v>0</v>
      </c>
      <c r="AH83" s="575">
        <f t="shared" ca="1" si="48"/>
        <v>0.22</v>
      </c>
      <c r="AJ83" s="577"/>
      <c r="AL83" s="607"/>
      <c r="AM83" s="426">
        <f t="shared" ca="1" si="49"/>
        <v>0</v>
      </c>
      <c r="AN83" s="650">
        <f t="shared" ca="1" si="50"/>
        <v>0</v>
      </c>
    </row>
    <row r="84" spans="1:40" ht="13.8" hidden="1">
      <c r="A84" t="str">
        <f t="shared" si="34"/>
        <v>S</v>
      </c>
      <c r="B84">
        <f t="shared" ca="1" si="35"/>
        <v>2</v>
      </c>
      <c r="C84" t="str">
        <f t="shared" ca="1" si="36"/>
        <v>S</v>
      </c>
      <c r="D84">
        <f t="shared" ca="1" si="37"/>
        <v>0</v>
      </c>
      <c r="E84">
        <f ca="1">IF($C84=1,OFFSET(E84,-1,0)+MAX(1,COUNTIF(QCI!$A$13:$A$24,OFFSET(ORÇAMENTO!E84,-1,0))),OFFSET(E84,-1,0))</f>
        <v>1</v>
      </c>
      <c r="F84">
        <f t="shared" ca="1" si="38"/>
        <v>5</v>
      </c>
      <c r="G84">
        <f t="shared" ca="1" si="39"/>
        <v>0</v>
      </c>
      <c r="H84">
        <f t="shared" ca="1" si="40"/>
        <v>0</v>
      </c>
      <c r="I84">
        <f t="shared" ca="1" si="41"/>
        <v>2</v>
      </c>
      <c r="J84">
        <f t="shared" ca="1" si="42"/>
        <v>0</v>
      </c>
      <c r="K84">
        <f ca="1">IF(OR($C84="S",$C84=0),0,MATCH(OFFSET($D84,0,$C84)+IF($C84&lt;&gt;1,1,COUNTIF(QCI!$A$13:$A$24,ORÇAMENTO!E84)),OFFSET($D84,1,$C84,ROW($C$264)-ROW($C84)),0))</f>
        <v>0</v>
      </c>
      <c r="L84" s="139" t="str">
        <f t="shared" ca="1" si="43"/>
        <v/>
      </c>
      <c r="M84" s="140" t="s">
        <v>199</v>
      </c>
      <c r="N84" s="141" t="str">
        <f t="shared" ca="1" si="44"/>
        <v>Serviço</v>
      </c>
      <c r="O84" s="142" t="str">
        <f t="shared" ca="1" si="45"/>
        <v>-</v>
      </c>
      <c r="P84" s="143" t="s">
        <v>247</v>
      </c>
      <c r="Q84" s="144"/>
      <c r="R84" s="145" t="str">
        <f ca="1">IF($C84="S",REFERENCIA.Descricao,"(digite a descrição aqui)")</f>
        <v>(abra o arquivo 'Referência 11-2024.xlsm)</v>
      </c>
      <c r="S84" s="146" t="str">
        <f ca="1">REFERENCIA.Unidade</f>
        <v>-</v>
      </c>
      <c r="T84" s="147">
        <f ca="1">OFFSET(CÁLCULO!H$15,ROW($T84)-ROW(T$15),0)</f>
        <v>0</v>
      </c>
      <c r="U84" s="148"/>
      <c r="V84" s="149" t="s">
        <v>156</v>
      </c>
      <c r="W84" s="147">
        <f ca="1">IF($C84="S",ROUND(IF(TIPOORCAMENTO="Proposto",ORÇAMENTO.CustoUnitario*(1+$AH84),ORÇAMENTO.PrecoUnitarioLicitado),15-13*$AF$10),0)</f>
        <v>0</v>
      </c>
      <c r="X84" s="150">
        <f ca="1">IF($C84="S",IF(Import.TipoArredondamento&lt;&gt;"TransfereGOV",VTOTAL1,SUM(OFFSET(CÁLCULO!$AA$15,ROW($X84)-ROW($X$15),1):OFFSET(CÁLCULO!$AL$15,ROW($X84)-ROW($X$15),-1))),IF($C84=0,0,ROUND(SomaAgrup,15-13*$AF$11)))</f>
        <v>0</v>
      </c>
      <c r="Y84" s="151" t="s">
        <v>245</v>
      </c>
      <c r="Z84" t="str">
        <f t="shared" ca="1" si="46"/>
        <v/>
      </c>
      <c r="AA84" s="152">
        <f ca="1">IF($C84="S",IF($Z84="CP",$X84,IF($Z84="RA",(($X84)*QCI!$AA$3),0)),SomaAgrup)</f>
        <v>0</v>
      </c>
      <c r="AB84" s="153">
        <f t="shared" ca="1" si="47"/>
        <v>0</v>
      </c>
      <c r="AC84" s="154" t="str">
        <f ca="1">IF($N84="","",IF(ORÇAMENTO.Descricao="","DESCRIÇÃO",IF(AND($C84="S",ORÇAMENTO.Unidade=""),"UNIDADE",IF($X84&lt;0,"VALOR NEGATIVO",IF(OR(AND(TIPOORCAMENTO="Proposto",$AG84&lt;&gt;"",$AG84&gt;0,ORÇAMENTO.CustoUnitario&gt;$AG84),AND(TIPOORCAMENTO="LICITADO",ORÇAMENTO.PrecoUnitarioLicitado&gt;$AN84)),"ACIMA REF.","")))))</f>
        <v/>
      </c>
      <c r="AD84" s="100" t="str">
        <f ca="1">IF(C84&lt;=CRONO.NivelExibicao,MAX($AD$15:OFFSET(AD84,-1,0))+IF($C84&lt;&gt;1,1,MAX(1,COUNTIF(QCI!$A$13:$A$24,OFFSET($E84,-1,0)))),"")</f>
        <v/>
      </c>
      <c r="AE84" s="110" t="b">
        <f ca="1">IF(AND($C84="S",ORÇAMENTO.CodBarra&lt;&gt;""),IF(ORÇAMENTO.Fonte="",ORÇAMENTO.CodBarra,CONCATENATE(ORÇAMENTO.Fonte," ",ORÇAMENTO.CodBarra)))</f>
        <v>0</v>
      </c>
      <c r="AF84" s="155" t="str">
        <f ca="1">IF(ISERROR(INDIRECT(ORÇAMENTO.BancoRef)),"(abra o arquivo 'Referência "&amp;Excel_BuiltIn_Database&amp;".xlsm)",IF(OR($C84&lt;&gt;"S",ORÇAMENTO.CodBarra=""),"(Sem Código)",IF(ISERROR(MATCH($AE84,INDIRECT(ORÇAMENTO.BancoRef),0)),"(Código não identificado nas referências)",MATCH($AE84,INDIRECT(ORÇAMENTO.BancoRef),0))))</f>
        <v>(abra o arquivo 'Referência 11-2024.xlsm)</v>
      </c>
      <c r="AG84" s="574">
        <f ca="1">ROUND(IF(DESONERACAO="sim",REFERENCIA.Desonerado,REFERENCIA.NaoDesonerado),2)</f>
        <v>0</v>
      </c>
      <c r="AH84" s="575">
        <f t="shared" ca="1" si="48"/>
        <v>0.22</v>
      </c>
      <c r="AJ84" s="577"/>
      <c r="AL84" s="607"/>
      <c r="AM84" s="426">
        <f t="shared" ca="1" si="49"/>
        <v>0</v>
      </c>
      <c r="AN84" s="650">
        <f t="shared" ca="1" si="50"/>
        <v>0</v>
      </c>
    </row>
    <row r="85" spans="1:40" ht="13.8" hidden="1">
      <c r="A85" t="str">
        <f t="shared" si="34"/>
        <v>S</v>
      </c>
      <c r="B85">
        <f t="shared" ca="1" si="35"/>
        <v>2</v>
      </c>
      <c r="C85" t="str">
        <f t="shared" ca="1" si="36"/>
        <v>S</v>
      </c>
      <c r="D85">
        <f t="shared" ca="1" si="37"/>
        <v>0</v>
      </c>
      <c r="E85">
        <f ca="1">IF($C85=1,OFFSET(E85,-1,0)+MAX(1,COUNTIF(QCI!$A$13:$A$24,OFFSET(ORÇAMENTO!E85,-1,0))),OFFSET(E85,-1,0))</f>
        <v>1</v>
      </c>
      <c r="F85">
        <f t="shared" ca="1" si="38"/>
        <v>5</v>
      </c>
      <c r="G85">
        <f t="shared" ca="1" si="39"/>
        <v>0</v>
      </c>
      <c r="H85">
        <f t="shared" ca="1" si="40"/>
        <v>0</v>
      </c>
      <c r="I85">
        <f t="shared" ca="1" si="41"/>
        <v>2</v>
      </c>
      <c r="J85">
        <f t="shared" ca="1" si="42"/>
        <v>0</v>
      </c>
      <c r="K85">
        <f ca="1">IF(OR($C85="S",$C85=0),0,MATCH(OFFSET($D85,0,$C85)+IF($C85&lt;&gt;1,1,COUNTIF(QCI!$A$13:$A$24,ORÇAMENTO!E85)),OFFSET($D85,1,$C85,ROW($C$264)-ROW($C85)),0))</f>
        <v>0</v>
      </c>
      <c r="L85" s="139" t="str">
        <f t="shared" ca="1" si="43"/>
        <v/>
      </c>
      <c r="M85" s="140" t="s">
        <v>199</v>
      </c>
      <c r="N85" s="141" t="str">
        <f t="shared" ca="1" si="44"/>
        <v>Serviço</v>
      </c>
      <c r="O85" s="142" t="str">
        <f t="shared" ca="1" si="45"/>
        <v>-</v>
      </c>
      <c r="P85" s="143" t="s">
        <v>247</v>
      </c>
      <c r="Q85" s="144"/>
      <c r="R85" s="145" t="str">
        <f ca="1">IF($C85="S",REFERENCIA.Descricao,"(digite a descrição aqui)")</f>
        <v>(abra o arquivo 'Referência 11-2024.xlsm)</v>
      </c>
      <c r="S85" s="146" t="str">
        <f ca="1">REFERENCIA.Unidade</f>
        <v>-</v>
      </c>
      <c r="T85" s="147">
        <f ca="1">OFFSET(CÁLCULO!H$15,ROW($T85)-ROW(T$15),0)</f>
        <v>0</v>
      </c>
      <c r="U85" s="148"/>
      <c r="V85" s="149" t="s">
        <v>156</v>
      </c>
      <c r="W85" s="147">
        <f ca="1">IF($C85="S",ROUND(IF(TIPOORCAMENTO="Proposto",ORÇAMENTO.CustoUnitario*(1+$AH85),ORÇAMENTO.PrecoUnitarioLicitado),15-13*$AF$10),0)</f>
        <v>0</v>
      </c>
      <c r="X85" s="150">
        <f ca="1">IF($C85="S",IF(Import.TipoArredondamento&lt;&gt;"TransfereGOV",VTOTAL1,SUM(OFFSET(CÁLCULO!$AA$15,ROW($X85)-ROW($X$15),1):OFFSET(CÁLCULO!$AL$15,ROW($X85)-ROW($X$15),-1))),IF($C85=0,0,ROUND(SomaAgrup,15-13*$AF$11)))</f>
        <v>0</v>
      </c>
      <c r="Y85" s="151" t="s">
        <v>245</v>
      </c>
      <c r="Z85" t="str">
        <f t="shared" ca="1" si="46"/>
        <v/>
      </c>
      <c r="AA85" s="152">
        <f ca="1">IF($C85="S",IF($Z85="CP",$X85,IF($Z85="RA",(($X85)*QCI!$AA$3),0)),SomaAgrup)</f>
        <v>0</v>
      </c>
      <c r="AB85" s="153">
        <f t="shared" ca="1" si="47"/>
        <v>0</v>
      </c>
      <c r="AC85" s="154" t="str">
        <f ca="1">IF($N85="","",IF(ORÇAMENTO.Descricao="","DESCRIÇÃO",IF(AND($C85="S",ORÇAMENTO.Unidade=""),"UNIDADE",IF($X85&lt;0,"VALOR NEGATIVO",IF(OR(AND(TIPOORCAMENTO="Proposto",$AG85&lt;&gt;"",$AG85&gt;0,ORÇAMENTO.CustoUnitario&gt;$AG85),AND(TIPOORCAMENTO="LICITADO",ORÇAMENTO.PrecoUnitarioLicitado&gt;$AN85)),"ACIMA REF.","")))))</f>
        <v/>
      </c>
      <c r="AD85" s="100" t="str">
        <f ca="1">IF(C85&lt;=CRONO.NivelExibicao,MAX($AD$15:OFFSET(AD85,-1,0))+IF($C85&lt;&gt;1,1,MAX(1,COUNTIF(QCI!$A$13:$A$24,OFFSET($E85,-1,0)))),"")</f>
        <v/>
      </c>
      <c r="AE85" s="110" t="b">
        <f ca="1">IF(AND($C85="S",ORÇAMENTO.CodBarra&lt;&gt;""),IF(ORÇAMENTO.Fonte="",ORÇAMENTO.CodBarra,CONCATENATE(ORÇAMENTO.Fonte," ",ORÇAMENTO.CodBarra)))</f>
        <v>0</v>
      </c>
      <c r="AF85" s="155" t="str">
        <f ca="1">IF(ISERROR(INDIRECT(ORÇAMENTO.BancoRef)),"(abra o arquivo 'Referência "&amp;Excel_BuiltIn_Database&amp;".xlsm)",IF(OR($C85&lt;&gt;"S",ORÇAMENTO.CodBarra=""),"(Sem Código)",IF(ISERROR(MATCH($AE85,INDIRECT(ORÇAMENTO.BancoRef),0)),"(Código não identificado nas referências)",MATCH($AE85,INDIRECT(ORÇAMENTO.BancoRef),0))))</f>
        <v>(abra o arquivo 'Referência 11-2024.xlsm)</v>
      </c>
      <c r="AG85" s="574">
        <f ca="1">ROUND(IF(DESONERACAO="sim",REFERENCIA.Desonerado,REFERENCIA.NaoDesonerado),2)</f>
        <v>0</v>
      </c>
      <c r="AH85" s="575">
        <f t="shared" ca="1" si="48"/>
        <v>0.22</v>
      </c>
      <c r="AJ85" s="577"/>
      <c r="AL85" s="607"/>
      <c r="AM85" s="426">
        <f t="shared" ca="1" si="49"/>
        <v>0</v>
      </c>
      <c r="AN85" s="650">
        <f t="shared" ca="1" si="50"/>
        <v>0</v>
      </c>
    </row>
    <row r="86" spans="1:40" ht="13.8" hidden="1">
      <c r="A86" t="str">
        <f t="shared" si="34"/>
        <v>S</v>
      </c>
      <c r="B86">
        <f t="shared" ca="1" si="35"/>
        <v>2</v>
      </c>
      <c r="C86" t="str">
        <f t="shared" ca="1" si="36"/>
        <v>S</v>
      </c>
      <c r="D86">
        <f t="shared" ca="1" si="37"/>
        <v>0</v>
      </c>
      <c r="E86">
        <f ca="1">IF($C86=1,OFFSET(E86,-1,0)+MAX(1,COUNTIF(QCI!$A$13:$A$24,OFFSET(ORÇAMENTO!E86,-1,0))),OFFSET(E86,-1,0))</f>
        <v>1</v>
      </c>
      <c r="F86">
        <f t="shared" ca="1" si="38"/>
        <v>5</v>
      </c>
      <c r="G86">
        <f t="shared" ca="1" si="39"/>
        <v>0</v>
      </c>
      <c r="H86">
        <f t="shared" ca="1" si="40"/>
        <v>0</v>
      </c>
      <c r="I86">
        <f t="shared" ca="1" si="41"/>
        <v>2</v>
      </c>
      <c r="J86">
        <f t="shared" ca="1" si="42"/>
        <v>0</v>
      </c>
      <c r="K86">
        <f ca="1">IF(OR($C86="S",$C86=0),0,MATCH(OFFSET($D86,0,$C86)+IF($C86&lt;&gt;1,1,COUNTIF(QCI!$A$13:$A$24,ORÇAMENTO!E86)),OFFSET($D86,1,$C86,ROW($C$264)-ROW($C86)),0))</f>
        <v>0</v>
      </c>
      <c r="L86" s="139" t="str">
        <f t="shared" ca="1" si="43"/>
        <v/>
      </c>
      <c r="M86" s="140" t="s">
        <v>199</v>
      </c>
      <c r="N86" s="141" t="str">
        <f t="shared" ca="1" si="44"/>
        <v>Serviço</v>
      </c>
      <c r="O86" s="142" t="str">
        <f t="shared" ca="1" si="45"/>
        <v>-</v>
      </c>
      <c r="P86" s="143" t="s">
        <v>247</v>
      </c>
      <c r="Q86" s="144"/>
      <c r="R86" s="145" t="str">
        <f ca="1">IF($C86="S",REFERENCIA.Descricao,"(digite a descrição aqui)")</f>
        <v>(abra o arquivo 'Referência 11-2024.xlsm)</v>
      </c>
      <c r="S86" s="146" t="str">
        <f ca="1">REFERENCIA.Unidade</f>
        <v>-</v>
      </c>
      <c r="T86" s="147">
        <f ca="1">OFFSET(CÁLCULO!H$15,ROW($T86)-ROW(T$15),0)</f>
        <v>0</v>
      </c>
      <c r="U86" s="148"/>
      <c r="V86" s="149" t="s">
        <v>156</v>
      </c>
      <c r="W86" s="147">
        <f ca="1">IF($C86="S",ROUND(IF(TIPOORCAMENTO="Proposto",ORÇAMENTO.CustoUnitario*(1+$AH86),ORÇAMENTO.PrecoUnitarioLicitado),15-13*$AF$10),0)</f>
        <v>0</v>
      </c>
      <c r="X86" s="150">
        <f ca="1">IF($C86="S",IF(Import.TipoArredondamento&lt;&gt;"TransfereGOV",VTOTAL1,SUM(OFFSET(CÁLCULO!$AA$15,ROW($X86)-ROW($X$15),1):OFFSET(CÁLCULO!$AL$15,ROW($X86)-ROW($X$15),-1))),IF($C86=0,0,ROUND(SomaAgrup,15-13*$AF$11)))</f>
        <v>0</v>
      </c>
      <c r="Y86" s="151" t="s">
        <v>245</v>
      </c>
      <c r="Z86" t="str">
        <f t="shared" ca="1" si="46"/>
        <v/>
      </c>
      <c r="AA86" s="152">
        <f ca="1">IF($C86="S",IF($Z86="CP",$X86,IF($Z86="RA",(($X86)*QCI!$AA$3),0)),SomaAgrup)</f>
        <v>0</v>
      </c>
      <c r="AB86" s="153">
        <f t="shared" ca="1" si="47"/>
        <v>0</v>
      </c>
      <c r="AC86" s="154" t="str">
        <f ca="1">IF($N86="","",IF(ORÇAMENTO.Descricao="","DESCRIÇÃO",IF(AND($C86="S",ORÇAMENTO.Unidade=""),"UNIDADE",IF($X86&lt;0,"VALOR NEGATIVO",IF(OR(AND(TIPOORCAMENTO="Proposto",$AG86&lt;&gt;"",$AG86&gt;0,ORÇAMENTO.CustoUnitario&gt;$AG86),AND(TIPOORCAMENTO="LICITADO",ORÇAMENTO.PrecoUnitarioLicitado&gt;$AN86)),"ACIMA REF.","")))))</f>
        <v/>
      </c>
      <c r="AD86" s="100" t="str">
        <f ca="1">IF(C86&lt;=CRONO.NivelExibicao,MAX($AD$15:OFFSET(AD86,-1,0))+IF($C86&lt;&gt;1,1,MAX(1,COUNTIF(QCI!$A$13:$A$24,OFFSET($E86,-1,0)))),"")</f>
        <v/>
      </c>
      <c r="AE86" s="110" t="b">
        <f ca="1">IF(AND($C86="S",ORÇAMENTO.CodBarra&lt;&gt;""),IF(ORÇAMENTO.Fonte="",ORÇAMENTO.CodBarra,CONCATENATE(ORÇAMENTO.Fonte," ",ORÇAMENTO.CodBarra)))</f>
        <v>0</v>
      </c>
      <c r="AF86" s="155" t="str">
        <f ca="1">IF(ISERROR(INDIRECT(ORÇAMENTO.BancoRef)),"(abra o arquivo 'Referência "&amp;Excel_BuiltIn_Database&amp;".xlsm)",IF(OR($C86&lt;&gt;"S",ORÇAMENTO.CodBarra=""),"(Sem Código)",IF(ISERROR(MATCH($AE86,INDIRECT(ORÇAMENTO.BancoRef),0)),"(Código não identificado nas referências)",MATCH($AE86,INDIRECT(ORÇAMENTO.BancoRef),0))))</f>
        <v>(abra o arquivo 'Referência 11-2024.xlsm)</v>
      </c>
      <c r="AG86" s="574">
        <f ca="1">ROUND(IF(DESONERACAO="sim",REFERENCIA.Desonerado,REFERENCIA.NaoDesonerado),2)</f>
        <v>0</v>
      </c>
      <c r="AH86" s="575">
        <f t="shared" ca="1" si="48"/>
        <v>0.22</v>
      </c>
      <c r="AJ86" s="577"/>
      <c r="AL86" s="607"/>
      <c r="AM86" s="426">
        <f t="shared" ca="1" si="49"/>
        <v>0</v>
      </c>
      <c r="AN86" s="650">
        <f t="shared" ca="1" si="50"/>
        <v>0</v>
      </c>
    </row>
    <row r="87" spans="1:40" ht="13.8" hidden="1">
      <c r="A87" t="str">
        <f t="shared" si="34"/>
        <v>S</v>
      </c>
      <c r="B87">
        <f t="shared" ca="1" si="35"/>
        <v>2</v>
      </c>
      <c r="C87" t="str">
        <f t="shared" ca="1" si="36"/>
        <v>S</v>
      </c>
      <c r="D87">
        <f t="shared" ca="1" si="37"/>
        <v>0</v>
      </c>
      <c r="E87">
        <f ca="1">IF($C87=1,OFFSET(E87,-1,0)+MAX(1,COUNTIF(QCI!$A$13:$A$24,OFFSET(ORÇAMENTO!E87,-1,0))),OFFSET(E87,-1,0))</f>
        <v>1</v>
      </c>
      <c r="F87">
        <f t="shared" ca="1" si="38"/>
        <v>5</v>
      </c>
      <c r="G87">
        <f t="shared" ca="1" si="39"/>
        <v>0</v>
      </c>
      <c r="H87">
        <f t="shared" ca="1" si="40"/>
        <v>0</v>
      </c>
      <c r="I87">
        <f t="shared" ca="1" si="41"/>
        <v>2</v>
      </c>
      <c r="J87">
        <f t="shared" ca="1" si="42"/>
        <v>0</v>
      </c>
      <c r="K87">
        <f ca="1">IF(OR($C87="S",$C87=0),0,MATCH(OFFSET($D87,0,$C87)+IF($C87&lt;&gt;1,1,COUNTIF(QCI!$A$13:$A$24,ORÇAMENTO!E87)),OFFSET($D87,1,$C87,ROW($C$264)-ROW($C87)),0))</f>
        <v>0</v>
      </c>
      <c r="L87" s="139" t="str">
        <f t="shared" ca="1" si="43"/>
        <v/>
      </c>
      <c r="M87" s="140" t="s">
        <v>199</v>
      </c>
      <c r="N87" s="141" t="str">
        <f t="shared" ca="1" si="44"/>
        <v>Serviço</v>
      </c>
      <c r="O87" s="142" t="str">
        <f t="shared" ca="1" si="45"/>
        <v>-</v>
      </c>
      <c r="P87" s="143" t="s">
        <v>247</v>
      </c>
      <c r="Q87" s="144"/>
      <c r="R87" s="145" t="str">
        <f ca="1">IF($C87="S",REFERENCIA.Descricao,"(digite a descrição aqui)")</f>
        <v>(abra o arquivo 'Referência 11-2024.xlsm)</v>
      </c>
      <c r="S87" s="146" t="str">
        <f ca="1">REFERENCIA.Unidade</f>
        <v>-</v>
      </c>
      <c r="T87" s="147">
        <f ca="1">OFFSET(CÁLCULO!H$15,ROW($T87)-ROW(T$15),0)</f>
        <v>0</v>
      </c>
      <c r="U87" s="148"/>
      <c r="V87" s="149" t="s">
        <v>156</v>
      </c>
      <c r="W87" s="147">
        <f ca="1">IF($C87="S",ROUND(IF(TIPOORCAMENTO="Proposto",ORÇAMENTO.CustoUnitario*(1+$AH87),ORÇAMENTO.PrecoUnitarioLicitado),15-13*$AF$10),0)</f>
        <v>0</v>
      </c>
      <c r="X87" s="150">
        <f ca="1">IF($C87="S",IF(Import.TipoArredondamento&lt;&gt;"TransfereGOV",VTOTAL1,SUM(OFFSET(CÁLCULO!$AA$15,ROW($X87)-ROW($X$15),1):OFFSET(CÁLCULO!$AL$15,ROW($X87)-ROW($X$15),-1))),IF($C87=0,0,ROUND(SomaAgrup,15-13*$AF$11)))</f>
        <v>0</v>
      </c>
      <c r="Y87" s="151" t="s">
        <v>245</v>
      </c>
      <c r="Z87" t="str">
        <f t="shared" ca="1" si="46"/>
        <v/>
      </c>
      <c r="AA87" s="152">
        <f ca="1">IF($C87="S",IF($Z87="CP",$X87,IF($Z87="RA",(($X87)*QCI!$AA$3),0)),SomaAgrup)</f>
        <v>0</v>
      </c>
      <c r="AB87" s="153">
        <f t="shared" ca="1" si="47"/>
        <v>0</v>
      </c>
      <c r="AC87" s="154" t="str">
        <f ca="1">IF($N87="","",IF(ORÇAMENTO.Descricao="","DESCRIÇÃO",IF(AND($C87="S",ORÇAMENTO.Unidade=""),"UNIDADE",IF($X87&lt;0,"VALOR NEGATIVO",IF(OR(AND(TIPOORCAMENTO="Proposto",$AG87&lt;&gt;"",$AG87&gt;0,ORÇAMENTO.CustoUnitario&gt;$AG87),AND(TIPOORCAMENTO="LICITADO",ORÇAMENTO.PrecoUnitarioLicitado&gt;$AN87)),"ACIMA REF.","")))))</f>
        <v/>
      </c>
      <c r="AD87" s="100" t="str">
        <f ca="1">IF(C87&lt;=CRONO.NivelExibicao,MAX($AD$15:OFFSET(AD87,-1,0))+IF($C87&lt;&gt;1,1,MAX(1,COUNTIF(QCI!$A$13:$A$24,OFFSET($E87,-1,0)))),"")</f>
        <v/>
      </c>
      <c r="AE87" s="110" t="b">
        <f ca="1">IF(AND($C87="S",ORÇAMENTO.CodBarra&lt;&gt;""),IF(ORÇAMENTO.Fonte="",ORÇAMENTO.CodBarra,CONCATENATE(ORÇAMENTO.Fonte," ",ORÇAMENTO.CodBarra)))</f>
        <v>0</v>
      </c>
      <c r="AF87" s="155" t="str">
        <f ca="1">IF(ISERROR(INDIRECT(ORÇAMENTO.BancoRef)),"(abra o arquivo 'Referência "&amp;Excel_BuiltIn_Database&amp;".xlsm)",IF(OR($C87&lt;&gt;"S",ORÇAMENTO.CodBarra=""),"(Sem Código)",IF(ISERROR(MATCH($AE87,INDIRECT(ORÇAMENTO.BancoRef),0)),"(Código não identificado nas referências)",MATCH($AE87,INDIRECT(ORÇAMENTO.BancoRef),0))))</f>
        <v>(abra o arquivo 'Referência 11-2024.xlsm)</v>
      </c>
      <c r="AG87" s="574">
        <f ca="1">ROUND(IF(DESONERACAO="sim",REFERENCIA.Desonerado,REFERENCIA.NaoDesonerado),2)</f>
        <v>0</v>
      </c>
      <c r="AH87" s="575">
        <f t="shared" ca="1" si="48"/>
        <v>0.22</v>
      </c>
      <c r="AJ87" s="577"/>
      <c r="AL87" s="607"/>
      <c r="AM87" s="426">
        <f t="shared" ca="1" si="49"/>
        <v>0</v>
      </c>
      <c r="AN87" s="650">
        <f t="shared" ca="1" si="50"/>
        <v>0</v>
      </c>
    </row>
    <row r="88" spans="1:40" ht="13.8" hidden="1">
      <c r="A88" t="str">
        <f t="shared" si="34"/>
        <v>S</v>
      </c>
      <c r="B88">
        <f t="shared" ca="1" si="35"/>
        <v>2</v>
      </c>
      <c r="C88" t="str">
        <f t="shared" ca="1" si="36"/>
        <v>S</v>
      </c>
      <c r="D88">
        <f t="shared" ca="1" si="37"/>
        <v>0</v>
      </c>
      <c r="E88">
        <f ca="1">IF($C88=1,OFFSET(E88,-1,0)+MAX(1,COUNTIF(QCI!$A$13:$A$24,OFFSET(ORÇAMENTO!E88,-1,0))),OFFSET(E88,-1,0))</f>
        <v>1</v>
      </c>
      <c r="F88">
        <f t="shared" ca="1" si="38"/>
        <v>5</v>
      </c>
      <c r="G88">
        <f t="shared" ca="1" si="39"/>
        <v>0</v>
      </c>
      <c r="H88">
        <f t="shared" ca="1" si="40"/>
        <v>0</v>
      </c>
      <c r="I88">
        <f t="shared" ca="1" si="41"/>
        <v>2</v>
      </c>
      <c r="J88">
        <f t="shared" ca="1" si="42"/>
        <v>0</v>
      </c>
      <c r="K88">
        <f ca="1">IF(OR($C88="S",$C88=0),0,MATCH(OFFSET($D88,0,$C88)+IF($C88&lt;&gt;1,1,COUNTIF(QCI!$A$13:$A$24,ORÇAMENTO!E88)),OFFSET($D88,1,$C88,ROW($C$264)-ROW($C88)),0))</f>
        <v>0</v>
      </c>
      <c r="L88" s="139" t="str">
        <f t="shared" ca="1" si="43"/>
        <v/>
      </c>
      <c r="M88" s="140" t="s">
        <v>199</v>
      </c>
      <c r="N88" s="141" t="str">
        <f t="shared" ca="1" si="44"/>
        <v>Serviço</v>
      </c>
      <c r="O88" s="142" t="str">
        <f t="shared" ca="1" si="45"/>
        <v>-</v>
      </c>
      <c r="P88" s="143" t="s">
        <v>247</v>
      </c>
      <c r="Q88" s="144"/>
      <c r="R88" s="145" t="str">
        <f ca="1">IF($C88="S",REFERENCIA.Descricao,"(digite a descrição aqui)")</f>
        <v>(abra o arquivo 'Referência 11-2024.xlsm)</v>
      </c>
      <c r="S88" s="146" t="str">
        <f ca="1">REFERENCIA.Unidade</f>
        <v>-</v>
      </c>
      <c r="T88" s="147">
        <f ca="1">OFFSET(CÁLCULO!H$15,ROW($T88)-ROW(T$15),0)</f>
        <v>0</v>
      </c>
      <c r="U88" s="148"/>
      <c r="V88" s="149" t="s">
        <v>156</v>
      </c>
      <c r="W88" s="147">
        <f ca="1">IF($C88="S",ROUND(IF(TIPOORCAMENTO="Proposto",ORÇAMENTO.CustoUnitario*(1+$AH88),ORÇAMENTO.PrecoUnitarioLicitado),15-13*$AF$10),0)</f>
        <v>0</v>
      </c>
      <c r="X88" s="150">
        <f ca="1">IF($C88="S",IF(Import.TipoArredondamento&lt;&gt;"TransfereGOV",VTOTAL1,SUM(OFFSET(CÁLCULO!$AA$15,ROW($X88)-ROW($X$15),1):OFFSET(CÁLCULO!$AL$15,ROW($X88)-ROW($X$15),-1))),IF($C88=0,0,ROUND(SomaAgrup,15-13*$AF$11)))</f>
        <v>0</v>
      </c>
      <c r="Y88" s="151" t="s">
        <v>245</v>
      </c>
      <c r="Z88" t="str">
        <f t="shared" ca="1" si="46"/>
        <v/>
      </c>
      <c r="AA88" s="152">
        <f ca="1">IF($C88="S",IF($Z88="CP",$X88,IF($Z88="RA",(($X88)*QCI!$AA$3),0)),SomaAgrup)</f>
        <v>0</v>
      </c>
      <c r="AB88" s="153">
        <f t="shared" ca="1" si="47"/>
        <v>0</v>
      </c>
      <c r="AC88" s="154" t="str">
        <f ca="1">IF($N88="","",IF(ORÇAMENTO.Descricao="","DESCRIÇÃO",IF(AND($C88="S",ORÇAMENTO.Unidade=""),"UNIDADE",IF($X88&lt;0,"VALOR NEGATIVO",IF(OR(AND(TIPOORCAMENTO="Proposto",$AG88&lt;&gt;"",$AG88&gt;0,ORÇAMENTO.CustoUnitario&gt;$AG88),AND(TIPOORCAMENTO="LICITADO",ORÇAMENTO.PrecoUnitarioLicitado&gt;$AN88)),"ACIMA REF.","")))))</f>
        <v/>
      </c>
      <c r="AD88" s="100" t="str">
        <f ca="1">IF(C88&lt;=CRONO.NivelExibicao,MAX($AD$15:OFFSET(AD88,-1,0))+IF($C88&lt;&gt;1,1,MAX(1,COUNTIF(QCI!$A$13:$A$24,OFFSET($E88,-1,0)))),"")</f>
        <v/>
      </c>
      <c r="AE88" s="110" t="b">
        <f ca="1">IF(AND($C88="S",ORÇAMENTO.CodBarra&lt;&gt;""),IF(ORÇAMENTO.Fonte="",ORÇAMENTO.CodBarra,CONCATENATE(ORÇAMENTO.Fonte," ",ORÇAMENTO.CodBarra)))</f>
        <v>0</v>
      </c>
      <c r="AF88" s="155" t="str">
        <f ca="1">IF(ISERROR(INDIRECT(ORÇAMENTO.BancoRef)),"(abra o arquivo 'Referência "&amp;Excel_BuiltIn_Database&amp;".xlsm)",IF(OR($C88&lt;&gt;"S",ORÇAMENTO.CodBarra=""),"(Sem Código)",IF(ISERROR(MATCH($AE88,INDIRECT(ORÇAMENTO.BancoRef),0)),"(Código não identificado nas referências)",MATCH($AE88,INDIRECT(ORÇAMENTO.BancoRef),0))))</f>
        <v>(abra o arquivo 'Referência 11-2024.xlsm)</v>
      </c>
      <c r="AG88" s="574">
        <f ca="1">ROUND(IF(DESONERACAO="sim",REFERENCIA.Desonerado,REFERENCIA.NaoDesonerado),2)</f>
        <v>0</v>
      </c>
      <c r="AH88" s="575">
        <f t="shared" ca="1" si="48"/>
        <v>0.22</v>
      </c>
      <c r="AJ88" s="577"/>
      <c r="AL88" s="607"/>
      <c r="AM88" s="426">
        <f t="shared" ca="1" si="49"/>
        <v>0</v>
      </c>
      <c r="AN88" s="650">
        <f t="shared" ca="1" si="50"/>
        <v>0</v>
      </c>
    </row>
    <row r="89" spans="1:40" ht="13.8" hidden="1">
      <c r="A89" t="str">
        <f t="shared" si="34"/>
        <v>S</v>
      </c>
      <c r="B89">
        <f t="shared" ca="1" si="35"/>
        <v>2</v>
      </c>
      <c r="C89" t="str">
        <f t="shared" ca="1" si="36"/>
        <v>S</v>
      </c>
      <c r="D89">
        <f t="shared" ca="1" si="37"/>
        <v>0</v>
      </c>
      <c r="E89">
        <f ca="1">IF($C89=1,OFFSET(E89,-1,0)+MAX(1,COUNTIF(QCI!$A$13:$A$24,OFFSET(ORÇAMENTO!E89,-1,0))),OFFSET(E89,-1,0))</f>
        <v>1</v>
      </c>
      <c r="F89">
        <f t="shared" ca="1" si="38"/>
        <v>5</v>
      </c>
      <c r="G89">
        <f t="shared" ca="1" si="39"/>
        <v>0</v>
      </c>
      <c r="H89">
        <f t="shared" ca="1" si="40"/>
        <v>0</v>
      </c>
      <c r="I89">
        <f t="shared" ca="1" si="41"/>
        <v>2</v>
      </c>
      <c r="J89">
        <f t="shared" ca="1" si="42"/>
        <v>0</v>
      </c>
      <c r="K89">
        <f ca="1">IF(OR($C89="S",$C89=0),0,MATCH(OFFSET($D89,0,$C89)+IF($C89&lt;&gt;1,1,COUNTIF(QCI!$A$13:$A$24,ORÇAMENTO!E89)),OFFSET($D89,1,$C89,ROW($C$264)-ROW($C89)),0))</f>
        <v>0</v>
      </c>
      <c r="L89" s="139" t="str">
        <f t="shared" ca="1" si="43"/>
        <v/>
      </c>
      <c r="M89" s="140" t="s">
        <v>199</v>
      </c>
      <c r="N89" s="141" t="str">
        <f t="shared" ca="1" si="44"/>
        <v>Serviço</v>
      </c>
      <c r="O89" s="142" t="str">
        <f t="shared" ca="1" si="45"/>
        <v>-</v>
      </c>
      <c r="P89" s="143" t="s">
        <v>247</v>
      </c>
      <c r="Q89" s="144"/>
      <c r="R89" s="145" t="str">
        <f ca="1">IF($C89="S",REFERENCIA.Descricao,"(digite a descrição aqui)")</f>
        <v>(abra o arquivo 'Referência 11-2024.xlsm)</v>
      </c>
      <c r="S89" s="146" t="str">
        <f ca="1">REFERENCIA.Unidade</f>
        <v>-</v>
      </c>
      <c r="T89" s="147">
        <f ca="1">OFFSET(CÁLCULO!H$15,ROW($T89)-ROW(T$15),0)</f>
        <v>0</v>
      </c>
      <c r="U89" s="148"/>
      <c r="V89" s="149" t="s">
        <v>156</v>
      </c>
      <c r="W89" s="147">
        <f ca="1">IF($C89="S",ROUND(IF(TIPOORCAMENTO="Proposto",ORÇAMENTO.CustoUnitario*(1+$AH89),ORÇAMENTO.PrecoUnitarioLicitado),15-13*$AF$10),0)</f>
        <v>0</v>
      </c>
      <c r="X89" s="150">
        <f ca="1">IF($C89="S",IF(Import.TipoArredondamento&lt;&gt;"TransfereGOV",VTOTAL1,SUM(OFFSET(CÁLCULO!$AA$15,ROW($X89)-ROW($X$15),1):OFFSET(CÁLCULO!$AL$15,ROW($X89)-ROW($X$15),-1))),IF($C89=0,0,ROUND(SomaAgrup,15-13*$AF$11)))</f>
        <v>0</v>
      </c>
      <c r="Y89" s="151" t="s">
        <v>245</v>
      </c>
      <c r="Z89" t="str">
        <f t="shared" ca="1" si="46"/>
        <v/>
      </c>
      <c r="AA89" s="152">
        <f ca="1">IF($C89="S",IF($Z89="CP",$X89,IF($Z89="RA",(($X89)*QCI!$AA$3),0)),SomaAgrup)</f>
        <v>0</v>
      </c>
      <c r="AB89" s="153">
        <f t="shared" ca="1" si="47"/>
        <v>0</v>
      </c>
      <c r="AC89" s="154" t="str">
        <f ca="1">IF($N89="","",IF(ORÇAMENTO.Descricao="","DESCRIÇÃO",IF(AND($C89="S",ORÇAMENTO.Unidade=""),"UNIDADE",IF($X89&lt;0,"VALOR NEGATIVO",IF(OR(AND(TIPOORCAMENTO="Proposto",$AG89&lt;&gt;"",$AG89&gt;0,ORÇAMENTO.CustoUnitario&gt;$AG89),AND(TIPOORCAMENTO="LICITADO",ORÇAMENTO.PrecoUnitarioLicitado&gt;$AN89)),"ACIMA REF.","")))))</f>
        <v/>
      </c>
      <c r="AD89" s="100" t="str">
        <f ca="1">IF(C89&lt;=CRONO.NivelExibicao,MAX($AD$15:OFFSET(AD89,-1,0))+IF($C89&lt;&gt;1,1,MAX(1,COUNTIF(QCI!$A$13:$A$24,OFFSET($E89,-1,0)))),"")</f>
        <v/>
      </c>
      <c r="AE89" s="110" t="b">
        <f ca="1">IF(AND($C89="S",ORÇAMENTO.CodBarra&lt;&gt;""),IF(ORÇAMENTO.Fonte="",ORÇAMENTO.CodBarra,CONCATENATE(ORÇAMENTO.Fonte," ",ORÇAMENTO.CodBarra)))</f>
        <v>0</v>
      </c>
      <c r="AF89" s="155" t="str">
        <f ca="1">IF(ISERROR(INDIRECT(ORÇAMENTO.BancoRef)),"(abra o arquivo 'Referência "&amp;Excel_BuiltIn_Database&amp;".xlsm)",IF(OR($C89&lt;&gt;"S",ORÇAMENTO.CodBarra=""),"(Sem Código)",IF(ISERROR(MATCH($AE89,INDIRECT(ORÇAMENTO.BancoRef),0)),"(Código não identificado nas referências)",MATCH($AE89,INDIRECT(ORÇAMENTO.BancoRef),0))))</f>
        <v>(abra o arquivo 'Referência 11-2024.xlsm)</v>
      </c>
      <c r="AG89" s="574">
        <f ca="1">ROUND(IF(DESONERACAO="sim",REFERENCIA.Desonerado,REFERENCIA.NaoDesonerado),2)</f>
        <v>0</v>
      </c>
      <c r="AH89" s="575">
        <f t="shared" ca="1" si="48"/>
        <v>0.22</v>
      </c>
      <c r="AJ89" s="577"/>
      <c r="AL89" s="607"/>
      <c r="AM89" s="426">
        <f t="shared" ca="1" si="49"/>
        <v>0</v>
      </c>
      <c r="AN89" s="650">
        <f t="shared" ca="1" si="50"/>
        <v>0</v>
      </c>
    </row>
    <row r="90" spans="1:40" ht="13.8" hidden="1">
      <c r="A90" t="str">
        <f t="shared" si="34"/>
        <v>S</v>
      </c>
      <c r="B90">
        <f t="shared" ca="1" si="35"/>
        <v>2</v>
      </c>
      <c r="C90" t="str">
        <f t="shared" ca="1" si="36"/>
        <v>S</v>
      </c>
      <c r="D90">
        <f t="shared" ca="1" si="37"/>
        <v>0</v>
      </c>
      <c r="E90">
        <f ca="1">IF($C90=1,OFFSET(E90,-1,0)+MAX(1,COUNTIF(QCI!$A$13:$A$24,OFFSET(ORÇAMENTO!E90,-1,0))),OFFSET(E90,-1,0))</f>
        <v>1</v>
      </c>
      <c r="F90">
        <f t="shared" ca="1" si="38"/>
        <v>5</v>
      </c>
      <c r="G90">
        <f t="shared" ca="1" si="39"/>
        <v>0</v>
      </c>
      <c r="H90">
        <f t="shared" ca="1" si="40"/>
        <v>0</v>
      </c>
      <c r="I90">
        <f t="shared" ca="1" si="41"/>
        <v>2</v>
      </c>
      <c r="J90">
        <f t="shared" ca="1" si="42"/>
        <v>0</v>
      </c>
      <c r="K90">
        <f ca="1">IF(OR($C90="S",$C90=0),0,MATCH(OFFSET($D90,0,$C90)+IF($C90&lt;&gt;1,1,COUNTIF(QCI!$A$13:$A$24,ORÇAMENTO!E90)),OFFSET($D90,1,$C90,ROW($C$264)-ROW($C90)),0))</f>
        <v>0</v>
      </c>
      <c r="L90" s="139" t="str">
        <f t="shared" ca="1" si="43"/>
        <v/>
      </c>
      <c r="M90" s="140" t="s">
        <v>199</v>
      </c>
      <c r="N90" s="141" t="str">
        <f t="shared" ca="1" si="44"/>
        <v>Serviço</v>
      </c>
      <c r="O90" s="142" t="str">
        <f t="shared" ca="1" si="45"/>
        <v>-</v>
      </c>
      <c r="P90" s="143" t="s">
        <v>247</v>
      </c>
      <c r="Q90" s="144"/>
      <c r="R90" s="145" t="str">
        <f ca="1">IF($C90="S",REFERENCIA.Descricao,"(digite a descrição aqui)")</f>
        <v>(abra o arquivo 'Referência 11-2024.xlsm)</v>
      </c>
      <c r="S90" s="146" t="str">
        <f ca="1">REFERENCIA.Unidade</f>
        <v>-</v>
      </c>
      <c r="T90" s="147">
        <f ca="1">OFFSET(CÁLCULO!H$15,ROW($T90)-ROW(T$15),0)</f>
        <v>0</v>
      </c>
      <c r="U90" s="148"/>
      <c r="V90" s="149" t="s">
        <v>156</v>
      </c>
      <c r="W90" s="147">
        <f ca="1">IF($C90="S",ROUND(IF(TIPOORCAMENTO="Proposto",ORÇAMENTO.CustoUnitario*(1+$AH90),ORÇAMENTO.PrecoUnitarioLicitado),15-13*$AF$10),0)</f>
        <v>0</v>
      </c>
      <c r="X90" s="150">
        <f ca="1">IF($C90="S",IF(Import.TipoArredondamento&lt;&gt;"TransfereGOV",VTOTAL1,SUM(OFFSET(CÁLCULO!$AA$15,ROW($X90)-ROW($X$15),1):OFFSET(CÁLCULO!$AL$15,ROW($X90)-ROW($X$15),-1))),IF($C90=0,0,ROUND(SomaAgrup,15-13*$AF$11)))</f>
        <v>0</v>
      </c>
      <c r="Y90" s="151" t="s">
        <v>245</v>
      </c>
      <c r="Z90" t="str">
        <f t="shared" ca="1" si="46"/>
        <v/>
      </c>
      <c r="AA90" s="152">
        <f ca="1">IF($C90="S",IF($Z90="CP",$X90,IF($Z90="RA",(($X90)*QCI!$AA$3),0)),SomaAgrup)</f>
        <v>0</v>
      </c>
      <c r="AB90" s="153">
        <f t="shared" ca="1" si="47"/>
        <v>0</v>
      </c>
      <c r="AC90" s="154" t="str">
        <f ca="1">IF($N90="","",IF(ORÇAMENTO.Descricao="","DESCRIÇÃO",IF(AND($C90="S",ORÇAMENTO.Unidade=""),"UNIDADE",IF($X90&lt;0,"VALOR NEGATIVO",IF(OR(AND(TIPOORCAMENTO="Proposto",$AG90&lt;&gt;"",$AG90&gt;0,ORÇAMENTO.CustoUnitario&gt;$AG90),AND(TIPOORCAMENTO="LICITADO",ORÇAMENTO.PrecoUnitarioLicitado&gt;$AN90)),"ACIMA REF.","")))))</f>
        <v/>
      </c>
      <c r="AD90" s="100" t="str">
        <f ca="1">IF(C90&lt;=CRONO.NivelExibicao,MAX($AD$15:OFFSET(AD90,-1,0))+IF($C90&lt;&gt;1,1,MAX(1,COUNTIF(QCI!$A$13:$A$24,OFFSET($E90,-1,0)))),"")</f>
        <v/>
      </c>
      <c r="AE90" s="110" t="b">
        <f ca="1">IF(AND($C90="S",ORÇAMENTO.CodBarra&lt;&gt;""),IF(ORÇAMENTO.Fonte="",ORÇAMENTO.CodBarra,CONCATENATE(ORÇAMENTO.Fonte," ",ORÇAMENTO.CodBarra)))</f>
        <v>0</v>
      </c>
      <c r="AF90" s="155" t="str">
        <f ca="1">IF(ISERROR(INDIRECT(ORÇAMENTO.BancoRef)),"(abra o arquivo 'Referência "&amp;Excel_BuiltIn_Database&amp;".xlsm)",IF(OR($C90&lt;&gt;"S",ORÇAMENTO.CodBarra=""),"(Sem Código)",IF(ISERROR(MATCH($AE90,INDIRECT(ORÇAMENTO.BancoRef),0)),"(Código não identificado nas referências)",MATCH($AE90,INDIRECT(ORÇAMENTO.BancoRef),0))))</f>
        <v>(abra o arquivo 'Referência 11-2024.xlsm)</v>
      </c>
      <c r="AG90" s="574">
        <f ca="1">ROUND(IF(DESONERACAO="sim",REFERENCIA.Desonerado,REFERENCIA.NaoDesonerado),2)</f>
        <v>0</v>
      </c>
      <c r="AH90" s="575">
        <f t="shared" ca="1" si="48"/>
        <v>0.22</v>
      </c>
      <c r="AJ90" s="577"/>
      <c r="AL90" s="607"/>
      <c r="AM90" s="426">
        <f t="shared" ca="1" si="49"/>
        <v>0</v>
      </c>
      <c r="AN90" s="650">
        <f t="shared" ca="1" si="50"/>
        <v>0</v>
      </c>
    </row>
    <row r="91" spans="1:40" ht="13.8" hidden="1">
      <c r="A91" t="str">
        <f t="shared" si="34"/>
        <v>S</v>
      </c>
      <c r="B91">
        <f t="shared" ca="1" si="35"/>
        <v>2</v>
      </c>
      <c r="C91" t="str">
        <f t="shared" ca="1" si="36"/>
        <v>S</v>
      </c>
      <c r="D91">
        <f t="shared" ca="1" si="37"/>
        <v>0</v>
      </c>
      <c r="E91">
        <f ca="1">IF($C91=1,OFFSET(E91,-1,0)+MAX(1,COUNTIF(QCI!$A$13:$A$24,OFFSET(ORÇAMENTO!E91,-1,0))),OFFSET(E91,-1,0))</f>
        <v>1</v>
      </c>
      <c r="F91">
        <f t="shared" ca="1" si="38"/>
        <v>5</v>
      </c>
      <c r="G91">
        <f t="shared" ca="1" si="39"/>
        <v>0</v>
      </c>
      <c r="H91">
        <f t="shared" ca="1" si="40"/>
        <v>0</v>
      </c>
      <c r="I91">
        <f t="shared" ca="1" si="41"/>
        <v>2</v>
      </c>
      <c r="J91">
        <f t="shared" ca="1" si="42"/>
        <v>0</v>
      </c>
      <c r="K91">
        <f ca="1">IF(OR($C91="S",$C91=0),0,MATCH(OFFSET($D91,0,$C91)+IF($C91&lt;&gt;1,1,COUNTIF(QCI!$A$13:$A$24,ORÇAMENTO!E91)),OFFSET($D91,1,$C91,ROW($C$264)-ROW($C91)),0))</f>
        <v>0</v>
      </c>
      <c r="L91" s="139" t="str">
        <f t="shared" ca="1" si="43"/>
        <v/>
      </c>
      <c r="M91" s="140" t="s">
        <v>199</v>
      </c>
      <c r="N91" s="141" t="str">
        <f t="shared" ca="1" si="44"/>
        <v>Serviço</v>
      </c>
      <c r="O91" s="142" t="str">
        <f t="shared" ca="1" si="45"/>
        <v>-</v>
      </c>
      <c r="P91" s="143" t="s">
        <v>247</v>
      </c>
      <c r="Q91" s="144"/>
      <c r="R91" s="145" t="str">
        <f ca="1">IF($C91="S",REFERENCIA.Descricao,"(digite a descrição aqui)")</f>
        <v>(abra o arquivo 'Referência 11-2024.xlsm)</v>
      </c>
      <c r="S91" s="146" t="str">
        <f ca="1">REFERENCIA.Unidade</f>
        <v>-</v>
      </c>
      <c r="T91" s="147">
        <f ca="1">OFFSET(CÁLCULO!H$15,ROW($T91)-ROW(T$15),0)</f>
        <v>0</v>
      </c>
      <c r="U91" s="148"/>
      <c r="V91" s="149" t="s">
        <v>156</v>
      </c>
      <c r="W91" s="147">
        <f ca="1">IF($C91="S",ROUND(IF(TIPOORCAMENTO="Proposto",ORÇAMENTO.CustoUnitario*(1+$AH91),ORÇAMENTO.PrecoUnitarioLicitado),15-13*$AF$10),0)</f>
        <v>0</v>
      </c>
      <c r="X91" s="150">
        <f ca="1">IF($C91="S",IF(Import.TipoArredondamento&lt;&gt;"TransfereGOV",VTOTAL1,SUM(OFFSET(CÁLCULO!$AA$15,ROW($X91)-ROW($X$15),1):OFFSET(CÁLCULO!$AL$15,ROW($X91)-ROW($X$15),-1))),IF($C91=0,0,ROUND(SomaAgrup,15-13*$AF$11)))</f>
        <v>0</v>
      </c>
      <c r="Y91" s="151" t="s">
        <v>245</v>
      </c>
      <c r="Z91" t="str">
        <f t="shared" ca="1" si="46"/>
        <v/>
      </c>
      <c r="AA91" s="152">
        <f ca="1">IF($C91="S",IF($Z91="CP",$X91,IF($Z91="RA",(($X91)*QCI!$AA$3),0)),SomaAgrup)</f>
        <v>0</v>
      </c>
      <c r="AB91" s="153">
        <f t="shared" ca="1" si="47"/>
        <v>0</v>
      </c>
      <c r="AC91" s="154" t="str">
        <f ca="1">IF($N91="","",IF(ORÇAMENTO.Descricao="","DESCRIÇÃO",IF(AND($C91="S",ORÇAMENTO.Unidade=""),"UNIDADE",IF($X91&lt;0,"VALOR NEGATIVO",IF(OR(AND(TIPOORCAMENTO="Proposto",$AG91&lt;&gt;"",$AG91&gt;0,ORÇAMENTO.CustoUnitario&gt;$AG91),AND(TIPOORCAMENTO="LICITADO",ORÇAMENTO.PrecoUnitarioLicitado&gt;$AN91)),"ACIMA REF.","")))))</f>
        <v/>
      </c>
      <c r="AD91" s="100" t="str">
        <f ca="1">IF(C91&lt;=CRONO.NivelExibicao,MAX($AD$15:OFFSET(AD91,-1,0))+IF($C91&lt;&gt;1,1,MAX(1,COUNTIF(QCI!$A$13:$A$24,OFFSET($E91,-1,0)))),"")</f>
        <v/>
      </c>
      <c r="AE91" s="110" t="b">
        <f ca="1">IF(AND($C91="S",ORÇAMENTO.CodBarra&lt;&gt;""),IF(ORÇAMENTO.Fonte="",ORÇAMENTO.CodBarra,CONCATENATE(ORÇAMENTO.Fonte," ",ORÇAMENTO.CodBarra)))</f>
        <v>0</v>
      </c>
      <c r="AF91" s="155" t="str">
        <f ca="1">IF(ISERROR(INDIRECT(ORÇAMENTO.BancoRef)),"(abra o arquivo 'Referência "&amp;Excel_BuiltIn_Database&amp;".xlsm)",IF(OR($C91&lt;&gt;"S",ORÇAMENTO.CodBarra=""),"(Sem Código)",IF(ISERROR(MATCH($AE91,INDIRECT(ORÇAMENTO.BancoRef),0)),"(Código não identificado nas referências)",MATCH($AE91,INDIRECT(ORÇAMENTO.BancoRef),0))))</f>
        <v>(abra o arquivo 'Referência 11-2024.xlsm)</v>
      </c>
      <c r="AG91" s="574">
        <f ca="1">ROUND(IF(DESONERACAO="sim",REFERENCIA.Desonerado,REFERENCIA.NaoDesonerado),2)</f>
        <v>0</v>
      </c>
      <c r="AH91" s="575">
        <f t="shared" ca="1" si="48"/>
        <v>0.22</v>
      </c>
      <c r="AJ91" s="577"/>
      <c r="AL91" s="607"/>
      <c r="AM91" s="426">
        <f t="shared" ca="1" si="49"/>
        <v>0</v>
      </c>
      <c r="AN91" s="650">
        <f t="shared" ca="1" si="50"/>
        <v>0</v>
      </c>
    </row>
    <row r="92" spans="1:40" ht="13.8" hidden="1">
      <c r="A92" t="str">
        <f t="shared" si="34"/>
        <v>S</v>
      </c>
      <c r="B92">
        <f t="shared" ca="1" si="35"/>
        <v>2</v>
      </c>
      <c r="C92" t="str">
        <f t="shared" ca="1" si="36"/>
        <v>S</v>
      </c>
      <c r="D92">
        <f t="shared" ca="1" si="37"/>
        <v>0</v>
      </c>
      <c r="E92">
        <f ca="1">IF($C92=1,OFFSET(E92,-1,0)+MAX(1,COUNTIF(QCI!$A$13:$A$24,OFFSET(ORÇAMENTO!E92,-1,0))),OFFSET(E92,-1,0))</f>
        <v>1</v>
      </c>
      <c r="F92">
        <f t="shared" ca="1" si="38"/>
        <v>5</v>
      </c>
      <c r="G92">
        <f t="shared" ca="1" si="39"/>
        <v>0</v>
      </c>
      <c r="H92">
        <f t="shared" ca="1" si="40"/>
        <v>0</v>
      </c>
      <c r="I92">
        <f t="shared" ca="1" si="41"/>
        <v>2</v>
      </c>
      <c r="J92">
        <f t="shared" ca="1" si="42"/>
        <v>0</v>
      </c>
      <c r="K92">
        <f ca="1">IF(OR($C92="S",$C92=0),0,MATCH(OFFSET($D92,0,$C92)+IF($C92&lt;&gt;1,1,COUNTIF(QCI!$A$13:$A$24,ORÇAMENTO!E92)),OFFSET($D92,1,$C92,ROW($C$264)-ROW($C92)),0))</f>
        <v>0</v>
      </c>
      <c r="L92" s="139" t="str">
        <f t="shared" ca="1" si="43"/>
        <v/>
      </c>
      <c r="M92" s="140" t="s">
        <v>199</v>
      </c>
      <c r="N92" s="141" t="str">
        <f t="shared" ca="1" si="44"/>
        <v>Serviço</v>
      </c>
      <c r="O92" s="142" t="str">
        <f t="shared" ca="1" si="45"/>
        <v>-</v>
      </c>
      <c r="P92" s="143" t="s">
        <v>247</v>
      </c>
      <c r="Q92" s="144"/>
      <c r="R92" s="145" t="str">
        <f ca="1">IF($C92="S",REFERENCIA.Descricao,"(digite a descrição aqui)")</f>
        <v>(abra o arquivo 'Referência 11-2024.xlsm)</v>
      </c>
      <c r="S92" s="146" t="str">
        <f ca="1">REFERENCIA.Unidade</f>
        <v>-</v>
      </c>
      <c r="T92" s="147">
        <f ca="1">OFFSET(CÁLCULO!H$15,ROW($T92)-ROW(T$15),0)</f>
        <v>0</v>
      </c>
      <c r="U92" s="148"/>
      <c r="V92" s="149" t="s">
        <v>156</v>
      </c>
      <c r="W92" s="147">
        <f ca="1">IF($C92="S",ROUND(IF(TIPOORCAMENTO="Proposto",ORÇAMENTO.CustoUnitario*(1+$AH92),ORÇAMENTO.PrecoUnitarioLicitado),15-13*$AF$10),0)</f>
        <v>0</v>
      </c>
      <c r="X92" s="150">
        <f ca="1">IF($C92="S",IF(Import.TipoArredondamento&lt;&gt;"TransfereGOV",VTOTAL1,SUM(OFFSET(CÁLCULO!$AA$15,ROW($X92)-ROW($X$15),1):OFFSET(CÁLCULO!$AL$15,ROW($X92)-ROW($X$15),-1))),IF($C92=0,0,ROUND(SomaAgrup,15-13*$AF$11)))</f>
        <v>0</v>
      </c>
      <c r="Y92" s="151" t="s">
        <v>245</v>
      </c>
      <c r="Z92" t="str">
        <f t="shared" ca="1" si="46"/>
        <v/>
      </c>
      <c r="AA92" s="152">
        <f ca="1">IF($C92="S",IF($Z92="CP",$X92,IF($Z92="RA",(($X92)*QCI!$AA$3),0)),SomaAgrup)</f>
        <v>0</v>
      </c>
      <c r="AB92" s="153">
        <f t="shared" ca="1" si="47"/>
        <v>0</v>
      </c>
      <c r="AC92" s="154" t="str">
        <f ca="1">IF($N92="","",IF(ORÇAMENTO.Descricao="","DESCRIÇÃO",IF(AND($C92="S",ORÇAMENTO.Unidade=""),"UNIDADE",IF($X92&lt;0,"VALOR NEGATIVO",IF(OR(AND(TIPOORCAMENTO="Proposto",$AG92&lt;&gt;"",$AG92&gt;0,ORÇAMENTO.CustoUnitario&gt;$AG92),AND(TIPOORCAMENTO="LICITADO",ORÇAMENTO.PrecoUnitarioLicitado&gt;$AN92)),"ACIMA REF.","")))))</f>
        <v/>
      </c>
      <c r="AD92" s="100" t="str">
        <f ca="1">IF(C92&lt;=CRONO.NivelExibicao,MAX($AD$15:OFFSET(AD92,-1,0))+IF($C92&lt;&gt;1,1,MAX(1,COUNTIF(QCI!$A$13:$A$24,OFFSET($E92,-1,0)))),"")</f>
        <v/>
      </c>
      <c r="AE92" s="110" t="b">
        <f ca="1">IF(AND($C92="S",ORÇAMENTO.CodBarra&lt;&gt;""),IF(ORÇAMENTO.Fonte="",ORÇAMENTO.CodBarra,CONCATENATE(ORÇAMENTO.Fonte," ",ORÇAMENTO.CodBarra)))</f>
        <v>0</v>
      </c>
      <c r="AF92" s="155" t="str">
        <f ca="1">IF(ISERROR(INDIRECT(ORÇAMENTO.BancoRef)),"(abra o arquivo 'Referência "&amp;Excel_BuiltIn_Database&amp;".xlsm)",IF(OR($C92&lt;&gt;"S",ORÇAMENTO.CodBarra=""),"(Sem Código)",IF(ISERROR(MATCH($AE92,INDIRECT(ORÇAMENTO.BancoRef),0)),"(Código não identificado nas referências)",MATCH($AE92,INDIRECT(ORÇAMENTO.BancoRef),0))))</f>
        <v>(abra o arquivo 'Referência 11-2024.xlsm)</v>
      </c>
      <c r="AG92" s="574">
        <f ca="1">ROUND(IF(DESONERACAO="sim",REFERENCIA.Desonerado,REFERENCIA.NaoDesonerado),2)</f>
        <v>0</v>
      </c>
      <c r="AH92" s="575">
        <f t="shared" ca="1" si="48"/>
        <v>0.22</v>
      </c>
      <c r="AJ92" s="577"/>
      <c r="AL92" s="607"/>
      <c r="AM92" s="426">
        <f t="shared" ca="1" si="49"/>
        <v>0</v>
      </c>
      <c r="AN92" s="650">
        <f t="shared" ca="1" si="50"/>
        <v>0</v>
      </c>
    </row>
    <row r="93" spans="1:40" ht="13.8" hidden="1">
      <c r="A93" t="str">
        <f t="shared" si="34"/>
        <v>S</v>
      </c>
      <c r="B93">
        <f t="shared" ca="1" si="35"/>
        <v>2</v>
      </c>
      <c r="C93" t="str">
        <f t="shared" ca="1" si="36"/>
        <v>S</v>
      </c>
      <c r="D93">
        <f t="shared" ca="1" si="37"/>
        <v>0</v>
      </c>
      <c r="E93">
        <f ca="1">IF($C93=1,OFFSET(E93,-1,0)+MAX(1,COUNTIF(QCI!$A$13:$A$24,OFFSET(ORÇAMENTO!E93,-1,0))),OFFSET(E93,-1,0))</f>
        <v>1</v>
      </c>
      <c r="F93">
        <f t="shared" ca="1" si="38"/>
        <v>5</v>
      </c>
      <c r="G93">
        <f t="shared" ca="1" si="39"/>
        <v>0</v>
      </c>
      <c r="H93">
        <f t="shared" ca="1" si="40"/>
        <v>0</v>
      </c>
      <c r="I93">
        <f t="shared" ca="1" si="41"/>
        <v>2</v>
      </c>
      <c r="J93">
        <f t="shared" ca="1" si="42"/>
        <v>0</v>
      </c>
      <c r="K93">
        <f ca="1">IF(OR($C93="S",$C93=0),0,MATCH(OFFSET($D93,0,$C93)+IF($C93&lt;&gt;1,1,COUNTIF(QCI!$A$13:$A$24,ORÇAMENTO!E93)),OFFSET($D93,1,$C93,ROW($C$264)-ROW($C93)),0))</f>
        <v>0</v>
      </c>
      <c r="L93" s="139" t="str">
        <f t="shared" ca="1" si="43"/>
        <v/>
      </c>
      <c r="M93" s="140" t="s">
        <v>199</v>
      </c>
      <c r="N93" s="141" t="str">
        <f t="shared" ca="1" si="44"/>
        <v>Serviço</v>
      </c>
      <c r="O93" s="142" t="str">
        <f t="shared" ca="1" si="45"/>
        <v>-</v>
      </c>
      <c r="P93" s="143" t="s">
        <v>247</v>
      </c>
      <c r="Q93" s="144"/>
      <c r="R93" s="145" t="str">
        <f ca="1">IF($C93="S",REFERENCIA.Descricao,"(digite a descrição aqui)")</f>
        <v>(abra o arquivo 'Referência 11-2024.xlsm)</v>
      </c>
      <c r="S93" s="146" t="str">
        <f ca="1">REFERENCIA.Unidade</f>
        <v>-</v>
      </c>
      <c r="T93" s="147">
        <f ca="1">OFFSET(CÁLCULO!H$15,ROW($T93)-ROW(T$15),0)</f>
        <v>0</v>
      </c>
      <c r="U93" s="148"/>
      <c r="V93" s="149" t="s">
        <v>156</v>
      </c>
      <c r="W93" s="147">
        <f ca="1">IF($C93="S",ROUND(IF(TIPOORCAMENTO="Proposto",ORÇAMENTO.CustoUnitario*(1+$AH93),ORÇAMENTO.PrecoUnitarioLicitado),15-13*$AF$10),0)</f>
        <v>0</v>
      </c>
      <c r="X93" s="150">
        <f ca="1">IF($C93="S",IF(Import.TipoArredondamento&lt;&gt;"TransfereGOV",VTOTAL1,SUM(OFFSET(CÁLCULO!$AA$15,ROW($X93)-ROW($X$15),1):OFFSET(CÁLCULO!$AL$15,ROW($X93)-ROW($X$15),-1))),IF($C93=0,0,ROUND(SomaAgrup,15-13*$AF$11)))</f>
        <v>0</v>
      </c>
      <c r="Y93" s="151" t="s">
        <v>245</v>
      </c>
      <c r="Z93" t="str">
        <f t="shared" ca="1" si="46"/>
        <v/>
      </c>
      <c r="AA93" s="152">
        <f ca="1">IF($C93="S",IF($Z93="CP",$X93,IF($Z93="RA",(($X93)*QCI!$AA$3),0)),SomaAgrup)</f>
        <v>0</v>
      </c>
      <c r="AB93" s="153">
        <f t="shared" ca="1" si="47"/>
        <v>0</v>
      </c>
      <c r="AC93" s="154" t="str">
        <f ca="1">IF($N93="","",IF(ORÇAMENTO.Descricao="","DESCRIÇÃO",IF(AND($C93="S",ORÇAMENTO.Unidade=""),"UNIDADE",IF($X93&lt;0,"VALOR NEGATIVO",IF(OR(AND(TIPOORCAMENTO="Proposto",$AG93&lt;&gt;"",$AG93&gt;0,ORÇAMENTO.CustoUnitario&gt;$AG93),AND(TIPOORCAMENTO="LICITADO",ORÇAMENTO.PrecoUnitarioLicitado&gt;$AN93)),"ACIMA REF.","")))))</f>
        <v/>
      </c>
      <c r="AD93" s="100" t="str">
        <f ca="1">IF(C93&lt;=CRONO.NivelExibicao,MAX($AD$15:OFFSET(AD93,-1,0))+IF($C93&lt;&gt;1,1,MAX(1,COUNTIF(QCI!$A$13:$A$24,OFFSET($E93,-1,0)))),"")</f>
        <v/>
      </c>
      <c r="AE93" s="110" t="b">
        <f ca="1">IF(AND($C93="S",ORÇAMENTO.CodBarra&lt;&gt;""),IF(ORÇAMENTO.Fonte="",ORÇAMENTO.CodBarra,CONCATENATE(ORÇAMENTO.Fonte," ",ORÇAMENTO.CodBarra)))</f>
        <v>0</v>
      </c>
      <c r="AF93" s="155" t="str">
        <f ca="1">IF(ISERROR(INDIRECT(ORÇAMENTO.BancoRef)),"(abra o arquivo 'Referência "&amp;Excel_BuiltIn_Database&amp;".xlsm)",IF(OR($C93&lt;&gt;"S",ORÇAMENTO.CodBarra=""),"(Sem Código)",IF(ISERROR(MATCH($AE93,INDIRECT(ORÇAMENTO.BancoRef),0)),"(Código não identificado nas referências)",MATCH($AE93,INDIRECT(ORÇAMENTO.BancoRef),0))))</f>
        <v>(abra o arquivo 'Referência 11-2024.xlsm)</v>
      </c>
      <c r="AG93" s="574">
        <f ca="1">ROUND(IF(DESONERACAO="sim",REFERENCIA.Desonerado,REFERENCIA.NaoDesonerado),2)</f>
        <v>0</v>
      </c>
      <c r="AH93" s="575">
        <f t="shared" ca="1" si="48"/>
        <v>0.22</v>
      </c>
      <c r="AJ93" s="577"/>
      <c r="AL93" s="607"/>
      <c r="AM93" s="426">
        <f t="shared" ca="1" si="49"/>
        <v>0</v>
      </c>
      <c r="AN93" s="650">
        <f t="shared" ca="1" si="50"/>
        <v>0</v>
      </c>
    </row>
    <row r="94" spans="1:40" ht="13.8" hidden="1">
      <c r="A94" t="str">
        <f t="shared" si="34"/>
        <v>S</v>
      </c>
      <c r="B94">
        <f t="shared" ca="1" si="35"/>
        <v>2</v>
      </c>
      <c r="C94" t="str">
        <f t="shared" ca="1" si="36"/>
        <v>S</v>
      </c>
      <c r="D94">
        <f t="shared" ca="1" si="37"/>
        <v>0</v>
      </c>
      <c r="E94">
        <f ca="1">IF($C94=1,OFFSET(E94,-1,0)+MAX(1,COUNTIF(QCI!$A$13:$A$24,OFFSET(ORÇAMENTO!E94,-1,0))),OFFSET(E94,-1,0))</f>
        <v>1</v>
      </c>
      <c r="F94">
        <f t="shared" ca="1" si="38"/>
        <v>5</v>
      </c>
      <c r="G94">
        <f t="shared" ca="1" si="39"/>
        <v>0</v>
      </c>
      <c r="H94">
        <f t="shared" ca="1" si="40"/>
        <v>0</v>
      </c>
      <c r="I94">
        <f t="shared" ca="1" si="41"/>
        <v>2</v>
      </c>
      <c r="J94">
        <f t="shared" ca="1" si="42"/>
        <v>0</v>
      </c>
      <c r="K94">
        <f ca="1">IF(OR($C94="S",$C94=0),0,MATCH(OFFSET($D94,0,$C94)+IF($C94&lt;&gt;1,1,COUNTIF(QCI!$A$13:$A$24,ORÇAMENTO!E94)),OFFSET($D94,1,$C94,ROW($C$264)-ROW($C94)),0))</f>
        <v>0</v>
      </c>
      <c r="L94" s="139" t="str">
        <f t="shared" ca="1" si="43"/>
        <v/>
      </c>
      <c r="M94" s="140" t="s">
        <v>199</v>
      </c>
      <c r="N94" s="141" t="str">
        <f t="shared" ca="1" si="44"/>
        <v>Serviço</v>
      </c>
      <c r="O94" s="142" t="str">
        <f t="shared" ca="1" si="45"/>
        <v>-</v>
      </c>
      <c r="P94" s="143" t="s">
        <v>247</v>
      </c>
      <c r="Q94" s="144"/>
      <c r="R94" s="145" t="str">
        <f ca="1">IF($C94="S",REFERENCIA.Descricao,"(digite a descrição aqui)")</f>
        <v>(abra o arquivo 'Referência 11-2024.xlsm)</v>
      </c>
      <c r="S94" s="146" t="str">
        <f ca="1">REFERENCIA.Unidade</f>
        <v>-</v>
      </c>
      <c r="T94" s="147">
        <f ca="1">OFFSET(CÁLCULO!H$15,ROW($T94)-ROW(T$15),0)</f>
        <v>0</v>
      </c>
      <c r="U94" s="148"/>
      <c r="V94" s="149" t="s">
        <v>156</v>
      </c>
      <c r="W94" s="147">
        <f ca="1">IF($C94="S",ROUND(IF(TIPOORCAMENTO="Proposto",ORÇAMENTO.CustoUnitario*(1+$AH94),ORÇAMENTO.PrecoUnitarioLicitado),15-13*$AF$10),0)</f>
        <v>0</v>
      </c>
      <c r="X94" s="150">
        <f ca="1">IF($C94="S",IF(Import.TipoArredondamento&lt;&gt;"TransfereGOV",VTOTAL1,SUM(OFFSET(CÁLCULO!$AA$15,ROW($X94)-ROW($X$15),1):OFFSET(CÁLCULO!$AL$15,ROW($X94)-ROW($X$15),-1))),IF($C94=0,0,ROUND(SomaAgrup,15-13*$AF$11)))</f>
        <v>0</v>
      </c>
      <c r="Y94" s="151" t="s">
        <v>245</v>
      </c>
      <c r="Z94" t="str">
        <f t="shared" ca="1" si="46"/>
        <v/>
      </c>
      <c r="AA94" s="152">
        <f ca="1">IF($C94="S",IF($Z94="CP",$X94,IF($Z94="RA",(($X94)*QCI!$AA$3),0)),SomaAgrup)</f>
        <v>0</v>
      </c>
      <c r="AB94" s="153">
        <f t="shared" ca="1" si="47"/>
        <v>0</v>
      </c>
      <c r="AC94" s="154" t="str">
        <f ca="1">IF($N94="","",IF(ORÇAMENTO.Descricao="","DESCRIÇÃO",IF(AND($C94="S",ORÇAMENTO.Unidade=""),"UNIDADE",IF($X94&lt;0,"VALOR NEGATIVO",IF(OR(AND(TIPOORCAMENTO="Proposto",$AG94&lt;&gt;"",$AG94&gt;0,ORÇAMENTO.CustoUnitario&gt;$AG94),AND(TIPOORCAMENTO="LICITADO",ORÇAMENTO.PrecoUnitarioLicitado&gt;$AN94)),"ACIMA REF.","")))))</f>
        <v/>
      </c>
      <c r="AD94" s="100" t="str">
        <f ca="1">IF(C94&lt;=CRONO.NivelExibicao,MAX($AD$15:OFFSET(AD94,-1,0))+IF($C94&lt;&gt;1,1,MAX(1,COUNTIF(QCI!$A$13:$A$24,OFFSET($E94,-1,0)))),"")</f>
        <v/>
      </c>
      <c r="AE94" s="110" t="b">
        <f ca="1">IF(AND($C94="S",ORÇAMENTO.CodBarra&lt;&gt;""),IF(ORÇAMENTO.Fonte="",ORÇAMENTO.CodBarra,CONCATENATE(ORÇAMENTO.Fonte," ",ORÇAMENTO.CodBarra)))</f>
        <v>0</v>
      </c>
      <c r="AF94" s="155" t="str">
        <f ca="1">IF(ISERROR(INDIRECT(ORÇAMENTO.BancoRef)),"(abra o arquivo 'Referência "&amp;Excel_BuiltIn_Database&amp;".xlsm)",IF(OR($C94&lt;&gt;"S",ORÇAMENTO.CodBarra=""),"(Sem Código)",IF(ISERROR(MATCH($AE94,INDIRECT(ORÇAMENTO.BancoRef),0)),"(Código não identificado nas referências)",MATCH($AE94,INDIRECT(ORÇAMENTO.BancoRef),0))))</f>
        <v>(abra o arquivo 'Referência 11-2024.xlsm)</v>
      </c>
      <c r="AG94" s="574">
        <f ca="1">ROUND(IF(DESONERACAO="sim",REFERENCIA.Desonerado,REFERENCIA.NaoDesonerado),2)</f>
        <v>0</v>
      </c>
      <c r="AH94" s="575">
        <f t="shared" ca="1" si="48"/>
        <v>0.22</v>
      </c>
      <c r="AJ94" s="577"/>
      <c r="AL94" s="607"/>
      <c r="AM94" s="426">
        <f t="shared" ca="1" si="49"/>
        <v>0</v>
      </c>
      <c r="AN94" s="650">
        <f t="shared" ca="1" si="50"/>
        <v>0</v>
      </c>
    </row>
    <row r="95" spans="1:40" ht="13.8" hidden="1">
      <c r="A95" t="str">
        <f t="shared" si="34"/>
        <v>S</v>
      </c>
      <c r="B95">
        <f t="shared" ca="1" si="35"/>
        <v>2</v>
      </c>
      <c r="C95" t="str">
        <f t="shared" ca="1" si="36"/>
        <v>S</v>
      </c>
      <c r="D95">
        <f t="shared" ca="1" si="37"/>
        <v>0</v>
      </c>
      <c r="E95">
        <f ca="1">IF($C95=1,OFFSET(E95,-1,0)+MAX(1,COUNTIF(QCI!$A$13:$A$24,OFFSET(ORÇAMENTO!E95,-1,0))),OFFSET(E95,-1,0))</f>
        <v>1</v>
      </c>
      <c r="F95">
        <f t="shared" ca="1" si="38"/>
        <v>5</v>
      </c>
      <c r="G95">
        <f t="shared" ca="1" si="39"/>
        <v>0</v>
      </c>
      <c r="H95">
        <f t="shared" ca="1" si="40"/>
        <v>0</v>
      </c>
      <c r="I95">
        <f t="shared" ca="1" si="41"/>
        <v>2</v>
      </c>
      <c r="J95">
        <f t="shared" ca="1" si="42"/>
        <v>0</v>
      </c>
      <c r="K95">
        <f ca="1">IF(OR($C95="S",$C95=0),0,MATCH(OFFSET($D95,0,$C95)+IF($C95&lt;&gt;1,1,COUNTIF(QCI!$A$13:$A$24,ORÇAMENTO!E95)),OFFSET($D95,1,$C95,ROW($C$264)-ROW($C95)),0))</f>
        <v>0</v>
      </c>
      <c r="L95" s="139" t="str">
        <f t="shared" ca="1" si="43"/>
        <v/>
      </c>
      <c r="M95" s="140" t="s">
        <v>199</v>
      </c>
      <c r="N95" s="141" t="str">
        <f t="shared" ca="1" si="44"/>
        <v>Serviço</v>
      </c>
      <c r="O95" s="142" t="str">
        <f t="shared" ca="1" si="45"/>
        <v>-</v>
      </c>
      <c r="P95" s="143" t="s">
        <v>247</v>
      </c>
      <c r="Q95" s="144"/>
      <c r="R95" s="145" t="str">
        <f ca="1">IF($C95="S",REFERENCIA.Descricao,"(digite a descrição aqui)")</f>
        <v>(abra o arquivo 'Referência 11-2024.xlsm)</v>
      </c>
      <c r="S95" s="146" t="str">
        <f ca="1">REFERENCIA.Unidade</f>
        <v>-</v>
      </c>
      <c r="T95" s="147">
        <f ca="1">OFFSET(CÁLCULO!H$15,ROW($T95)-ROW(T$15),0)</f>
        <v>0</v>
      </c>
      <c r="U95" s="148"/>
      <c r="V95" s="149" t="s">
        <v>156</v>
      </c>
      <c r="W95" s="147">
        <f ca="1">IF($C95="S",ROUND(IF(TIPOORCAMENTO="Proposto",ORÇAMENTO.CustoUnitario*(1+$AH95),ORÇAMENTO.PrecoUnitarioLicitado),15-13*$AF$10),0)</f>
        <v>0</v>
      </c>
      <c r="X95" s="150">
        <f ca="1">IF($C95="S",IF(Import.TipoArredondamento&lt;&gt;"TransfereGOV",VTOTAL1,SUM(OFFSET(CÁLCULO!$AA$15,ROW($X95)-ROW($X$15),1):OFFSET(CÁLCULO!$AL$15,ROW($X95)-ROW($X$15),-1))),IF($C95=0,0,ROUND(SomaAgrup,15-13*$AF$11)))</f>
        <v>0</v>
      </c>
      <c r="Y95" s="151" t="s">
        <v>245</v>
      </c>
      <c r="Z95" t="str">
        <f t="shared" ca="1" si="46"/>
        <v/>
      </c>
      <c r="AA95" s="152">
        <f ca="1">IF($C95="S",IF($Z95="CP",$X95,IF($Z95="RA",(($X95)*QCI!$AA$3),0)),SomaAgrup)</f>
        <v>0</v>
      </c>
      <c r="AB95" s="153">
        <f t="shared" ca="1" si="47"/>
        <v>0</v>
      </c>
      <c r="AC95" s="154" t="str">
        <f ca="1">IF($N95="","",IF(ORÇAMENTO.Descricao="","DESCRIÇÃO",IF(AND($C95="S",ORÇAMENTO.Unidade=""),"UNIDADE",IF($X95&lt;0,"VALOR NEGATIVO",IF(OR(AND(TIPOORCAMENTO="Proposto",$AG95&lt;&gt;"",$AG95&gt;0,ORÇAMENTO.CustoUnitario&gt;$AG95),AND(TIPOORCAMENTO="LICITADO",ORÇAMENTO.PrecoUnitarioLicitado&gt;$AN95)),"ACIMA REF.","")))))</f>
        <v/>
      </c>
      <c r="AD95" s="100" t="str">
        <f ca="1">IF(C95&lt;=CRONO.NivelExibicao,MAX($AD$15:OFFSET(AD95,-1,0))+IF($C95&lt;&gt;1,1,MAX(1,COUNTIF(QCI!$A$13:$A$24,OFFSET($E95,-1,0)))),"")</f>
        <v/>
      </c>
      <c r="AE95" s="110" t="b">
        <f ca="1">IF(AND($C95="S",ORÇAMENTO.CodBarra&lt;&gt;""),IF(ORÇAMENTO.Fonte="",ORÇAMENTO.CodBarra,CONCATENATE(ORÇAMENTO.Fonte," ",ORÇAMENTO.CodBarra)))</f>
        <v>0</v>
      </c>
      <c r="AF95" s="155" t="str">
        <f ca="1">IF(ISERROR(INDIRECT(ORÇAMENTO.BancoRef)),"(abra o arquivo 'Referência "&amp;Excel_BuiltIn_Database&amp;".xlsm)",IF(OR($C95&lt;&gt;"S",ORÇAMENTO.CodBarra=""),"(Sem Código)",IF(ISERROR(MATCH($AE95,INDIRECT(ORÇAMENTO.BancoRef),0)),"(Código não identificado nas referências)",MATCH($AE95,INDIRECT(ORÇAMENTO.BancoRef),0))))</f>
        <v>(abra o arquivo 'Referência 11-2024.xlsm)</v>
      </c>
      <c r="AG95" s="574">
        <f ca="1">ROUND(IF(DESONERACAO="sim",REFERENCIA.Desonerado,REFERENCIA.NaoDesonerado),2)</f>
        <v>0</v>
      </c>
      <c r="AH95" s="575">
        <f t="shared" ca="1" si="48"/>
        <v>0.22</v>
      </c>
      <c r="AJ95" s="577"/>
      <c r="AL95" s="607"/>
      <c r="AM95" s="426">
        <f t="shared" ca="1" si="49"/>
        <v>0</v>
      </c>
      <c r="AN95" s="650">
        <f t="shared" ca="1" si="50"/>
        <v>0</v>
      </c>
    </row>
    <row r="96" spans="1:40" ht="13.8" hidden="1">
      <c r="A96" t="str">
        <f t="shared" si="34"/>
        <v>S</v>
      </c>
      <c r="B96">
        <f t="shared" ca="1" si="35"/>
        <v>2</v>
      </c>
      <c r="C96" t="str">
        <f t="shared" ca="1" si="36"/>
        <v>S</v>
      </c>
      <c r="D96">
        <f t="shared" ca="1" si="37"/>
        <v>0</v>
      </c>
      <c r="E96">
        <f ca="1">IF($C96=1,OFFSET(E96,-1,0)+MAX(1,COUNTIF(QCI!$A$13:$A$24,OFFSET(ORÇAMENTO!E96,-1,0))),OFFSET(E96,-1,0))</f>
        <v>1</v>
      </c>
      <c r="F96">
        <f t="shared" ca="1" si="38"/>
        <v>5</v>
      </c>
      <c r="G96">
        <f t="shared" ca="1" si="39"/>
        <v>0</v>
      </c>
      <c r="H96">
        <f t="shared" ca="1" si="40"/>
        <v>0</v>
      </c>
      <c r="I96">
        <f t="shared" ca="1" si="41"/>
        <v>2</v>
      </c>
      <c r="J96">
        <f t="shared" ca="1" si="42"/>
        <v>0</v>
      </c>
      <c r="K96">
        <f ca="1">IF(OR($C96="S",$C96=0),0,MATCH(OFFSET($D96,0,$C96)+IF($C96&lt;&gt;1,1,COUNTIF(QCI!$A$13:$A$24,ORÇAMENTO!E96)),OFFSET($D96,1,$C96,ROW($C$264)-ROW($C96)),0))</f>
        <v>0</v>
      </c>
      <c r="L96" s="139" t="str">
        <f t="shared" ca="1" si="43"/>
        <v/>
      </c>
      <c r="M96" s="140" t="s">
        <v>199</v>
      </c>
      <c r="N96" s="141" t="str">
        <f t="shared" ca="1" si="44"/>
        <v>Serviço</v>
      </c>
      <c r="O96" s="142" t="str">
        <f t="shared" ca="1" si="45"/>
        <v>-</v>
      </c>
      <c r="P96" s="143" t="s">
        <v>247</v>
      </c>
      <c r="Q96" s="144"/>
      <c r="R96" s="145" t="str">
        <f ca="1">IF($C96="S",REFERENCIA.Descricao,"(digite a descrição aqui)")</f>
        <v>(abra o arquivo 'Referência 11-2024.xlsm)</v>
      </c>
      <c r="S96" s="146" t="str">
        <f ca="1">REFERENCIA.Unidade</f>
        <v>-</v>
      </c>
      <c r="T96" s="147">
        <f ca="1">OFFSET(CÁLCULO!H$15,ROW($T96)-ROW(T$15),0)</f>
        <v>0</v>
      </c>
      <c r="U96" s="148"/>
      <c r="V96" s="149" t="s">
        <v>156</v>
      </c>
      <c r="W96" s="147">
        <f ca="1">IF($C96="S",ROUND(IF(TIPOORCAMENTO="Proposto",ORÇAMENTO.CustoUnitario*(1+$AH96),ORÇAMENTO.PrecoUnitarioLicitado),15-13*$AF$10),0)</f>
        <v>0</v>
      </c>
      <c r="X96" s="150">
        <f ca="1">IF($C96="S",IF(Import.TipoArredondamento&lt;&gt;"TransfereGOV",VTOTAL1,SUM(OFFSET(CÁLCULO!$AA$15,ROW($X96)-ROW($X$15),1):OFFSET(CÁLCULO!$AL$15,ROW($X96)-ROW($X$15),-1))),IF($C96=0,0,ROUND(SomaAgrup,15-13*$AF$11)))</f>
        <v>0</v>
      </c>
      <c r="Y96" s="151" t="s">
        <v>245</v>
      </c>
      <c r="Z96" t="str">
        <f t="shared" ca="1" si="46"/>
        <v/>
      </c>
      <c r="AA96" s="152">
        <f ca="1">IF($C96="S",IF($Z96="CP",$X96,IF($Z96="RA",(($X96)*QCI!$AA$3),0)),SomaAgrup)</f>
        <v>0</v>
      </c>
      <c r="AB96" s="153">
        <f t="shared" ca="1" si="47"/>
        <v>0</v>
      </c>
      <c r="AC96" s="154" t="str">
        <f ca="1">IF($N96="","",IF(ORÇAMENTO.Descricao="","DESCRIÇÃO",IF(AND($C96="S",ORÇAMENTO.Unidade=""),"UNIDADE",IF($X96&lt;0,"VALOR NEGATIVO",IF(OR(AND(TIPOORCAMENTO="Proposto",$AG96&lt;&gt;"",$AG96&gt;0,ORÇAMENTO.CustoUnitario&gt;$AG96),AND(TIPOORCAMENTO="LICITADO",ORÇAMENTO.PrecoUnitarioLicitado&gt;$AN96)),"ACIMA REF.","")))))</f>
        <v/>
      </c>
      <c r="AD96" s="100" t="str">
        <f ca="1">IF(C96&lt;=CRONO.NivelExibicao,MAX($AD$15:OFFSET(AD96,-1,0))+IF($C96&lt;&gt;1,1,MAX(1,COUNTIF(QCI!$A$13:$A$24,OFFSET($E96,-1,0)))),"")</f>
        <v/>
      </c>
      <c r="AE96" s="110" t="b">
        <f ca="1">IF(AND($C96="S",ORÇAMENTO.CodBarra&lt;&gt;""),IF(ORÇAMENTO.Fonte="",ORÇAMENTO.CodBarra,CONCATENATE(ORÇAMENTO.Fonte," ",ORÇAMENTO.CodBarra)))</f>
        <v>0</v>
      </c>
      <c r="AF96" s="155" t="str">
        <f ca="1">IF(ISERROR(INDIRECT(ORÇAMENTO.BancoRef)),"(abra o arquivo 'Referência "&amp;Excel_BuiltIn_Database&amp;".xlsm)",IF(OR($C96&lt;&gt;"S",ORÇAMENTO.CodBarra=""),"(Sem Código)",IF(ISERROR(MATCH($AE96,INDIRECT(ORÇAMENTO.BancoRef),0)),"(Código não identificado nas referências)",MATCH($AE96,INDIRECT(ORÇAMENTO.BancoRef),0))))</f>
        <v>(abra o arquivo 'Referência 11-2024.xlsm)</v>
      </c>
      <c r="AG96" s="574">
        <f ca="1">ROUND(IF(DESONERACAO="sim",REFERENCIA.Desonerado,REFERENCIA.NaoDesonerado),2)</f>
        <v>0</v>
      </c>
      <c r="AH96" s="575">
        <f t="shared" ca="1" si="48"/>
        <v>0.22</v>
      </c>
      <c r="AJ96" s="577"/>
      <c r="AL96" s="607"/>
      <c r="AM96" s="426">
        <f t="shared" ca="1" si="49"/>
        <v>0</v>
      </c>
      <c r="AN96" s="650">
        <f t="shared" ca="1" si="50"/>
        <v>0</v>
      </c>
    </row>
    <row r="97" spans="1:40" ht="13.8" hidden="1">
      <c r="A97" t="str">
        <f t="shared" si="34"/>
        <v>S</v>
      </c>
      <c r="B97">
        <f t="shared" ca="1" si="35"/>
        <v>2</v>
      </c>
      <c r="C97" t="str">
        <f t="shared" ca="1" si="36"/>
        <v>S</v>
      </c>
      <c r="D97">
        <f t="shared" ca="1" si="37"/>
        <v>0</v>
      </c>
      <c r="E97">
        <f ca="1">IF($C97=1,OFFSET(E97,-1,0)+MAX(1,COUNTIF(QCI!$A$13:$A$24,OFFSET(ORÇAMENTO!E97,-1,0))),OFFSET(E97,-1,0))</f>
        <v>1</v>
      </c>
      <c r="F97">
        <f t="shared" ca="1" si="38"/>
        <v>5</v>
      </c>
      <c r="G97">
        <f t="shared" ca="1" si="39"/>
        <v>0</v>
      </c>
      <c r="H97">
        <f t="shared" ca="1" si="40"/>
        <v>0</v>
      </c>
      <c r="I97">
        <f t="shared" ca="1" si="41"/>
        <v>2</v>
      </c>
      <c r="J97">
        <f t="shared" ca="1" si="42"/>
        <v>0</v>
      </c>
      <c r="K97">
        <f ca="1">IF(OR($C97="S",$C97=0),0,MATCH(OFFSET($D97,0,$C97)+IF($C97&lt;&gt;1,1,COUNTIF(QCI!$A$13:$A$24,ORÇAMENTO!E97)),OFFSET($D97,1,$C97,ROW($C$264)-ROW($C97)),0))</f>
        <v>0</v>
      </c>
      <c r="L97" s="139" t="str">
        <f t="shared" ca="1" si="43"/>
        <v/>
      </c>
      <c r="M97" s="140" t="s">
        <v>199</v>
      </c>
      <c r="N97" s="141" t="str">
        <f t="shared" ca="1" si="44"/>
        <v>Serviço</v>
      </c>
      <c r="O97" s="142" t="str">
        <f t="shared" ca="1" si="45"/>
        <v>-</v>
      </c>
      <c r="P97" s="143" t="s">
        <v>247</v>
      </c>
      <c r="Q97" s="144"/>
      <c r="R97" s="145" t="str">
        <f ca="1">IF($C97="S",REFERENCIA.Descricao,"(digite a descrição aqui)")</f>
        <v>(abra o arquivo 'Referência 11-2024.xlsm)</v>
      </c>
      <c r="S97" s="146" t="str">
        <f ca="1">REFERENCIA.Unidade</f>
        <v>-</v>
      </c>
      <c r="T97" s="147">
        <f ca="1">OFFSET(CÁLCULO!H$15,ROW($T97)-ROW(T$15),0)</f>
        <v>0</v>
      </c>
      <c r="U97" s="148"/>
      <c r="V97" s="149" t="s">
        <v>156</v>
      </c>
      <c r="W97" s="147">
        <f ca="1">IF($C97="S",ROUND(IF(TIPOORCAMENTO="Proposto",ORÇAMENTO.CustoUnitario*(1+$AH97),ORÇAMENTO.PrecoUnitarioLicitado),15-13*$AF$10),0)</f>
        <v>0</v>
      </c>
      <c r="X97" s="150">
        <f ca="1">IF($C97="S",IF(Import.TipoArredondamento&lt;&gt;"TransfereGOV",VTOTAL1,SUM(OFFSET(CÁLCULO!$AA$15,ROW($X97)-ROW($X$15),1):OFFSET(CÁLCULO!$AL$15,ROW($X97)-ROW($X$15),-1))),IF($C97=0,0,ROUND(SomaAgrup,15-13*$AF$11)))</f>
        <v>0</v>
      </c>
      <c r="Y97" s="151" t="s">
        <v>245</v>
      </c>
      <c r="Z97" t="str">
        <f t="shared" ca="1" si="46"/>
        <v/>
      </c>
      <c r="AA97" s="152">
        <f ca="1">IF($C97="S",IF($Z97="CP",$X97,IF($Z97="RA",(($X97)*QCI!$AA$3),0)),SomaAgrup)</f>
        <v>0</v>
      </c>
      <c r="AB97" s="153">
        <f t="shared" ca="1" si="47"/>
        <v>0</v>
      </c>
      <c r="AC97" s="154" t="str">
        <f ca="1">IF($N97="","",IF(ORÇAMENTO.Descricao="","DESCRIÇÃO",IF(AND($C97="S",ORÇAMENTO.Unidade=""),"UNIDADE",IF($X97&lt;0,"VALOR NEGATIVO",IF(OR(AND(TIPOORCAMENTO="Proposto",$AG97&lt;&gt;"",$AG97&gt;0,ORÇAMENTO.CustoUnitario&gt;$AG97),AND(TIPOORCAMENTO="LICITADO",ORÇAMENTO.PrecoUnitarioLicitado&gt;$AN97)),"ACIMA REF.","")))))</f>
        <v/>
      </c>
      <c r="AD97" s="100" t="str">
        <f ca="1">IF(C97&lt;=CRONO.NivelExibicao,MAX($AD$15:OFFSET(AD97,-1,0))+IF($C97&lt;&gt;1,1,MAX(1,COUNTIF(QCI!$A$13:$A$24,OFFSET($E97,-1,0)))),"")</f>
        <v/>
      </c>
      <c r="AE97" s="110" t="b">
        <f ca="1">IF(AND($C97="S",ORÇAMENTO.CodBarra&lt;&gt;""),IF(ORÇAMENTO.Fonte="",ORÇAMENTO.CodBarra,CONCATENATE(ORÇAMENTO.Fonte," ",ORÇAMENTO.CodBarra)))</f>
        <v>0</v>
      </c>
      <c r="AF97" s="155" t="str">
        <f ca="1">IF(ISERROR(INDIRECT(ORÇAMENTO.BancoRef)),"(abra o arquivo 'Referência "&amp;Excel_BuiltIn_Database&amp;".xlsm)",IF(OR($C97&lt;&gt;"S",ORÇAMENTO.CodBarra=""),"(Sem Código)",IF(ISERROR(MATCH($AE97,INDIRECT(ORÇAMENTO.BancoRef),0)),"(Código não identificado nas referências)",MATCH($AE97,INDIRECT(ORÇAMENTO.BancoRef),0))))</f>
        <v>(abra o arquivo 'Referência 11-2024.xlsm)</v>
      </c>
      <c r="AG97" s="574">
        <f ca="1">ROUND(IF(DESONERACAO="sim",REFERENCIA.Desonerado,REFERENCIA.NaoDesonerado),2)</f>
        <v>0</v>
      </c>
      <c r="AH97" s="575">
        <f t="shared" ca="1" si="48"/>
        <v>0.22</v>
      </c>
      <c r="AJ97" s="577"/>
      <c r="AL97" s="607"/>
      <c r="AM97" s="426">
        <f t="shared" ca="1" si="49"/>
        <v>0</v>
      </c>
      <c r="AN97" s="650">
        <f t="shared" ca="1" si="50"/>
        <v>0</v>
      </c>
    </row>
    <row r="98" spans="1:40" ht="13.8" hidden="1">
      <c r="A98" t="str">
        <f t="shared" si="34"/>
        <v>S</v>
      </c>
      <c r="B98">
        <f t="shared" ca="1" si="35"/>
        <v>2</v>
      </c>
      <c r="C98" t="str">
        <f t="shared" ca="1" si="36"/>
        <v>S</v>
      </c>
      <c r="D98">
        <f t="shared" ca="1" si="37"/>
        <v>0</v>
      </c>
      <c r="E98">
        <f ca="1">IF($C98=1,OFFSET(E98,-1,0)+MAX(1,COUNTIF(QCI!$A$13:$A$24,OFFSET(ORÇAMENTO!E98,-1,0))),OFFSET(E98,-1,0))</f>
        <v>1</v>
      </c>
      <c r="F98">
        <f t="shared" ca="1" si="38"/>
        <v>5</v>
      </c>
      <c r="G98">
        <f t="shared" ca="1" si="39"/>
        <v>0</v>
      </c>
      <c r="H98">
        <f t="shared" ca="1" si="40"/>
        <v>0</v>
      </c>
      <c r="I98">
        <f t="shared" ca="1" si="41"/>
        <v>2</v>
      </c>
      <c r="J98">
        <f t="shared" ca="1" si="42"/>
        <v>0</v>
      </c>
      <c r="K98">
        <f ca="1">IF(OR($C98="S",$C98=0),0,MATCH(OFFSET($D98,0,$C98)+IF($C98&lt;&gt;1,1,COUNTIF(QCI!$A$13:$A$24,ORÇAMENTO!E98)),OFFSET($D98,1,$C98,ROW($C$264)-ROW($C98)),0))</f>
        <v>0</v>
      </c>
      <c r="L98" s="139" t="str">
        <f t="shared" ca="1" si="43"/>
        <v/>
      </c>
      <c r="M98" s="140" t="s">
        <v>199</v>
      </c>
      <c r="N98" s="141" t="str">
        <f t="shared" ca="1" si="44"/>
        <v>Serviço</v>
      </c>
      <c r="O98" s="142" t="str">
        <f t="shared" ca="1" si="45"/>
        <v>-</v>
      </c>
      <c r="P98" s="143" t="s">
        <v>247</v>
      </c>
      <c r="Q98" s="144"/>
      <c r="R98" s="145" t="str">
        <f ca="1">IF($C98="S",REFERENCIA.Descricao,"(digite a descrição aqui)")</f>
        <v>(abra o arquivo 'Referência 11-2024.xlsm)</v>
      </c>
      <c r="S98" s="146" t="str">
        <f ca="1">REFERENCIA.Unidade</f>
        <v>-</v>
      </c>
      <c r="T98" s="147">
        <f ca="1">OFFSET(CÁLCULO!H$15,ROW($T98)-ROW(T$15),0)</f>
        <v>0</v>
      </c>
      <c r="U98" s="148"/>
      <c r="V98" s="149" t="s">
        <v>156</v>
      </c>
      <c r="W98" s="147">
        <f ca="1">IF($C98="S",ROUND(IF(TIPOORCAMENTO="Proposto",ORÇAMENTO.CustoUnitario*(1+$AH98),ORÇAMENTO.PrecoUnitarioLicitado),15-13*$AF$10),0)</f>
        <v>0</v>
      </c>
      <c r="X98" s="150">
        <f ca="1">IF($C98="S",IF(Import.TipoArredondamento&lt;&gt;"TransfereGOV",VTOTAL1,SUM(OFFSET(CÁLCULO!$AA$15,ROW($X98)-ROW($X$15),1):OFFSET(CÁLCULO!$AL$15,ROW($X98)-ROW($X$15),-1))),IF($C98=0,0,ROUND(SomaAgrup,15-13*$AF$11)))</f>
        <v>0</v>
      </c>
      <c r="Y98" s="151" t="s">
        <v>245</v>
      </c>
      <c r="Z98" t="str">
        <f t="shared" ca="1" si="46"/>
        <v/>
      </c>
      <c r="AA98" s="152">
        <f ca="1">IF($C98="S",IF($Z98="CP",$X98,IF($Z98="RA",(($X98)*QCI!$AA$3),0)),SomaAgrup)</f>
        <v>0</v>
      </c>
      <c r="AB98" s="153">
        <f t="shared" ca="1" si="47"/>
        <v>0</v>
      </c>
      <c r="AC98" s="154" t="str">
        <f ca="1">IF($N98="","",IF(ORÇAMENTO.Descricao="","DESCRIÇÃO",IF(AND($C98="S",ORÇAMENTO.Unidade=""),"UNIDADE",IF($X98&lt;0,"VALOR NEGATIVO",IF(OR(AND(TIPOORCAMENTO="Proposto",$AG98&lt;&gt;"",$AG98&gt;0,ORÇAMENTO.CustoUnitario&gt;$AG98),AND(TIPOORCAMENTO="LICITADO",ORÇAMENTO.PrecoUnitarioLicitado&gt;$AN98)),"ACIMA REF.","")))))</f>
        <v/>
      </c>
      <c r="AD98" s="100" t="str">
        <f ca="1">IF(C98&lt;=CRONO.NivelExibicao,MAX($AD$15:OFFSET(AD98,-1,0))+IF($C98&lt;&gt;1,1,MAX(1,COUNTIF(QCI!$A$13:$A$24,OFFSET($E98,-1,0)))),"")</f>
        <v/>
      </c>
      <c r="AE98" s="110" t="b">
        <f ca="1">IF(AND($C98="S",ORÇAMENTO.CodBarra&lt;&gt;""),IF(ORÇAMENTO.Fonte="",ORÇAMENTO.CodBarra,CONCATENATE(ORÇAMENTO.Fonte," ",ORÇAMENTO.CodBarra)))</f>
        <v>0</v>
      </c>
      <c r="AF98" s="155" t="str">
        <f ca="1">IF(ISERROR(INDIRECT(ORÇAMENTO.BancoRef)),"(abra o arquivo 'Referência "&amp;Excel_BuiltIn_Database&amp;".xlsm)",IF(OR($C98&lt;&gt;"S",ORÇAMENTO.CodBarra=""),"(Sem Código)",IF(ISERROR(MATCH($AE98,INDIRECT(ORÇAMENTO.BancoRef),0)),"(Código não identificado nas referências)",MATCH($AE98,INDIRECT(ORÇAMENTO.BancoRef),0))))</f>
        <v>(abra o arquivo 'Referência 11-2024.xlsm)</v>
      </c>
      <c r="AG98" s="574">
        <f ca="1">ROUND(IF(DESONERACAO="sim",REFERENCIA.Desonerado,REFERENCIA.NaoDesonerado),2)</f>
        <v>0</v>
      </c>
      <c r="AH98" s="575">
        <f t="shared" ca="1" si="48"/>
        <v>0.22</v>
      </c>
      <c r="AJ98" s="577"/>
      <c r="AL98" s="607"/>
      <c r="AM98" s="426">
        <f t="shared" ca="1" si="49"/>
        <v>0</v>
      </c>
      <c r="AN98" s="650">
        <f t="shared" ca="1" si="50"/>
        <v>0</v>
      </c>
    </row>
    <row r="99" spans="1:40" ht="13.8" hidden="1">
      <c r="A99" t="str">
        <f t="shared" si="34"/>
        <v>S</v>
      </c>
      <c r="B99">
        <f t="shared" ca="1" si="35"/>
        <v>2</v>
      </c>
      <c r="C99" t="str">
        <f t="shared" ca="1" si="36"/>
        <v>S</v>
      </c>
      <c r="D99">
        <f t="shared" ca="1" si="37"/>
        <v>0</v>
      </c>
      <c r="E99">
        <f ca="1">IF($C99=1,OFFSET(E99,-1,0)+MAX(1,COUNTIF(QCI!$A$13:$A$24,OFFSET(ORÇAMENTO!E99,-1,0))),OFFSET(E99,-1,0))</f>
        <v>1</v>
      </c>
      <c r="F99">
        <f t="shared" ca="1" si="38"/>
        <v>5</v>
      </c>
      <c r="G99">
        <f t="shared" ca="1" si="39"/>
        <v>0</v>
      </c>
      <c r="H99">
        <f t="shared" ca="1" si="40"/>
        <v>0</v>
      </c>
      <c r="I99">
        <f t="shared" ca="1" si="41"/>
        <v>2</v>
      </c>
      <c r="J99">
        <f t="shared" ca="1" si="42"/>
        <v>0</v>
      </c>
      <c r="K99">
        <f ca="1">IF(OR($C99="S",$C99=0),0,MATCH(OFFSET($D99,0,$C99)+IF($C99&lt;&gt;1,1,COUNTIF(QCI!$A$13:$A$24,ORÇAMENTO!E99)),OFFSET($D99,1,$C99,ROW($C$264)-ROW($C99)),0))</f>
        <v>0</v>
      </c>
      <c r="L99" s="139" t="str">
        <f t="shared" ca="1" si="43"/>
        <v/>
      </c>
      <c r="M99" s="140" t="s">
        <v>199</v>
      </c>
      <c r="N99" s="141" t="str">
        <f t="shared" ca="1" si="44"/>
        <v>Serviço</v>
      </c>
      <c r="O99" s="142" t="str">
        <f t="shared" ca="1" si="45"/>
        <v>-</v>
      </c>
      <c r="P99" s="143" t="s">
        <v>247</v>
      </c>
      <c r="Q99" s="144"/>
      <c r="R99" s="145" t="str">
        <f ca="1">IF($C99="S",REFERENCIA.Descricao,"(digite a descrição aqui)")</f>
        <v>(abra o arquivo 'Referência 11-2024.xlsm)</v>
      </c>
      <c r="S99" s="146" t="str">
        <f ca="1">REFERENCIA.Unidade</f>
        <v>-</v>
      </c>
      <c r="T99" s="147">
        <f ca="1">OFFSET(CÁLCULO!H$15,ROW($T99)-ROW(T$15),0)</f>
        <v>0</v>
      </c>
      <c r="U99" s="148"/>
      <c r="V99" s="149" t="s">
        <v>156</v>
      </c>
      <c r="W99" s="147">
        <f ca="1">IF($C99="S",ROUND(IF(TIPOORCAMENTO="Proposto",ORÇAMENTO.CustoUnitario*(1+$AH99),ORÇAMENTO.PrecoUnitarioLicitado),15-13*$AF$10),0)</f>
        <v>0</v>
      </c>
      <c r="X99" s="150">
        <f ca="1">IF($C99="S",IF(Import.TipoArredondamento&lt;&gt;"TransfereGOV",VTOTAL1,SUM(OFFSET(CÁLCULO!$AA$15,ROW($X99)-ROW($X$15),1):OFFSET(CÁLCULO!$AL$15,ROW($X99)-ROW($X$15),-1))),IF($C99=0,0,ROUND(SomaAgrup,15-13*$AF$11)))</f>
        <v>0</v>
      </c>
      <c r="Y99" s="151" t="s">
        <v>245</v>
      </c>
      <c r="Z99" t="str">
        <f t="shared" ca="1" si="46"/>
        <v/>
      </c>
      <c r="AA99" s="152">
        <f ca="1">IF($C99="S",IF($Z99="CP",$X99,IF($Z99="RA",(($X99)*QCI!$AA$3),0)),SomaAgrup)</f>
        <v>0</v>
      </c>
      <c r="AB99" s="153">
        <f t="shared" ca="1" si="47"/>
        <v>0</v>
      </c>
      <c r="AC99" s="154" t="str">
        <f ca="1">IF($N99="","",IF(ORÇAMENTO.Descricao="","DESCRIÇÃO",IF(AND($C99="S",ORÇAMENTO.Unidade=""),"UNIDADE",IF($X99&lt;0,"VALOR NEGATIVO",IF(OR(AND(TIPOORCAMENTO="Proposto",$AG99&lt;&gt;"",$AG99&gt;0,ORÇAMENTO.CustoUnitario&gt;$AG99),AND(TIPOORCAMENTO="LICITADO",ORÇAMENTO.PrecoUnitarioLicitado&gt;$AN99)),"ACIMA REF.","")))))</f>
        <v/>
      </c>
      <c r="AD99" s="100" t="str">
        <f ca="1">IF(C99&lt;=CRONO.NivelExibicao,MAX($AD$15:OFFSET(AD99,-1,0))+IF($C99&lt;&gt;1,1,MAX(1,COUNTIF(QCI!$A$13:$A$24,OFFSET($E99,-1,0)))),"")</f>
        <v/>
      </c>
      <c r="AE99" s="110" t="b">
        <f ca="1">IF(AND($C99="S",ORÇAMENTO.CodBarra&lt;&gt;""),IF(ORÇAMENTO.Fonte="",ORÇAMENTO.CodBarra,CONCATENATE(ORÇAMENTO.Fonte," ",ORÇAMENTO.CodBarra)))</f>
        <v>0</v>
      </c>
      <c r="AF99" s="155" t="str">
        <f ca="1">IF(ISERROR(INDIRECT(ORÇAMENTO.BancoRef)),"(abra o arquivo 'Referência "&amp;Excel_BuiltIn_Database&amp;".xlsm)",IF(OR($C99&lt;&gt;"S",ORÇAMENTO.CodBarra=""),"(Sem Código)",IF(ISERROR(MATCH($AE99,INDIRECT(ORÇAMENTO.BancoRef),0)),"(Código não identificado nas referências)",MATCH($AE99,INDIRECT(ORÇAMENTO.BancoRef),0))))</f>
        <v>(abra o arquivo 'Referência 11-2024.xlsm)</v>
      </c>
      <c r="AG99" s="574">
        <f ca="1">ROUND(IF(DESONERACAO="sim",REFERENCIA.Desonerado,REFERENCIA.NaoDesonerado),2)</f>
        <v>0</v>
      </c>
      <c r="AH99" s="575">
        <f t="shared" ca="1" si="48"/>
        <v>0.22</v>
      </c>
      <c r="AJ99" s="577"/>
      <c r="AL99" s="607"/>
      <c r="AM99" s="426">
        <f t="shared" ca="1" si="49"/>
        <v>0</v>
      </c>
      <c r="AN99" s="650">
        <f t="shared" ca="1" si="50"/>
        <v>0</v>
      </c>
    </row>
    <row r="100" spans="1:40" ht="13.8" hidden="1">
      <c r="A100" t="str">
        <f t="shared" si="34"/>
        <v>S</v>
      </c>
      <c r="B100">
        <f t="shared" ca="1" si="35"/>
        <v>2</v>
      </c>
      <c r="C100" t="str">
        <f t="shared" ca="1" si="36"/>
        <v>S</v>
      </c>
      <c r="D100">
        <f t="shared" ca="1" si="37"/>
        <v>0</v>
      </c>
      <c r="E100">
        <f ca="1">IF($C100=1,OFFSET(E100,-1,0)+MAX(1,COUNTIF(QCI!$A$13:$A$24,OFFSET(ORÇAMENTO!E100,-1,0))),OFFSET(E100,-1,0))</f>
        <v>1</v>
      </c>
      <c r="F100">
        <f t="shared" ca="1" si="38"/>
        <v>5</v>
      </c>
      <c r="G100">
        <f t="shared" ca="1" si="39"/>
        <v>0</v>
      </c>
      <c r="H100">
        <f t="shared" ca="1" si="40"/>
        <v>0</v>
      </c>
      <c r="I100">
        <f t="shared" ca="1" si="41"/>
        <v>2</v>
      </c>
      <c r="J100">
        <f t="shared" ca="1" si="42"/>
        <v>0</v>
      </c>
      <c r="K100">
        <f ca="1">IF(OR($C100="S",$C100=0),0,MATCH(OFFSET($D100,0,$C100)+IF($C100&lt;&gt;1,1,COUNTIF(QCI!$A$13:$A$24,ORÇAMENTO!E100)),OFFSET($D100,1,$C100,ROW($C$264)-ROW($C100)),0))</f>
        <v>0</v>
      </c>
      <c r="L100" s="139" t="str">
        <f t="shared" ca="1" si="43"/>
        <v/>
      </c>
      <c r="M100" s="140" t="s">
        <v>199</v>
      </c>
      <c r="N100" s="141" t="str">
        <f t="shared" ca="1" si="44"/>
        <v>Serviço</v>
      </c>
      <c r="O100" s="142" t="str">
        <f t="shared" ca="1" si="45"/>
        <v>-</v>
      </c>
      <c r="P100" s="143" t="s">
        <v>247</v>
      </c>
      <c r="Q100" s="144"/>
      <c r="R100" s="145" t="str">
        <f ca="1">IF($C100="S",REFERENCIA.Descricao,"(digite a descrição aqui)")</f>
        <v>(abra o arquivo 'Referência 11-2024.xlsm)</v>
      </c>
      <c r="S100" s="146" t="str">
        <f ca="1">REFERENCIA.Unidade</f>
        <v>-</v>
      </c>
      <c r="T100" s="147">
        <f ca="1">OFFSET(CÁLCULO!H$15,ROW($T100)-ROW(T$15),0)</f>
        <v>0</v>
      </c>
      <c r="U100" s="148"/>
      <c r="V100" s="149" t="s">
        <v>156</v>
      </c>
      <c r="W100" s="147">
        <f ca="1">IF($C100="S",ROUND(IF(TIPOORCAMENTO="Proposto",ORÇAMENTO.CustoUnitario*(1+$AH100),ORÇAMENTO.PrecoUnitarioLicitado),15-13*$AF$10),0)</f>
        <v>0</v>
      </c>
      <c r="X100" s="150">
        <f ca="1">IF($C100="S",IF(Import.TipoArredondamento&lt;&gt;"TransfereGOV",VTOTAL1,SUM(OFFSET(CÁLCULO!$AA$15,ROW($X100)-ROW($X$15),1):OFFSET(CÁLCULO!$AL$15,ROW($X100)-ROW($X$15),-1))),IF($C100=0,0,ROUND(SomaAgrup,15-13*$AF$11)))</f>
        <v>0</v>
      </c>
      <c r="Y100" s="151" t="s">
        <v>245</v>
      </c>
      <c r="Z100" t="str">
        <f t="shared" ca="1" si="46"/>
        <v/>
      </c>
      <c r="AA100" s="152">
        <f ca="1">IF($C100="S",IF($Z100="CP",$X100,IF($Z100="RA",(($X100)*QCI!$AA$3),0)),SomaAgrup)</f>
        <v>0</v>
      </c>
      <c r="AB100" s="153">
        <f t="shared" ca="1" si="47"/>
        <v>0</v>
      </c>
      <c r="AC100" s="154" t="str">
        <f ca="1">IF($N100="","",IF(ORÇAMENTO.Descricao="","DESCRIÇÃO",IF(AND($C100="S",ORÇAMENTO.Unidade=""),"UNIDADE",IF($X100&lt;0,"VALOR NEGATIVO",IF(OR(AND(TIPOORCAMENTO="Proposto",$AG100&lt;&gt;"",$AG100&gt;0,ORÇAMENTO.CustoUnitario&gt;$AG100),AND(TIPOORCAMENTO="LICITADO",ORÇAMENTO.PrecoUnitarioLicitado&gt;$AN100)),"ACIMA REF.","")))))</f>
        <v/>
      </c>
      <c r="AD100" s="100" t="str">
        <f ca="1">IF(C100&lt;=CRONO.NivelExibicao,MAX($AD$15:OFFSET(AD100,-1,0))+IF($C100&lt;&gt;1,1,MAX(1,COUNTIF(QCI!$A$13:$A$24,OFFSET($E100,-1,0)))),"")</f>
        <v/>
      </c>
      <c r="AE100" s="110" t="b">
        <f ca="1">IF(AND($C100="S",ORÇAMENTO.CodBarra&lt;&gt;""),IF(ORÇAMENTO.Fonte="",ORÇAMENTO.CodBarra,CONCATENATE(ORÇAMENTO.Fonte," ",ORÇAMENTO.CodBarra)))</f>
        <v>0</v>
      </c>
      <c r="AF100" s="155" t="str">
        <f ca="1">IF(ISERROR(INDIRECT(ORÇAMENTO.BancoRef)),"(abra o arquivo 'Referência "&amp;Excel_BuiltIn_Database&amp;".xlsm)",IF(OR($C100&lt;&gt;"S",ORÇAMENTO.CodBarra=""),"(Sem Código)",IF(ISERROR(MATCH($AE100,INDIRECT(ORÇAMENTO.BancoRef),0)),"(Código não identificado nas referências)",MATCH($AE100,INDIRECT(ORÇAMENTO.BancoRef),0))))</f>
        <v>(abra o arquivo 'Referência 11-2024.xlsm)</v>
      </c>
      <c r="AG100" s="574">
        <f ca="1">ROUND(IF(DESONERACAO="sim",REFERENCIA.Desonerado,REFERENCIA.NaoDesonerado),2)</f>
        <v>0</v>
      </c>
      <c r="AH100" s="575">
        <f t="shared" ca="1" si="48"/>
        <v>0.22</v>
      </c>
      <c r="AJ100" s="577"/>
      <c r="AL100" s="607"/>
      <c r="AM100" s="426">
        <f t="shared" ca="1" si="49"/>
        <v>0</v>
      </c>
      <c r="AN100" s="650">
        <f t="shared" ca="1" si="50"/>
        <v>0</v>
      </c>
    </row>
    <row r="101" spans="1:40" ht="13.8" hidden="1">
      <c r="A101" t="str">
        <f t="shared" si="34"/>
        <v>S</v>
      </c>
      <c r="B101">
        <f t="shared" ca="1" si="35"/>
        <v>2</v>
      </c>
      <c r="C101" t="str">
        <f t="shared" ca="1" si="36"/>
        <v>S</v>
      </c>
      <c r="D101">
        <f t="shared" ca="1" si="37"/>
        <v>0</v>
      </c>
      <c r="E101">
        <f ca="1">IF($C101=1,OFFSET(E101,-1,0)+MAX(1,COUNTIF(QCI!$A$13:$A$24,OFFSET(ORÇAMENTO!E101,-1,0))),OFFSET(E101,-1,0))</f>
        <v>1</v>
      </c>
      <c r="F101">
        <f t="shared" ca="1" si="38"/>
        <v>5</v>
      </c>
      <c r="G101">
        <f t="shared" ca="1" si="39"/>
        <v>0</v>
      </c>
      <c r="H101">
        <f t="shared" ca="1" si="40"/>
        <v>0</v>
      </c>
      <c r="I101">
        <f t="shared" ca="1" si="41"/>
        <v>2</v>
      </c>
      <c r="J101">
        <f t="shared" ca="1" si="42"/>
        <v>0</v>
      </c>
      <c r="K101">
        <f ca="1">IF(OR($C101="S",$C101=0),0,MATCH(OFFSET($D101,0,$C101)+IF($C101&lt;&gt;1,1,COUNTIF(QCI!$A$13:$A$24,ORÇAMENTO!E101)),OFFSET($D101,1,$C101,ROW($C$264)-ROW($C101)),0))</f>
        <v>0</v>
      </c>
      <c r="L101" s="139" t="str">
        <f t="shared" ca="1" si="43"/>
        <v/>
      </c>
      <c r="M101" s="140" t="s">
        <v>199</v>
      </c>
      <c r="N101" s="141" t="str">
        <f t="shared" ca="1" si="44"/>
        <v>Serviço</v>
      </c>
      <c r="O101" s="142" t="str">
        <f t="shared" ca="1" si="45"/>
        <v>-</v>
      </c>
      <c r="P101" s="143" t="s">
        <v>247</v>
      </c>
      <c r="Q101" s="144"/>
      <c r="R101" s="145" t="str">
        <f ca="1">IF($C101="S",REFERENCIA.Descricao,"(digite a descrição aqui)")</f>
        <v>(abra o arquivo 'Referência 11-2024.xlsm)</v>
      </c>
      <c r="S101" s="146" t="str">
        <f ca="1">REFERENCIA.Unidade</f>
        <v>-</v>
      </c>
      <c r="T101" s="147">
        <f ca="1">OFFSET(CÁLCULO!H$15,ROW($T101)-ROW(T$15),0)</f>
        <v>0</v>
      </c>
      <c r="U101" s="148"/>
      <c r="V101" s="149" t="s">
        <v>156</v>
      </c>
      <c r="W101" s="147">
        <f ca="1">IF($C101="S",ROUND(IF(TIPOORCAMENTO="Proposto",ORÇAMENTO.CustoUnitario*(1+$AH101),ORÇAMENTO.PrecoUnitarioLicitado),15-13*$AF$10),0)</f>
        <v>0</v>
      </c>
      <c r="X101" s="150">
        <f ca="1">IF($C101="S",IF(Import.TipoArredondamento&lt;&gt;"TransfereGOV",VTOTAL1,SUM(OFFSET(CÁLCULO!$AA$15,ROW($X101)-ROW($X$15),1):OFFSET(CÁLCULO!$AL$15,ROW($X101)-ROW($X$15),-1))),IF($C101=0,0,ROUND(SomaAgrup,15-13*$AF$11)))</f>
        <v>0</v>
      </c>
      <c r="Y101" s="151" t="s">
        <v>245</v>
      </c>
      <c r="Z101" t="str">
        <f t="shared" ca="1" si="46"/>
        <v/>
      </c>
      <c r="AA101" s="152">
        <f ca="1">IF($C101="S",IF($Z101="CP",$X101,IF($Z101="RA",(($X101)*QCI!$AA$3),0)),SomaAgrup)</f>
        <v>0</v>
      </c>
      <c r="AB101" s="153">
        <f t="shared" ca="1" si="47"/>
        <v>0</v>
      </c>
      <c r="AC101" s="154" t="str">
        <f ca="1">IF($N101="","",IF(ORÇAMENTO.Descricao="","DESCRIÇÃO",IF(AND($C101="S",ORÇAMENTO.Unidade=""),"UNIDADE",IF($X101&lt;0,"VALOR NEGATIVO",IF(OR(AND(TIPOORCAMENTO="Proposto",$AG101&lt;&gt;"",$AG101&gt;0,ORÇAMENTO.CustoUnitario&gt;$AG101),AND(TIPOORCAMENTO="LICITADO",ORÇAMENTO.PrecoUnitarioLicitado&gt;$AN101)),"ACIMA REF.","")))))</f>
        <v/>
      </c>
      <c r="AD101" s="100" t="str">
        <f ca="1">IF(C101&lt;=CRONO.NivelExibicao,MAX($AD$15:OFFSET(AD101,-1,0))+IF($C101&lt;&gt;1,1,MAX(1,COUNTIF(QCI!$A$13:$A$24,OFFSET($E101,-1,0)))),"")</f>
        <v/>
      </c>
      <c r="AE101" s="110" t="b">
        <f ca="1">IF(AND($C101="S",ORÇAMENTO.CodBarra&lt;&gt;""),IF(ORÇAMENTO.Fonte="",ORÇAMENTO.CodBarra,CONCATENATE(ORÇAMENTO.Fonte," ",ORÇAMENTO.CodBarra)))</f>
        <v>0</v>
      </c>
      <c r="AF101" s="155" t="str">
        <f ca="1">IF(ISERROR(INDIRECT(ORÇAMENTO.BancoRef)),"(abra o arquivo 'Referência "&amp;Excel_BuiltIn_Database&amp;".xlsm)",IF(OR($C101&lt;&gt;"S",ORÇAMENTO.CodBarra=""),"(Sem Código)",IF(ISERROR(MATCH($AE101,INDIRECT(ORÇAMENTO.BancoRef),0)),"(Código não identificado nas referências)",MATCH($AE101,INDIRECT(ORÇAMENTO.BancoRef),0))))</f>
        <v>(abra o arquivo 'Referência 11-2024.xlsm)</v>
      </c>
      <c r="AG101" s="574">
        <f ca="1">ROUND(IF(DESONERACAO="sim",REFERENCIA.Desonerado,REFERENCIA.NaoDesonerado),2)</f>
        <v>0</v>
      </c>
      <c r="AH101" s="575">
        <f t="shared" ca="1" si="48"/>
        <v>0.22</v>
      </c>
      <c r="AJ101" s="577"/>
      <c r="AL101" s="607"/>
      <c r="AM101" s="426">
        <f t="shared" ca="1" si="49"/>
        <v>0</v>
      </c>
      <c r="AN101" s="650">
        <f t="shared" ca="1" si="50"/>
        <v>0</v>
      </c>
    </row>
    <row r="102" spans="1:40" ht="13.8" hidden="1">
      <c r="A102" t="str">
        <f t="shared" si="34"/>
        <v>S</v>
      </c>
      <c r="B102">
        <f t="shared" ca="1" si="35"/>
        <v>2</v>
      </c>
      <c r="C102" t="str">
        <f t="shared" ca="1" si="36"/>
        <v>S</v>
      </c>
      <c r="D102">
        <f t="shared" ca="1" si="37"/>
        <v>0</v>
      </c>
      <c r="E102">
        <f ca="1">IF($C102=1,OFFSET(E102,-1,0)+MAX(1,COUNTIF(QCI!$A$13:$A$24,OFFSET(ORÇAMENTO!E102,-1,0))),OFFSET(E102,-1,0))</f>
        <v>1</v>
      </c>
      <c r="F102">
        <f t="shared" ca="1" si="38"/>
        <v>5</v>
      </c>
      <c r="G102">
        <f t="shared" ca="1" si="39"/>
        <v>0</v>
      </c>
      <c r="H102">
        <f t="shared" ca="1" si="40"/>
        <v>0</v>
      </c>
      <c r="I102">
        <f t="shared" ca="1" si="41"/>
        <v>2</v>
      </c>
      <c r="J102">
        <f t="shared" ca="1" si="42"/>
        <v>0</v>
      </c>
      <c r="K102">
        <f ca="1">IF(OR($C102="S",$C102=0),0,MATCH(OFFSET($D102,0,$C102)+IF($C102&lt;&gt;1,1,COUNTIF(QCI!$A$13:$A$24,ORÇAMENTO!E102)),OFFSET($D102,1,$C102,ROW($C$264)-ROW($C102)),0))</f>
        <v>0</v>
      </c>
      <c r="L102" s="139" t="str">
        <f t="shared" ca="1" si="43"/>
        <v/>
      </c>
      <c r="M102" s="140" t="s">
        <v>199</v>
      </c>
      <c r="N102" s="141" t="str">
        <f t="shared" ca="1" si="44"/>
        <v>Serviço</v>
      </c>
      <c r="O102" s="142" t="str">
        <f t="shared" ca="1" si="45"/>
        <v>-</v>
      </c>
      <c r="P102" s="143" t="s">
        <v>247</v>
      </c>
      <c r="Q102" s="144"/>
      <c r="R102" s="145" t="str">
        <f ca="1">IF($C102="S",REFERENCIA.Descricao,"(digite a descrição aqui)")</f>
        <v>(abra o arquivo 'Referência 11-2024.xlsm)</v>
      </c>
      <c r="S102" s="146" t="str">
        <f ca="1">REFERENCIA.Unidade</f>
        <v>-</v>
      </c>
      <c r="T102" s="147">
        <f ca="1">OFFSET(CÁLCULO!H$15,ROW($T102)-ROW(T$15),0)</f>
        <v>0</v>
      </c>
      <c r="U102" s="148"/>
      <c r="V102" s="149" t="s">
        <v>156</v>
      </c>
      <c r="W102" s="147">
        <f ca="1">IF($C102="S",ROUND(IF(TIPOORCAMENTO="Proposto",ORÇAMENTO.CustoUnitario*(1+$AH102),ORÇAMENTO.PrecoUnitarioLicitado),15-13*$AF$10),0)</f>
        <v>0</v>
      </c>
      <c r="X102" s="150">
        <f ca="1">IF($C102="S",IF(Import.TipoArredondamento&lt;&gt;"TransfereGOV",VTOTAL1,SUM(OFFSET(CÁLCULO!$AA$15,ROW($X102)-ROW($X$15),1):OFFSET(CÁLCULO!$AL$15,ROW($X102)-ROW($X$15),-1))),IF($C102=0,0,ROUND(SomaAgrup,15-13*$AF$11)))</f>
        <v>0</v>
      </c>
      <c r="Y102" s="151" t="s">
        <v>245</v>
      </c>
      <c r="Z102" t="str">
        <f t="shared" ca="1" si="46"/>
        <v/>
      </c>
      <c r="AA102" s="152">
        <f ca="1">IF($C102="S",IF($Z102="CP",$X102,IF($Z102="RA",(($X102)*QCI!$AA$3),0)),SomaAgrup)</f>
        <v>0</v>
      </c>
      <c r="AB102" s="153">
        <f t="shared" ca="1" si="47"/>
        <v>0</v>
      </c>
      <c r="AC102" s="154" t="str">
        <f ca="1">IF($N102="","",IF(ORÇAMENTO.Descricao="","DESCRIÇÃO",IF(AND($C102="S",ORÇAMENTO.Unidade=""),"UNIDADE",IF($X102&lt;0,"VALOR NEGATIVO",IF(OR(AND(TIPOORCAMENTO="Proposto",$AG102&lt;&gt;"",$AG102&gt;0,ORÇAMENTO.CustoUnitario&gt;$AG102),AND(TIPOORCAMENTO="LICITADO",ORÇAMENTO.PrecoUnitarioLicitado&gt;$AN102)),"ACIMA REF.","")))))</f>
        <v/>
      </c>
      <c r="AD102" s="100" t="str">
        <f ca="1">IF(C102&lt;=CRONO.NivelExibicao,MAX($AD$15:OFFSET(AD102,-1,0))+IF($C102&lt;&gt;1,1,MAX(1,COUNTIF(QCI!$A$13:$A$24,OFFSET($E102,-1,0)))),"")</f>
        <v/>
      </c>
      <c r="AE102" s="110" t="b">
        <f ca="1">IF(AND($C102="S",ORÇAMENTO.CodBarra&lt;&gt;""),IF(ORÇAMENTO.Fonte="",ORÇAMENTO.CodBarra,CONCATENATE(ORÇAMENTO.Fonte," ",ORÇAMENTO.CodBarra)))</f>
        <v>0</v>
      </c>
      <c r="AF102" s="155" t="str">
        <f ca="1">IF(ISERROR(INDIRECT(ORÇAMENTO.BancoRef)),"(abra o arquivo 'Referência "&amp;Excel_BuiltIn_Database&amp;".xlsm)",IF(OR($C102&lt;&gt;"S",ORÇAMENTO.CodBarra=""),"(Sem Código)",IF(ISERROR(MATCH($AE102,INDIRECT(ORÇAMENTO.BancoRef),0)),"(Código não identificado nas referências)",MATCH($AE102,INDIRECT(ORÇAMENTO.BancoRef),0))))</f>
        <v>(abra o arquivo 'Referência 11-2024.xlsm)</v>
      </c>
      <c r="AG102" s="574">
        <f ca="1">ROUND(IF(DESONERACAO="sim",REFERENCIA.Desonerado,REFERENCIA.NaoDesonerado),2)</f>
        <v>0</v>
      </c>
      <c r="AH102" s="575">
        <f t="shared" ca="1" si="48"/>
        <v>0.22</v>
      </c>
      <c r="AJ102" s="577"/>
      <c r="AL102" s="607"/>
      <c r="AM102" s="426">
        <f t="shared" ca="1" si="49"/>
        <v>0</v>
      </c>
      <c r="AN102" s="650">
        <f t="shared" ca="1" si="50"/>
        <v>0</v>
      </c>
    </row>
    <row r="103" spans="1:40" ht="13.8" hidden="1">
      <c r="A103" t="str">
        <f t="shared" si="34"/>
        <v>S</v>
      </c>
      <c r="B103">
        <f t="shared" ca="1" si="35"/>
        <v>2</v>
      </c>
      <c r="C103" t="str">
        <f t="shared" ca="1" si="36"/>
        <v>S</v>
      </c>
      <c r="D103">
        <f t="shared" ca="1" si="37"/>
        <v>0</v>
      </c>
      <c r="E103">
        <f ca="1">IF($C103=1,OFFSET(E103,-1,0)+MAX(1,COUNTIF(QCI!$A$13:$A$24,OFFSET(ORÇAMENTO!E103,-1,0))),OFFSET(E103,-1,0))</f>
        <v>1</v>
      </c>
      <c r="F103">
        <f t="shared" ca="1" si="38"/>
        <v>5</v>
      </c>
      <c r="G103">
        <f t="shared" ca="1" si="39"/>
        <v>0</v>
      </c>
      <c r="H103">
        <f t="shared" ca="1" si="40"/>
        <v>0</v>
      </c>
      <c r="I103">
        <f t="shared" ca="1" si="41"/>
        <v>2</v>
      </c>
      <c r="J103">
        <f t="shared" ca="1" si="42"/>
        <v>0</v>
      </c>
      <c r="K103">
        <f ca="1">IF(OR($C103="S",$C103=0),0,MATCH(OFFSET($D103,0,$C103)+IF($C103&lt;&gt;1,1,COUNTIF(QCI!$A$13:$A$24,ORÇAMENTO!E103)),OFFSET($D103,1,$C103,ROW($C$264)-ROW($C103)),0))</f>
        <v>0</v>
      </c>
      <c r="L103" s="139" t="str">
        <f t="shared" ca="1" si="43"/>
        <v/>
      </c>
      <c r="M103" s="140" t="s">
        <v>199</v>
      </c>
      <c r="N103" s="141" t="str">
        <f t="shared" ca="1" si="44"/>
        <v>Serviço</v>
      </c>
      <c r="O103" s="142" t="str">
        <f t="shared" ca="1" si="45"/>
        <v>-</v>
      </c>
      <c r="P103" s="143" t="s">
        <v>247</v>
      </c>
      <c r="Q103" s="144"/>
      <c r="R103" s="145" t="str">
        <f ca="1">IF($C103="S",REFERENCIA.Descricao,"(digite a descrição aqui)")</f>
        <v>(abra o arquivo 'Referência 11-2024.xlsm)</v>
      </c>
      <c r="S103" s="146" t="str">
        <f ca="1">REFERENCIA.Unidade</f>
        <v>-</v>
      </c>
      <c r="T103" s="147">
        <f ca="1">OFFSET(CÁLCULO!H$15,ROW($T103)-ROW(T$15),0)</f>
        <v>0</v>
      </c>
      <c r="U103" s="148"/>
      <c r="V103" s="149" t="s">
        <v>156</v>
      </c>
      <c r="W103" s="147">
        <f ca="1">IF($C103="S",ROUND(IF(TIPOORCAMENTO="Proposto",ORÇAMENTO.CustoUnitario*(1+$AH103),ORÇAMENTO.PrecoUnitarioLicitado),15-13*$AF$10),0)</f>
        <v>0</v>
      </c>
      <c r="X103" s="150">
        <f ca="1">IF($C103="S",IF(Import.TipoArredondamento&lt;&gt;"TransfereGOV",VTOTAL1,SUM(OFFSET(CÁLCULO!$AA$15,ROW($X103)-ROW($X$15),1):OFFSET(CÁLCULO!$AL$15,ROW($X103)-ROW($X$15),-1))),IF($C103=0,0,ROUND(SomaAgrup,15-13*$AF$11)))</f>
        <v>0</v>
      </c>
      <c r="Y103" s="151" t="s">
        <v>245</v>
      </c>
      <c r="Z103" t="str">
        <f t="shared" ca="1" si="46"/>
        <v/>
      </c>
      <c r="AA103" s="152">
        <f ca="1">IF($C103="S",IF($Z103="CP",$X103,IF($Z103="RA",(($X103)*QCI!$AA$3),0)),SomaAgrup)</f>
        <v>0</v>
      </c>
      <c r="AB103" s="153">
        <f t="shared" ca="1" si="47"/>
        <v>0</v>
      </c>
      <c r="AC103" s="154" t="str">
        <f ca="1">IF($N103="","",IF(ORÇAMENTO.Descricao="","DESCRIÇÃO",IF(AND($C103="S",ORÇAMENTO.Unidade=""),"UNIDADE",IF($X103&lt;0,"VALOR NEGATIVO",IF(OR(AND(TIPOORCAMENTO="Proposto",$AG103&lt;&gt;"",$AG103&gt;0,ORÇAMENTO.CustoUnitario&gt;$AG103),AND(TIPOORCAMENTO="LICITADO",ORÇAMENTO.PrecoUnitarioLicitado&gt;$AN103)),"ACIMA REF.","")))))</f>
        <v/>
      </c>
      <c r="AD103" s="100" t="str">
        <f ca="1">IF(C103&lt;=CRONO.NivelExibicao,MAX($AD$15:OFFSET(AD103,-1,0))+IF($C103&lt;&gt;1,1,MAX(1,COUNTIF(QCI!$A$13:$A$24,OFFSET($E103,-1,0)))),"")</f>
        <v/>
      </c>
      <c r="AE103" s="110" t="b">
        <f ca="1">IF(AND($C103="S",ORÇAMENTO.CodBarra&lt;&gt;""),IF(ORÇAMENTO.Fonte="",ORÇAMENTO.CodBarra,CONCATENATE(ORÇAMENTO.Fonte," ",ORÇAMENTO.CodBarra)))</f>
        <v>0</v>
      </c>
      <c r="AF103" s="155" t="str">
        <f ca="1">IF(ISERROR(INDIRECT(ORÇAMENTO.BancoRef)),"(abra o arquivo 'Referência "&amp;Excel_BuiltIn_Database&amp;".xlsm)",IF(OR($C103&lt;&gt;"S",ORÇAMENTO.CodBarra=""),"(Sem Código)",IF(ISERROR(MATCH($AE103,INDIRECT(ORÇAMENTO.BancoRef),0)),"(Código não identificado nas referências)",MATCH($AE103,INDIRECT(ORÇAMENTO.BancoRef),0))))</f>
        <v>(abra o arquivo 'Referência 11-2024.xlsm)</v>
      </c>
      <c r="AG103" s="574">
        <f ca="1">ROUND(IF(DESONERACAO="sim",REFERENCIA.Desonerado,REFERENCIA.NaoDesonerado),2)</f>
        <v>0</v>
      </c>
      <c r="AH103" s="575">
        <f t="shared" ca="1" si="48"/>
        <v>0.22</v>
      </c>
      <c r="AJ103" s="577"/>
      <c r="AL103" s="607"/>
      <c r="AM103" s="426">
        <f t="shared" ca="1" si="49"/>
        <v>0</v>
      </c>
      <c r="AN103" s="650">
        <f t="shared" ca="1" si="50"/>
        <v>0</v>
      </c>
    </row>
    <row r="104" spans="1:40" ht="13.8" hidden="1">
      <c r="A104" t="str">
        <f t="shared" si="34"/>
        <v>S</v>
      </c>
      <c r="B104">
        <f t="shared" ca="1" si="35"/>
        <v>2</v>
      </c>
      <c r="C104" t="str">
        <f t="shared" ca="1" si="36"/>
        <v>S</v>
      </c>
      <c r="D104">
        <f t="shared" ca="1" si="37"/>
        <v>0</v>
      </c>
      <c r="E104">
        <f ca="1">IF($C104=1,OFFSET(E104,-1,0)+MAX(1,COUNTIF(QCI!$A$13:$A$24,OFFSET(ORÇAMENTO!E104,-1,0))),OFFSET(E104,-1,0))</f>
        <v>1</v>
      </c>
      <c r="F104">
        <f t="shared" ca="1" si="38"/>
        <v>5</v>
      </c>
      <c r="G104">
        <f t="shared" ca="1" si="39"/>
        <v>0</v>
      </c>
      <c r="H104">
        <f t="shared" ca="1" si="40"/>
        <v>0</v>
      </c>
      <c r="I104">
        <f t="shared" ca="1" si="41"/>
        <v>2</v>
      </c>
      <c r="J104">
        <f t="shared" ca="1" si="42"/>
        <v>0</v>
      </c>
      <c r="K104">
        <f ca="1">IF(OR($C104="S",$C104=0),0,MATCH(OFFSET($D104,0,$C104)+IF($C104&lt;&gt;1,1,COUNTIF(QCI!$A$13:$A$24,ORÇAMENTO!E104)),OFFSET($D104,1,$C104,ROW($C$264)-ROW($C104)),0))</f>
        <v>0</v>
      </c>
      <c r="L104" s="139" t="str">
        <f t="shared" ca="1" si="43"/>
        <v/>
      </c>
      <c r="M104" s="140" t="s">
        <v>199</v>
      </c>
      <c r="N104" s="141" t="str">
        <f t="shared" ca="1" si="44"/>
        <v>Serviço</v>
      </c>
      <c r="O104" s="142" t="str">
        <f t="shared" ca="1" si="45"/>
        <v>-</v>
      </c>
      <c r="P104" s="143" t="s">
        <v>247</v>
      </c>
      <c r="Q104" s="144"/>
      <c r="R104" s="145" t="str">
        <f ca="1">IF($C104="S",REFERENCIA.Descricao,"(digite a descrição aqui)")</f>
        <v>(abra o arquivo 'Referência 11-2024.xlsm)</v>
      </c>
      <c r="S104" s="146" t="str">
        <f ca="1">REFERENCIA.Unidade</f>
        <v>-</v>
      </c>
      <c r="T104" s="147">
        <f ca="1">OFFSET(CÁLCULO!H$15,ROW($T104)-ROW(T$15),0)</f>
        <v>0</v>
      </c>
      <c r="U104" s="148"/>
      <c r="V104" s="149" t="s">
        <v>156</v>
      </c>
      <c r="W104" s="147">
        <f ca="1">IF($C104="S",ROUND(IF(TIPOORCAMENTO="Proposto",ORÇAMENTO.CustoUnitario*(1+$AH104),ORÇAMENTO.PrecoUnitarioLicitado),15-13*$AF$10),0)</f>
        <v>0</v>
      </c>
      <c r="X104" s="150">
        <f ca="1">IF($C104="S",IF(Import.TipoArredondamento&lt;&gt;"TransfereGOV",VTOTAL1,SUM(OFFSET(CÁLCULO!$AA$15,ROW($X104)-ROW($X$15),1):OFFSET(CÁLCULO!$AL$15,ROW($X104)-ROW($X$15),-1))),IF($C104=0,0,ROUND(SomaAgrup,15-13*$AF$11)))</f>
        <v>0</v>
      </c>
      <c r="Y104" s="151" t="s">
        <v>245</v>
      </c>
      <c r="Z104" t="str">
        <f t="shared" ca="1" si="46"/>
        <v/>
      </c>
      <c r="AA104" s="152">
        <f ca="1">IF($C104="S",IF($Z104="CP",$X104,IF($Z104="RA",(($X104)*QCI!$AA$3),0)),SomaAgrup)</f>
        <v>0</v>
      </c>
      <c r="AB104" s="153">
        <f t="shared" ca="1" si="47"/>
        <v>0</v>
      </c>
      <c r="AC104" s="154" t="str">
        <f ca="1">IF($N104="","",IF(ORÇAMENTO.Descricao="","DESCRIÇÃO",IF(AND($C104="S",ORÇAMENTO.Unidade=""),"UNIDADE",IF($X104&lt;0,"VALOR NEGATIVO",IF(OR(AND(TIPOORCAMENTO="Proposto",$AG104&lt;&gt;"",$AG104&gt;0,ORÇAMENTO.CustoUnitario&gt;$AG104),AND(TIPOORCAMENTO="LICITADO",ORÇAMENTO.PrecoUnitarioLicitado&gt;$AN104)),"ACIMA REF.","")))))</f>
        <v/>
      </c>
      <c r="AD104" s="100" t="str">
        <f ca="1">IF(C104&lt;=CRONO.NivelExibicao,MAX($AD$15:OFFSET(AD104,-1,0))+IF($C104&lt;&gt;1,1,MAX(1,COUNTIF(QCI!$A$13:$A$24,OFFSET($E104,-1,0)))),"")</f>
        <v/>
      </c>
      <c r="AE104" s="110" t="b">
        <f ca="1">IF(AND($C104="S",ORÇAMENTO.CodBarra&lt;&gt;""),IF(ORÇAMENTO.Fonte="",ORÇAMENTO.CodBarra,CONCATENATE(ORÇAMENTO.Fonte," ",ORÇAMENTO.CodBarra)))</f>
        <v>0</v>
      </c>
      <c r="AF104" s="155" t="str">
        <f ca="1">IF(ISERROR(INDIRECT(ORÇAMENTO.BancoRef)),"(abra o arquivo 'Referência "&amp;Excel_BuiltIn_Database&amp;".xlsm)",IF(OR($C104&lt;&gt;"S",ORÇAMENTO.CodBarra=""),"(Sem Código)",IF(ISERROR(MATCH($AE104,INDIRECT(ORÇAMENTO.BancoRef),0)),"(Código não identificado nas referências)",MATCH($AE104,INDIRECT(ORÇAMENTO.BancoRef),0))))</f>
        <v>(abra o arquivo 'Referência 11-2024.xlsm)</v>
      </c>
      <c r="AG104" s="574">
        <f ca="1">ROUND(IF(DESONERACAO="sim",REFERENCIA.Desonerado,REFERENCIA.NaoDesonerado),2)</f>
        <v>0</v>
      </c>
      <c r="AH104" s="575">
        <f t="shared" ca="1" si="48"/>
        <v>0.22</v>
      </c>
      <c r="AJ104" s="577"/>
      <c r="AL104" s="607"/>
      <c r="AM104" s="426">
        <f t="shared" ca="1" si="49"/>
        <v>0</v>
      </c>
      <c r="AN104" s="650">
        <f t="shared" ca="1" si="50"/>
        <v>0</v>
      </c>
    </row>
    <row r="105" spans="1:40" ht="13.8" hidden="1">
      <c r="A105" t="str">
        <f t="shared" si="34"/>
        <v>S</v>
      </c>
      <c r="B105">
        <f t="shared" ca="1" si="35"/>
        <v>2</v>
      </c>
      <c r="C105" t="str">
        <f t="shared" ca="1" si="36"/>
        <v>S</v>
      </c>
      <c r="D105">
        <f t="shared" ca="1" si="37"/>
        <v>0</v>
      </c>
      <c r="E105">
        <f ca="1">IF($C105=1,OFFSET(E105,-1,0)+MAX(1,COUNTIF(QCI!$A$13:$A$24,OFFSET(ORÇAMENTO!E105,-1,0))),OFFSET(E105,-1,0))</f>
        <v>1</v>
      </c>
      <c r="F105">
        <f t="shared" ca="1" si="38"/>
        <v>5</v>
      </c>
      <c r="G105">
        <f t="shared" ca="1" si="39"/>
        <v>0</v>
      </c>
      <c r="H105">
        <f t="shared" ca="1" si="40"/>
        <v>0</v>
      </c>
      <c r="I105">
        <f t="shared" ca="1" si="41"/>
        <v>2</v>
      </c>
      <c r="J105">
        <f t="shared" ca="1" si="42"/>
        <v>0</v>
      </c>
      <c r="K105">
        <f ca="1">IF(OR($C105="S",$C105=0),0,MATCH(OFFSET($D105,0,$C105)+IF($C105&lt;&gt;1,1,COUNTIF(QCI!$A$13:$A$24,ORÇAMENTO!E105)),OFFSET($D105,1,$C105,ROW($C$264)-ROW($C105)),0))</f>
        <v>0</v>
      </c>
      <c r="L105" s="139" t="str">
        <f t="shared" ca="1" si="43"/>
        <v/>
      </c>
      <c r="M105" s="140" t="s">
        <v>199</v>
      </c>
      <c r="N105" s="141" t="str">
        <f t="shared" ca="1" si="44"/>
        <v>Serviço</v>
      </c>
      <c r="O105" s="142" t="str">
        <f t="shared" ca="1" si="45"/>
        <v>-</v>
      </c>
      <c r="P105" s="143" t="s">
        <v>247</v>
      </c>
      <c r="Q105" s="144"/>
      <c r="R105" s="145" t="str">
        <f ca="1">IF($C105="S",REFERENCIA.Descricao,"(digite a descrição aqui)")</f>
        <v>(abra o arquivo 'Referência 11-2024.xlsm)</v>
      </c>
      <c r="S105" s="146" t="str">
        <f ca="1">REFERENCIA.Unidade</f>
        <v>-</v>
      </c>
      <c r="T105" s="147">
        <f ca="1">OFFSET(CÁLCULO!H$15,ROW($T105)-ROW(T$15),0)</f>
        <v>0</v>
      </c>
      <c r="U105" s="148"/>
      <c r="V105" s="149" t="s">
        <v>156</v>
      </c>
      <c r="W105" s="147">
        <f ca="1">IF($C105="S",ROUND(IF(TIPOORCAMENTO="Proposto",ORÇAMENTO.CustoUnitario*(1+$AH105),ORÇAMENTO.PrecoUnitarioLicitado),15-13*$AF$10),0)</f>
        <v>0</v>
      </c>
      <c r="X105" s="150">
        <f ca="1">IF($C105="S",IF(Import.TipoArredondamento&lt;&gt;"TransfereGOV",VTOTAL1,SUM(OFFSET(CÁLCULO!$AA$15,ROW($X105)-ROW($X$15),1):OFFSET(CÁLCULO!$AL$15,ROW($X105)-ROW($X$15),-1))),IF($C105=0,0,ROUND(SomaAgrup,15-13*$AF$11)))</f>
        <v>0</v>
      </c>
      <c r="Y105" s="151" t="s">
        <v>245</v>
      </c>
      <c r="Z105" t="str">
        <f t="shared" ca="1" si="46"/>
        <v/>
      </c>
      <c r="AA105" s="152">
        <f ca="1">IF($C105="S",IF($Z105="CP",$X105,IF($Z105="RA",(($X105)*QCI!$AA$3),0)),SomaAgrup)</f>
        <v>0</v>
      </c>
      <c r="AB105" s="153">
        <f t="shared" ca="1" si="47"/>
        <v>0</v>
      </c>
      <c r="AC105" s="154" t="str">
        <f ca="1">IF($N105="","",IF(ORÇAMENTO.Descricao="","DESCRIÇÃO",IF(AND($C105="S",ORÇAMENTO.Unidade=""),"UNIDADE",IF($X105&lt;0,"VALOR NEGATIVO",IF(OR(AND(TIPOORCAMENTO="Proposto",$AG105&lt;&gt;"",$AG105&gt;0,ORÇAMENTO.CustoUnitario&gt;$AG105),AND(TIPOORCAMENTO="LICITADO",ORÇAMENTO.PrecoUnitarioLicitado&gt;$AN105)),"ACIMA REF.","")))))</f>
        <v/>
      </c>
      <c r="AD105" s="100" t="str">
        <f ca="1">IF(C105&lt;=CRONO.NivelExibicao,MAX($AD$15:OFFSET(AD105,-1,0))+IF($C105&lt;&gt;1,1,MAX(1,COUNTIF(QCI!$A$13:$A$24,OFFSET($E105,-1,0)))),"")</f>
        <v/>
      </c>
      <c r="AE105" s="110" t="b">
        <f ca="1">IF(AND($C105="S",ORÇAMENTO.CodBarra&lt;&gt;""),IF(ORÇAMENTO.Fonte="",ORÇAMENTO.CodBarra,CONCATENATE(ORÇAMENTO.Fonte," ",ORÇAMENTO.CodBarra)))</f>
        <v>0</v>
      </c>
      <c r="AF105" s="155" t="str">
        <f ca="1">IF(ISERROR(INDIRECT(ORÇAMENTO.BancoRef)),"(abra o arquivo 'Referência "&amp;Excel_BuiltIn_Database&amp;".xlsm)",IF(OR($C105&lt;&gt;"S",ORÇAMENTO.CodBarra=""),"(Sem Código)",IF(ISERROR(MATCH($AE105,INDIRECT(ORÇAMENTO.BancoRef),0)),"(Código não identificado nas referências)",MATCH($AE105,INDIRECT(ORÇAMENTO.BancoRef),0))))</f>
        <v>(abra o arquivo 'Referência 11-2024.xlsm)</v>
      </c>
      <c r="AG105" s="574">
        <f ca="1">ROUND(IF(DESONERACAO="sim",REFERENCIA.Desonerado,REFERENCIA.NaoDesonerado),2)</f>
        <v>0</v>
      </c>
      <c r="AH105" s="575">
        <f t="shared" ca="1" si="48"/>
        <v>0.22</v>
      </c>
      <c r="AJ105" s="577"/>
      <c r="AL105" s="607"/>
      <c r="AM105" s="426">
        <f t="shared" ca="1" si="49"/>
        <v>0</v>
      </c>
      <c r="AN105" s="650">
        <f t="shared" ca="1" si="50"/>
        <v>0</v>
      </c>
    </row>
    <row r="106" spans="1:40" ht="13.8" hidden="1">
      <c r="A106" t="str">
        <f t="shared" si="34"/>
        <v>S</v>
      </c>
      <c r="B106">
        <f t="shared" ca="1" si="35"/>
        <v>2</v>
      </c>
      <c r="C106" t="str">
        <f t="shared" ca="1" si="36"/>
        <v>S</v>
      </c>
      <c r="D106">
        <f t="shared" ca="1" si="37"/>
        <v>0</v>
      </c>
      <c r="E106">
        <f ca="1">IF($C106=1,OFFSET(E106,-1,0)+MAX(1,COUNTIF(QCI!$A$13:$A$24,OFFSET(ORÇAMENTO!E106,-1,0))),OFFSET(E106,-1,0))</f>
        <v>1</v>
      </c>
      <c r="F106">
        <f t="shared" ca="1" si="38"/>
        <v>5</v>
      </c>
      <c r="G106">
        <f t="shared" ca="1" si="39"/>
        <v>0</v>
      </c>
      <c r="H106">
        <f t="shared" ca="1" si="40"/>
        <v>0</v>
      </c>
      <c r="I106">
        <f t="shared" ca="1" si="41"/>
        <v>2</v>
      </c>
      <c r="J106">
        <f t="shared" ca="1" si="42"/>
        <v>0</v>
      </c>
      <c r="K106">
        <f ca="1">IF(OR($C106="S",$C106=0),0,MATCH(OFFSET($D106,0,$C106)+IF($C106&lt;&gt;1,1,COUNTIF(QCI!$A$13:$A$24,ORÇAMENTO!E106)),OFFSET($D106,1,$C106,ROW($C$264)-ROW($C106)),0))</f>
        <v>0</v>
      </c>
      <c r="L106" s="139" t="str">
        <f t="shared" ca="1" si="43"/>
        <v/>
      </c>
      <c r="M106" s="140" t="s">
        <v>199</v>
      </c>
      <c r="N106" s="141" t="str">
        <f t="shared" ca="1" si="44"/>
        <v>Serviço</v>
      </c>
      <c r="O106" s="142" t="str">
        <f t="shared" ca="1" si="45"/>
        <v>-</v>
      </c>
      <c r="P106" s="143" t="s">
        <v>247</v>
      </c>
      <c r="Q106" s="144"/>
      <c r="R106" s="145" t="str">
        <f ca="1">IF($C106="S",REFERENCIA.Descricao,"(digite a descrição aqui)")</f>
        <v>(abra o arquivo 'Referência 11-2024.xlsm)</v>
      </c>
      <c r="S106" s="146" t="str">
        <f ca="1">REFERENCIA.Unidade</f>
        <v>-</v>
      </c>
      <c r="T106" s="147">
        <f ca="1">OFFSET(CÁLCULO!H$15,ROW($T106)-ROW(T$15),0)</f>
        <v>0</v>
      </c>
      <c r="U106" s="148"/>
      <c r="V106" s="149" t="s">
        <v>156</v>
      </c>
      <c r="W106" s="147">
        <f ca="1">IF($C106="S",ROUND(IF(TIPOORCAMENTO="Proposto",ORÇAMENTO.CustoUnitario*(1+$AH106),ORÇAMENTO.PrecoUnitarioLicitado),15-13*$AF$10),0)</f>
        <v>0</v>
      </c>
      <c r="X106" s="150">
        <f ca="1">IF($C106="S",IF(Import.TipoArredondamento&lt;&gt;"TransfereGOV",VTOTAL1,SUM(OFFSET(CÁLCULO!$AA$15,ROW($X106)-ROW($X$15),1):OFFSET(CÁLCULO!$AL$15,ROW($X106)-ROW($X$15),-1))),IF($C106=0,0,ROUND(SomaAgrup,15-13*$AF$11)))</f>
        <v>0</v>
      </c>
      <c r="Y106" s="151" t="s">
        <v>245</v>
      </c>
      <c r="Z106" t="str">
        <f t="shared" ca="1" si="46"/>
        <v/>
      </c>
      <c r="AA106" s="152">
        <f ca="1">IF($C106="S",IF($Z106="CP",$X106,IF($Z106="RA",(($X106)*QCI!$AA$3),0)),SomaAgrup)</f>
        <v>0</v>
      </c>
      <c r="AB106" s="153">
        <f t="shared" ca="1" si="47"/>
        <v>0</v>
      </c>
      <c r="AC106" s="154" t="str">
        <f ca="1">IF($N106="","",IF(ORÇAMENTO.Descricao="","DESCRIÇÃO",IF(AND($C106="S",ORÇAMENTO.Unidade=""),"UNIDADE",IF($X106&lt;0,"VALOR NEGATIVO",IF(OR(AND(TIPOORCAMENTO="Proposto",$AG106&lt;&gt;"",$AG106&gt;0,ORÇAMENTO.CustoUnitario&gt;$AG106),AND(TIPOORCAMENTO="LICITADO",ORÇAMENTO.PrecoUnitarioLicitado&gt;$AN106)),"ACIMA REF.","")))))</f>
        <v/>
      </c>
      <c r="AD106" s="100" t="str">
        <f ca="1">IF(C106&lt;=CRONO.NivelExibicao,MAX($AD$15:OFFSET(AD106,-1,0))+IF($C106&lt;&gt;1,1,MAX(1,COUNTIF(QCI!$A$13:$A$24,OFFSET($E106,-1,0)))),"")</f>
        <v/>
      </c>
      <c r="AE106" s="110" t="b">
        <f ca="1">IF(AND($C106="S",ORÇAMENTO.CodBarra&lt;&gt;""),IF(ORÇAMENTO.Fonte="",ORÇAMENTO.CodBarra,CONCATENATE(ORÇAMENTO.Fonte," ",ORÇAMENTO.CodBarra)))</f>
        <v>0</v>
      </c>
      <c r="AF106" s="155" t="str">
        <f ca="1">IF(ISERROR(INDIRECT(ORÇAMENTO.BancoRef)),"(abra o arquivo 'Referência "&amp;Excel_BuiltIn_Database&amp;".xlsm)",IF(OR($C106&lt;&gt;"S",ORÇAMENTO.CodBarra=""),"(Sem Código)",IF(ISERROR(MATCH($AE106,INDIRECT(ORÇAMENTO.BancoRef),0)),"(Código não identificado nas referências)",MATCH($AE106,INDIRECT(ORÇAMENTO.BancoRef),0))))</f>
        <v>(abra o arquivo 'Referência 11-2024.xlsm)</v>
      </c>
      <c r="AG106" s="574">
        <f ca="1">ROUND(IF(DESONERACAO="sim",REFERENCIA.Desonerado,REFERENCIA.NaoDesonerado),2)</f>
        <v>0</v>
      </c>
      <c r="AH106" s="575">
        <f t="shared" ca="1" si="48"/>
        <v>0.22</v>
      </c>
      <c r="AJ106" s="577"/>
      <c r="AL106" s="607"/>
      <c r="AM106" s="426">
        <f t="shared" ca="1" si="49"/>
        <v>0</v>
      </c>
      <c r="AN106" s="650">
        <f t="shared" ca="1" si="50"/>
        <v>0</v>
      </c>
    </row>
    <row r="107" spans="1:40" ht="13.8" hidden="1">
      <c r="A107" t="str">
        <f t="shared" si="34"/>
        <v>S</v>
      </c>
      <c r="B107">
        <f t="shared" ca="1" si="35"/>
        <v>2</v>
      </c>
      <c r="C107" t="str">
        <f t="shared" ca="1" si="36"/>
        <v>S</v>
      </c>
      <c r="D107">
        <f t="shared" ca="1" si="37"/>
        <v>0</v>
      </c>
      <c r="E107">
        <f ca="1">IF($C107=1,OFFSET(E107,-1,0)+MAX(1,COUNTIF(QCI!$A$13:$A$24,OFFSET(ORÇAMENTO!E107,-1,0))),OFFSET(E107,-1,0))</f>
        <v>1</v>
      </c>
      <c r="F107">
        <f t="shared" ca="1" si="38"/>
        <v>5</v>
      </c>
      <c r="G107">
        <f t="shared" ca="1" si="39"/>
        <v>0</v>
      </c>
      <c r="H107">
        <f t="shared" ca="1" si="40"/>
        <v>0</v>
      </c>
      <c r="I107">
        <f t="shared" ca="1" si="41"/>
        <v>2</v>
      </c>
      <c r="J107">
        <f t="shared" ca="1" si="42"/>
        <v>0</v>
      </c>
      <c r="K107">
        <f ca="1">IF(OR($C107="S",$C107=0),0,MATCH(OFFSET($D107,0,$C107)+IF($C107&lt;&gt;1,1,COUNTIF(QCI!$A$13:$A$24,ORÇAMENTO!E107)),OFFSET($D107,1,$C107,ROW($C$264)-ROW($C107)),0))</f>
        <v>0</v>
      </c>
      <c r="L107" s="139" t="str">
        <f t="shared" ca="1" si="43"/>
        <v/>
      </c>
      <c r="M107" s="140" t="s">
        <v>199</v>
      </c>
      <c r="N107" s="141" t="str">
        <f t="shared" ca="1" si="44"/>
        <v>Serviço</v>
      </c>
      <c r="O107" s="142" t="str">
        <f t="shared" ca="1" si="45"/>
        <v>-</v>
      </c>
      <c r="P107" s="143" t="s">
        <v>247</v>
      </c>
      <c r="Q107" s="144"/>
      <c r="R107" s="145" t="str">
        <f ca="1">IF($C107="S",REFERENCIA.Descricao,"(digite a descrição aqui)")</f>
        <v>(abra o arquivo 'Referência 11-2024.xlsm)</v>
      </c>
      <c r="S107" s="146" t="str">
        <f ca="1">REFERENCIA.Unidade</f>
        <v>-</v>
      </c>
      <c r="T107" s="147">
        <f ca="1">OFFSET(CÁLCULO!H$15,ROW($T107)-ROW(T$15),0)</f>
        <v>0</v>
      </c>
      <c r="U107" s="148"/>
      <c r="V107" s="149" t="s">
        <v>156</v>
      </c>
      <c r="W107" s="147">
        <f ca="1">IF($C107="S",ROUND(IF(TIPOORCAMENTO="Proposto",ORÇAMENTO.CustoUnitario*(1+$AH107),ORÇAMENTO.PrecoUnitarioLicitado),15-13*$AF$10),0)</f>
        <v>0</v>
      </c>
      <c r="X107" s="150">
        <f ca="1">IF($C107="S",IF(Import.TipoArredondamento&lt;&gt;"TransfereGOV",VTOTAL1,SUM(OFFSET(CÁLCULO!$AA$15,ROW($X107)-ROW($X$15),1):OFFSET(CÁLCULO!$AL$15,ROW($X107)-ROW($X$15),-1))),IF($C107=0,0,ROUND(SomaAgrup,15-13*$AF$11)))</f>
        <v>0</v>
      </c>
      <c r="Y107" s="151" t="s">
        <v>245</v>
      </c>
      <c r="Z107" t="str">
        <f t="shared" ca="1" si="46"/>
        <v/>
      </c>
      <c r="AA107" s="152">
        <f ca="1">IF($C107="S",IF($Z107="CP",$X107,IF($Z107="RA",(($X107)*QCI!$AA$3),0)),SomaAgrup)</f>
        <v>0</v>
      </c>
      <c r="AB107" s="153">
        <f t="shared" ca="1" si="47"/>
        <v>0</v>
      </c>
      <c r="AC107" s="154" t="str">
        <f ca="1">IF($N107="","",IF(ORÇAMENTO.Descricao="","DESCRIÇÃO",IF(AND($C107="S",ORÇAMENTO.Unidade=""),"UNIDADE",IF($X107&lt;0,"VALOR NEGATIVO",IF(OR(AND(TIPOORCAMENTO="Proposto",$AG107&lt;&gt;"",$AG107&gt;0,ORÇAMENTO.CustoUnitario&gt;$AG107),AND(TIPOORCAMENTO="LICITADO",ORÇAMENTO.PrecoUnitarioLicitado&gt;$AN107)),"ACIMA REF.","")))))</f>
        <v/>
      </c>
      <c r="AD107" s="100" t="str">
        <f ca="1">IF(C107&lt;=CRONO.NivelExibicao,MAX($AD$15:OFFSET(AD107,-1,0))+IF($C107&lt;&gt;1,1,MAX(1,COUNTIF(QCI!$A$13:$A$24,OFFSET($E107,-1,0)))),"")</f>
        <v/>
      </c>
      <c r="AE107" s="110" t="b">
        <f ca="1">IF(AND($C107="S",ORÇAMENTO.CodBarra&lt;&gt;""),IF(ORÇAMENTO.Fonte="",ORÇAMENTO.CodBarra,CONCATENATE(ORÇAMENTO.Fonte," ",ORÇAMENTO.CodBarra)))</f>
        <v>0</v>
      </c>
      <c r="AF107" s="155" t="str">
        <f ca="1">IF(ISERROR(INDIRECT(ORÇAMENTO.BancoRef)),"(abra o arquivo 'Referência "&amp;Excel_BuiltIn_Database&amp;".xlsm)",IF(OR($C107&lt;&gt;"S",ORÇAMENTO.CodBarra=""),"(Sem Código)",IF(ISERROR(MATCH($AE107,INDIRECT(ORÇAMENTO.BancoRef),0)),"(Código não identificado nas referências)",MATCH($AE107,INDIRECT(ORÇAMENTO.BancoRef),0))))</f>
        <v>(abra o arquivo 'Referência 11-2024.xlsm)</v>
      </c>
      <c r="AG107" s="574">
        <f ca="1">ROUND(IF(DESONERACAO="sim",REFERENCIA.Desonerado,REFERENCIA.NaoDesonerado),2)</f>
        <v>0</v>
      </c>
      <c r="AH107" s="575">
        <f t="shared" ca="1" si="48"/>
        <v>0.22</v>
      </c>
      <c r="AJ107" s="577"/>
      <c r="AL107" s="607"/>
      <c r="AM107" s="426">
        <f t="shared" ca="1" si="49"/>
        <v>0</v>
      </c>
      <c r="AN107" s="650">
        <f t="shared" ca="1" si="50"/>
        <v>0</v>
      </c>
    </row>
    <row r="108" spans="1:40" ht="13.8" hidden="1">
      <c r="A108" t="str">
        <f t="shared" si="34"/>
        <v>S</v>
      </c>
      <c r="B108">
        <f t="shared" ca="1" si="35"/>
        <v>2</v>
      </c>
      <c r="C108" t="str">
        <f t="shared" ca="1" si="36"/>
        <v>S</v>
      </c>
      <c r="D108">
        <f t="shared" ca="1" si="37"/>
        <v>0</v>
      </c>
      <c r="E108">
        <f ca="1">IF($C108=1,OFFSET(E108,-1,0)+MAX(1,COUNTIF(QCI!$A$13:$A$24,OFFSET(ORÇAMENTO!E108,-1,0))),OFFSET(E108,-1,0))</f>
        <v>1</v>
      </c>
      <c r="F108">
        <f t="shared" ca="1" si="38"/>
        <v>5</v>
      </c>
      <c r="G108">
        <f t="shared" ca="1" si="39"/>
        <v>0</v>
      </c>
      <c r="H108">
        <f t="shared" ca="1" si="40"/>
        <v>0</v>
      </c>
      <c r="I108">
        <f t="shared" ca="1" si="41"/>
        <v>2</v>
      </c>
      <c r="J108">
        <f t="shared" ca="1" si="42"/>
        <v>0</v>
      </c>
      <c r="K108">
        <f ca="1">IF(OR($C108="S",$C108=0),0,MATCH(OFFSET($D108,0,$C108)+IF($C108&lt;&gt;1,1,COUNTIF(QCI!$A$13:$A$24,ORÇAMENTO!E108)),OFFSET($D108,1,$C108,ROW($C$264)-ROW($C108)),0))</f>
        <v>0</v>
      </c>
      <c r="L108" s="139" t="str">
        <f t="shared" ca="1" si="43"/>
        <v/>
      </c>
      <c r="M108" s="140" t="s">
        <v>199</v>
      </c>
      <c r="N108" s="141" t="str">
        <f t="shared" ca="1" si="44"/>
        <v>Serviço</v>
      </c>
      <c r="O108" s="142" t="str">
        <f t="shared" ca="1" si="45"/>
        <v>-</v>
      </c>
      <c r="P108" s="143" t="s">
        <v>247</v>
      </c>
      <c r="Q108" s="144"/>
      <c r="R108" s="145" t="str">
        <f ca="1">IF($C108="S",REFERENCIA.Descricao,"(digite a descrição aqui)")</f>
        <v>(abra o arquivo 'Referência 11-2024.xlsm)</v>
      </c>
      <c r="S108" s="146" t="str">
        <f ca="1">REFERENCIA.Unidade</f>
        <v>-</v>
      </c>
      <c r="T108" s="147">
        <f ca="1">OFFSET(CÁLCULO!H$15,ROW($T108)-ROW(T$15),0)</f>
        <v>0</v>
      </c>
      <c r="U108" s="148"/>
      <c r="V108" s="149" t="s">
        <v>156</v>
      </c>
      <c r="W108" s="147">
        <f ca="1">IF($C108="S",ROUND(IF(TIPOORCAMENTO="Proposto",ORÇAMENTO.CustoUnitario*(1+$AH108),ORÇAMENTO.PrecoUnitarioLicitado),15-13*$AF$10),0)</f>
        <v>0</v>
      </c>
      <c r="X108" s="150">
        <f ca="1">IF($C108="S",IF(Import.TipoArredondamento&lt;&gt;"TransfereGOV",VTOTAL1,SUM(OFFSET(CÁLCULO!$AA$15,ROW($X108)-ROW($X$15),1):OFFSET(CÁLCULO!$AL$15,ROW($X108)-ROW($X$15),-1))),IF($C108=0,0,ROUND(SomaAgrup,15-13*$AF$11)))</f>
        <v>0</v>
      </c>
      <c r="Y108" s="151" t="s">
        <v>245</v>
      </c>
      <c r="Z108" t="str">
        <f t="shared" ca="1" si="46"/>
        <v/>
      </c>
      <c r="AA108" s="152">
        <f ca="1">IF($C108="S",IF($Z108="CP",$X108,IF($Z108="RA",(($X108)*QCI!$AA$3),0)),SomaAgrup)</f>
        <v>0</v>
      </c>
      <c r="AB108" s="153">
        <f t="shared" ca="1" si="47"/>
        <v>0</v>
      </c>
      <c r="AC108" s="154" t="str">
        <f ca="1">IF($N108="","",IF(ORÇAMENTO.Descricao="","DESCRIÇÃO",IF(AND($C108="S",ORÇAMENTO.Unidade=""),"UNIDADE",IF($X108&lt;0,"VALOR NEGATIVO",IF(OR(AND(TIPOORCAMENTO="Proposto",$AG108&lt;&gt;"",$AG108&gt;0,ORÇAMENTO.CustoUnitario&gt;$AG108),AND(TIPOORCAMENTO="LICITADO",ORÇAMENTO.PrecoUnitarioLicitado&gt;$AN108)),"ACIMA REF.","")))))</f>
        <v/>
      </c>
      <c r="AD108" s="100" t="str">
        <f ca="1">IF(C108&lt;=CRONO.NivelExibicao,MAX($AD$15:OFFSET(AD108,-1,0))+IF($C108&lt;&gt;1,1,MAX(1,COUNTIF(QCI!$A$13:$A$24,OFFSET($E108,-1,0)))),"")</f>
        <v/>
      </c>
      <c r="AE108" s="110" t="b">
        <f ca="1">IF(AND($C108="S",ORÇAMENTO.CodBarra&lt;&gt;""),IF(ORÇAMENTO.Fonte="",ORÇAMENTO.CodBarra,CONCATENATE(ORÇAMENTO.Fonte," ",ORÇAMENTO.CodBarra)))</f>
        <v>0</v>
      </c>
      <c r="AF108" s="155" t="str">
        <f ca="1">IF(ISERROR(INDIRECT(ORÇAMENTO.BancoRef)),"(abra o arquivo 'Referência "&amp;Excel_BuiltIn_Database&amp;".xlsm)",IF(OR($C108&lt;&gt;"S",ORÇAMENTO.CodBarra=""),"(Sem Código)",IF(ISERROR(MATCH($AE108,INDIRECT(ORÇAMENTO.BancoRef),0)),"(Código não identificado nas referências)",MATCH($AE108,INDIRECT(ORÇAMENTO.BancoRef),0))))</f>
        <v>(abra o arquivo 'Referência 11-2024.xlsm)</v>
      </c>
      <c r="AG108" s="574">
        <f ca="1">ROUND(IF(DESONERACAO="sim",REFERENCIA.Desonerado,REFERENCIA.NaoDesonerado),2)</f>
        <v>0</v>
      </c>
      <c r="AH108" s="575">
        <f t="shared" ca="1" si="48"/>
        <v>0.22</v>
      </c>
      <c r="AJ108" s="577"/>
      <c r="AL108" s="607"/>
      <c r="AM108" s="426">
        <f t="shared" ca="1" si="49"/>
        <v>0</v>
      </c>
      <c r="AN108" s="650">
        <f t="shared" ca="1" si="50"/>
        <v>0</v>
      </c>
    </row>
    <row r="109" spans="1:40" ht="13.8" hidden="1">
      <c r="A109" t="str">
        <f t="shared" si="34"/>
        <v>S</v>
      </c>
      <c r="B109">
        <f t="shared" ca="1" si="35"/>
        <v>2</v>
      </c>
      <c r="C109" t="str">
        <f t="shared" ca="1" si="36"/>
        <v>S</v>
      </c>
      <c r="D109">
        <f t="shared" ca="1" si="37"/>
        <v>0</v>
      </c>
      <c r="E109">
        <f ca="1">IF($C109=1,OFFSET(E109,-1,0)+MAX(1,COUNTIF(QCI!$A$13:$A$24,OFFSET(ORÇAMENTO!E109,-1,0))),OFFSET(E109,-1,0))</f>
        <v>1</v>
      </c>
      <c r="F109">
        <f t="shared" ca="1" si="38"/>
        <v>5</v>
      </c>
      <c r="G109">
        <f t="shared" ca="1" si="39"/>
        <v>0</v>
      </c>
      <c r="H109">
        <f t="shared" ca="1" si="40"/>
        <v>0</v>
      </c>
      <c r="I109">
        <f t="shared" ca="1" si="41"/>
        <v>2</v>
      </c>
      <c r="J109">
        <f t="shared" ca="1" si="42"/>
        <v>0</v>
      </c>
      <c r="K109">
        <f ca="1">IF(OR($C109="S",$C109=0),0,MATCH(OFFSET($D109,0,$C109)+IF($C109&lt;&gt;1,1,COUNTIF(QCI!$A$13:$A$24,ORÇAMENTO!E109)),OFFSET($D109,1,$C109,ROW($C$264)-ROW($C109)),0))</f>
        <v>0</v>
      </c>
      <c r="L109" s="139" t="str">
        <f t="shared" ca="1" si="43"/>
        <v/>
      </c>
      <c r="M109" s="140" t="s">
        <v>199</v>
      </c>
      <c r="N109" s="141" t="str">
        <f t="shared" ca="1" si="44"/>
        <v>Serviço</v>
      </c>
      <c r="O109" s="142" t="str">
        <f t="shared" ca="1" si="45"/>
        <v>-</v>
      </c>
      <c r="P109" s="143" t="s">
        <v>247</v>
      </c>
      <c r="Q109" s="144"/>
      <c r="R109" s="145" t="str">
        <f ca="1">IF($C109="S",REFERENCIA.Descricao,"(digite a descrição aqui)")</f>
        <v>(abra o arquivo 'Referência 11-2024.xlsm)</v>
      </c>
      <c r="S109" s="146" t="str">
        <f ca="1">REFERENCIA.Unidade</f>
        <v>-</v>
      </c>
      <c r="T109" s="147">
        <f ca="1">OFFSET(CÁLCULO!H$15,ROW($T109)-ROW(T$15),0)</f>
        <v>0</v>
      </c>
      <c r="U109" s="148"/>
      <c r="V109" s="149" t="s">
        <v>156</v>
      </c>
      <c r="W109" s="147">
        <f ca="1">IF($C109="S",ROUND(IF(TIPOORCAMENTO="Proposto",ORÇAMENTO.CustoUnitario*(1+$AH109),ORÇAMENTO.PrecoUnitarioLicitado),15-13*$AF$10),0)</f>
        <v>0</v>
      </c>
      <c r="X109" s="150">
        <f ca="1">IF($C109="S",IF(Import.TipoArredondamento&lt;&gt;"TransfereGOV",VTOTAL1,SUM(OFFSET(CÁLCULO!$AA$15,ROW($X109)-ROW($X$15),1):OFFSET(CÁLCULO!$AL$15,ROW($X109)-ROW($X$15),-1))),IF($C109=0,0,ROUND(SomaAgrup,15-13*$AF$11)))</f>
        <v>0</v>
      </c>
      <c r="Y109" s="151" t="s">
        <v>245</v>
      </c>
      <c r="Z109" t="str">
        <f t="shared" ca="1" si="46"/>
        <v/>
      </c>
      <c r="AA109" s="152">
        <f ca="1">IF($C109="S",IF($Z109="CP",$X109,IF($Z109="RA",(($X109)*QCI!$AA$3),0)),SomaAgrup)</f>
        <v>0</v>
      </c>
      <c r="AB109" s="153">
        <f t="shared" ca="1" si="47"/>
        <v>0</v>
      </c>
      <c r="AC109" s="154" t="str">
        <f ca="1">IF($N109="","",IF(ORÇAMENTO.Descricao="","DESCRIÇÃO",IF(AND($C109="S",ORÇAMENTO.Unidade=""),"UNIDADE",IF($X109&lt;0,"VALOR NEGATIVO",IF(OR(AND(TIPOORCAMENTO="Proposto",$AG109&lt;&gt;"",$AG109&gt;0,ORÇAMENTO.CustoUnitario&gt;$AG109),AND(TIPOORCAMENTO="LICITADO",ORÇAMENTO.PrecoUnitarioLicitado&gt;$AN109)),"ACIMA REF.","")))))</f>
        <v/>
      </c>
      <c r="AD109" s="100" t="str">
        <f ca="1">IF(C109&lt;=CRONO.NivelExibicao,MAX($AD$15:OFFSET(AD109,-1,0))+IF($C109&lt;&gt;1,1,MAX(1,COUNTIF(QCI!$A$13:$A$24,OFFSET($E109,-1,0)))),"")</f>
        <v/>
      </c>
      <c r="AE109" s="110" t="b">
        <f ca="1">IF(AND($C109="S",ORÇAMENTO.CodBarra&lt;&gt;""),IF(ORÇAMENTO.Fonte="",ORÇAMENTO.CodBarra,CONCATENATE(ORÇAMENTO.Fonte," ",ORÇAMENTO.CodBarra)))</f>
        <v>0</v>
      </c>
      <c r="AF109" s="155" t="str">
        <f ca="1">IF(ISERROR(INDIRECT(ORÇAMENTO.BancoRef)),"(abra o arquivo 'Referência "&amp;Excel_BuiltIn_Database&amp;".xlsm)",IF(OR($C109&lt;&gt;"S",ORÇAMENTO.CodBarra=""),"(Sem Código)",IF(ISERROR(MATCH($AE109,INDIRECT(ORÇAMENTO.BancoRef),0)),"(Código não identificado nas referências)",MATCH($AE109,INDIRECT(ORÇAMENTO.BancoRef),0))))</f>
        <v>(abra o arquivo 'Referência 11-2024.xlsm)</v>
      </c>
      <c r="AG109" s="574">
        <f ca="1">ROUND(IF(DESONERACAO="sim",REFERENCIA.Desonerado,REFERENCIA.NaoDesonerado),2)</f>
        <v>0</v>
      </c>
      <c r="AH109" s="575">
        <f t="shared" ca="1" si="48"/>
        <v>0.22</v>
      </c>
      <c r="AJ109" s="577"/>
      <c r="AL109" s="607"/>
      <c r="AM109" s="426">
        <f t="shared" ca="1" si="49"/>
        <v>0</v>
      </c>
      <c r="AN109" s="650">
        <f t="shared" ca="1" si="50"/>
        <v>0</v>
      </c>
    </row>
    <row r="110" spans="1:40" ht="13.8" hidden="1">
      <c r="A110" t="str">
        <f t="shared" si="34"/>
        <v>S</v>
      </c>
      <c r="B110">
        <f t="shared" ca="1" si="35"/>
        <v>2</v>
      </c>
      <c r="C110" t="str">
        <f t="shared" ca="1" si="36"/>
        <v>S</v>
      </c>
      <c r="D110">
        <f t="shared" ca="1" si="37"/>
        <v>0</v>
      </c>
      <c r="E110">
        <f ca="1">IF($C110=1,OFFSET(E110,-1,0)+MAX(1,COUNTIF(QCI!$A$13:$A$24,OFFSET(ORÇAMENTO!E110,-1,0))),OFFSET(E110,-1,0))</f>
        <v>1</v>
      </c>
      <c r="F110">
        <f t="shared" ca="1" si="38"/>
        <v>5</v>
      </c>
      <c r="G110">
        <f t="shared" ca="1" si="39"/>
        <v>0</v>
      </c>
      <c r="H110">
        <f t="shared" ca="1" si="40"/>
        <v>0</v>
      </c>
      <c r="I110">
        <f t="shared" ca="1" si="41"/>
        <v>2</v>
      </c>
      <c r="J110">
        <f t="shared" ca="1" si="42"/>
        <v>0</v>
      </c>
      <c r="K110">
        <f ca="1">IF(OR($C110="S",$C110=0),0,MATCH(OFFSET($D110,0,$C110)+IF($C110&lt;&gt;1,1,COUNTIF(QCI!$A$13:$A$24,ORÇAMENTO!E110)),OFFSET($D110,1,$C110,ROW($C$264)-ROW($C110)),0))</f>
        <v>0</v>
      </c>
      <c r="L110" s="139" t="str">
        <f t="shared" ca="1" si="43"/>
        <v/>
      </c>
      <c r="M110" s="140" t="s">
        <v>199</v>
      </c>
      <c r="N110" s="141" t="str">
        <f t="shared" ca="1" si="44"/>
        <v>Serviço</v>
      </c>
      <c r="O110" s="142" t="str">
        <f t="shared" ca="1" si="45"/>
        <v>-</v>
      </c>
      <c r="P110" s="143" t="s">
        <v>247</v>
      </c>
      <c r="Q110" s="144"/>
      <c r="R110" s="145" t="str">
        <f ca="1">IF($C110="S",REFERENCIA.Descricao,"(digite a descrição aqui)")</f>
        <v>(abra o arquivo 'Referência 11-2024.xlsm)</v>
      </c>
      <c r="S110" s="146" t="str">
        <f ca="1">REFERENCIA.Unidade</f>
        <v>-</v>
      </c>
      <c r="T110" s="147">
        <f ca="1">OFFSET(CÁLCULO!H$15,ROW($T110)-ROW(T$15),0)</f>
        <v>0</v>
      </c>
      <c r="U110" s="148"/>
      <c r="V110" s="149" t="s">
        <v>156</v>
      </c>
      <c r="W110" s="147">
        <f ca="1">IF($C110="S",ROUND(IF(TIPOORCAMENTO="Proposto",ORÇAMENTO.CustoUnitario*(1+$AH110),ORÇAMENTO.PrecoUnitarioLicitado),15-13*$AF$10),0)</f>
        <v>0</v>
      </c>
      <c r="X110" s="150">
        <f ca="1">IF($C110="S",IF(Import.TipoArredondamento&lt;&gt;"TransfereGOV",VTOTAL1,SUM(OFFSET(CÁLCULO!$AA$15,ROW($X110)-ROW($X$15),1):OFFSET(CÁLCULO!$AL$15,ROW($X110)-ROW($X$15),-1))),IF($C110=0,0,ROUND(SomaAgrup,15-13*$AF$11)))</f>
        <v>0</v>
      </c>
      <c r="Y110" s="151" t="s">
        <v>245</v>
      </c>
      <c r="Z110" t="str">
        <f t="shared" ca="1" si="46"/>
        <v/>
      </c>
      <c r="AA110" s="152">
        <f ca="1">IF($C110="S",IF($Z110="CP",$X110,IF($Z110="RA",(($X110)*QCI!$AA$3),0)),SomaAgrup)</f>
        <v>0</v>
      </c>
      <c r="AB110" s="153">
        <f t="shared" ca="1" si="47"/>
        <v>0</v>
      </c>
      <c r="AC110" s="154" t="str">
        <f ca="1">IF($N110="","",IF(ORÇAMENTO.Descricao="","DESCRIÇÃO",IF(AND($C110="S",ORÇAMENTO.Unidade=""),"UNIDADE",IF($X110&lt;0,"VALOR NEGATIVO",IF(OR(AND(TIPOORCAMENTO="Proposto",$AG110&lt;&gt;"",$AG110&gt;0,ORÇAMENTO.CustoUnitario&gt;$AG110),AND(TIPOORCAMENTO="LICITADO",ORÇAMENTO.PrecoUnitarioLicitado&gt;$AN110)),"ACIMA REF.","")))))</f>
        <v/>
      </c>
      <c r="AD110" s="100" t="str">
        <f ca="1">IF(C110&lt;=CRONO.NivelExibicao,MAX($AD$15:OFFSET(AD110,-1,0))+IF($C110&lt;&gt;1,1,MAX(1,COUNTIF(QCI!$A$13:$A$24,OFFSET($E110,-1,0)))),"")</f>
        <v/>
      </c>
      <c r="AE110" s="110" t="b">
        <f ca="1">IF(AND($C110="S",ORÇAMENTO.CodBarra&lt;&gt;""),IF(ORÇAMENTO.Fonte="",ORÇAMENTO.CodBarra,CONCATENATE(ORÇAMENTO.Fonte," ",ORÇAMENTO.CodBarra)))</f>
        <v>0</v>
      </c>
      <c r="AF110" s="155" t="str">
        <f ca="1">IF(ISERROR(INDIRECT(ORÇAMENTO.BancoRef)),"(abra o arquivo 'Referência "&amp;Excel_BuiltIn_Database&amp;".xlsm)",IF(OR($C110&lt;&gt;"S",ORÇAMENTO.CodBarra=""),"(Sem Código)",IF(ISERROR(MATCH($AE110,INDIRECT(ORÇAMENTO.BancoRef),0)),"(Código não identificado nas referências)",MATCH($AE110,INDIRECT(ORÇAMENTO.BancoRef),0))))</f>
        <v>(abra o arquivo 'Referência 11-2024.xlsm)</v>
      </c>
      <c r="AG110" s="574">
        <f ca="1">ROUND(IF(DESONERACAO="sim",REFERENCIA.Desonerado,REFERENCIA.NaoDesonerado),2)</f>
        <v>0</v>
      </c>
      <c r="AH110" s="575">
        <f t="shared" ca="1" si="48"/>
        <v>0.22</v>
      </c>
      <c r="AJ110" s="577"/>
      <c r="AL110" s="607"/>
      <c r="AM110" s="426">
        <f t="shared" ca="1" si="49"/>
        <v>0</v>
      </c>
      <c r="AN110" s="650">
        <f t="shared" ca="1" si="50"/>
        <v>0</v>
      </c>
    </row>
    <row r="111" spans="1:40" ht="13.8" hidden="1">
      <c r="A111" t="str">
        <f t="shared" si="34"/>
        <v>S</v>
      </c>
      <c r="B111">
        <f t="shared" ca="1" si="35"/>
        <v>2</v>
      </c>
      <c r="C111" t="str">
        <f t="shared" ca="1" si="36"/>
        <v>S</v>
      </c>
      <c r="D111">
        <f t="shared" ca="1" si="37"/>
        <v>0</v>
      </c>
      <c r="E111">
        <f ca="1">IF($C111=1,OFFSET(E111,-1,0)+MAX(1,COUNTIF(QCI!$A$13:$A$24,OFFSET(ORÇAMENTO!E111,-1,0))),OFFSET(E111,-1,0))</f>
        <v>1</v>
      </c>
      <c r="F111">
        <f t="shared" ca="1" si="38"/>
        <v>5</v>
      </c>
      <c r="G111">
        <f t="shared" ca="1" si="39"/>
        <v>0</v>
      </c>
      <c r="H111">
        <f t="shared" ca="1" si="40"/>
        <v>0</v>
      </c>
      <c r="I111">
        <f t="shared" ca="1" si="41"/>
        <v>2</v>
      </c>
      <c r="J111">
        <f t="shared" ca="1" si="42"/>
        <v>0</v>
      </c>
      <c r="K111">
        <f ca="1">IF(OR($C111="S",$C111=0),0,MATCH(OFFSET($D111,0,$C111)+IF($C111&lt;&gt;1,1,COUNTIF(QCI!$A$13:$A$24,ORÇAMENTO!E111)),OFFSET($D111,1,$C111,ROW($C$264)-ROW($C111)),0))</f>
        <v>0</v>
      </c>
      <c r="L111" s="139" t="str">
        <f t="shared" ca="1" si="43"/>
        <v/>
      </c>
      <c r="M111" s="140" t="s">
        <v>199</v>
      </c>
      <c r="N111" s="141" t="str">
        <f t="shared" ca="1" si="44"/>
        <v>Serviço</v>
      </c>
      <c r="O111" s="142" t="str">
        <f t="shared" ca="1" si="45"/>
        <v>-</v>
      </c>
      <c r="P111" s="143" t="s">
        <v>247</v>
      </c>
      <c r="Q111" s="144"/>
      <c r="R111" s="145" t="str">
        <f ca="1">IF($C111="S",REFERENCIA.Descricao,"(digite a descrição aqui)")</f>
        <v>(abra o arquivo 'Referência 11-2024.xlsm)</v>
      </c>
      <c r="S111" s="146" t="str">
        <f ca="1">REFERENCIA.Unidade</f>
        <v>-</v>
      </c>
      <c r="T111" s="147">
        <f ca="1">OFFSET(CÁLCULO!H$15,ROW($T111)-ROW(T$15),0)</f>
        <v>0</v>
      </c>
      <c r="U111" s="148"/>
      <c r="V111" s="149" t="s">
        <v>156</v>
      </c>
      <c r="W111" s="147">
        <f ca="1">IF($C111="S",ROUND(IF(TIPOORCAMENTO="Proposto",ORÇAMENTO.CustoUnitario*(1+$AH111),ORÇAMENTO.PrecoUnitarioLicitado),15-13*$AF$10),0)</f>
        <v>0</v>
      </c>
      <c r="X111" s="150">
        <f ca="1">IF($C111="S",IF(Import.TipoArredondamento&lt;&gt;"TransfereGOV",VTOTAL1,SUM(OFFSET(CÁLCULO!$AA$15,ROW($X111)-ROW($X$15),1):OFFSET(CÁLCULO!$AL$15,ROW($X111)-ROW($X$15),-1))),IF($C111=0,0,ROUND(SomaAgrup,15-13*$AF$11)))</f>
        <v>0</v>
      </c>
      <c r="Y111" s="151" t="s">
        <v>245</v>
      </c>
      <c r="Z111" t="str">
        <f t="shared" ca="1" si="46"/>
        <v/>
      </c>
      <c r="AA111" s="152">
        <f ca="1">IF($C111="S",IF($Z111="CP",$X111,IF($Z111="RA",(($X111)*QCI!$AA$3),0)),SomaAgrup)</f>
        <v>0</v>
      </c>
      <c r="AB111" s="153">
        <f t="shared" ca="1" si="47"/>
        <v>0</v>
      </c>
      <c r="AC111" s="154" t="str">
        <f ca="1">IF($N111="","",IF(ORÇAMENTO.Descricao="","DESCRIÇÃO",IF(AND($C111="S",ORÇAMENTO.Unidade=""),"UNIDADE",IF($X111&lt;0,"VALOR NEGATIVO",IF(OR(AND(TIPOORCAMENTO="Proposto",$AG111&lt;&gt;"",$AG111&gt;0,ORÇAMENTO.CustoUnitario&gt;$AG111),AND(TIPOORCAMENTO="LICITADO",ORÇAMENTO.PrecoUnitarioLicitado&gt;$AN111)),"ACIMA REF.","")))))</f>
        <v/>
      </c>
      <c r="AD111" s="100" t="str">
        <f ca="1">IF(C111&lt;=CRONO.NivelExibicao,MAX($AD$15:OFFSET(AD111,-1,0))+IF($C111&lt;&gt;1,1,MAX(1,COUNTIF(QCI!$A$13:$A$24,OFFSET($E111,-1,0)))),"")</f>
        <v/>
      </c>
      <c r="AE111" s="110" t="b">
        <f ca="1">IF(AND($C111="S",ORÇAMENTO.CodBarra&lt;&gt;""),IF(ORÇAMENTO.Fonte="",ORÇAMENTO.CodBarra,CONCATENATE(ORÇAMENTO.Fonte," ",ORÇAMENTO.CodBarra)))</f>
        <v>0</v>
      </c>
      <c r="AF111" s="155" t="str">
        <f ca="1">IF(ISERROR(INDIRECT(ORÇAMENTO.BancoRef)),"(abra o arquivo 'Referência "&amp;Excel_BuiltIn_Database&amp;".xlsm)",IF(OR($C111&lt;&gt;"S",ORÇAMENTO.CodBarra=""),"(Sem Código)",IF(ISERROR(MATCH($AE111,INDIRECT(ORÇAMENTO.BancoRef),0)),"(Código não identificado nas referências)",MATCH($AE111,INDIRECT(ORÇAMENTO.BancoRef),0))))</f>
        <v>(abra o arquivo 'Referência 11-2024.xlsm)</v>
      </c>
      <c r="AG111" s="574">
        <f ca="1">ROUND(IF(DESONERACAO="sim",REFERENCIA.Desonerado,REFERENCIA.NaoDesonerado),2)</f>
        <v>0</v>
      </c>
      <c r="AH111" s="575">
        <f t="shared" ca="1" si="48"/>
        <v>0.22</v>
      </c>
      <c r="AJ111" s="577"/>
      <c r="AL111" s="607"/>
      <c r="AM111" s="426">
        <f t="shared" ca="1" si="49"/>
        <v>0</v>
      </c>
      <c r="AN111" s="650">
        <f t="shared" ca="1" si="50"/>
        <v>0</v>
      </c>
    </row>
    <row r="112" spans="1:40" ht="13.8" hidden="1">
      <c r="A112" t="str">
        <f t="shared" si="34"/>
        <v>S</v>
      </c>
      <c r="B112">
        <f t="shared" ca="1" si="35"/>
        <v>2</v>
      </c>
      <c r="C112" t="str">
        <f t="shared" ca="1" si="36"/>
        <v>S</v>
      </c>
      <c r="D112">
        <f t="shared" ca="1" si="37"/>
        <v>0</v>
      </c>
      <c r="E112">
        <f ca="1">IF($C112=1,OFFSET(E112,-1,0)+MAX(1,COUNTIF(QCI!$A$13:$A$24,OFFSET(ORÇAMENTO!E112,-1,0))),OFFSET(E112,-1,0))</f>
        <v>1</v>
      </c>
      <c r="F112">
        <f t="shared" ca="1" si="38"/>
        <v>5</v>
      </c>
      <c r="G112">
        <f t="shared" ca="1" si="39"/>
        <v>0</v>
      </c>
      <c r="H112">
        <f t="shared" ca="1" si="40"/>
        <v>0</v>
      </c>
      <c r="I112">
        <f t="shared" ca="1" si="41"/>
        <v>2</v>
      </c>
      <c r="J112">
        <f t="shared" ca="1" si="42"/>
        <v>0</v>
      </c>
      <c r="K112">
        <f ca="1">IF(OR($C112="S",$C112=0),0,MATCH(OFFSET($D112,0,$C112)+IF($C112&lt;&gt;1,1,COUNTIF(QCI!$A$13:$A$24,ORÇAMENTO!E112)),OFFSET($D112,1,$C112,ROW($C$264)-ROW($C112)),0))</f>
        <v>0</v>
      </c>
      <c r="L112" s="139" t="str">
        <f t="shared" ca="1" si="43"/>
        <v/>
      </c>
      <c r="M112" s="140" t="s">
        <v>199</v>
      </c>
      <c r="N112" s="141" t="str">
        <f t="shared" ca="1" si="44"/>
        <v>Serviço</v>
      </c>
      <c r="O112" s="142" t="str">
        <f t="shared" ca="1" si="45"/>
        <v>-</v>
      </c>
      <c r="P112" s="143" t="s">
        <v>247</v>
      </c>
      <c r="Q112" s="144"/>
      <c r="R112" s="145" t="str">
        <f ca="1">IF($C112="S",REFERENCIA.Descricao,"(digite a descrição aqui)")</f>
        <v>(abra o arquivo 'Referência 11-2024.xlsm)</v>
      </c>
      <c r="S112" s="146" t="str">
        <f ca="1">REFERENCIA.Unidade</f>
        <v>-</v>
      </c>
      <c r="T112" s="147">
        <f ca="1">OFFSET(CÁLCULO!H$15,ROW($T112)-ROW(T$15),0)</f>
        <v>0</v>
      </c>
      <c r="U112" s="148"/>
      <c r="V112" s="149" t="s">
        <v>156</v>
      </c>
      <c r="W112" s="147">
        <f ca="1">IF($C112="S",ROUND(IF(TIPOORCAMENTO="Proposto",ORÇAMENTO.CustoUnitario*(1+$AH112),ORÇAMENTO.PrecoUnitarioLicitado),15-13*$AF$10),0)</f>
        <v>0</v>
      </c>
      <c r="X112" s="150">
        <f ca="1">IF($C112="S",IF(Import.TipoArredondamento&lt;&gt;"TransfereGOV",VTOTAL1,SUM(OFFSET(CÁLCULO!$AA$15,ROW($X112)-ROW($X$15),1):OFFSET(CÁLCULO!$AL$15,ROW($X112)-ROW($X$15),-1))),IF($C112=0,0,ROUND(SomaAgrup,15-13*$AF$11)))</f>
        <v>0</v>
      </c>
      <c r="Y112" s="151" t="s">
        <v>245</v>
      </c>
      <c r="Z112" t="str">
        <f t="shared" ca="1" si="46"/>
        <v/>
      </c>
      <c r="AA112" s="152">
        <f ca="1">IF($C112="S",IF($Z112="CP",$X112,IF($Z112="RA",(($X112)*QCI!$AA$3),0)),SomaAgrup)</f>
        <v>0</v>
      </c>
      <c r="AB112" s="153">
        <f t="shared" ca="1" si="47"/>
        <v>0</v>
      </c>
      <c r="AC112" s="154" t="str">
        <f ca="1">IF($N112="","",IF(ORÇAMENTO.Descricao="","DESCRIÇÃO",IF(AND($C112="S",ORÇAMENTO.Unidade=""),"UNIDADE",IF($X112&lt;0,"VALOR NEGATIVO",IF(OR(AND(TIPOORCAMENTO="Proposto",$AG112&lt;&gt;"",$AG112&gt;0,ORÇAMENTO.CustoUnitario&gt;$AG112),AND(TIPOORCAMENTO="LICITADO",ORÇAMENTO.PrecoUnitarioLicitado&gt;$AN112)),"ACIMA REF.","")))))</f>
        <v/>
      </c>
      <c r="AD112" s="100" t="str">
        <f ca="1">IF(C112&lt;=CRONO.NivelExibicao,MAX($AD$15:OFFSET(AD112,-1,0))+IF($C112&lt;&gt;1,1,MAX(1,COUNTIF(QCI!$A$13:$A$24,OFFSET($E112,-1,0)))),"")</f>
        <v/>
      </c>
      <c r="AE112" s="110" t="b">
        <f ca="1">IF(AND($C112="S",ORÇAMENTO.CodBarra&lt;&gt;""),IF(ORÇAMENTO.Fonte="",ORÇAMENTO.CodBarra,CONCATENATE(ORÇAMENTO.Fonte," ",ORÇAMENTO.CodBarra)))</f>
        <v>0</v>
      </c>
      <c r="AF112" s="155" t="str">
        <f ca="1">IF(ISERROR(INDIRECT(ORÇAMENTO.BancoRef)),"(abra o arquivo 'Referência "&amp;Excel_BuiltIn_Database&amp;".xlsm)",IF(OR($C112&lt;&gt;"S",ORÇAMENTO.CodBarra=""),"(Sem Código)",IF(ISERROR(MATCH($AE112,INDIRECT(ORÇAMENTO.BancoRef),0)),"(Código não identificado nas referências)",MATCH($AE112,INDIRECT(ORÇAMENTO.BancoRef),0))))</f>
        <v>(abra o arquivo 'Referência 11-2024.xlsm)</v>
      </c>
      <c r="AG112" s="574">
        <f ca="1">ROUND(IF(DESONERACAO="sim",REFERENCIA.Desonerado,REFERENCIA.NaoDesonerado),2)</f>
        <v>0</v>
      </c>
      <c r="AH112" s="575">
        <f t="shared" ca="1" si="48"/>
        <v>0.22</v>
      </c>
      <c r="AJ112" s="577"/>
      <c r="AL112" s="607"/>
      <c r="AM112" s="426">
        <f t="shared" ca="1" si="49"/>
        <v>0</v>
      </c>
      <c r="AN112" s="650">
        <f t="shared" ca="1" si="50"/>
        <v>0</v>
      </c>
    </row>
    <row r="113" spans="1:40" ht="13.8" hidden="1">
      <c r="A113" t="str">
        <f t="shared" si="34"/>
        <v>S</v>
      </c>
      <c r="B113">
        <f t="shared" ca="1" si="35"/>
        <v>2</v>
      </c>
      <c r="C113" t="str">
        <f t="shared" ca="1" si="36"/>
        <v>S</v>
      </c>
      <c r="D113">
        <f t="shared" ca="1" si="37"/>
        <v>0</v>
      </c>
      <c r="E113">
        <f ca="1">IF($C113=1,OFFSET(E113,-1,0)+MAX(1,COUNTIF(QCI!$A$13:$A$24,OFFSET(ORÇAMENTO!E113,-1,0))),OFFSET(E113,-1,0))</f>
        <v>1</v>
      </c>
      <c r="F113">
        <f t="shared" ca="1" si="38"/>
        <v>5</v>
      </c>
      <c r="G113">
        <f t="shared" ca="1" si="39"/>
        <v>0</v>
      </c>
      <c r="H113">
        <f t="shared" ca="1" si="40"/>
        <v>0</v>
      </c>
      <c r="I113">
        <f t="shared" ca="1" si="41"/>
        <v>2</v>
      </c>
      <c r="J113">
        <f t="shared" ca="1" si="42"/>
        <v>0</v>
      </c>
      <c r="K113">
        <f ca="1">IF(OR($C113="S",$C113=0),0,MATCH(OFFSET($D113,0,$C113)+IF($C113&lt;&gt;1,1,COUNTIF(QCI!$A$13:$A$24,ORÇAMENTO!E113)),OFFSET($D113,1,$C113,ROW($C$264)-ROW($C113)),0))</f>
        <v>0</v>
      </c>
      <c r="L113" s="139" t="str">
        <f t="shared" ca="1" si="43"/>
        <v/>
      </c>
      <c r="M113" s="140" t="s">
        <v>199</v>
      </c>
      <c r="N113" s="141" t="str">
        <f t="shared" ca="1" si="44"/>
        <v>Serviço</v>
      </c>
      <c r="O113" s="142" t="str">
        <f t="shared" ca="1" si="45"/>
        <v>-</v>
      </c>
      <c r="P113" s="143" t="s">
        <v>247</v>
      </c>
      <c r="Q113" s="144"/>
      <c r="R113" s="145" t="str">
        <f ca="1">IF($C113="S",REFERENCIA.Descricao,"(digite a descrição aqui)")</f>
        <v>(abra o arquivo 'Referência 11-2024.xlsm)</v>
      </c>
      <c r="S113" s="146" t="str">
        <f ca="1">REFERENCIA.Unidade</f>
        <v>-</v>
      </c>
      <c r="T113" s="147">
        <f ca="1">OFFSET(CÁLCULO!H$15,ROW($T113)-ROW(T$15),0)</f>
        <v>0</v>
      </c>
      <c r="U113" s="148"/>
      <c r="V113" s="149" t="s">
        <v>156</v>
      </c>
      <c r="W113" s="147">
        <f ca="1">IF($C113="S",ROUND(IF(TIPOORCAMENTO="Proposto",ORÇAMENTO.CustoUnitario*(1+$AH113),ORÇAMENTO.PrecoUnitarioLicitado),15-13*$AF$10),0)</f>
        <v>0</v>
      </c>
      <c r="X113" s="150">
        <f ca="1">IF($C113="S",IF(Import.TipoArredondamento&lt;&gt;"TransfereGOV",VTOTAL1,SUM(OFFSET(CÁLCULO!$AA$15,ROW($X113)-ROW($X$15),1):OFFSET(CÁLCULO!$AL$15,ROW($X113)-ROW($X$15),-1))),IF($C113=0,0,ROUND(SomaAgrup,15-13*$AF$11)))</f>
        <v>0</v>
      </c>
      <c r="Y113" s="151" t="s">
        <v>245</v>
      </c>
      <c r="Z113" t="str">
        <f t="shared" ca="1" si="46"/>
        <v/>
      </c>
      <c r="AA113" s="152">
        <f ca="1">IF($C113="S",IF($Z113="CP",$X113,IF($Z113="RA",(($X113)*QCI!$AA$3),0)),SomaAgrup)</f>
        <v>0</v>
      </c>
      <c r="AB113" s="153">
        <f t="shared" ca="1" si="47"/>
        <v>0</v>
      </c>
      <c r="AC113" s="154" t="str">
        <f ca="1">IF($N113="","",IF(ORÇAMENTO.Descricao="","DESCRIÇÃO",IF(AND($C113="S",ORÇAMENTO.Unidade=""),"UNIDADE",IF($X113&lt;0,"VALOR NEGATIVO",IF(OR(AND(TIPOORCAMENTO="Proposto",$AG113&lt;&gt;"",$AG113&gt;0,ORÇAMENTO.CustoUnitario&gt;$AG113),AND(TIPOORCAMENTO="LICITADO",ORÇAMENTO.PrecoUnitarioLicitado&gt;$AN113)),"ACIMA REF.","")))))</f>
        <v/>
      </c>
      <c r="AD113" s="100" t="str">
        <f ca="1">IF(C113&lt;=CRONO.NivelExibicao,MAX($AD$15:OFFSET(AD113,-1,0))+IF($C113&lt;&gt;1,1,MAX(1,COUNTIF(QCI!$A$13:$A$24,OFFSET($E113,-1,0)))),"")</f>
        <v/>
      </c>
      <c r="AE113" s="110" t="b">
        <f ca="1">IF(AND($C113="S",ORÇAMENTO.CodBarra&lt;&gt;""),IF(ORÇAMENTO.Fonte="",ORÇAMENTO.CodBarra,CONCATENATE(ORÇAMENTO.Fonte," ",ORÇAMENTO.CodBarra)))</f>
        <v>0</v>
      </c>
      <c r="AF113" s="155" t="str">
        <f ca="1">IF(ISERROR(INDIRECT(ORÇAMENTO.BancoRef)),"(abra o arquivo 'Referência "&amp;Excel_BuiltIn_Database&amp;".xlsm)",IF(OR($C113&lt;&gt;"S",ORÇAMENTO.CodBarra=""),"(Sem Código)",IF(ISERROR(MATCH($AE113,INDIRECT(ORÇAMENTO.BancoRef),0)),"(Código não identificado nas referências)",MATCH($AE113,INDIRECT(ORÇAMENTO.BancoRef),0))))</f>
        <v>(abra o arquivo 'Referência 11-2024.xlsm)</v>
      </c>
      <c r="AG113" s="574">
        <f ca="1">ROUND(IF(DESONERACAO="sim",REFERENCIA.Desonerado,REFERENCIA.NaoDesonerado),2)</f>
        <v>0</v>
      </c>
      <c r="AH113" s="575">
        <f t="shared" ca="1" si="48"/>
        <v>0.22</v>
      </c>
      <c r="AJ113" s="577"/>
      <c r="AL113" s="607"/>
      <c r="AM113" s="426">
        <f t="shared" ca="1" si="49"/>
        <v>0</v>
      </c>
      <c r="AN113" s="650">
        <f t="shared" ca="1" si="50"/>
        <v>0</v>
      </c>
    </row>
    <row r="114" spans="1:40" ht="13.8" hidden="1">
      <c r="A114" t="str">
        <f t="shared" si="34"/>
        <v>S</v>
      </c>
      <c r="B114">
        <f t="shared" ca="1" si="35"/>
        <v>2</v>
      </c>
      <c r="C114" t="str">
        <f t="shared" ca="1" si="36"/>
        <v>S</v>
      </c>
      <c r="D114">
        <f t="shared" ca="1" si="37"/>
        <v>0</v>
      </c>
      <c r="E114">
        <f ca="1">IF($C114=1,OFFSET(E114,-1,0)+MAX(1,COUNTIF(QCI!$A$13:$A$24,OFFSET(ORÇAMENTO!E114,-1,0))),OFFSET(E114,-1,0))</f>
        <v>1</v>
      </c>
      <c r="F114">
        <f t="shared" ca="1" si="38"/>
        <v>5</v>
      </c>
      <c r="G114">
        <f t="shared" ca="1" si="39"/>
        <v>0</v>
      </c>
      <c r="H114">
        <f t="shared" ca="1" si="40"/>
        <v>0</v>
      </c>
      <c r="I114">
        <f t="shared" ca="1" si="41"/>
        <v>2</v>
      </c>
      <c r="J114">
        <f t="shared" ca="1" si="42"/>
        <v>0</v>
      </c>
      <c r="K114">
        <f ca="1">IF(OR($C114="S",$C114=0),0,MATCH(OFFSET($D114,0,$C114)+IF($C114&lt;&gt;1,1,COUNTIF(QCI!$A$13:$A$24,ORÇAMENTO!E114)),OFFSET($D114,1,$C114,ROW($C$264)-ROW($C114)),0))</f>
        <v>0</v>
      </c>
      <c r="L114" s="139" t="str">
        <f t="shared" ca="1" si="43"/>
        <v/>
      </c>
      <c r="M114" s="140" t="s">
        <v>199</v>
      </c>
      <c r="N114" s="141" t="str">
        <f t="shared" ca="1" si="44"/>
        <v>Serviço</v>
      </c>
      <c r="O114" s="142" t="str">
        <f t="shared" ca="1" si="45"/>
        <v>-</v>
      </c>
      <c r="P114" s="143" t="s">
        <v>247</v>
      </c>
      <c r="Q114" s="144"/>
      <c r="R114" s="145" t="str">
        <f ca="1">IF($C114="S",REFERENCIA.Descricao,"(digite a descrição aqui)")</f>
        <v>(abra o arquivo 'Referência 11-2024.xlsm)</v>
      </c>
      <c r="S114" s="146" t="str">
        <f ca="1">REFERENCIA.Unidade</f>
        <v>-</v>
      </c>
      <c r="T114" s="147">
        <f ca="1">OFFSET(CÁLCULO!H$15,ROW($T114)-ROW(T$15),0)</f>
        <v>0</v>
      </c>
      <c r="U114" s="148"/>
      <c r="V114" s="149" t="s">
        <v>156</v>
      </c>
      <c r="W114" s="147">
        <f ca="1">IF($C114="S",ROUND(IF(TIPOORCAMENTO="Proposto",ORÇAMENTO.CustoUnitario*(1+$AH114),ORÇAMENTO.PrecoUnitarioLicitado),15-13*$AF$10),0)</f>
        <v>0</v>
      </c>
      <c r="X114" s="150">
        <f ca="1">IF($C114="S",IF(Import.TipoArredondamento&lt;&gt;"TransfereGOV",VTOTAL1,SUM(OFFSET(CÁLCULO!$AA$15,ROW($X114)-ROW($X$15),1):OFFSET(CÁLCULO!$AL$15,ROW($X114)-ROW($X$15),-1))),IF($C114=0,0,ROUND(SomaAgrup,15-13*$AF$11)))</f>
        <v>0</v>
      </c>
      <c r="Y114" s="151" t="s">
        <v>245</v>
      </c>
      <c r="Z114" t="str">
        <f t="shared" ca="1" si="46"/>
        <v/>
      </c>
      <c r="AA114" s="152">
        <f ca="1">IF($C114="S",IF($Z114="CP",$X114,IF($Z114="RA",(($X114)*QCI!$AA$3),0)),SomaAgrup)</f>
        <v>0</v>
      </c>
      <c r="AB114" s="153">
        <f t="shared" ca="1" si="47"/>
        <v>0</v>
      </c>
      <c r="AC114" s="154" t="str">
        <f ca="1">IF($N114="","",IF(ORÇAMENTO.Descricao="","DESCRIÇÃO",IF(AND($C114="S",ORÇAMENTO.Unidade=""),"UNIDADE",IF($X114&lt;0,"VALOR NEGATIVO",IF(OR(AND(TIPOORCAMENTO="Proposto",$AG114&lt;&gt;"",$AG114&gt;0,ORÇAMENTO.CustoUnitario&gt;$AG114),AND(TIPOORCAMENTO="LICITADO",ORÇAMENTO.PrecoUnitarioLicitado&gt;$AN114)),"ACIMA REF.","")))))</f>
        <v/>
      </c>
      <c r="AD114" s="100" t="str">
        <f ca="1">IF(C114&lt;=CRONO.NivelExibicao,MAX($AD$15:OFFSET(AD114,-1,0))+IF($C114&lt;&gt;1,1,MAX(1,COUNTIF(QCI!$A$13:$A$24,OFFSET($E114,-1,0)))),"")</f>
        <v/>
      </c>
      <c r="AE114" s="110" t="b">
        <f ca="1">IF(AND($C114="S",ORÇAMENTO.CodBarra&lt;&gt;""),IF(ORÇAMENTO.Fonte="",ORÇAMENTO.CodBarra,CONCATENATE(ORÇAMENTO.Fonte," ",ORÇAMENTO.CodBarra)))</f>
        <v>0</v>
      </c>
      <c r="AF114" s="155" t="str">
        <f ca="1">IF(ISERROR(INDIRECT(ORÇAMENTO.BancoRef)),"(abra o arquivo 'Referência "&amp;Excel_BuiltIn_Database&amp;".xlsm)",IF(OR($C114&lt;&gt;"S",ORÇAMENTO.CodBarra=""),"(Sem Código)",IF(ISERROR(MATCH($AE114,INDIRECT(ORÇAMENTO.BancoRef),0)),"(Código não identificado nas referências)",MATCH($AE114,INDIRECT(ORÇAMENTO.BancoRef),0))))</f>
        <v>(abra o arquivo 'Referência 11-2024.xlsm)</v>
      </c>
      <c r="AG114" s="574">
        <f ca="1">ROUND(IF(DESONERACAO="sim",REFERENCIA.Desonerado,REFERENCIA.NaoDesonerado),2)</f>
        <v>0</v>
      </c>
      <c r="AH114" s="575">
        <f t="shared" ca="1" si="48"/>
        <v>0.22</v>
      </c>
      <c r="AJ114" s="577"/>
      <c r="AL114" s="607"/>
      <c r="AM114" s="426">
        <f t="shared" ca="1" si="49"/>
        <v>0</v>
      </c>
      <c r="AN114" s="650">
        <f t="shared" ca="1" si="50"/>
        <v>0</v>
      </c>
    </row>
    <row r="115" spans="1:40" ht="13.8" hidden="1">
      <c r="A115" t="str">
        <f t="shared" si="34"/>
        <v>S</v>
      </c>
      <c r="B115">
        <f t="shared" ca="1" si="35"/>
        <v>2</v>
      </c>
      <c r="C115" t="str">
        <f t="shared" ca="1" si="36"/>
        <v>S</v>
      </c>
      <c r="D115">
        <f t="shared" ca="1" si="37"/>
        <v>0</v>
      </c>
      <c r="E115">
        <f ca="1">IF($C115=1,OFFSET(E115,-1,0)+MAX(1,COUNTIF(QCI!$A$13:$A$24,OFFSET(ORÇAMENTO!E115,-1,0))),OFFSET(E115,-1,0))</f>
        <v>1</v>
      </c>
      <c r="F115">
        <f t="shared" ca="1" si="38"/>
        <v>5</v>
      </c>
      <c r="G115">
        <f t="shared" ca="1" si="39"/>
        <v>0</v>
      </c>
      <c r="H115">
        <f t="shared" ca="1" si="40"/>
        <v>0</v>
      </c>
      <c r="I115">
        <f t="shared" ca="1" si="41"/>
        <v>2</v>
      </c>
      <c r="J115">
        <f t="shared" ca="1" si="42"/>
        <v>0</v>
      </c>
      <c r="K115">
        <f ca="1">IF(OR($C115="S",$C115=0),0,MATCH(OFFSET($D115,0,$C115)+IF($C115&lt;&gt;1,1,COUNTIF(QCI!$A$13:$A$24,ORÇAMENTO!E115)),OFFSET($D115,1,$C115,ROW($C$264)-ROW($C115)),0))</f>
        <v>0</v>
      </c>
      <c r="L115" s="139" t="str">
        <f t="shared" ca="1" si="43"/>
        <v/>
      </c>
      <c r="M115" s="140" t="s">
        <v>199</v>
      </c>
      <c r="N115" s="141" t="str">
        <f t="shared" ca="1" si="44"/>
        <v>Serviço</v>
      </c>
      <c r="O115" s="142" t="str">
        <f t="shared" ca="1" si="45"/>
        <v>-</v>
      </c>
      <c r="P115" s="143" t="s">
        <v>247</v>
      </c>
      <c r="Q115" s="144"/>
      <c r="R115" s="145" t="str">
        <f ca="1">IF($C115="S",REFERENCIA.Descricao,"(digite a descrição aqui)")</f>
        <v>(abra o arquivo 'Referência 11-2024.xlsm)</v>
      </c>
      <c r="S115" s="146" t="str">
        <f ca="1">REFERENCIA.Unidade</f>
        <v>-</v>
      </c>
      <c r="T115" s="147">
        <f ca="1">OFFSET(CÁLCULO!H$15,ROW($T115)-ROW(T$15),0)</f>
        <v>0</v>
      </c>
      <c r="U115" s="148"/>
      <c r="V115" s="149" t="s">
        <v>156</v>
      </c>
      <c r="W115" s="147">
        <f ca="1">IF($C115="S",ROUND(IF(TIPOORCAMENTO="Proposto",ORÇAMENTO.CustoUnitario*(1+$AH115),ORÇAMENTO.PrecoUnitarioLicitado),15-13*$AF$10),0)</f>
        <v>0</v>
      </c>
      <c r="X115" s="150">
        <f ca="1">IF($C115="S",IF(Import.TipoArredondamento&lt;&gt;"TransfereGOV",VTOTAL1,SUM(OFFSET(CÁLCULO!$AA$15,ROW($X115)-ROW($X$15),1):OFFSET(CÁLCULO!$AL$15,ROW($X115)-ROW($X$15),-1))),IF($C115=0,0,ROUND(SomaAgrup,15-13*$AF$11)))</f>
        <v>0</v>
      </c>
      <c r="Y115" s="151" t="s">
        <v>245</v>
      </c>
      <c r="Z115" t="str">
        <f t="shared" ca="1" si="46"/>
        <v/>
      </c>
      <c r="AA115" s="152">
        <f ca="1">IF($C115="S",IF($Z115="CP",$X115,IF($Z115="RA",(($X115)*QCI!$AA$3),0)),SomaAgrup)</f>
        <v>0</v>
      </c>
      <c r="AB115" s="153">
        <f t="shared" ca="1" si="47"/>
        <v>0</v>
      </c>
      <c r="AC115" s="154" t="str">
        <f ca="1">IF($N115="","",IF(ORÇAMENTO.Descricao="","DESCRIÇÃO",IF(AND($C115="S",ORÇAMENTO.Unidade=""),"UNIDADE",IF($X115&lt;0,"VALOR NEGATIVO",IF(OR(AND(TIPOORCAMENTO="Proposto",$AG115&lt;&gt;"",$AG115&gt;0,ORÇAMENTO.CustoUnitario&gt;$AG115),AND(TIPOORCAMENTO="LICITADO",ORÇAMENTO.PrecoUnitarioLicitado&gt;$AN115)),"ACIMA REF.","")))))</f>
        <v/>
      </c>
      <c r="AD115" s="100" t="str">
        <f ca="1">IF(C115&lt;=CRONO.NivelExibicao,MAX($AD$15:OFFSET(AD115,-1,0))+IF($C115&lt;&gt;1,1,MAX(1,COUNTIF(QCI!$A$13:$A$24,OFFSET($E115,-1,0)))),"")</f>
        <v/>
      </c>
      <c r="AE115" s="110" t="b">
        <f ca="1">IF(AND($C115="S",ORÇAMENTO.CodBarra&lt;&gt;""),IF(ORÇAMENTO.Fonte="",ORÇAMENTO.CodBarra,CONCATENATE(ORÇAMENTO.Fonte," ",ORÇAMENTO.CodBarra)))</f>
        <v>0</v>
      </c>
      <c r="AF115" s="155" t="str">
        <f ca="1">IF(ISERROR(INDIRECT(ORÇAMENTO.BancoRef)),"(abra o arquivo 'Referência "&amp;Excel_BuiltIn_Database&amp;".xlsm)",IF(OR($C115&lt;&gt;"S",ORÇAMENTO.CodBarra=""),"(Sem Código)",IF(ISERROR(MATCH($AE115,INDIRECT(ORÇAMENTO.BancoRef),0)),"(Código não identificado nas referências)",MATCH($AE115,INDIRECT(ORÇAMENTO.BancoRef),0))))</f>
        <v>(abra o arquivo 'Referência 11-2024.xlsm)</v>
      </c>
      <c r="AG115" s="574">
        <f ca="1">ROUND(IF(DESONERACAO="sim",REFERENCIA.Desonerado,REFERENCIA.NaoDesonerado),2)</f>
        <v>0</v>
      </c>
      <c r="AH115" s="575">
        <f t="shared" ca="1" si="48"/>
        <v>0.22</v>
      </c>
      <c r="AJ115" s="577"/>
      <c r="AL115" s="607"/>
      <c r="AM115" s="426">
        <f t="shared" ca="1" si="49"/>
        <v>0</v>
      </c>
      <c r="AN115" s="650">
        <f t="shared" ca="1" si="50"/>
        <v>0</v>
      </c>
    </row>
    <row r="116" spans="1:40" ht="13.8" hidden="1">
      <c r="A116" t="str">
        <f t="shared" si="34"/>
        <v>S</v>
      </c>
      <c r="B116">
        <f t="shared" ca="1" si="35"/>
        <v>2</v>
      </c>
      <c r="C116" t="str">
        <f t="shared" ca="1" si="36"/>
        <v>S</v>
      </c>
      <c r="D116">
        <f t="shared" ca="1" si="37"/>
        <v>0</v>
      </c>
      <c r="E116">
        <f ca="1">IF($C116=1,OFFSET(E116,-1,0)+MAX(1,COUNTIF(QCI!$A$13:$A$24,OFFSET(ORÇAMENTO!E116,-1,0))),OFFSET(E116,-1,0))</f>
        <v>1</v>
      </c>
      <c r="F116">
        <f t="shared" ca="1" si="38"/>
        <v>5</v>
      </c>
      <c r="G116">
        <f t="shared" ca="1" si="39"/>
        <v>0</v>
      </c>
      <c r="H116">
        <f t="shared" ca="1" si="40"/>
        <v>0</v>
      </c>
      <c r="I116">
        <f t="shared" ca="1" si="41"/>
        <v>2</v>
      </c>
      <c r="J116">
        <f t="shared" ca="1" si="42"/>
        <v>0</v>
      </c>
      <c r="K116">
        <f ca="1">IF(OR($C116="S",$C116=0),0,MATCH(OFFSET($D116,0,$C116)+IF($C116&lt;&gt;1,1,COUNTIF(QCI!$A$13:$A$24,ORÇAMENTO!E116)),OFFSET($D116,1,$C116,ROW($C$264)-ROW($C116)),0))</f>
        <v>0</v>
      </c>
      <c r="L116" s="139" t="str">
        <f t="shared" ca="1" si="43"/>
        <v/>
      </c>
      <c r="M116" s="140" t="s">
        <v>199</v>
      </c>
      <c r="N116" s="141" t="str">
        <f t="shared" ca="1" si="44"/>
        <v>Serviço</v>
      </c>
      <c r="O116" s="142" t="str">
        <f t="shared" ca="1" si="45"/>
        <v>-</v>
      </c>
      <c r="P116" s="143" t="s">
        <v>247</v>
      </c>
      <c r="Q116" s="144"/>
      <c r="R116" s="145" t="str">
        <f ca="1">IF($C116="S",REFERENCIA.Descricao,"(digite a descrição aqui)")</f>
        <v>(abra o arquivo 'Referência 11-2024.xlsm)</v>
      </c>
      <c r="S116" s="146" t="str">
        <f ca="1">REFERENCIA.Unidade</f>
        <v>-</v>
      </c>
      <c r="T116" s="147">
        <f ca="1">OFFSET(CÁLCULO!H$15,ROW($T116)-ROW(T$15),0)</f>
        <v>0</v>
      </c>
      <c r="U116" s="148"/>
      <c r="V116" s="149" t="s">
        <v>156</v>
      </c>
      <c r="W116" s="147">
        <f ca="1">IF($C116="S",ROUND(IF(TIPOORCAMENTO="Proposto",ORÇAMENTO.CustoUnitario*(1+$AH116),ORÇAMENTO.PrecoUnitarioLicitado),15-13*$AF$10),0)</f>
        <v>0</v>
      </c>
      <c r="X116" s="150">
        <f ca="1">IF($C116="S",IF(Import.TipoArredondamento&lt;&gt;"TransfereGOV",VTOTAL1,SUM(OFFSET(CÁLCULO!$AA$15,ROW($X116)-ROW($X$15),1):OFFSET(CÁLCULO!$AL$15,ROW($X116)-ROW($X$15),-1))),IF($C116=0,0,ROUND(SomaAgrup,15-13*$AF$11)))</f>
        <v>0</v>
      </c>
      <c r="Y116" s="151" t="s">
        <v>245</v>
      </c>
      <c r="Z116" t="str">
        <f t="shared" ca="1" si="46"/>
        <v/>
      </c>
      <c r="AA116" s="152">
        <f ca="1">IF($C116="S",IF($Z116="CP",$X116,IF($Z116="RA",(($X116)*QCI!$AA$3),0)),SomaAgrup)</f>
        <v>0</v>
      </c>
      <c r="AB116" s="153">
        <f t="shared" ca="1" si="47"/>
        <v>0</v>
      </c>
      <c r="AC116" s="154" t="str">
        <f ca="1">IF($N116="","",IF(ORÇAMENTO.Descricao="","DESCRIÇÃO",IF(AND($C116="S",ORÇAMENTO.Unidade=""),"UNIDADE",IF($X116&lt;0,"VALOR NEGATIVO",IF(OR(AND(TIPOORCAMENTO="Proposto",$AG116&lt;&gt;"",$AG116&gt;0,ORÇAMENTO.CustoUnitario&gt;$AG116),AND(TIPOORCAMENTO="LICITADO",ORÇAMENTO.PrecoUnitarioLicitado&gt;$AN116)),"ACIMA REF.","")))))</f>
        <v/>
      </c>
      <c r="AD116" s="100" t="str">
        <f ca="1">IF(C116&lt;=CRONO.NivelExibicao,MAX($AD$15:OFFSET(AD116,-1,0))+IF($C116&lt;&gt;1,1,MAX(1,COUNTIF(QCI!$A$13:$A$24,OFFSET($E116,-1,0)))),"")</f>
        <v/>
      </c>
      <c r="AE116" s="110" t="b">
        <f ca="1">IF(AND($C116="S",ORÇAMENTO.CodBarra&lt;&gt;""),IF(ORÇAMENTO.Fonte="",ORÇAMENTO.CodBarra,CONCATENATE(ORÇAMENTO.Fonte," ",ORÇAMENTO.CodBarra)))</f>
        <v>0</v>
      </c>
      <c r="AF116" s="155" t="str">
        <f ca="1">IF(ISERROR(INDIRECT(ORÇAMENTO.BancoRef)),"(abra o arquivo 'Referência "&amp;Excel_BuiltIn_Database&amp;".xlsm)",IF(OR($C116&lt;&gt;"S",ORÇAMENTO.CodBarra=""),"(Sem Código)",IF(ISERROR(MATCH($AE116,INDIRECT(ORÇAMENTO.BancoRef),0)),"(Código não identificado nas referências)",MATCH($AE116,INDIRECT(ORÇAMENTO.BancoRef),0))))</f>
        <v>(abra o arquivo 'Referência 11-2024.xlsm)</v>
      </c>
      <c r="AG116" s="574">
        <f ca="1">ROUND(IF(DESONERACAO="sim",REFERENCIA.Desonerado,REFERENCIA.NaoDesonerado),2)</f>
        <v>0</v>
      </c>
      <c r="AH116" s="575">
        <f t="shared" ca="1" si="48"/>
        <v>0.22</v>
      </c>
      <c r="AJ116" s="577"/>
      <c r="AL116" s="607"/>
      <c r="AM116" s="426">
        <f t="shared" ca="1" si="49"/>
        <v>0</v>
      </c>
      <c r="AN116" s="650">
        <f t="shared" ca="1" si="50"/>
        <v>0</v>
      </c>
    </row>
    <row r="117" spans="1:40" ht="13.8" hidden="1">
      <c r="A117" t="str">
        <f t="shared" si="34"/>
        <v>S</v>
      </c>
      <c r="B117">
        <f t="shared" ca="1" si="35"/>
        <v>2</v>
      </c>
      <c r="C117" t="str">
        <f t="shared" ca="1" si="36"/>
        <v>S</v>
      </c>
      <c r="D117">
        <f t="shared" ca="1" si="37"/>
        <v>0</v>
      </c>
      <c r="E117">
        <f ca="1">IF($C117=1,OFFSET(E117,-1,0)+MAX(1,COUNTIF(QCI!$A$13:$A$24,OFFSET(ORÇAMENTO!E117,-1,0))),OFFSET(E117,-1,0))</f>
        <v>1</v>
      </c>
      <c r="F117">
        <f t="shared" ca="1" si="38"/>
        <v>5</v>
      </c>
      <c r="G117">
        <f t="shared" ca="1" si="39"/>
        <v>0</v>
      </c>
      <c r="H117">
        <f t="shared" ca="1" si="40"/>
        <v>0</v>
      </c>
      <c r="I117">
        <f t="shared" ca="1" si="41"/>
        <v>2</v>
      </c>
      <c r="J117">
        <f t="shared" ca="1" si="42"/>
        <v>0</v>
      </c>
      <c r="K117">
        <f ca="1">IF(OR($C117="S",$C117=0),0,MATCH(OFFSET($D117,0,$C117)+IF($C117&lt;&gt;1,1,COUNTIF(QCI!$A$13:$A$24,ORÇAMENTO!E117)),OFFSET($D117,1,$C117,ROW($C$264)-ROW($C117)),0))</f>
        <v>0</v>
      </c>
      <c r="L117" s="139" t="str">
        <f t="shared" ca="1" si="43"/>
        <v/>
      </c>
      <c r="M117" s="140" t="s">
        <v>199</v>
      </c>
      <c r="N117" s="141" t="str">
        <f t="shared" ca="1" si="44"/>
        <v>Serviço</v>
      </c>
      <c r="O117" s="142" t="str">
        <f t="shared" ca="1" si="45"/>
        <v>-</v>
      </c>
      <c r="P117" s="143" t="s">
        <v>247</v>
      </c>
      <c r="Q117" s="144"/>
      <c r="R117" s="145" t="str">
        <f ca="1">IF($C117="S",REFERENCIA.Descricao,"(digite a descrição aqui)")</f>
        <v>(abra o arquivo 'Referência 11-2024.xlsm)</v>
      </c>
      <c r="S117" s="146" t="str">
        <f ca="1">REFERENCIA.Unidade</f>
        <v>-</v>
      </c>
      <c r="T117" s="147">
        <f ca="1">OFFSET(CÁLCULO!H$15,ROW($T117)-ROW(T$15),0)</f>
        <v>0</v>
      </c>
      <c r="U117" s="148"/>
      <c r="V117" s="149" t="s">
        <v>156</v>
      </c>
      <c r="W117" s="147">
        <f ca="1">IF($C117="S",ROUND(IF(TIPOORCAMENTO="Proposto",ORÇAMENTO.CustoUnitario*(1+$AH117),ORÇAMENTO.PrecoUnitarioLicitado),15-13*$AF$10),0)</f>
        <v>0</v>
      </c>
      <c r="X117" s="150">
        <f ca="1">IF($C117="S",IF(Import.TipoArredondamento&lt;&gt;"TransfereGOV",VTOTAL1,SUM(OFFSET(CÁLCULO!$AA$15,ROW($X117)-ROW($X$15),1):OFFSET(CÁLCULO!$AL$15,ROW($X117)-ROW($X$15),-1))),IF($C117=0,0,ROUND(SomaAgrup,15-13*$AF$11)))</f>
        <v>0</v>
      </c>
      <c r="Y117" s="151" t="s">
        <v>245</v>
      </c>
      <c r="Z117" t="str">
        <f t="shared" ca="1" si="46"/>
        <v/>
      </c>
      <c r="AA117" s="152">
        <f ca="1">IF($C117="S",IF($Z117="CP",$X117,IF($Z117="RA",(($X117)*QCI!$AA$3),0)),SomaAgrup)</f>
        <v>0</v>
      </c>
      <c r="AB117" s="153">
        <f t="shared" ca="1" si="47"/>
        <v>0</v>
      </c>
      <c r="AC117" s="154" t="str">
        <f ca="1">IF($N117="","",IF(ORÇAMENTO.Descricao="","DESCRIÇÃO",IF(AND($C117="S",ORÇAMENTO.Unidade=""),"UNIDADE",IF($X117&lt;0,"VALOR NEGATIVO",IF(OR(AND(TIPOORCAMENTO="Proposto",$AG117&lt;&gt;"",$AG117&gt;0,ORÇAMENTO.CustoUnitario&gt;$AG117),AND(TIPOORCAMENTO="LICITADO",ORÇAMENTO.PrecoUnitarioLicitado&gt;$AN117)),"ACIMA REF.","")))))</f>
        <v/>
      </c>
      <c r="AD117" s="100" t="str">
        <f ca="1">IF(C117&lt;=CRONO.NivelExibicao,MAX($AD$15:OFFSET(AD117,-1,0))+IF($C117&lt;&gt;1,1,MAX(1,COUNTIF(QCI!$A$13:$A$24,OFFSET($E117,-1,0)))),"")</f>
        <v/>
      </c>
      <c r="AE117" s="110" t="b">
        <f ca="1">IF(AND($C117="S",ORÇAMENTO.CodBarra&lt;&gt;""),IF(ORÇAMENTO.Fonte="",ORÇAMENTO.CodBarra,CONCATENATE(ORÇAMENTO.Fonte," ",ORÇAMENTO.CodBarra)))</f>
        <v>0</v>
      </c>
      <c r="AF117" s="155" t="str">
        <f ca="1">IF(ISERROR(INDIRECT(ORÇAMENTO.BancoRef)),"(abra o arquivo 'Referência "&amp;Excel_BuiltIn_Database&amp;".xlsm)",IF(OR($C117&lt;&gt;"S",ORÇAMENTO.CodBarra=""),"(Sem Código)",IF(ISERROR(MATCH($AE117,INDIRECT(ORÇAMENTO.BancoRef),0)),"(Código não identificado nas referências)",MATCH($AE117,INDIRECT(ORÇAMENTO.BancoRef),0))))</f>
        <v>(abra o arquivo 'Referência 11-2024.xlsm)</v>
      </c>
      <c r="AG117" s="574">
        <f ca="1">ROUND(IF(DESONERACAO="sim",REFERENCIA.Desonerado,REFERENCIA.NaoDesonerado),2)</f>
        <v>0</v>
      </c>
      <c r="AH117" s="575">
        <f t="shared" ca="1" si="48"/>
        <v>0.22</v>
      </c>
      <c r="AJ117" s="577"/>
      <c r="AL117" s="607"/>
      <c r="AM117" s="426">
        <f t="shared" ca="1" si="49"/>
        <v>0</v>
      </c>
      <c r="AN117" s="650">
        <f t="shared" ca="1" si="50"/>
        <v>0</v>
      </c>
    </row>
    <row r="118" spans="1:40" ht="13.8" hidden="1">
      <c r="A118" t="str">
        <f t="shared" si="34"/>
        <v>S</v>
      </c>
      <c r="B118">
        <f t="shared" ca="1" si="35"/>
        <v>2</v>
      </c>
      <c r="C118" t="str">
        <f t="shared" ca="1" si="36"/>
        <v>S</v>
      </c>
      <c r="D118">
        <f t="shared" ca="1" si="37"/>
        <v>0</v>
      </c>
      <c r="E118">
        <f ca="1">IF($C118=1,OFFSET(E118,-1,0)+MAX(1,COUNTIF(QCI!$A$13:$A$24,OFFSET(ORÇAMENTO!E118,-1,0))),OFFSET(E118,-1,0))</f>
        <v>1</v>
      </c>
      <c r="F118">
        <f t="shared" ca="1" si="38"/>
        <v>5</v>
      </c>
      <c r="G118">
        <f t="shared" ca="1" si="39"/>
        <v>0</v>
      </c>
      <c r="H118">
        <f t="shared" ca="1" si="40"/>
        <v>0</v>
      </c>
      <c r="I118">
        <f t="shared" ca="1" si="41"/>
        <v>2</v>
      </c>
      <c r="J118">
        <f t="shared" ca="1" si="42"/>
        <v>0</v>
      </c>
      <c r="K118">
        <f ca="1">IF(OR($C118="S",$C118=0),0,MATCH(OFFSET($D118,0,$C118)+IF($C118&lt;&gt;1,1,COUNTIF(QCI!$A$13:$A$24,ORÇAMENTO!E118)),OFFSET($D118,1,$C118,ROW($C$264)-ROW($C118)),0))</f>
        <v>0</v>
      </c>
      <c r="L118" s="139" t="str">
        <f t="shared" ca="1" si="43"/>
        <v/>
      </c>
      <c r="M118" s="140" t="s">
        <v>199</v>
      </c>
      <c r="N118" s="141" t="str">
        <f t="shared" ca="1" si="44"/>
        <v>Serviço</v>
      </c>
      <c r="O118" s="142" t="str">
        <f t="shared" ca="1" si="45"/>
        <v>-</v>
      </c>
      <c r="P118" s="143" t="s">
        <v>247</v>
      </c>
      <c r="Q118" s="144"/>
      <c r="R118" s="145" t="str">
        <f ca="1">IF($C118="S",REFERENCIA.Descricao,"(digite a descrição aqui)")</f>
        <v>(abra o arquivo 'Referência 11-2024.xlsm)</v>
      </c>
      <c r="S118" s="146" t="str">
        <f ca="1">REFERENCIA.Unidade</f>
        <v>-</v>
      </c>
      <c r="T118" s="147">
        <f ca="1">OFFSET(CÁLCULO!H$15,ROW($T118)-ROW(T$15),0)</f>
        <v>0</v>
      </c>
      <c r="U118" s="148"/>
      <c r="V118" s="149" t="s">
        <v>156</v>
      </c>
      <c r="W118" s="147">
        <f ca="1">IF($C118="S",ROUND(IF(TIPOORCAMENTO="Proposto",ORÇAMENTO.CustoUnitario*(1+$AH118),ORÇAMENTO.PrecoUnitarioLicitado),15-13*$AF$10),0)</f>
        <v>0</v>
      </c>
      <c r="X118" s="150">
        <f ca="1">IF($C118="S",IF(Import.TipoArredondamento&lt;&gt;"TransfereGOV",VTOTAL1,SUM(OFFSET(CÁLCULO!$AA$15,ROW($X118)-ROW($X$15),1):OFFSET(CÁLCULO!$AL$15,ROW($X118)-ROW($X$15),-1))),IF($C118=0,0,ROUND(SomaAgrup,15-13*$AF$11)))</f>
        <v>0</v>
      </c>
      <c r="Y118" s="151" t="s">
        <v>245</v>
      </c>
      <c r="Z118" t="str">
        <f t="shared" ca="1" si="46"/>
        <v/>
      </c>
      <c r="AA118" s="152">
        <f ca="1">IF($C118="S",IF($Z118="CP",$X118,IF($Z118="RA",(($X118)*QCI!$AA$3),0)),SomaAgrup)</f>
        <v>0</v>
      </c>
      <c r="AB118" s="153">
        <f t="shared" ca="1" si="47"/>
        <v>0</v>
      </c>
      <c r="AC118" s="154" t="str">
        <f ca="1">IF($N118="","",IF(ORÇAMENTO.Descricao="","DESCRIÇÃO",IF(AND($C118="S",ORÇAMENTO.Unidade=""),"UNIDADE",IF($X118&lt;0,"VALOR NEGATIVO",IF(OR(AND(TIPOORCAMENTO="Proposto",$AG118&lt;&gt;"",$AG118&gt;0,ORÇAMENTO.CustoUnitario&gt;$AG118),AND(TIPOORCAMENTO="LICITADO",ORÇAMENTO.PrecoUnitarioLicitado&gt;$AN118)),"ACIMA REF.","")))))</f>
        <v/>
      </c>
      <c r="AD118" s="100" t="str">
        <f ca="1">IF(C118&lt;=CRONO.NivelExibicao,MAX($AD$15:OFFSET(AD118,-1,0))+IF($C118&lt;&gt;1,1,MAX(1,COUNTIF(QCI!$A$13:$A$24,OFFSET($E118,-1,0)))),"")</f>
        <v/>
      </c>
      <c r="AE118" s="110" t="b">
        <f ca="1">IF(AND($C118="S",ORÇAMENTO.CodBarra&lt;&gt;""),IF(ORÇAMENTO.Fonte="",ORÇAMENTO.CodBarra,CONCATENATE(ORÇAMENTO.Fonte," ",ORÇAMENTO.CodBarra)))</f>
        <v>0</v>
      </c>
      <c r="AF118" s="155" t="str">
        <f ca="1">IF(ISERROR(INDIRECT(ORÇAMENTO.BancoRef)),"(abra o arquivo 'Referência "&amp;Excel_BuiltIn_Database&amp;".xlsm)",IF(OR($C118&lt;&gt;"S",ORÇAMENTO.CodBarra=""),"(Sem Código)",IF(ISERROR(MATCH($AE118,INDIRECT(ORÇAMENTO.BancoRef),0)),"(Código não identificado nas referências)",MATCH($AE118,INDIRECT(ORÇAMENTO.BancoRef),0))))</f>
        <v>(abra o arquivo 'Referência 11-2024.xlsm)</v>
      </c>
      <c r="AG118" s="574">
        <f ca="1">ROUND(IF(DESONERACAO="sim",REFERENCIA.Desonerado,REFERENCIA.NaoDesonerado),2)</f>
        <v>0</v>
      </c>
      <c r="AH118" s="575">
        <f t="shared" ca="1" si="48"/>
        <v>0.22</v>
      </c>
      <c r="AJ118" s="577"/>
      <c r="AL118" s="607"/>
      <c r="AM118" s="426">
        <f t="shared" ca="1" si="49"/>
        <v>0</v>
      </c>
      <c r="AN118" s="650">
        <f t="shared" ca="1" si="50"/>
        <v>0</v>
      </c>
    </row>
    <row r="119" spans="1:40" ht="13.8" hidden="1">
      <c r="A119" t="str">
        <f t="shared" si="34"/>
        <v>S</v>
      </c>
      <c r="B119">
        <f t="shared" ca="1" si="35"/>
        <v>2</v>
      </c>
      <c r="C119" t="str">
        <f t="shared" ca="1" si="36"/>
        <v>S</v>
      </c>
      <c r="D119">
        <f t="shared" ca="1" si="37"/>
        <v>0</v>
      </c>
      <c r="E119">
        <f ca="1">IF($C119=1,OFFSET(E119,-1,0)+MAX(1,COUNTIF(QCI!$A$13:$A$24,OFFSET(ORÇAMENTO!E119,-1,0))),OFFSET(E119,-1,0))</f>
        <v>1</v>
      </c>
      <c r="F119">
        <f t="shared" ca="1" si="38"/>
        <v>5</v>
      </c>
      <c r="G119">
        <f t="shared" ca="1" si="39"/>
        <v>0</v>
      </c>
      <c r="H119">
        <f t="shared" ca="1" si="40"/>
        <v>0</v>
      </c>
      <c r="I119">
        <f t="shared" ca="1" si="41"/>
        <v>2</v>
      </c>
      <c r="J119">
        <f t="shared" ca="1" si="42"/>
        <v>0</v>
      </c>
      <c r="K119">
        <f ca="1">IF(OR($C119="S",$C119=0),0,MATCH(OFFSET($D119,0,$C119)+IF($C119&lt;&gt;1,1,COUNTIF(QCI!$A$13:$A$24,ORÇAMENTO!E119)),OFFSET($D119,1,$C119,ROW($C$264)-ROW($C119)),0))</f>
        <v>0</v>
      </c>
      <c r="L119" s="139" t="str">
        <f t="shared" ca="1" si="43"/>
        <v/>
      </c>
      <c r="M119" s="140" t="s">
        <v>199</v>
      </c>
      <c r="N119" s="141" t="str">
        <f t="shared" ca="1" si="44"/>
        <v>Serviço</v>
      </c>
      <c r="O119" s="142" t="str">
        <f t="shared" ca="1" si="45"/>
        <v>-</v>
      </c>
      <c r="P119" s="143" t="s">
        <v>247</v>
      </c>
      <c r="Q119" s="144"/>
      <c r="R119" s="145" t="str">
        <f ca="1">IF($C119="S",REFERENCIA.Descricao,"(digite a descrição aqui)")</f>
        <v>(abra o arquivo 'Referência 11-2024.xlsm)</v>
      </c>
      <c r="S119" s="146" t="str">
        <f ca="1">REFERENCIA.Unidade</f>
        <v>-</v>
      </c>
      <c r="T119" s="147">
        <f ca="1">OFFSET(CÁLCULO!H$15,ROW($T119)-ROW(T$15),0)</f>
        <v>0</v>
      </c>
      <c r="U119" s="148"/>
      <c r="V119" s="149" t="s">
        <v>156</v>
      </c>
      <c r="W119" s="147">
        <f ca="1">IF($C119="S",ROUND(IF(TIPOORCAMENTO="Proposto",ORÇAMENTO.CustoUnitario*(1+$AH119),ORÇAMENTO.PrecoUnitarioLicitado),15-13*$AF$10),0)</f>
        <v>0</v>
      </c>
      <c r="X119" s="150">
        <f ca="1">IF($C119="S",IF(Import.TipoArredondamento&lt;&gt;"TransfereGOV",VTOTAL1,SUM(OFFSET(CÁLCULO!$AA$15,ROW($X119)-ROW($X$15),1):OFFSET(CÁLCULO!$AL$15,ROW($X119)-ROW($X$15),-1))),IF($C119=0,0,ROUND(SomaAgrup,15-13*$AF$11)))</f>
        <v>0</v>
      </c>
      <c r="Y119" s="151" t="s">
        <v>245</v>
      </c>
      <c r="Z119" t="str">
        <f t="shared" ca="1" si="46"/>
        <v/>
      </c>
      <c r="AA119" s="152">
        <f ca="1">IF($C119="S",IF($Z119="CP",$X119,IF($Z119="RA",(($X119)*QCI!$AA$3),0)),SomaAgrup)</f>
        <v>0</v>
      </c>
      <c r="AB119" s="153">
        <f t="shared" ca="1" si="47"/>
        <v>0</v>
      </c>
      <c r="AC119" s="154" t="str">
        <f ca="1">IF($N119="","",IF(ORÇAMENTO.Descricao="","DESCRIÇÃO",IF(AND($C119="S",ORÇAMENTO.Unidade=""),"UNIDADE",IF($X119&lt;0,"VALOR NEGATIVO",IF(OR(AND(TIPOORCAMENTO="Proposto",$AG119&lt;&gt;"",$AG119&gt;0,ORÇAMENTO.CustoUnitario&gt;$AG119),AND(TIPOORCAMENTO="LICITADO",ORÇAMENTO.PrecoUnitarioLicitado&gt;$AN119)),"ACIMA REF.","")))))</f>
        <v/>
      </c>
      <c r="AD119" s="100" t="str">
        <f ca="1">IF(C119&lt;=CRONO.NivelExibicao,MAX($AD$15:OFFSET(AD119,-1,0))+IF($C119&lt;&gt;1,1,MAX(1,COUNTIF(QCI!$A$13:$A$24,OFFSET($E119,-1,0)))),"")</f>
        <v/>
      </c>
      <c r="AE119" s="110" t="b">
        <f ca="1">IF(AND($C119="S",ORÇAMENTO.CodBarra&lt;&gt;""),IF(ORÇAMENTO.Fonte="",ORÇAMENTO.CodBarra,CONCATENATE(ORÇAMENTO.Fonte," ",ORÇAMENTO.CodBarra)))</f>
        <v>0</v>
      </c>
      <c r="AF119" s="155" t="str">
        <f ca="1">IF(ISERROR(INDIRECT(ORÇAMENTO.BancoRef)),"(abra o arquivo 'Referência "&amp;Excel_BuiltIn_Database&amp;".xlsm)",IF(OR($C119&lt;&gt;"S",ORÇAMENTO.CodBarra=""),"(Sem Código)",IF(ISERROR(MATCH($AE119,INDIRECT(ORÇAMENTO.BancoRef),0)),"(Código não identificado nas referências)",MATCH($AE119,INDIRECT(ORÇAMENTO.BancoRef),0))))</f>
        <v>(abra o arquivo 'Referência 11-2024.xlsm)</v>
      </c>
      <c r="AG119" s="574">
        <f ca="1">ROUND(IF(DESONERACAO="sim",REFERENCIA.Desonerado,REFERENCIA.NaoDesonerado),2)</f>
        <v>0</v>
      </c>
      <c r="AH119" s="575">
        <f t="shared" ca="1" si="48"/>
        <v>0.22</v>
      </c>
      <c r="AJ119" s="577"/>
      <c r="AL119" s="607"/>
      <c r="AM119" s="426">
        <f t="shared" ca="1" si="49"/>
        <v>0</v>
      </c>
      <c r="AN119" s="650">
        <f t="shared" ca="1" si="50"/>
        <v>0</v>
      </c>
    </row>
    <row r="120" spans="1:40" ht="13.8" hidden="1">
      <c r="A120" t="str">
        <f t="shared" si="34"/>
        <v>S</v>
      </c>
      <c r="B120">
        <f t="shared" ca="1" si="35"/>
        <v>2</v>
      </c>
      <c r="C120" t="str">
        <f t="shared" ca="1" si="36"/>
        <v>S</v>
      </c>
      <c r="D120">
        <f t="shared" ca="1" si="37"/>
        <v>0</v>
      </c>
      <c r="E120">
        <f ca="1">IF($C120=1,OFFSET(E120,-1,0)+MAX(1,COUNTIF(QCI!$A$13:$A$24,OFFSET(ORÇAMENTO!E120,-1,0))),OFFSET(E120,-1,0))</f>
        <v>1</v>
      </c>
      <c r="F120">
        <f t="shared" ca="1" si="38"/>
        <v>5</v>
      </c>
      <c r="G120">
        <f t="shared" ca="1" si="39"/>
        <v>0</v>
      </c>
      <c r="H120">
        <f t="shared" ca="1" si="40"/>
        <v>0</v>
      </c>
      <c r="I120">
        <f t="shared" ca="1" si="41"/>
        <v>2</v>
      </c>
      <c r="J120">
        <f t="shared" ca="1" si="42"/>
        <v>0</v>
      </c>
      <c r="K120">
        <f ca="1">IF(OR($C120="S",$C120=0),0,MATCH(OFFSET($D120,0,$C120)+IF($C120&lt;&gt;1,1,COUNTIF(QCI!$A$13:$A$24,ORÇAMENTO!E120)),OFFSET($D120,1,$C120,ROW($C$264)-ROW($C120)),0))</f>
        <v>0</v>
      </c>
      <c r="L120" s="139" t="str">
        <f t="shared" ca="1" si="43"/>
        <v/>
      </c>
      <c r="M120" s="140" t="s">
        <v>199</v>
      </c>
      <c r="N120" s="141" t="str">
        <f t="shared" ca="1" si="44"/>
        <v>Serviço</v>
      </c>
      <c r="O120" s="142" t="str">
        <f t="shared" ca="1" si="45"/>
        <v>-</v>
      </c>
      <c r="P120" s="143" t="s">
        <v>247</v>
      </c>
      <c r="Q120" s="144"/>
      <c r="R120" s="145" t="str">
        <f ca="1">IF($C120="S",REFERENCIA.Descricao,"(digite a descrição aqui)")</f>
        <v>(abra o arquivo 'Referência 11-2024.xlsm)</v>
      </c>
      <c r="S120" s="146" t="str">
        <f ca="1">REFERENCIA.Unidade</f>
        <v>-</v>
      </c>
      <c r="T120" s="147">
        <f ca="1">OFFSET(CÁLCULO!H$15,ROW($T120)-ROW(T$15),0)</f>
        <v>0</v>
      </c>
      <c r="U120" s="148"/>
      <c r="V120" s="149" t="s">
        <v>156</v>
      </c>
      <c r="W120" s="147">
        <f ca="1">IF($C120="S",ROUND(IF(TIPOORCAMENTO="Proposto",ORÇAMENTO.CustoUnitario*(1+$AH120),ORÇAMENTO.PrecoUnitarioLicitado),15-13*$AF$10),0)</f>
        <v>0</v>
      </c>
      <c r="X120" s="150">
        <f ca="1">IF($C120="S",IF(Import.TipoArredondamento&lt;&gt;"TransfereGOV",VTOTAL1,SUM(OFFSET(CÁLCULO!$AA$15,ROW($X120)-ROW($X$15),1):OFFSET(CÁLCULO!$AL$15,ROW($X120)-ROW($X$15),-1))),IF($C120=0,0,ROUND(SomaAgrup,15-13*$AF$11)))</f>
        <v>0</v>
      </c>
      <c r="Y120" s="151" t="s">
        <v>245</v>
      </c>
      <c r="Z120" t="str">
        <f t="shared" ca="1" si="46"/>
        <v/>
      </c>
      <c r="AA120" s="152">
        <f ca="1">IF($C120="S",IF($Z120="CP",$X120,IF($Z120="RA",(($X120)*QCI!$AA$3),0)),SomaAgrup)</f>
        <v>0</v>
      </c>
      <c r="AB120" s="153">
        <f t="shared" ca="1" si="47"/>
        <v>0</v>
      </c>
      <c r="AC120" s="154" t="str">
        <f ca="1">IF($N120="","",IF(ORÇAMENTO.Descricao="","DESCRIÇÃO",IF(AND($C120="S",ORÇAMENTO.Unidade=""),"UNIDADE",IF($X120&lt;0,"VALOR NEGATIVO",IF(OR(AND(TIPOORCAMENTO="Proposto",$AG120&lt;&gt;"",$AG120&gt;0,ORÇAMENTO.CustoUnitario&gt;$AG120),AND(TIPOORCAMENTO="LICITADO",ORÇAMENTO.PrecoUnitarioLicitado&gt;$AN120)),"ACIMA REF.","")))))</f>
        <v/>
      </c>
      <c r="AD120" s="100" t="str">
        <f ca="1">IF(C120&lt;=CRONO.NivelExibicao,MAX($AD$15:OFFSET(AD120,-1,0))+IF($C120&lt;&gt;1,1,MAX(1,COUNTIF(QCI!$A$13:$A$24,OFFSET($E120,-1,0)))),"")</f>
        <v/>
      </c>
      <c r="AE120" s="110" t="b">
        <f ca="1">IF(AND($C120="S",ORÇAMENTO.CodBarra&lt;&gt;""),IF(ORÇAMENTO.Fonte="",ORÇAMENTO.CodBarra,CONCATENATE(ORÇAMENTO.Fonte," ",ORÇAMENTO.CodBarra)))</f>
        <v>0</v>
      </c>
      <c r="AF120" s="155" t="str">
        <f ca="1">IF(ISERROR(INDIRECT(ORÇAMENTO.BancoRef)),"(abra o arquivo 'Referência "&amp;Excel_BuiltIn_Database&amp;".xlsm)",IF(OR($C120&lt;&gt;"S",ORÇAMENTO.CodBarra=""),"(Sem Código)",IF(ISERROR(MATCH($AE120,INDIRECT(ORÇAMENTO.BancoRef),0)),"(Código não identificado nas referências)",MATCH($AE120,INDIRECT(ORÇAMENTO.BancoRef),0))))</f>
        <v>(abra o arquivo 'Referência 11-2024.xlsm)</v>
      </c>
      <c r="AG120" s="574">
        <f ca="1">ROUND(IF(DESONERACAO="sim",REFERENCIA.Desonerado,REFERENCIA.NaoDesonerado),2)</f>
        <v>0</v>
      </c>
      <c r="AH120" s="575">
        <f t="shared" ca="1" si="48"/>
        <v>0.22</v>
      </c>
      <c r="AJ120" s="577"/>
      <c r="AL120" s="607"/>
      <c r="AM120" s="426">
        <f t="shared" ca="1" si="49"/>
        <v>0</v>
      </c>
      <c r="AN120" s="650">
        <f t="shared" ca="1" si="50"/>
        <v>0</v>
      </c>
    </row>
    <row r="121" spans="1:40" ht="13.8" hidden="1">
      <c r="A121" t="str">
        <f t="shared" si="34"/>
        <v>S</v>
      </c>
      <c r="B121">
        <f t="shared" ca="1" si="35"/>
        <v>2</v>
      </c>
      <c r="C121" t="str">
        <f t="shared" ca="1" si="36"/>
        <v>S</v>
      </c>
      <c r="D121">
        <f t="shared" ca="1" si="37"/>
        <v>0</v>
      </c>
      <c r="E121">
        <f ca="1">IF($C121=1,OFFSET(E121,-1,0)+MAX(1,COUNTIF(QCI!$A$13:$A$24,OFFSET(ORÇAMENTO!E121,-1,0))),OFFSET(E121,-1,0))</f>
        <v>1</v>
      </c>
      <c r="F121">
        <f t="shared" ca="1" si="38"/>
        <v>5</v>
      </c>
      <c r="G121">
        <f t="shared" ca="1" si="39"/>
        <v>0</v>
      </c>
      <c r="H121">
        <f t="shared" ca="1" si="40"/>
        <v>0</v>
      </c>
      <c r="I121">
        <f t="shared" ca="1" si="41"/>
        <v>2</v>
      </c>
      <c r="J121">
        <f t="shared" ca="1" si="42"/>
        <v>0</v>
      </c>
      <c r="K121">
        <f ca="1">IF(OR($C121="S",$C121=0),0,MATCH(OFFSET($D121,0,$C121)+IF($C121&lt;&gt;1,1,COUNTIF(QCI!$A$13:$A$24,ORÇAMENTO!E121)),OFFSET($D121,1,$C121,ROW($C$264)-ROW($C121)),0))</f>
        <v>0</v>
      </c>
      <c r="L121" s="139" t="str">
        <f t="shared" ca="1" si="43"/>
        <v/>
      </c>
      <c r="M121" s="140" t="s">
        <v>199</v>
      </c>
      <c r="N121" s="141" t="str">
        <f t="shared" ca="1" si="44"/>
        <v>Serviço</v>
      </c>
      <c r="O121" s="142" t="str">
        <f t="shared" ca="1" si="45"/>
        <v>-</v>
      </c>
      <c r="P121" s="143" t="s">
        <v>247</v>
      </c>
      <c r="Q121" s="144"/>
      <c r="R121" s="145" t="str">
        <f ca="1">IF($C121="S",REFERENCIA.Descricao,"(digite a descrição aqui)")</f>
        <v>(abra o arquivo 'Referência 11-2024.xlsm)</v>
      </c>
      <c r="S121" s="146" t="str">
        <f ca="1">REFERENCIA.Unidade</f>
        <v>-</v>
      </c>
      <c r="T121" s="147">
        <f ca="1">OFFSET(CÁLCULO!H$15,ROW($T121)-ROW(T$15),0)</f>
        <v>0</v>
      </c>
      <c r="U121" s="148"/>
      <c r="V121" s="149" t="s">
        <v>156</v>
      </c>
      <c r="W121" s="147">
        <f ca="1">IF($C121="S",ROUND(IF(TIPOORCAMENTO="Proposto",ORÇAMENTO.CustoUnitario*(1+$AH121),ORÇAMENTO.PrecoUnitarioLicitado),15-13*$AF$10),0)</f>
        <v>0</v>
      </c>
      <c r="X121" s="150">
        <f ca="1">IF($C121="S",IF(Import.TipoArredondamento&lt;&gt;"TransfereGOV",VTOTAL1,SUM(OFFSET(CÁLCULO!$AA$15,ROW($X121)-ROW($X$15),1):OFFSET(CÁLCULO!$AL$15,ROW($X121)-ROW($X$15),-1))),IF($C121=0,0,ROUND(SomaAgrup,15-13*$AF$11)))</f>
        <v>0</v>
      </c>
      <c r="Y121" s="151" t="s">
        <v>245</v>
      </c>
      <c r="Z121" t="str">
        <f t="shared" ca="1" si="46"/>
        <v/>
      </c>
      <c r="AA121" s="152">
        <f ca="1">IF($C121="S",IF($Z121="CP",$X121,IF($Z121="RA",(($X121)*QCI!$AA$3),0)),SomaAgrup)</f>
        <v>0</v>
      </c>
      <c r="AB121" s="153">
        <f t="shared" ca="1" si="47"/>
        <v>0</v>
      </c>
      <c r="AC121" s="154" t="str">
        <f ca="1">IF($N121="","",IF(ORÇAMENTO.Descricao="","DESCRIÇÃO",IF(AND($C121="S",ORÇAMENTO.Unidade=""),"UNIDADE",IF($X121&lt;0,"VALOR NEGATIVO",IF(OR(AND(TIPOORCAMENTO="Proposto",$AG121&lt;&gt;"",$AG121&gt;0,ORÇAMENTO.CustoUnitario&gt;$AG121),AND(TIPOORCAMENTO="LICITADO",ORÇAMENTO.PrecoUnitarioLicitado&gt;$AN121)),"ACIMA REF.","")))))</f>
        <v/>
      </c>
      <c r="AD121" s="100" t="str">
        <f ca="1">IF(C121&lt;=CRONO.NivelExibicao,MAX($AD$15:OFFSET(AD121,-1,0))+IF($C121&lt;&gt;1,1,MAX(1,COUNTIF(QCI!$A$13:$A$24,OFFSET($E121,-1,0)))),"")</f>
        <v/>
      </c>
      <c r="AE121" s="110" t="b">
        <f ca="1">IF(AND($C121="S",ORÇAMENTO.CodBarra&lt;&gt;""),IF(ORÇAMENTO.Fonte="",ORÇAMENTO.CodBarra,CONCATENATE(ORÇAMENTO.Fonte," ",ORÇAMENTO.CodBarra)))</f>
        <v>0</v>
      </c>
      <c r="AF121" s="155" t="str">
        <f ca="1">IF(ISERROR(INDIRECT(ORÇAMENTO.BancoRef)),"(abra o arquivo 'Referência "&amp;Excel_BuiltIn_Database&amp;".xlsm)",IF(OR($C121&lt;&gt;"S",ORÇAMENTO.CodBarra=""),"(Sem Código)",IF(ISERROR(MATCH($AE121,INDIRECT(ORÇAMENTO.BancoRef),0)),"(Código não identificado nas referências)",MATCH($AE121,INDIRECT(ORÇAMENTO.BancoRef),0))))</f>
        <v>(abra o arquivo 'Referência 11-2024.xlsm)</v>
      </c>
      <c r="AG121" s="574">
        <f ca="1">ROUND(IF(DESONERACAO="sim",REFERENCIA.Desonerado,REFERENCIA.NaoDesonerado),2)</f>
        <v>0</v>
      </c>
      <c r="AH121" s="575">
        <f t="shared" ca="1" si="48"/>
        <v>0.22</v>
      </c>
      <c r="AJ121" s="577"/>
      <c r="AL121" s="607"/>
      <c r="AM121" s="426">
        <f t="shared" ca="1" si="49"/>
        <v>0</v>
      </c>
      <c r="AN121" s="650">
        <f t="shared" ca="1" si="50"/>
        <v>0</v>
      </c>
    </row>
    <row r="122" spans="1:40" ht="13.8" hidden="1">
      <c r="A122" t="str">
        <f t="shared" si="34"/>
        <v>S</v>
      </c>
      <c r="B122">
        <f t="shared" ca="1" si="35"/>
        <v>2</v>
      </c>
      <c r="C122" t="str">
        <f t="shared" ca="1" si="36"/>
        <v>S</v>
      </c>
      <c r="D122">
        <f t="shared" ca="1" si="37"/>
        <v>0</v>
      </c>
      <c r="E122">
        <f ca="1">IF($C122=1,OFFSET(E122,-1,0)+MAX(1,COUNTIF(QCI!$A$13:$A$24,OFFSET(ORÇAMENTO!E122,-1,0))),OFFSET(E122,-1,0))</f>
        <v>1</v>
      </c>
      <c r="F122">
        <f t="shared" ca="1" si="38"/>
        <v>5</v>
      </c>
      <c r="G122">
        <f t="shared" ca="1" si="39"/>
        <v>0</v>
      </c>
      <c r="H122">
        <f t="shared" ca="1" si="40"/>
        <v>0</v>
      </c>
      <c r="I122">
        <f t="shared" ca="1" si="41"/>
        <v>2</v>
      </c>
      <c r="J122">
        <f t="shared" ca="1" si="42"/>
        <v>0</v>
      </c>
      <c r="K122">
        <f ca="1">IF(OR($C122="S",$C122=0),0,MATCH(OFFSET($D122,0,$C122)+IF($C122&lt;&gt;1,1,COUNTIF(QCI!$A$13:$A$24,ORÇAMENTO!E122)),OFFSET($D122,1,$C122,ROW($C$264)-ROW($C122)),0))</f>
        <v>0</v>
      </c>
      <c r="L122" s="139" t="str">
        <f t="shared" ca="1" si="43"/>
        <v/>
      </c>
      <c r="M122" s="140" t="s">
        <v>199</v>
      </c>
      <c r="N122" s="141" t="str">
        <f t="shared" ca="1" si="44"/>
        <v>Serviço</v>
      </c>
      <c r="O122" s="142" t="str">
        <f t="shared" ca="1" si="45"/>
        <v>-</v>
      </c>
      <c r="P122" s="143" t="s">
        <v>247</v>
      </c>
      <c r="Q122" s="144"/>
      <c r="R122" s="145" t="str">
        <f ca="1">IF($C122="S",REFERENCIA.Descricao,"(digite a descrição aqui)")</f>
        <v>(abra o arquivo 'Referência 11-2024.xlsm)</v>
      </c>
      <c r="S122" s="146" t="str">
        <f ca="1">REFERENCIA.Unidade</f>
        <v>-</v>
      </c>
      <c r="T122" s="147">
        <f ca="1">OFFSET(CÁLCULO!H$15,ROW($T122)-ROW(T$15),0)</f>
        <v>0</v>
      </c>
      <c r="U122" s="148"/>
      <c r="V122" s="149" t="s">
        <v>156</v>
      </c>
      <c r="W122" s="147">
        <f ca="1">IF($C122="S",ROUND(IF(TIPOORCAMENTO="Proposto",ORÇAMENTO.CustoUnitario*(1+$AH122),ORÇAMENTO.PrecoUnitarioLicitado),15-13*$AF$10),0)</f>
        <v>0</v>
      </c>
      <c r="X122" s="150">
        <f ca="1">IF($C122="S",IF(Import.TipoArredondamento&lt;&gt;"TransfereGOV",VTOTAL1,SUM(OFFSET(CÁLCULO!$AA$15,ROW($X122)-ROW($X$15),1):OFFSET(CÁLCULO!$AL$15,ROW($X122)-ROW($X$15),-1))),IF($C122=0,0,ROUND(SomaAgrup,15-13*$AF$11)))</f>
        <v>0</v>
      </c>
      <c r="Y122" s="151" t="s">
        <v>245</v>
      </c>
      <c r="Z122" t="str">
        <f t="shared" ca="1" si="46"/>
        <v/>
      </c>
      <c r="AA122" s="152">
        <f ca="1">IF($C122="S",IF($Z122="CP",$X122,IF($Z122="RA",(($X122)*QCI!$AA$3),0)),SomaAgrup)</f>
        <v>0</v>
      </c>
      <c r="AB122" s="153">
        <f t="shared" ca="1" si="47"/>
        <v>0</v>
      </c>
      <c r="AC122" s="154" t="str">
        <f ca="1">IF($N122="","",IF(ORÇAMENTO.Descricao="","DESCRIÇÃO",IF(AND($C122="S",ORÇAMENTO.Unidade=""),"UNIDADE",IF($X122&lt;0,"VALOR NEGATIVO",IF(OR(AND(TIPOORCAMENTO="Proposto",$AG122&lt;&gt;"",$AG122&gt;0,ORÇAMENTO.CustoUnitario&gt;$AG122),AND(TIPOORCAMENTO="LICITADO",ORÇAMENTO.PrecoUnitarioLicitado&gt;$AN122)),"ACIMA REF.","")))))</f>
        <v/>
      </c>
      <c r="AD122" s="100" t="str">
        <f ca="1">IF(C122&lt;=CRONO.NivelExibicao,MAX($AD$15:OFFSET(AD122,-1,0))+IF($C122&lt;&gt;1,1,MAX(1,COUNTIF(QCI!$A$13:$A$24,OFFSET($E122,-1,0)))),"")</f>
        <v/>
      </c>
      <c r="AE122" s="110" t="b">
        <f ca="1">IF(AND($C122="S",ORÇAMENTO.CodBarra&lt;&gt;""),IF(ORÇAMENTO.Fonte="",ORÇAMENTO.CodBarra,CONCATENATE(ORÇAMENTO.Fonte," ",ORÇAMENTO.CodBarra)))</f>
        <v>0</v>
      </c>
      <c r="AF122" s="155" t="str">
        <f ca="1">IF(ISERROR(INDIRECT(ORÇAMENTO.BancoRef)),"(abra o arquivo 'Referência "&amp;Excel_BuiltIn_Database&amp;".xlsm)",IF(OR($C122&lt;&gt;"S",ORÇAMENTO.CodBarra=""),"(Sem Código)",IF(ISERROR(MATCH($AE122,INDIRECT(ORÇAMENTO.BancoRef),0)),"(Código não identificado nas referências)",MATCH($AE122,INDIRECT(ORÇAMENTO.BancoRef),0))))</f>
        <v>(abra o arquivo 'Referência 11-2024.xlsm)</v>
      </c>
      <c r="AG122" s="574">
        <f ca="1">ROUND(IF(DESONERACAO="sim",REFERENCIA.Desonerado,REFERENCIA.NaoDesonerado),2)</f>
        <v>0</v>
      </c>
      <c r="AH122" s="575">
        <f t="shared" ca="1" si="48"/>
        <v>0.22</v>
      </c>
      <c r="AJ122" s="577"/>
      <c r="AL122" s="607"/>
      <c r="AM122" s="426">
        <f t="shared" ca="1" si="49"/>
        <v>0</v>
      </c>
      <c r="AN122" s="650">
        <f t="shared" ca="1" si="50"/>
        <v>0</v>
      </c>
    </row>
    <row r="123" spans="1:40" ht="13.8" hidden="1">
      <c r="A123" t="str">
        <f t="shared" si="34"/>
        <v>S</v>
      </c>
      <c r="B123">
        <f t="shared" ca="1" si="35"/>
        <v>2</v>
      </c>
      <c r="C123" t="str">
        <f t="shared" ca="1" si="36"/>
        <v>S</v>
      </c>
      <c r="D123">
        <f t="shared" ca="1" si="37"/>
        <v>0</v>
      </c>
      <c r="E123">
        <f ca="1">IF($C123=1,OFFSET(E123,-1,0)+MAX(1,COUNTIF(QCI!$A$13:$A$24,OFFSET(ORÇAMENTO!E123,-1,0))),OFFSET(E123,-1,0))</f>
        <v>1</v>
      </c>
      <c r="F123">
        <f t="shared" ca="1" si="38"/>
        <v>5</v>
      </c>
      <c r="G123">
        <f t="shared" ca="1" si="39"/>
        <v>0</v>
      </c>
      <c r="H123">
        <f t="shared" ca="1" si="40"/>
        <v>0</v>
      </c>
      <c r="I123">
        <f t="shared" ca="1" si="41"/>
        <v>2</v>
      </c>
      <c r="J123">
        <f t="shared" ca="1" si="42"/>
        <v>0</v>
      </c>
      <c r="K123">
        <f ca="1">IF(OR($C123="S",$C123=0),0,MATCH(OFFSET($D123,0,$C123)+IF($C123&lt;&gt;1,1,COUNTIF(QCI!$A$13:$A$24,ORÇAMENTO!E123)),OFFSET($D123,1,$C123,ROW($C$264)-ROW($C123)),0))</f>
        <v>0</v>
      </c>
      <c r="L123" s="139" t="str">
        <f t="shared" ca="1" si="43"/>
        <v/>
      </c>
      <c r="M123" s="140" t="s">
        <v>199</v>
      </c>
      <c r="N123" s="141" t="str">
        <f t="shared" ca="1" si="44"/>
        <v>Serviço</v>
      </c>
      <c r="O123" s="142" t="str">
        <f t="shared" ca="1" si="45"/>
        <v>-</v>
      </c>
      <c r="P123" s="143" t="s">
        <v>247</v>
      </c>
      <c r="Q123" s="144"/>
      <c r="R123" s="145" t="str">
        <f ca="1">IF($C123="S",REFERENCIA.Descricao,"(digite a descrição aqui)")</f>
        <v>(abra o arquivo 'Referência 11-2024.xlsm)</v>
      </c>
      <c r="S123" s="146" t="str">
        <f ca="1">REFERENCIA.Unidade</f>
        <v>-</v>
      </c>
      <c r="T123" s="147">
        <f ca="1">OFFSET(CÁLCULO!H$15,ROW($T123)-ROW(T$15),0)</f>
        <v>0</v>
      </c>
      <c r="U123" s="148"/>
      <c r="V123" s="149" t="s">
        <v>156</v>
      </c>
      <c r="W123" s="147">
        <f ca="1">IF($C123="S",ROUND(IF(TIPOORCAMENTO="Proposto",ORÇAMENTO.CustoUnitario*(1+$AH123),ORÇAMENTO.PrecoUnitarioLicitado),15-13*$AF$10),0)</f>
        <v>0</v>
      </c>
      <c r="X123" s="150">
        <f ca="1">IF($C123="S",IF(Import.TipoArredondamento&lt;&gt;"TransfereGOV",VTOTAL1,SUM(OFFSET(CÁLCULO!$AA$15,ROW($X123)-ROW($X$15),1):OFFSET(CÁLCULO!$AL$15,ROW($X123)-ROW($X$15),-1))),IF($C123=0,0,ROUND(SomaAgrup,15-13*$AF$11)))</f>
        <v>0</v>
      </c>
      <c r="Y123" s="151" t="s">
        <v>245</v>
      </c>
      <c r="Z123" t="str">
        <f t="shared" ca="1" si="46"/>
        <v/>
      </c>
      <c r="AA123" s="152">
        <f ca="1">IF($C123="S",IF($Z123="CP",$X123,IF($Z123="RA",(($X123)*QCI!$AA$3),0)),SomaAgrup)</f>
        <v>0</v>
      </c>
      <c r="AB123" s="153">
        <f t="shared" ca="1" si="47"/>
        <v>0</v>
      </c>
      <c r="AC123" s="154" t="str">
        <f ca="1">IF($N123="","",IF(ORÇAMENTO.Descricao="","DESCRIÇÃO",IF(AND($C123="S",ORÇAMENTO.Unidade=""),"UNIDADE",IF($X123&lt;0,"VALOR NEGATIVO",IF(OR(AND(TIPOORCAMENTO="Proposto",$AG123&lt;&gt;"",$AG123&gt;0,ORÇAMENTO.CustoUnitario&gt;$AG123),AND(TIPOORCAMENTO="LICITADO",ORÇAMENTO.PrecoUnitarioLicitado&gt;$AN123)),"ACIMA REF.","")))))</f>
        <v/>
      </c>
      <c r="AD123" s="100" t="str">
        <f ca="1">IF(C123&lt;=CRONO.NivelExibicao,MAX($AD$15:OFFSET(AD123,-1,0))+IF($C123&lt;&gt;1,1,MAX(1,COUNTIF(QCI!$A$13:$A$24,OFFSET($E123,-1,0)))),"")</f>
        <v/>
      </c>
      <c r="AE123" s="110" t="b">
        <f ca="1">IF(AND($C123="S",ORÇAMENTO.CodBarra&lt;&gt;""),IF(ORÇAMENTO.Fonte="",ORÇAMENTO.CodBarra,CONCATENATE(ORÇAMENTO.Fonte," ",ORÇAMENTO.CodBarra)))</f>
        <v>0</v>
      </c>
      <c r="AF123" s="155" t="str">
        <f ca="1">IF(ISERROR(INDIRECT(ORÇAMENTO.BancoRef)),"(abra o arquivo 'Referência "&amp;Excel_BuiltIn_Database&amp;".xlsm)",IF(OR($C123&lt;&gt;"S",ORÇAMENTO.CodBarra=""),"(Sem Código)",IF(ISERROR(MATCH($AE123,INDIRECT(ORÇAMENTO.BancoRef),0)),"(Código não identificado nas referências)",MATCH($AE123,INDIRECT(ORÇAMENTO.BancoRef),0))))</f>
        <v>(abra o arquivo 'Referência 11-2024.xlsm)</v>
      </c>
      <c r="AG123" s="574">
        <f ca="1">ROUND(IF(DESONERACAO="sim",REFERENCIA.Desonerado,REFERENCIA.NaoDesonerado),2)</f>
        <v>0</v>
      </c>
      <c r="AH123" s="575">
        <f t="shared" ca="1" si="48"/>
        <v>0.22</v>
      </c>
      <c r="AJ123" s="577"/>
      <c r="AL123" s="607"/>
      <c r="AM123" s="426">
        <f t="shared" ca="1" si="49"/>
        <v>0</v>
      </c>
      <c r="AN123" s="650">
        <f t="shared" ca="1" si="50"/>
        <v>0</v>
      </c>
    </row>
    <row r="124" spans="1:40" ht="13.8" hidden="1">
      <c r="A124" t="str">
        <f t="shared" si="34"/>
        <v>S</v>
      </c>
      <c r="B124">
        <f t="shared" ca="1" si="35"/>
        <v>2</v>
      </c>
      <c r="C124" t="str">
        <f t="shared" ca="1" si="36"/>
        <v>S</v>
      </c>
      <c r="D124">
        <f t="shared" ca="1" si="37"/>
        <v>0</v>
      </c>
      <c r="E124">
        <f ca="1">IF($C124=1,OFFSET(E124,-1,0)+MAX(1,COUNTIF(QCI!$A$13:$A$24,OFFSET(ORÇAMENTO!E124,-1,0))),OFFSET(E124,-1,0))</f>
        <v>1</v>
      </c>
      <c r="F124">
        <f t="shared" ca="1" si="38"/>
        <v>5</v>
      </c>
      <c r="G124">
        <f t="shared" ca="1" si="39"/>
        <v>0</v>
      </c>
      <c r="H124">
        <f t="shared" ca="1" si="40"/>
        <v>0</v>
      </c>
      <c r="I124">
        <f t="shared" ca="1" si="41"/>
        <v>2</v>
      </c>
      <c r="J124">
        <f t="shared" ca="1" si="42"/>
        <v>0</v>
      </c>
      <c r="K124">
        <f ca="1">IF(OR($C124="S",$C124=0),0,MATCH(OFFSET($D124,0,$C124)+IF($C124&lt;&gt;1,1,COUNTIF(QCI!$A$13:$A$24,ORÇAMENTO!E124)),OFFSET($D124,1,$C124,ROW($C$264)-ROW($C124)),0))</f>
        <v>0</v>
      </c>
      <c r="L124" s="139" t="str">
        <f t="shared" ca="1" si="43"/>
        <v/>
      </c>
      <c r="M124" s="140" t="s">
        <v>199</v>
      </c>
      <c r="N124" s="141" t="str">
        <f t="shared" ca="1" si="44"/>
        <v>Serviço</v>
      </c>
      <c r="O124" s="142" t="str">
        <f t="shared" ca="1" si="45"/>
        <v>-</v>
      </c>
      <c r="P124" s="143" t="s">
        <v>247</v>
      </c>
      <c r="Q124" s="144"/>
      <c r="R124" s="145" t="str">
        <f ca="1">IF($C124="S",REFERENCIA.Descricao,"(digite a descrição aqui)")</f>
        <v>(abra o arquivo 'Referência 11-2024.xlsm)</v>
      </c>
      <c r="S124" s="146" t="str">
        <f ca="1">REFERENCIA.Unidade</f>
        <v>-</v>
      </c>
      <c r="T124" s="147">
        <f ca="1">OFFSET(CÁLCULO!H$15,ROW($T124)-ROW(T$15),0)</f>
        <v>0</v>
      </c>
      <c r="U124" s="148"/>
      <c r="V124" s="149" t="s">
        <v>156</v>
      </c>
      <c r="W124" s="147">
        <f ca="1">IF($C124="S",ROUND(IF(TIPOORCAMENTO="Proposto",ORÇAMENTO.CustoUnitario*(1+$AH124),ORÇAMENTO.PrecoUnitarioLicitado),15-13*$AF$10),0)</f>
        <v>0</v>
      </c>
      <c r="X124" s="150">
        <f ca="1">IF($C124="S",IF(Import.TipoArredondamento&lt;&gt;"TransfereGOV",VTOTAL1,SUM(OFFSET(CÁLCULO!$AA$15,ROW($X124)-ROW($X$15),1):OFFSET(CÁLCULO!$AL$15,ROW($X124)-ROW($X$15),-1))),IF($C124=0,0,ROUND(SomaAgrup,15-13*$AF$11)))</f>
        <v>0</v>
      </c>
      <c r="Y124" s="151" t="s">
        <v>245</v>
      </c>
      <c r="Z124" t="str">
        <f t="shared" ca="1" si="46"/>
        <v/>
      </c>
      <c r="AA124" s="152">
        <f ca="1">IF($C124="S",IF($Z124="CP",$X124,IF($Z124="RA",(($X124)*QCI!$AA$3),0)),SomaAgrup)</f>
        <v>0</v>
      </c>
      <c r="AB124" s="153">
        <f t="shared" ca="1" si="47"/>
        <v>0</v>
      </c>
      <c r="AC124" s="154" t="str">
        <f ca="1">IF($N124="","",IF(ORÇAMENTO.Descricao="","DESCRIÇÃO",IF(AND($C124="S",ORÇAMENTO.Unidade=""),"UNIDADE",IF($X124&lt;0,"VALOR NEGATIVO",IF(OR(AND(TIPOORCAMENTO="Proposto",$AG124&lt;&gt;"",$AG124&gt;0,ORÇAMENTO.CustoUnitario&gt;$AG124),AND(TIPOORCAMENTO="LICITADO",ORÇAMENTO.PrecoUnitarioLicitado&gt;$AN124)),"ACIMA REF.","")))))</f>
        <v/>
      </c>
      <c r="AD124" s="100" t="str">
        <f ca="1">IF(C124&lt;=CRONO.NivelExibicao,MAX($AD$15:OFFSET(AD124,-1,0))+IF($C124&lt;&gt;1,1,MAX(1,COUNTIF(QCI!$A$13:$A$24,OFFSET($E124,-1,0)))),"")</f>
        <v/>
      </c>
      <c r="AE124" s="110" t="b">
        <f ca="1">IF(AND($C124="S",ORÇAMENTO.CodBarra&lt;&gt;""),IF(ORÇAMENTO.Fonte="",ORÇAMENTO.CodBarra,CONCATENATE(ORÇAMENTO.Fonte," ",ORÇAMENTO.CodBarra)))</f>
        <v>0</v>
      </c>
      <c r="AF124" s="155" t="str">
        <f ca="1">IF(ISERROR(INDIRECT(ORÇAMENTO.BancoRef)),"(abra o arquivo 'Referência "&amp;Excel_BuiltIn_Database&amp;".xlsm)",IF(OR($C124&lt;&gt;"S",ORÇAMENTO.CodBarra=""),"(Sem Código)",IF(ISERROR(MATCH($AE124,INDIRECT(ORÇAMENTO.BancoRef),0)),"(Código não identificado nas referências)",MATCH($AE124,INDIRECT(ORÇAMENTO.BancoRef),0))))</f>
        <v>(abra o arquivo 'Referência 11-2024.xlsm)</v>
      </c>
      <c r="AG124" s="574">
        <f ca="1">ROUND(IF(DESONERACAO="sim",REFERENCIA.Desonerado,REFERENCIA.NaoDesonerado),2)</f>
        <v>0</v>
      </c>
      <c r="AH124" s="575">
        <f t="shared" ca="1" si="48"/>
        <v>0.22</v>
      </c>
      <c r="AJ124" s="577"/>
      <c r="AL124" s="607"/>
      <c r="AM124" s="426">
        <f t="shared" ca="1" si="49"/>
        <v>0</v>
      </c>
      <c r="AN124" s="650">
        <f t="shared" ca="1" si="50"/>
        <v>0</v>
      </c>
    </row>
    <row r="125" spans="1:40" ht="13.8" hidden="1">
      <c r="A125" t="str">
        <f t="shared" si="34"/>
        <v>S</v>
      </c>
      <c r="B125">
        <f t="shared" ca="1" si="35"/>
        <v>2</v>
      </c>
      <c r="C125" t="str">
        <f t="shared" ca="1" si="36"/>
        <v>S</v>
      </c>
      <c r="D125">
        <f t="shared" ca="1" si="37"/>
        <v>0</v>
      </c>
      <c r="E125">
        <f ca="1">IF($C125=1,OFFSET(E125,-1,0)+MAX(1,COUNTIF(QCI!$A$13:$A$24,OFFSET(ORÇAMENTO!E125,-1,0))),OFFSET(E125,-1,0))</f>
        <v>1</v>
      </c>
      <c r="F125">
        <f t="shared" ca="1" si="38"/>
        <v>5</v>
      </c>
      <c r="G125">
        <f t="shared" ca="1" si="39"/>
        <v>0</v>
      </c>
      <c r="H125">
        <f t="shared" ca="1" si="40"/>
        <v>0</v>
      </c>
      <c r="I125">
        <f t="shared" ca="1" si="41"/>
        <v>2</v>
      </c>
      <c r="J125">
        <f t="shared" ca="1" si="42"/>
        <v>0</v>
      </c>
      <c r="K125">
        <f ca="1">IF(OR($C125="S",$C125=0),0,MATCH(OFFSET($D125,0,$C125)+IF($C125&lt;&gt;1,1,COUNTIF(QCI!$A$13:$A$24,ORÇAMENTO!E125)),OFFSET($D125,1,$C125,ROW($C$264)-ROW($C125)),0))</f>
        <v>0</v>
      </c>
      <c r="L125" s="139" t="str">
        <f t="shared" ca="1" si="43"/>
        <v/>
      </c>
      <c r="M125" s="140" t="s">
        <v>199</v>
      </c>
      <c r="N125" s="141" t="str">
        <f t="shared" ca="1" si="44"/>
        <v>Serviço</v>
      </c>
      <c r="O125" s="142" t="str">
        <f t="shared" ca="1" si="45"/>
        <v>-</v>
      </c>
      <c r="P125" s="143" t="s">
        <v>247</v>
      </c>
      <c r="Q125" s="144"/>
      <c r="R125" s="145" t="str">
        <f ca="1">IF($C125="S",REFERENCIA.Descricao,"(digite a descrição aqui)")</f>
        <v>(abra o arquivo 'Referência 11-2024.xlsm)</v>
      </c>
      <c r="S125" s="146" t="str">
        <f ca="1">REFERENCIA.Unidade</f>
        <v>-</v>
      </c>
      <c r="T125" s="147">
        <f ca="1">OFFSET(CÁLCULO!H$15,ROW($T125)-ROW(T$15),0)</f>
        <v>0</v>
      </c>
      <c r="U125" s="148"/>
      <c r="V125" s="149" t="s">
        <v>156</v>
      </c>
      <c r="W125" s="147">
        <f ca="1">IF($C125="S",ROUND(IF(TIPOORCAMENTO="Proposto",ORÇAMENTO.CustoUnitario*(1+$AH125),ORÇAMENTO.PrecoUnitarioLicitado),15-13*$AF$10),0)</f>
        <v>0</v>
      </c>
      <c r="X125" s="150">
        <f ca="1">IF($C125="S",IF(Import.TipoArredondamento&lt;&gt;"TransfereGOV",VTOTAL1,SUM(OFFSET(CÁLCULO!$AA$15,ROW($X125)-ROW($X$15),1):OFFSET(CÁLCULO!$AL$15,ROW($X125)-ROW($X$15),-1))),IF($C125=0,0,ROUND(SomaAgrup,15-13*$AF$11)))</f>
        <v>0</v>
      </c>
      <c r="Y125" s="151" t="s">
        <v>245</v>
      </c>
      <c r="Z125" t="str">
        <f t="shared" ca="1" si="46"/>
        <v/>
      </c>
      <c r="AA125" s="152">
        <f ca="1">IF($C125="S",IF($Z125="CP",$X125,IF($Z125="RA",(($X125)*QCI!$AA$3),0)),SomaAgrup)</f>
        <v>0</v>
      </c>
      <c r="AB125" s="153">
        <f t="shared" ca="1" si="47"/>
        <v>0</v>
      </c>
      <c r="AC125" s="154" t="str">
        <f ca="1">IF($N125="","",IF(ORÇAMENTO.Descricao="","DESCRIÇÃO",IF(AND($C125="S",ORÇAMENTO.Unidade=""),"UNIDADE",IF($X125&lt;0,"VALOR NEGATIVO",IF(OR(AND(TIPOORCAMENTO="Proposto",$AG125&lt;&gt;"",$AG125&gt;0,ORÇAMENTO.CustoUnitario&gt;$AG125),AND(TIPOORCAMENTO="LICITADO",ORÇAMENTO.PrecoUnitarioLicitado&gt;$AN125)),"ACIMA REF.","")))))</f>
        <v/>
      </c>
      <c r="AD125" s="100" t="str">
        <f ca="1">IF(C125&lt;=CRONO.NivelExibicao,MAX($AD$15:OFFSET(AD125,-1,0))+IF($C125&lt;&gt;1,1,MAX(1,COUNTIF(QCI!$A$13:$A$24,OFFSET($E125,-1,0)))),"")</f>
        <v/>
      </c>
      <c r="AE125" s="110" t="b">
        <f ca="1">IF(AND($C125="S",ORÇAMENTO.CodBarra&lt;&gt;""),IF(ORÇAMENTO.Fonte="",ORÇAMENTO.CodBarra,CONCATENATE(ORÇAMENTO.Fonte," ",ORÇAMENTO.CodBarra)))</f>
        <v>0</v>
      </c>
      <c r="AF125" s="155" t="str">
        <f ca="1">IF(ISERROR(INDIRECT(ORÇAMENTO.BancoRef)),"(abra o arquivo 'Referência "&amp;Excel_BuiltIn_Database&amp;".xlsm)",IF(OR($C125&lt;&gt;"S",ORÇAMENTO.CodBarra=""),"(Sem Código)",IF(ISERROR(MATCH($AE125,INDIRECT(ORÇAMENTO.BancoRef),0)),"(Código não identificado nas referências)",MATCH($AE125,INDIRECT(ORÇAMENTO.BancoRef),0))))</f>
        <v>(abra o arquivo 'Referência 11-2024.xlsm)</v>
      </c>
      <c r="AG125" s="574">
        <f ca="1">ROUND(IF(DESONERACAO="sim",REFERENCIA.Desonerado,REFERENCIA.NaoDesonerado),2)</f>
        <v>0</v>
      </c>
      <c r="AH125" s="575">
        <f t="shared" ca="1" si="48"/>
        <v>0.22</v>
      </c>
      <c r="AJ125" s="577"/>
      <c r="AL125" s="607"/>
      <c r="AM125" s="426">
        <f t="shared" ca="1" si="49"/>
        <v>0</v>
      </c>
      <c r="AN125" s="650">
        <f t="shared" ca="1" si="50"/>
        <v>0</v>
      </c>
    </row>
    <row r="126" spans="1:40" ht="13.8" hidden="1">
      <c r="A126" t="str">
        <f t="shared" si="34"/>
        <v>S</v>
      </c>
      <c r="B126">
        <f t="shared" ca="1" si="35"/>
        <v>2</v>
      </c>
      <c r="C126" t="str">
        <f t="shared" ca="1" si="36"/>
        <v>S</v>
      </c>
      <c r="D126">
        <f t="shared" ca="1" si="37"/>
        <v>0</v>
      </c>
      <c r="E126">
        <f ca="1">IF($C126=1,OFFSET(E126,-1,0)+MAX(1,COUNTIF(QCI!$A$13:$A$24,OFFSET(ORÇAMENTO!E126,-1,0))),OFFSET(E126,-1,0))</f>
        <v>1</v>
      </c>
      <c r="F126">
        <f t="shared" ca="1" si="38"/>
        <v>5</v>
      </c>
      <c r="G126">
        <f t="shared" ca="1" si="39"/>
        <v>0</v>
      </c>
      <c r="H126">
        <f t="shared" ca="1" si="40"/>
        <v>0</v>
      </c>
      <c r="I126">
        <f t="shared" ca="1" si="41"/>
        <v>2</v>
      </c>
      <c r="J126">
        <f t="shared" ca="1" si="42"/>
        <v>0</v>
      </c>
      <c r="K126">
        <f ca="1">IF(OR($C126="S",$C126=0),0,MATCH(OFFSET($D126,0,$C126)+IF($C126&lt;&gt;1,1,COUNTIF(QCI!$A$13:$A$24,ORÇAMENTO!E126)),OFFSET($D126,1,$C126,ROW($C$264)-ROW($C126)),0))</f>
        <v>0</v>
      </c>
      <c r="L126" s="139" t="str">
        <f t="shared" ca="1" si="43"/>
        <v/>
      </c>
      <c r="M126" s="140" t="s">
        <v>199</v>
      </c>
      <c r="N126" s="141" t="str">
        <f t="shared" ca="1" si="44"/>
        <v>Serviço</v>
      </c>
      <c r="O126" s="142" t="str">
        <f t="shared" ca="1" si="45"/>
        <v>-</v>
      </c>
      <c r="P126" s="143" t="s">
        <v>247</v>
      </c>
      <c r="Q126" s="144"/>
      <c r="R126" s="145" t="str">
        <f ca="1">IF($C126="S",REFERENCIA.Descricao,"(digite a descrição aqui)")</f>
        <v>(abra o arquivo 'Referência 11-2024.xlsm)</v>
      </c>
      <c r="S126" s="146" t="str">
        <f ca="1">REFERENCIA.Unidade</f>
        <v>-</v>
      </c>
      <c r="T126" s="147">
        <f ca="1">OFFSET(CÁLCULO!H$15,ROW($T126)-ROW(T$15),0)</f>
        <v>0</v>
      </c>
      <c r="U126" s="148"/>
      <c r="V126" s="149" t="s">
        <v>156</v>
      </c>
      <c r="W126" s="147">
        <f ca="1">IF($C126="S",ROUND(IF(TIPOORCAMENTO="Proposto",ORÇAMENTO.CustoUnitario*(1+$AH126),ORÇAMENTO.PrecoUnitarioLicitado),15-13*$AF$10),0)</f>
        <v>0</v>
      </c>
      <c r="X126" s="150">
        <f ca="1">IF($C126="S",IF(Import.TipoArredondamento&lt;&gt;"TransfereGOV",VTOTAL1,SUM(OFFSET(CÁLCULO!$AA$15,ROW($X126)-ROW($X$15),1):OFFSET(CÁLCULO!$AL$15,ROW($X126)-ROW($X$15),-1))),IF($C126=0,0,ROUND(SomaAgrup,15-13*$AF$11)))</f>
        <v>0</v>
      </c>
      <c r="Y126" s="151" t="s">
        <v>245</v>
      </c>
      <c r="Z126" t="str">
        <f t="shared" ca="1" si="46"/>
        <v/>
      </c>
      <c r="AA126" s="152">
        <f ca="1">IF($C126="S",IF($Z126="CP",$X126,IF($Z126="RA",(($X126)*QCI!$AA$3),0)),SomaAgrup)</f>
        <v>0</v>
      </c>
      <c r="AB126" s="153">
        <f t="shared" ca="1" si="47"/>
        <v>0</v>
      </c>
      <c r="AC126" s="154" t="str">
        <f ca="1">IF($N126="","",IF(ORÇAMENTO.Descricao="","DESCRIÇÃO",IF(AND($C126="S",ORÇAMENTO.Unidade=""),"UNIDADE",IF($X126&lt;0,"VALOR NEGATIVO",IF(OR(AND(TIPOORCAMENTO="Proposto",$AG126&lt;&gt;"",$AG126&gt;0,ORÇAMENTO.CustoUnitario&gt;$AG126),AND(TIPOORCAMENTO="LICITADO",ORÇAMENTO.PrecoUnitarioLicitado&gt;$AN126)),"ACIMA REF.","")))))</f>
        <v/>
      </c>
      <c r="AD126" s="100" t="str">
        <f ca="1">IF(C126&lt;=CRONO.NivelExibicao,MAX($AD$15:OFFSET(AD126,-1,0))+IF($C126&lt;&gt;1,1,MAX(1,COUNTIF(QCI!$A$13:$A$24,OFFSET($E126,-1,0)))),"")</f>
        <v/>
      </c>
      <c r="AE126" s="110" t="b">
        <f ca="1">IF(AND($C126="S",ORÇAMENTO.CodBarra&lt;&gt;""),IF(ORÇAMENTO.Fonte="",ORÇAMENTO.CodBarra,CONCATENATE(ORÇAMENTO.Fonte," ",ORÇAMENTO.CodBarra)))</f>
        <v>0</v>
      </c>
      <c r="AF126" s="155" t="str">
        <f ca="1">IF(ISERROR(INDIRECT(ORÇAMENTO.BancoRef)),"(abra o arquivo 'Referência "&amp;Excel_BuiltIn_Database&amp;".xlsm)",IF(OR($C126&lt;&gt;"S",ORÇAMENTO.CodBarra=""),"(Sem Código)",IF(ISERROR(MATCH($AE126,INDIRECT(ORÇAMENTO.BancoRef),0)),"(Código não identificado nas referências)",MATCH($AE126,INDIRECT(ORÇAMENTO.BancoRef),0))))</f>
        <v>(abra o arquivo 'Referência 11-2024.xlsm)</v>
      </c>
      <c r="AG126" s="574">
        <f ca="1">ROUND(IF(DESONERACAO="sim",REFERENCIA.Desonerado,REFERENCIA.NaoDesonerado),2)</f>
        <v>0</v>
      </c>
      <c r="AH126" s="575">
        <f t="shared" ca="1" si="48"/>
        <v>0.22</v>
      </c>
      <c r="AJ126" s="577"/>
      <c r="AL126" s="607"/>
      <c r="AM126" s="426">
        <f t="shared" ca="1" si="49"/>
        <v>0</v>
      </c>
      <c r="AN126" s="650">
        <f t="shared" ca="1" si="50"/>
        <v>0</v>
      </c>
    </row>
    <row r="127" spans="1:40" ht="13.8" hidden="1">
      <c r="A127" t="str">
        <f t="shared" si="34"/>
        <v>S</v>
      </c>
      <c r="B127">
        <f t="shared" ca="1" si="35"/>
        <v>2</v>
      </c>
      <c r="C127" t="str">
        <f t="shared" ca="1" si="36"/>
        <v>S</v>
      </c>
      <c r="D127">
        <f t="shared" ca="1" si="37"/>
        <v>0</v>
      </c>
      <c r="E127">
        <f ca="1">IF($C127=1,OFFSET(E127,-1,0)+MAX(1,COUNTIF(QCI!$A$13:$A$24,OFFSET(ORÇAMENTO!E127,-1,0))),OFFSET(E127,-1,0))</f>
        <v>1</v>
      </c>
      <c r="F127">
        <f t="shared" ca="1" si="38"/>
        <v>5</v>
      </c>
      <c r="G127">
        <f t="shared" ca="1" si="39"/>
        <v>0</v>
      </c>
      <c r="H127">
        <f t="shared" ca="1" si="40"/>
        <v>0</v>
      </c>
      <c r="I127">
        <f t="shared" ca="1" si="41"/>
        <v>2</v>
      </c>
      <c r="J127">
        <f t="shared" ca="1" si="42"/>
        <v>0</v>
      </c>
      <c r="K127">
        <f ca="1">IF(OR($C127="S",$C127=0),0,MATCH(OFFSET($D127,0,$C127)+IF($C127&lt;&gt;1,1,COUNTIF(QCI!$A$13:$A$24,ORÇAMENTO!E127)),OFFSET($D127,1,$C127,ROW($C$264)-ROW($C127)),0))</f>
        <v>0</v>
      </c>
      <c r="L127" s="139" t="str">
        <f t="shared" ca="1" si="43"/>
        <v/>
      </c>
      <c r="M127" s="140" t="s">
        <v>199</v>
      </c>
      <c r="N127" s="141" t="str">
        <f t="shared" ca="1" si="44"/>
        <v>Serviço</v>
      </c>
      <c r="O127" s="142" t="str">
        <f t="shared" ca="1" si="45"/>
        <v>-</v>
      </c>
      <c r="P127" s="143" t="s">
        <v>247</v>
      </c>
      <c r="Q127" s="144"/>
      <c r="R127" s="145" t="str">
        <f ca="1">IF($C127="S",REFERENCIA.Descricao,"(digite a descrição aqui)")</f>
        <v>(abra o arquivo 'Referência 11-2024.xlsm)</v>
      </c>
      <c r="S127" s="146" t="str">
        <f ca="1">REFERENCIA.Unidade</f>
        <v>-</v>
      </c>
      <c r="T127" s="147">
        <f ca="1">OFFSET(CÁLCULO!H$15,ROW($T127)-ROW(T$15),0)</f>
        <v>0</v>
      </c>
      <c r="U127" s="148"/>
      <c r="V127" s="149" t="s">
        <v>156</v>
      </c>
      <c r="W127" s="147">
        <f ca="1">IF($C127="S",ROUND(IF(TIPOORCAMENTO="Proposto",ORÇAMENTO.CustoUnitario*(1+$AH127),ORÇAMENTO.PrecoUnitarioLicitado),15-13*$AF$10),0)</f>
        <v>0</v>
      </c>
      <c r="X127" s="150">
        <f ca="1">IF($C127="S",IF(Import.TipoArredondamento&lt;&gt;"TransfereGOV",VTOTAL1,SUM(OFFSET(CÁLCULO!$AA$15,ROW($X127)-ROW($X$15),1):OFFSET(CÁLCULO!$AL$15,ROW($X127)-ROW($X$15),-1))),IF($C127=0,0,ROUND(SomaAgrup,15-13*$AF$11)))</f>
        <v>0</v>
      </c>
      <c r="Y127" s="151" t="s">
        <v>245</v>
      </c>
      <c r="Z127" t="str">
        <f t="shared" ca="1" si="46"/>
        <v/>
      </c>
      <c r="AA127" s="152">
        <f ca="1">IF($C127="S",IF($Z127="CP",$X127,IF($Z127="RA",(($X127)*QCI!$AA$3),0)),SomaAgrup)</f>
        <v>0</v>
      </c>
      <c r="AB127" s="153">
        <f t="shared" ca="1" si="47"/>
        <v>0</v>
      </c>
      <c r="AC127" s="154" t="str">
        <f ca="1">IF($N127="","",IF(ORÇAMENTO.Descricao="","DESCRIÇÃO",IF(AND($C127="S",ORÇAMENTO.Unidade=""),"UNIDADE",IF($X127&lt;0,"VALOR NEGATIVO",IF(OR(AND(TIPOORCAMENTO="Proposto",$AG127&lt;&gt;"",$AG127&gt;0,ORÇAMENTO.CustoUnitario&gt;$AG127),AND(TIPOORCAMENTO="LICITADO",ORÇAMENTO.PrecoUnitarioLicitado&gt;$AN127)),"ACIMA REF.","")))))</f>
        <v/>
      </c>
      <c r="AD127" s="100" t="str">
        <f ca="1">IF(C127&lt;=CRONO.NivelExibicao,MAX($AD$15:OFFSET(AD127,-1,0))+IF($C127&lt;&gt;1,1,MAX(1,COUNTIF(QCI!$A$13:$A$24,OFFSET($E127,-1,0)))),"")</f>
        <v/>
      </c>
      <c r="AE127" s="110" t="b">
        <f ca="1">IF(AND($C127="S",ORÇAMENTO.CodBarra&lt;&gt;""),IF(ORÇAMENTO.Fonte="",ORÇAMENTO.CodBarra,CONCATENATE(ORÇAMENTO.Fonte," ",ORÇAMENTO.CodBarra)))</f>
        <v>0</v>
      </c>
      <c r="AF127" s="155" t="str">
        <f ca="1">IF(ISERROR(INDIRECT(ORÇAMENTO.BancoRef)),"(abra o arquivo 'Referência "&amp;Excel_BuiltIn_Database&amp;".xlsm)",IF(OR($C127&lt;&gt;"S",ORÇAMENTO.CodBarra=""),"(Sem Código)",IF(ISERROR(MATCH($AE127,INDIRECT(ORÇAMENTO.BancoRef),0)),"(Código não identificado nas referências)",MATCH($AE127,INDIRECT(ORÇAMENTO.BancoRef),0))))</f>
        <v>(abra o arquivo 'Referência 11-2024.xlsm)</v>
      </c>
      <c r="AG127" s="574">
        <f ca="1">ROUND(IF(DESONERACAO="sim",REFERENCIA.Desonerado,REFERENCIA.NaoDesonerado),2)</f>
        <v>0</v>
      </c>
      <c r="AH127" s="575">
        <f t="shared" ca="1" si="48"/>
        <v>0.22</v>
      </c>
      <c r="AJ127" s="577"/>
      <c r="AL127" s="607"/>
      <c r="AM127" s="426">
        <f t="shared" ca="1" si="49"/>
        <v>0</v>
      </c>
      <c r="AN127" s="650">
        <f t="shared" ca="1" si="50"/>
        <v>0</v>
      </c>
    </row>
    <row r="128" spans="1:40" ht="13.8" hidden="1">
      <c r="A128" t="str">
        <f t="shared" si="34"/>
        <v>S</v>
      </c>
      <c r="B128">
        <f t="shared" ca="1" si="35"/>
        <v>2</v>
      </c>
      <c r="C128" t="str">
        <f t="shared" ca="1" si="36"/>
        <v>S</v>
      </c>
      <c r="D128">
        <f t="shared" ca="1" si="37"/>
        <v>0</v>
      </c>
      <c r="E128">
        <f ca="1">IF($C128=1,OFFSET(E128,-1,0)+MAX(1,COUNTIF(QCI!$A$13:$A$24,OFFSET(ORÇAMENTO!E128,-1,0))),OFFSET(E128,-1,0))</f>
        <v>1</v>
      </c>
      <c r="F128">
        <f t="shared" ca="1" si="38"/>
        <v>5</v>
      </c>
      <c r="G128">
        <f t="shared" ca="1" si="39"/>
        <v>0</v>
      </c>
      <c r="H128">
        <f t="shared" ca="1" si="40"/>
        <v>0</v>
      </c>
      <c r="I128">
        <f t="shared" ca="1" si="41"/>
        <v>2</v>
      </c>
      <c r="J128">
        <f t="shared" ca="1" si="42"/>
        <v>0</v>
      </c>
      <c r="K128">
        <f ca="1">IF(OR($C128="S",$C128=0),0,MATCH(OFFSET($D128,0,$C128)+IF($C128&lt;&gt;1,1,COUNTIF(QCI!$A$13:$A$24,ORÇAMENTO!E128)),OFFSET($D128,1,$C128,ROW($C$264)-ROW($C128)),0))</f>
        <v>0</v>
      </c>
      <c r="L128" s="139" t="str">
        <f t="shared" ca="1" si="43"/>
        <v/>
      </c>
      <c r="M128" s="140" t="s">
        <v>199</v>
      </c>
      <c r="N128" s="141" t="str">
        <f t="shared" ca="1" si="44"/>
        <v>Serviço</v>
      </c>
      <c r="O128" s="142" t="str">
        <f t="shared" ca="1" si="45"/>
        <v>-</v>
      </c>
      <c r="P128" s="143" t="s">
        <v>247</v>
      </c>
      <c r="Q128" s="144"/>
      <c r="R128" s="145" t="str">
        <f ca="1">IF($C128="S",REFERENCIA.Descricao,"(digite a descrição aqui)")</f>
        <v>(abra o arquivo 'Referência 11-2024.xlsm)</v>
      </c>
      <c r="S128" s="146" t="str">
        <f ca="1">REFERENCIA.Unidade</f>
        <v>-</v>
      </c>
      <c r="T128" s="147">
        <f ca="1">OFFSET(CÁLCULO!H$15,ROW($T128)-ROW(T$15),0)</f>
        <v>0</v>
      </c>
      <c r="U128" s="148"/>
      <c r="V128" s="149" t="s">
        <v>156</v>
      </c>
      <c r="W128" s="147">
        <f ca="1">IF($C128="S",ROUND(IF(TIPOORCAMENTO="Proposto",ORÇAMENTO.CustoUnitario*(1+$AH128),ORÇAMENTO.PrecoUnitarioLicitado),15-13*$AF$10),0)</f>
        <v>0</v>
      </c>
      <c r="X128" s="150">
        <f ca="1">IF($C128="S",IF(Import.TipoArredondamento&lt;&gt;"TransfereGOV",VTOTAL1,SUM(OFFSET(CÁLCULO!$AA$15,ROW($X128)-ROW($X$15),1):OFFSET(CÁLCULO!$AL$15,ROW($X128)-ROW($X$15),-1))),IF($C128=0,0,ROUND(SomaAgrup,15-13*$AF$11)))</f>
        <v>0</v>
      </c>
      <c r="Y128" s="151" t="s">
        <v>245</v>
      </c>
      <c r="Z128" t="str">
        <f t="shared" ca="1" si="46"/>
        <v/>
      </c>
      <c r="AA128" s="152">
        <f ca="1">IF($C128="S",IF($Z128="CP",$X128,IF($Z128="RA",(($X128)*QCI!$AA$3),0)),SomaAgrup)</f>
        <v>0</v>
      </c>
      <c r="AB128" s="153">
        <f t="shared" ca="1" si="47"/>
        <v>0</v>
      </c>
      <c r="AC128" s="154" t="str">
        <f ca="1">IF($N128="","",IF(ORÇAMENTO.Descricao="","DESCRIÇÃO",IF(AND($C128="S",ORÇAMENTO.Unidade=""),"UNIDADE",IF($X128&lt;0,"VALOR NEGATIVO",IF(OR(AND(TIPOORCAMENTO="Proposto",$AG128&lt;&gt;"",$AG128&gt;0,ORÇAMENTO.CustoUnitario&gt;$AG128),AND(TIPOORCAMENTO="LICITADO",ORÇAMENTO.PrecoUnitarioLicitado&gt;$AN128)),"ACIMA REF.","")))))</f>
        <v/>
      </c>
      <c r="AD128" s="100" t="str">
        <f ca="1">IF(C128&lt;=CRONO.NivelExibicao,MAX($AD$15:OFFSET(AD128,-1,0))+IF($C128&lt;&gt;1,1,MAX(1,COUNTIF(QCI!$A$13:$A$24,OFFSET($E128,-1,0)))),"")</f>
        <v/>
      </c>
      <c r="AE128" s="110" t="b">
        <f ca="1">IF(AND($C128="S",ORÇAMENTO.CodBarra&lt;&gt;""),IF(ORÇAMENTO.Fonte="",ORÇAMENTO.CodBarra,CONCATENATE(ORÇAMENTO.Fonte," ",ORÇAMENTO.CodBarra)))</f>
        <v>0</v>
      </c>
      <c r="AF128" s="155" t="str">
        <f ca="1">IF(ISERROR(INDIRECT(ORÇAMENTO.BancoRef)),"(abra o arquivo 'Referência "&amp;Excel_BuiltIn_Database&amp;".xlsm)",IF(OR($C128&lt;&gt;"S",ORÇAMENTO.CodBarra=""),"(Sem Código)",IF(ISERROR(MATCH($AE128,INDIRECT(ORÇAMENTO.BancoRef),0)),"(Código não identificado nas referências)",MATCH($AE128,INDIRECT(ORÇAMENTO.BancoRef),0))))</f>
        <v>(abra o arquivo 'Referência 11-2024.xlsm)</v>
      </c>
      <c r="AG128" s="574">
        <f ca="1">ROUND(IF(DESONERACAO="sim",REFERENCIA.Desonerado,REFERENCIA.NaoDesonerado),2)</f>
        <v>0</v>
      </c>
      <c r="AH128" s="575">
        <f t="shared" ca="1" si="48"/>
        <v>0.22</v>
      </c>
      <c r="AJ128" s="577"/>
      <c r="AL128" s="607"/>
      <c r="AM128" s="426">
        <f t="shared" ca="1" si="49"/>
        <v>0</v>
      </c>
      <c r="AN128" s="650">
        <f t="shared" ca="1" si="50"/>
        <v>0</v>
      </c>
    </row>
    <row r="129" spans="1:40" ht="13.8" hidden="1">
      <c r="A129" t="str">
        <f t="shared" si="34"/>
        <v>S</v>
      </c>
      <c r="B129">
        <f t="shared" ca="1" si="35"/>
        <v>2</v>
      </c>
      <c r="C129" t="str">
        <f t="shared" ca="1" si="36"/>
        <v>S</v>
      </c>
      <c r="D129">
        <f t="shared" ca="1" si="37"/>
        <v>0</v>
      </c>
      <c r="E129">
        <f ca="1">IF($C129=1,OFFSET(E129,-1,0)+MAX(1,COUNTIF(QCI!$A$13:$A$24,OFFSET(ORÇAMENTO!E129,-1,0))),OFFSET(E129,-1,0))</f>
        <v>1</v>
      </c>
      <c r="F129">
        <f t="shared" ca="1" si="38"/>
        <v>5</v>
      </c>
      <c r="G129">
        <f t="shared" ca="1" si="39"/>
        <v>0</v>
      </c>
      <c r="H129">
        <f t="shared" ca="1" si="40"/>
        <v>0</v>
      </c>
      <c r="I129">
        <f t="shared" ca="1" si="41"/>
        <v>2</v>
      </c>
      <c r="J129">
        <f t="shared" ca="1" si="42"/>
        <v>0</v>
      </c>
      <c r="K129">
        <f ca="1">IF(OR($C129="S",$C129=0),0,MATCH(OFFSET($D129,0,$C129)+IF($C129&lt;&gt;1,1,COUNTIF(QCI!$A$13:$A$24,ORÇAMENTO!E129)),OFFSET($D129,1,$C129,ROW($C$264)-ROW($C129)),0))</f>
        <v>0</v>
      </c>
      <c r="L129" s="139" t="str">
        <f t="shared" ca="1" si="43"/>
        <v/>
      </c>
      <c r="M129" s="140" t="s">
        <v>199</v>
      </c>
      <c r="N129" s="141" t="str">
        <f t="shared" ca="1" si="44"/>
        <v>Serviço</v>
      </c>
      <c r="O129" s="142" t="str">
        <f t="shared" ca="1" si="45"/>
        <v>-</v>
      </c>
      <c r="P129" s="143" t="s">
        <v>247</v>
      </c>
      <c r="Q129" s="144"/>
      <c r="R129" s="145" t="str">
        <f ca="1">IF($C129="S",REFERENCIA.Descricao,"(digite a descrição aqui)")</f>
        <v>(abra o arquivo 'Referência 11-2024.xlsm)</v>
      </c>
      <c r="S129" s="146" t="str">
        <f ca="1">REFERENCIA.Unidade</f>
        <v>-</v>
      </c>
      <c r="T129" s="147">
        <f ca="1">OFFSET(CÁLCULO!H$15,ROW($T129)-ROW(T$15),0)</f>
        <v>0</v>
      </c>
      <c r="U129" s="148"/>
      <c r="V129" s="149" t="s">
        <v>156</v>
      </c>
      <c r="W129" s="147">
        <f ca="1">IF($C129="S",ROUND(IF(TIPOORCAMENTO="Proposto",ORÇAMENTO.CustoUnitario*(1+$AH129),ORÇAMENTO.PrecoUnitarioLicitado),15-13*$AF$10),0)</f>
        <v>0</v>
      </c>
      <c r="X129" s="150">
        <f ca="1">IF($C129="S",IF(Import.TipoArredondamento&lt;&gt;"TransfereGOV",VTOTAL1,SUM(OFFSET(CÁLCULO!$AA$15,ROW($X129)-ROW($X$15),1):OFFSET(CÁLCULO!$AL$15,ROW($X129)-ROW($X$15),-1))),IF($C129=0,0,ROUND(SomaAgrup,15-13*$AF$11)))</f>
        <v>0</v>
      </c>
      <c r="Y129" s="151" t="s">
        <v>245</v>
      </c>
      <c r="Z129" t="str">
        <f t="shared" ca="1" si="46"/>
        <v/>
      </c>
      <c r="AA129" s="152">
        <f ca="1">IF($C129="S",IF($Z129="CP",$X129,IF($Z129="RA",(($X129)*QCI!$AA$3),0)),SomaAgrup)</f>
        <v>0</v>
      </c>
      <c r="AB129" s="153">
        <f t="shared" ca="1" si="47"/>
        <v>0</v>
      </c>
      <c r="AC129" s="154" t="str">
        <f ca="1">IF($N129="","",IF(ORÇAMENTO.Descricao="","DESCRIÇÃO",IF(AND($C129="S",ORÇAMENTO.Unidade=""),"UNIDADE",IF($X129&lt;0,"VALOR NEGATIVO",IF(OR(AND(TIPOORCAMENTO="Proposto",$AG129&lt;&gt;"",$AG129&gt;0,ORÇAMENTO.CustoUnitario&gt;$AG129),AND(TIPOORCAMENTO="LICITADO",ORÇAMENTO.PrecoUnitarioLicitado&gt;$AN129)),"ACIMA REF.","")))))</f>
        <v/>
      </c>
      <c r="AD129" s="100" t="str">
        <f ca="1">IF(C129&lt;=CRONO.NivelExibicao,MAX($AD$15:OFFSET(AD129,-1,0))+IF($C129&lt;&gt;1,1,MAX(1,COUNTIF(QCI!$A$13:$A$24,OFFSET($E129,-1,0)))),"")</f>
        <v/>
      </c>
      <c r="AE129" s="110" t="b">
        <f ca="1">IF(AND($C129="S",ORÇAMENTO.CodBarra&lt;&gt;""),IF(ORÇAMENTO.Fonte="",ORÇAMENTO.CodBarra,CONCATENATE(ORÇAMENTO.Fonte," ",ORÇAMENTO.CodBarra)))</f>
        <v>0</v>
      </c>
      <c r="AF129" s="155" t="str">
        <f ca="1">IF(ISERROR(INDIRECT(ORÇAMENTO.BancoRef)),"(abra o arquivo 'Referência "&amp;Excel_BuiltIn_Database&amp;".xlsm)",IF(OR($C129&lt;&gt;"S",ORÇAMENTO.CodBarra=""),"(Sem Código)",IF(ISERROR(MATCH($AE129,INDIRECT(ORÇAMENTO.BancoRef),0)),"(Código não identificado nas referências)",MATCH($AE129,INDIRECT(ORÇAMENTO.BancoRef),0))))</f>
        <v>(abra o arquivo 'Referência 11-2024.xlsm)</v>
      </c>
      <c r="AG129" s="574">
        <f ca="1">ROUND(IF(DESONERACAO="sim",REFERENCIA.Desonerado,REFERENCIA.NaoDesonerado),2)</f>
        <v>0</v>
      </c>
      <c r="AH129" s="575">
        <f t="shared" ca="1" si="48"/>
        <v>0.22</v>
      </c>
      <c r="AJ129" s="577"/>
      <c r="AL129" s="607"/>
      <c r="AM129" s="426">
        <f t="shared" ca="1" si="49"/>
        <v>0</v>
      </c>
      <c r="AN129" s="650">
        <f t="shared" ca="1" si="50"/>
        <v>0</v>
      </c>
    </row>
    <row r="130" spans="1:40" ht="13.8" hidden="1">
      <c r="A130" t="str">
        <f t="shared" si="34"/>
        <v>S</v>
      </c>
      <c r="B130">
        <f t="shared" ca="1" si="35"/>
        <v>2</v>
      </c>
      <c r="C130" t="str">
        <f t="shared" ca="1" si="36"/>
        <v>S</v>
      </c>
      <c r="D130">
        <f t="shared" ca="1" si="37"/>
        <v>0</v>
      </c>
      <c r="E130">
        <f ca="1">IF($C130=1,OFFSET(E130,-1,0)+MAX(1,COUNTIF(QCI!$A$13:$A$24,OFFSET(ORÇAMENTO!E130,-1,0))),OFFSET(E130,-1,0))</f>
        <v>1</v>
      </c>
      <c r="F130">
        <f t="shared" ca="1" si="38"/>
        <v>5</v>
      </c>
      <c r="G130">
        <f t="shared" ca="1" si="39"/>
        <v>0</v>
      </c>
      <c r="H130">
        <f t="shared" ca="1" si="40"/>
        <v>0</v>
      </c>
      <c r="I130">
        <f t="shared" ca="1" si="41"/>
        <v>2</v>
      </c>
      <c r="J130">
        <f t="shared" ca="1" si="42"/>
        <v>0</v>
      </c>
      <c r="K130">
        <f ca="1">IF(OR($C130="S",$C130=0),0,MATCH(OFFSET($D130,0,$C130)+IF($C130&lt;&gt;1,1,COUNTIF(QCI!$A$13:$A$24,ORÇAMENTO!E130)),OFFSET($D130,1,$C130,ROW($C$264)-ROW($C130)),0))</f>
        <v>0</v>
      </c>
      <c r="L130" s="139" t="str">
        <f t="shared" ca="1" si="43"/>
        <v/>
      </c>
      <c r="M130" s="140" t="s">
        <v>199</v>
      </c>
      <c r="N130" s="141" t="str">
        <f t="shared" ca="1" si="44"/>
        <v>Serviço</v>
      </c>
      <c r="O130" s="142" t="str">
        <f t="shared" ca="1" si="45"/>
        <v>-</v>
      </c>
      <c r="P130" s="143" t="s">
        <v>247</v>
      </c>
      <c r="Q130" s="144"/>
      <c r="R130" s="145" t="str">
        <f ca="1">IF($C130="S",REFERENCIA.Descricao,"(digite a descrição aqui)")</f>
        <v>(abra o arquivo 'Referência 11-2024.xlsm)</v>
      </c>
      <c r="S130" s="146" t="str">
        <f ca="1">REFERENCIA.Unidade</f>
        <v>-</v>
      </c>
      <c r="T130" s="147">
        <f ca="1">OFFSET(CÁLCULO!H$15,ROW($T130)-ROW(T$15),0)</f>
        <v>0</v>
      </c>
      <c r="U130" s="148"/>
      <c r="V130" s="149" t="s">
        <v>156</v>
      </c>
      <c r="W130" s="147">
        <f ca="1">IF($C130="S",ROUND(IF(TIPOORCAMENTO="Proposto",ORÇAMENTO.CustoUnitario*(1+$AH130),ORÇAMENTO.PrecoUnitarioLicitado),15-13*$AF$10),0)</f>
        <v>0</v>
      </c>
      <c r="X130" s="150">
        <f ca="1">IF($C130="S",IF(Import.TipoArredondamento&lt;&gt;"TransfereGOV",VTOTAL1,SUM(OFFSET(CÁLCULO!$AA$15,ROW($X130)-ROW($X$15),1):OFFSET(CÁLCULO!$AL$15,ROW($X130)-ROW($X$15),-1))),IF($C130=0,0,ROUND(SomaAgrup,15-13*$AF$11)))</f>
        <v>0</v>
      </c>
      <c r="Y130" s="151" t="s">
        <v>245</v>
      </c>
      <c r="Z130" t="str">
        <f t="shared" ca="1" si="46"/>
        <v/>
      </c>
      <c r="AA130" s="152">
        <f ca="1">IF($C130="S",IF($Z130="CP",$X130,IF($Z130="RA",(($X130)*QCI!$AA$3),0)),SomaAgrup)</f>
        <v>0</v>
      </c>
      <c r="AB130" s="153">
        <f t="shared" ca="1" si="47"/>
        <v>0</v>
      </c>
      <c r="AC130" s="154" t="str">
        <f ca="1">IF($N130="","",IF(ORÇAMENTO.Descricao="","DESCRIÇÃO",IF(AND($C130="S",ORÇAMENTO.Unidade=""),"UNIDADE",IF($X130&lt;0,"VALOR NEGATIVO",IF(OR(AND(TIPOORCAMENTO="Proposto",$AG130&lt;&gt;"",$AG130&gt;0,ORÇAMENTO.CustoUnitario&gt;$AG130),AND(TIPOORCAMENTO="LICITADO",ORÇAMENTO.PrecoUnitarioLicitado&gt;$AN130)),"ACIMA REF.","")))))</f>
        <v/>
      </c>
      <c r="AD130" s="100" t="str">
        <f ca="1">IF(C130&lt;=CRONO.NivelExibicao,MAX($AD$15:OFFSET(AD130,-1,0))+IF($C130&lt;&gt;1,1,MAX(1,COUNTIF(QCI!$A$13:$A$24,OFFSET($E130,-1,0)))),"")</f>
        <v/>
      </c>
      <c r="AE130" s="110" t="b">
        <f ca="1">IF(AND($C130="S",ORÇAMENTO.CodBarra&lt;&gt;""),IF(ORÇAMENTO.Fonte="",ORÇAMENTO.CodBarra,CONCATENATE(ORÇAMENTO.Fonte," ",ORÇAMENTO.CodBarra)))</f>
        <v>0</v>
      </c>
      <c r="AF130" s="155" t="str">
        <f ca="1">IF(ISERROR(INDIRECT(ORÇAMENTO.BancoRef)),"(abra o arquivo 'Referência "&amp;Excel_BuiltIn_Database&amp;".xlsm)",IF(OR($C130&lt;&gt;"S",ORÇAMENTO.CodBarra=""),"(Sem Código)",IF(ISERROR(MATCH($AE130,INDIRECT(ORÇAMENTO.BancoRef),0)),"(Código não identificado nas referências)",MATCH($AE130,INDIRECT(ORÇAMENTO.BancoRef),0))))</f>
        <v>(abra o arquivo 'Referência 11-2024.xlsm)</v>
      </c>
      <c r="AG130" s="574">
        <f ca="1">ROUND(IF(DESONERACAO="sim",REFERENCIA.Desonerado,REFERENCIA.NaoDesonerado),2)</f>
        <v>0</v>
      </c>
      <c r="AH130" s="575">
        <f t="shared" ca="1" si="48"/>
        <v>0.22</v>
      </c>
      <c r="AJ130" s="577"/>
      <c r="AL130" s="607"/>
      <c r="AM130" s="426">
        <f t="shared" ca="1" si="49"/>
        <v>0</v>
      </c>
      <c r="AN130" s="650">
        <f t="shared" ca="1" si="50"/>
        <v>0</v>
      </c>
    </row>
    <row r="131" spans="1:40" ht="13.8" hidden="1">
      <c r="A131" t="str">
        <f t="shared" si="34"/>
        <v>S</v>
      </c>
      <c r="B131">
        <f t="shared" ca="1" si="35"/>
        <v>2</v>
      </c>
      <c r="C131" t="str">
        <f t="shared" ca="1" si="36"/>
        <v>S</v>
      </c>
      <c r="D131">
        <f t="shared" ca="1" si="37"/>
        <v>0</v>
      </c>
      <c r="E131">
        <f ca="1">IF($C131=1,OFFSET(E131,-1,0)+MAX(1,COUNTIF(QCI!$A$13:$A$24,OFFSET(ORÇAMENTO!E131,-1,0))),OFFSET(E131,-1,0))</f>
        <v>1</v>
      </c>
      <c r="F131">
        <f t="shared" ca="1" si="38"/>
        <v>5</v>
      </c>
      <c r="G131">
        <f t="shared" ca="1" si="39"/>
        <v>0</v>
      </c>
      <c r="H131">
        <f t="shared" ca="1" si="40"/>
        <v>0</v>
      </c>
      <c r="I131">
        <f t="shared" ca="1" si="41"/>
        <v>2</v>
      </c>
      <c r="J131">
        <f t="shared" ca="1" si="42"/>
        <v>0</v>
      </c>
      <c r="K131">
        <f ca="1">IF(OR($C131="S",$C131=0),0,MATCH(OFFSET($D131,0,$C131)+IF($C131&lt;&gt;1,1,COUNTIF(QCI!$A$13:$A$24,ORÇAMENTO!E131)),OFFSET($D131,1,$C131,ROW($C$264)-ROW($C131)),0))</f>
        <v>0</v>
      </c>
      <c r="L131" s="139" t="str">
        <f t="shared" ca="1" si="43"/>
        <v/>
      </c>
      <c r="M131" s="140" t="s">
        <v>199</v>
      </c>
      <c r="N131" s="141" t="str">
        <f t="shared" ca="1" si="44"/>
        <v>Serviço</v>
      </c>
      <c r="O131" s="142" t="str">
        <f t="shared" ca="1" si="45"/>
        <v>-</v>
      </c>
      <c r="P131" s="143" t="s">
        <v>247</v>
      </c>
      <c r="Q131" s="144"/>
      <c r="R131" s="145" t="str">
        <f ca="1">IF($C131="S",REFERENCIA.Descricao,"(digite a descrição aqui)")</f>
        <v>(abra o arquivo 'Referência 11-2024.xlsm)</v>
      </c>
      <c r="S131" s="146" t="str">
        <f ca="1">REFERENCIA.Unidade</f>
        <v>-</v>
      </c>
      <c r="T131" s="147">
        <f ca="1">OFFSET(CÁLCULO!H$15,ROW($T131)-ROW(T$15),0)</f>
        <v>0</v>
      </c>
      <c r="U131" s="148"/>
      <c r="V131" s="149" t="s">
        <v>156</v>
      </c>
      <c r="W131" s="147">
        <f ca="1">IF($C131="S",ROUND(IF(TIPOORCAMENTO="Proposto",ORÇAMENTO.CustoUnitario*(1+$AH131),ORÇAMENTO.PrecoUnitarioLicitado),15-13*$AF$10),0)</f>
        <v>0</v>
      </c>
      <c r="X131" s="150">
        <f ca="1">IF($C131="S",IF(Import.TipoArredondamento&lt;&gt;"TransfereGOV",VTOTAL1,SUM(OFFSET(CÁLCULO!$AA$15,ROW($X131)-ROW($X$15),1):OFFSET(CÁLCULO!$AL$15,ROW($X131)-ROW($X$15),-1))),IF($C131=0,0,ROUND(SomaAgrup,15-13*$AF$11)))</f>
        <v>0</v>
      </c>
      <c r="Y131" s="151" t="s">
        <v>245</v>
      </c>
      <c r="Z131" t="str">
        <f t="shared" ca="1" si="46"/>
        <v/>
      </c>
      <c r="AA131" s="152">
        <f ca="1">IF($C131="S",IF($Z131="CP",$X131,IF($Z131="RA",(($X131)*QCI!$AA$3),0)),SomaAgrup)</f>
        <v>0</v>
      </c>
      <c r="AB131" s="153">
        <f t="shared" ca="1" si="47"/>
        <v>0</v>
      </c>
      <c r="AC131" s="154" t="str">
        <f ca="1">IF($N131="","",IF(ORÇAMENTO.Descricao="","DESCRIÇÃO",IF(AND($C131="S",ORÇAMENTO.Unidade=""),"UNIDADE",IF($X131&lt;0,"VALOR NEGATIVO",IF(OR(AND(TIPOORCAMENTO="Proposto",$AG131&lt;&gt;"",$AG131&gt;0,ORÇAMENTO.CustoUnitario&gt;$AG131),AND(TIPOORCAMENTO="LICITADO",ORÇAMENTO.PrecoUnitarioLicitado&gt;$AN131)),"ACIMA REF.","")))))</f>
        <v/>
      </c>
      <c r="AD131" s="100" t="str">
        <f ca="1">IF(C131&lt;=CRONO.NivelExibicao,MAX($AD$15:OFFSET(AD131,-1,0))+IF($C131&lt;&gt;1,1,MAX(1,COUNTIF(QCI!$A$13:$A$24,OFFSET($E131,-1,0)))),"")</f>
        <v/>
      </c>
      <c r="AE131" s="110" t="b">
        <f ca="1">IF(AND($C131="S",ORÇAMENTO.CodBarra&lt;&gt;""),IF(ORÇAMENTO.Fonte="",ORÇAMENTO.CodBarra,CONCATENATE(ORÇAMENTO.Fonte," ",ORÇAMENTO.CodBarra)))</f>
        <v>0</v>
      </c>
      <c r="AF131" s="155" t="str">
        <f ca="1">IF(ISERROR(INDIRECT(ORÇAMENTO.BancoRef)),"(abra o arquivo 'Referência "&amp;Excel_BuiltIn_Database&amp;".xlsm)",IF(OR($C131&lt;&gt;"S",ORÇAMENTO.CodBarra=""),"(Sem Código)",IF(ISERROR(MATCH($AE131,INDIRECT(ORÇAMENTO.BancoRef),0)),"(Código não identificado nas referências)",MATCH($AE131,INDIRECT(ORÇAMENTO.BancoRef),0))))</f>
        <v>(abra o arquivo 'Referência 11-2024.xlsm)</v>
      </c>
      <c r="AG131" s="574">
        <f ca="1">ROUND(IF(DESONERACAO="sim",REFERENCIA.Desonerado,REFERENCIA.NaoDesonerado),2)</f>
        <v>0</v>
      </c>
      <c r="AH131" s="575">
        <f t="shared" ca="1" si="48"/>
        <v>0.22</v>
      </c>
      <c r="AJ131" s="577"/>
      <c r="AL131" s="607"/>
      <c r="AM131" s="426">
        <f t="shared" ca="1" si="49"/>
        <v>0</v>
      </c>
      <c r="AN131" s="650">
        <f t="shared" ca="1" si="50"/>
        <v>0</v>
      </c>
    </row>
    <row r="132" spans="1:40" ht="13.8" hidden="1">
      <c r="A132" t="str">
        <f t="shared" si="34"/>
        <v>S</v>
      </c>
      <c r="B132">
        <f t="shared" ca="1" si="35"/>
        <v>2</v>
      </c>
      <c r="C132" t="str">
        <f t="shared" ca="1" si="36"/>
        <v>S</v>
      </c>
      <c r="D132">
        <f t="shared" ca="1" si="37"/>
        <v>0</v>
      </c>
      <c r="E132">
        <f ca="1">IF($C132=1,OFFSET(E132,-1,0)+MAX(1,COUNTIF(QCI!$A$13:$A$24,OFFSET(ORÇAMENTO!E132,-1,0))),OFFSET(E132,-1,0))</f>
        <v>1</v>
      </c>
      <c r="F132">
        <f t="shared" ca="1" si="38"/>
        <v>5</v>
      </c>
      <c r="G132">
        <f t="shared" ca="1" si="39"/>
        <v>0</v>
      </c>
      <c r="H132">
        <f t="shared" ca="1" si="40"/>
        <v>0</v>
      </c>
      <c r="I132">
        <f t="shared" ca="1" si="41"/>
        <v>2</v>
      </c>
      <c r="J132">
        <f t="shared" ca="1" si="42"/>
        <v>0</v>
      </c>
      <c r="K132">
        <f ca="1">IF(OR($C132="S",$C132=0),0,MATCH(OFFSET($D132,0,$C132)+IF($C132&lt;&gt;1,1,COUNTIF(QCI!$A$13:$A$24,ORÇAMENTO!E132)),OFFSET($D132,1,$C132,ROW($C$264)-ROW($C132)),0))</f>
        <v>0</v>
      </c>
      <c r="L132" s="139" t="str">
        <f t="shared" ca="1" si="43"/>
        <v/>
      </c>
      <c r="M132" s="140" t="s">
        <v>199</v>
      </c>
      <c r="N132" s="141" t="str">
        <f t="shared" ca="1" si="44"/>
        <v>Serviço</v>
      </c>
      <c r="O132" s="142" t="str">
        <f t="shared" ca="1" si="45"/>
        <v>-</v>
      </c>
      <c r="P132" s="143" t="s">
        <v>247</v>
      </c>
      <c r="Q132" s="144"/>
      <c r="R132" s="145" t="str">
        <f ca="1">IF($C132="S",REFERENCIA.Descricao,"(digite a descrição aqui)")</f>
        <v>(abra o arquivo 'Referência 11-2024.xlsm)</v>
      </c>
      <c r="S132" s="146" t="str">
        <f ca="1">REFERENCIA.Unidade</f>
        <v>-</v>
      </c>
      <c r="T132" s="147">
        <f ca="1">OFFSET(CÁLCULO!H$15,ROW($T132)-ROW(T$15),0)</f>
        <v>0</v>
      </c>
      <c r="U132" s="148"/>
      <c r="V132" s="149" t="s">
        <v>156</v>
      </c>
      <c r="W132" s="147">
        <f ca="1">IF($C132="S",ROUND(IF(TIPOORCAMENTO="Proposto",ORÇAMENTO.CustoUnitario*(1+$AH132),ORÇAMENTO.PrecoUnitarioLicitado),15-13*$AF$10),0)</f>
        <v>0</v>
      </c>
      <c r="X132" s="150">
        <f ca="1">IF($C132="S",IF(Import.TipoArredondamento&lt;&gt;"TransfereGOV",VTOTAL1,SUM(OFFSET(CÁLCULO!$AA$15,ROW($X132)-ROW($X$15),1):OFFSET(CÁLCULO!$AL$15,ROW($X132)-ROW($X$15),-1))),IF($C132=0,0,ROUND(SomaAgrup,15-13*$AF$11)))</f>
        <v>0</v>
      </c>
      <c r="Y132" s="151" t="s">
        <v>245</v>
      </c>
      <c r="Z132" t="str">
        <f t="shared" ca="1" si="46"/>
        <v/>
      </c>
      <c r="AA132" s="152">
        <f ca="1">IF($C132="S",IF($Z132="CP",$X132,IF($Z132="RA",(($X132)*QCI!$AA$3),0)),SomaAgrup)</f>
        <v>0</v>
      </c>
      <c r="AB132" s="153">
        <f t="shared" ca="1" si="47"/>
        <v>0</v>
      </c>
      <c r="AC132" s="154" t="str">
        <f ca="1">IF($N132="","",IF(ORÇAMENTO.Descricao="","DESCRIÇÃO",IF(AND($C132="S",ORÇAMENTO.Unidade=""),"UNIDADE",IF($X132&lt;0,"VALOR NEGATIVO",IF(OR(AND(TIPOORCAMENTO="Proposto",$AG132&lt;&gt;"",$AG132&gt;0,ORÇAMENTO.CustoUnitario&gt;$AG132),AND(TIPOORCAMENTO="LICITADO",ORÇAMENTO.PrecoUnitarioLicitado&gt;$AN132)),"ACIMA REF.","")))))</f>
        <v/>
      </c>
      <c r="AD132" s="100" t="str">
        <f ca="1">IF(C132&lt;=CRONO.NivelExibicao,MAX($AD$15:OFFSET(AD132,-1,0))+IF($C132&lt;&gt;1,1,MAX(1,COUNTIF(QCI!$A$13:$A$24,OFFSET($E132,-1,0)))),"")</f>
        <v/>
      </c>
      <c r="AE132" s="110" t="b">
        <f ca="1">IF(AND($C132="S",ORÇAMENTO.CodBarra&lt;&gt;""),IF(ORÇAMENTO.Fonte="",ORÇAMENTO.CodBarra,CONCATENATE(ORÇAMENTO.Fonte," ",ORÇAMENTO.CodBarra)))</f>
        <v>0</v>
      </c>
      <c r="AF132" s="155" t="str">
        <f ca="1">IF(ISERROR(INDIRECT(ORÇAMENTO.BancoRef)),"(abra o arquivo 'Referência "&amp;Excel_BuiltIn_Database&amp;".xlsm)",IF(OR($C132&lt;&gt;"S",ORÇAMENTO.CodBarra=""),"(Sem Código)",IF(ISERROR(MATCH($AE132,INDIRECT(ORÇAMENTO.BancoRef),0)),"(Código não identificado nas referências)",MATCH($AE132,INDIRECT(ORÇAMENTO.BancoRef),0))))</f>
        <v>(abra o arquivo 'Referência 11-2024.xlsm)</v>
      </c>
      <c r="AG132" s="574">
        <f ca="1">ROUND(IF(DESONERACAO="sim",REFERENCIA.Desonerado,REFERENCIA.NaoDesonerado),2)</f>
        <v>0</v>
      </c>
      <c r="AH132" s="575">
        <f t="shared" ca="1" si="48"/>
        <v>0.22</v>
      </c>
      <c r="AJ132" s="577"/>
      <c r="AL132" s="607"/>
      <c r="AM132" s="426">
        <f t="shared" ca="1" si="49"/>
        <v>0</v>
      </c>
      <c r="AN132" s="650">
        <f t="shared" ca="1" si="50"/>
        <v>0</v>
      </c>
    </row>
    <row r="133" spans="1:40" ht="13.8" hidden="1">
      <c r="A133" t="str">
        <f t="shared" si="34"/>
        <v>S</v>
      </c>
      <c r="B133">
        <f t="shared" ca="1" si="35"/>
        <v>2</v>
      </c>
      <c r="C133" t="str">
        <f t="shared" ca="1" si="36"/>
        <v>S</v>
      </c>
      <c r="D133">
        <f t="shared" ca="1" si="37"/>
        <v>0</v>
      </c>
      <c r="E133">
        <f ca="1">IF($C133=1,OFFSET(E133,-1,0)+MAX(1,COUNTIF(QCI!$A$13:$A$24,OFFSET(ORÇAMENTO!E133,-1,0))),OFFSET(E133,-1,0))</f>
        <v>1</v>
      </c>
      <c r="F133">
        <f t="shared" ca="1" si="38"/>
        <v>5</v>
      </c>
      <c r="G133">
        <f t="shared" ca="1" si="39"/>
        <v>0</v>
      </c>
      <c r="H133">
        <f t="shared" ca="1" si="40"/>
        <v>0</v>
      </c>
      <c r="I133">
        <f t="shared" ca="1" si="41"/>
        <v>2</v>
      </c>
      <c r="J133">
        <f t="shared" ca="1" si="42"/>
        <v>0</v>
      </c>
      <c r="K133">
        <f ca="1">IF(OR($C133="S",$C133=0),0,MATCH(OFFSET($D133,0,$C133)+IF($C133&lt;&gt;1,1,COUNTIF(QCI!$A$13:$A$24,ORÇAMENTO!E133)),OFFSET($D133,1,$C133,ROW($C$264)-ROW($C133)),0))</f>
        <v>0</v>
      </c>
      <c r="L133" s="139" t="str">
        <f t="shared" ca="1" si="43"/>
        <v/>
      </c>
      <c r="M133" s="140" t="s">
        <v>199</v>
      </c>
      <c r="N133" s="141" t="str">
        <f t="shared" ca="1" si="44"/>
        <v>Serviço</v>
      </c>
      <c r="O133" s="142" t="str">
        <f t="shared" ca="1" si="45"/>
        <v>-</v>
      </c>
      <c r="P133" s="143" t="s">
        <v>247</v>
      </c>
      <c r="Q133" s="144"/>
      <c r="R133" s="145" t="str">
        <f ca="1">IF($C133="S",REFERENCIA.Descricao,"(digite a descrição aqui)")</f>
        <v>(abra o arquivo 'Referência 11-2024.xlsm)</v>
      </c>
      <c r="S133" s="146" t="str">
        <f ca="1">REFERENCIA.Unidade</f>
        <v>-</v>
      </c>
      <c r="T133" s="147">
        <f ca="1">OFFSET(CÁLCULO!H$15,ROW($T133)-ROW(T$15),0)</f>
        <v>0</v>
      </c>
      <c r="U133" s="148"/>
      <c r="V133" s="149" t="s">
        <v>156</v>
      </c>
      <c r="W133" s="147">
        <f ca="1">IF($C133="S",ROUND(IF(TIPOORCAMENTO="Proposto",ORÇAMENTO.CustoUnitario*(1+$AH133),ORÇAMENTO.PrecoUnitarioLicitado),15-13*$AF$10),0)</f>
        <v>0</v>
      </c>
      <c r="X133" s="150">
        <f ca="1">IF($C133="S",IF(Import.TipoArredondamento&lt;&gt;"TransfereGOV",VTOTAL1,SUM(OFFSET(CÁLCULO!$AA$15,ROW($X133)-ROW($X$15),1):OFFSET(CÁLCULO!$AL$15,ROW($X133)-ROW($X$15),-1))),IF($C133=0,0,ROUND(SomaAgrup,15-13*$AF$11)))</f>
        <v>0</v>
      </c>
      <c r="Y133" s="151" t="s">
        <v>245</v>
      </c>
      <c r="Z133" t="str">
        <f t="shared" ca="1" si="46"/>
        <v/>
      </c>
      <c r="AA133" s="152">
        <f ca="1">IF($C133="S",IF($Z133="CP",$X133,IF($Z133="RA",(($X133)*QCI!$AA$3),0)),SomaAgrup)</f>
        <v>0</v>
      </c>
      <c r="AB133" s="153">
        <f t="shared" ca="1" si="47"/>
        <v>0</v>
      </c>
      <c r="AC133" s="154" t="str">
        <f ca="1">IF($N133="","",IF(ORÇAMENTO.Descricao="","DESCRIÇÃO",IF(AND($C133="S",ORÇAMENTO.Unidade=""),"UNIDADE",IF($X133&lt;0,"VALOR NEGATIVO",IF(OR(AND(TIPOORCAMENTO="Proposto",$AG133&lt;&gt;"",$AG133&gt;0,ORÇAMENTO.CustoUnitario&gt;$AG133),AND(TIPOORCAMENTO="LICITADO",ORÇAMENTO.PrecoUnitarioLicitado&gt;$AN133)),"ACIMA REF.","")))))</f>
        <v/>
      </c>
      <c r="AD133" s="100" t="str">
        <f ca="1">IF(C133&lt;=CRONO.NivelExibicao,MAX($AD$15:OFFSET(AD133,-1,0))+IF($C133&lt;&gt;1,1,MAX(1,COUNTIF(QCI!$A$13:$A$24,OFFSET($E133,-1,0)))),"")</f>
        <v/>
      </c>
      <c r="AE133" s="110" t="b">
        <f ca="1">IF(AND($C133="S",ORÇAMENTO.CodBarra&lt;&gt;""),IF(ORÇAMENTO.Fonte="",ORÇAMENTO.CodBarra,CONCATENATE(ORÇAMENTO.Fonte," ",ORÇAMENTO.CodBarra)))</f>
        <v>0</v>
      </c>
      <c r="AF133" s="155" t="str">
        <f ca="1">IF(ISERROR(INDIRECT(ORÇAMENTO.BancoRef)),"(abra o arquivo 'Referência "&amp;Excel_BuiltIn_Database&amp;".xlsm)",IF(OR($C133&lt;&gt;"S",ORÇAMENTO.CodBarra=""),"(Sem Código)",IF(ISERROR(MATCH($AE133,INDIRECT(ORÇAMENTO.BancoRef),0)),"(Código não identificado nas referências)",MATCH($AE133,INDIRECT(ORÇAMENTO.BancoRef),0))))</f>
        <v>(abra o arquivo 'Referência 11-2024.xlsm)</v>
      </c>
      <c r="AG133" s="574">
        <f ca="1">ROUND(IF(DESONERACAO="sim",REFERENCIA.Desonerado,REFERENCIA.NaoDesonerado),2)</f>
        <v>0</v>
      </c>
      <c r="AH133" s="575">
        <f t="shared" ca="1" si="48"/>
        <v>0.22</v>
      </c>
      <c r="AJ133" s="577"/>
      <c r="AL133" s="607"/>
      <c r="AM133" s="426">
        <f t="shared" ca="1" si="49"/>
        <v>0</v>
      </c>
      <c r="AN133" s="650">
        <f t="shared" ca="1" si="50"/>
        <v>0</v>
      </c>
    </row>
    <row r="134" spans="1:40" ht="13.8" hidden="1">
      <c r="A134" t="str">
        <f t="shared" si="34"/>
        <v>S</v>
      </c>
      <c r="B134">
        <f t="shared" ca="1" si="35"/>
        <v>2</v>
      </c>
      <c r="C134" t="str">
        <f t="shared" ca="1" si="36"/>
        <v>S</v>
      </c>
      <c r="D134">
        <f t="shared" ca="1" si="37"/>
        <v>0</v>
      </c>
      <c r="E134">
        <f ca="1">IF($C134=1,OFFSET(E134,-1,0)+MAX(1,COUNTIF(QCI!$A$13:$A$24,OFFSET(ORÇAMENTO!E134,-1,0))),OFFSET(E134,-1,0))</f>
        <v>1</v>
      </c>
      <c r="F134">
        <f t="shared" ca="1" si="38"/>
        <v>5</v>
      </c>
      <c r="G134">
        <f t="shared" ca="1" si="39"/>
        <v>0</v>
      </c>
      <c r="H134">
        <f t="shared" ca="1" si="40"/>
        <v>0</v>
      </c>
      <c r="I134">
        <f t="shared" ca="1" si="41"/>
        <v>2</v>
      </c>
      <c r="J134">
        <f t="shared" ca="1" si="42"/>
        <v>0</v>
      </c>
      <c r="K134">
        <f ca="1">IF(OR($C134="S",$C134=0),0,MATCH(OFFSET($D134,0,$C134)+IF($C134&lt;&gt;1,1,COUNTIF(QCI!$A$13:$A$24,ORÇAMENTO!E134)),OFFSET($D134,1,$C134,ROW($C$264)-ROW($C134)),0))</f>
        <v>0</v>
      </c>
      <c r="L134" s="139" t="str">
        <f t="shared" ca="1" si="43"/>
        <v/>
      </c>
      <c r="M134" s="140" t="s">
        <v>199</v>
      </c>
      <c r="N134" s="141" t="str">
        <f t="shared" ca="1" si="44"/>
        <v>Serviço</v>
      </c>
      <c r="O134" s="142" t="str">
        <f t="shared" ca="1" si="45"/>
        <v>-</v>
      </c>
      <c r="P134" s="143" t="s">
        <v>247</v>
      </c>
      <c r="Q134" s="144"/>
      <c r="R134" s="145" t="str">
        <f ca="1">IF($C134="S",REFERENCIA.Descricao,"(digite a descrição aqui)")</f>
        <v>(abra o arquivo 'Referência 11-2024.xlsm)</v>
      </c>
      <c r="S134" s="146" t="str">
        <f ca="1">REFERENCIA.Unidade</f>
        <v>-</v>
      </c>
      <c r="T134" s="147">
        <f ca="1">OFFSET(CÁLCULO!H$15,ROW($T134)-ROW(T$15),0)</f>
        <v>0</v>
      </c>
      <c r="U134" s="148"/>
      <c r="V134" s="149" t="s">
        <v>156</v>
      </c>
      <c r="W134" s="147">
        <f ca="1">IF($C134="S",ROUND(IF(TIPOORCAMENTO="Proposto",ORÇAMENTO.CustoUnitario*(1+$AH134),ORÇAMENTO.PrecoUnitarioLicitado),15-13*$AF$10),0)</f>
        <v>0</v>
      </c>
      <c r="X134" s="150">
        <f ca="1">IF($C134="S",IF(Import.TipoArredondamento&lt;&gt;"TransfereGOV",VTOTAL1,SUM(OFFSET(CÁLCULO!$AA$15,ROW($X134)-ROW($X$15),1):OFFSET(CÁLCULO!$AL$15,ROW($X134)-ROW($X$15),-1))),IF($C134=0,0,ROUND(SomaAgrup,15-13*$AF$11)))</f>
        <v>0</v>
      </c>
      <c r="Y134" s="151" t="s">
        <v>245</v>
      </c>
      <c r="Z134" t="str">
        <f t="shared" ca="1" si="46"/>
        <v/>
      </c>
      <c r="AA134" s="152">
        <f ca="1">IF($C134="S",IF($Z134="CP",$X134,IF($Z134="RA",(($X134)*QCI!$AA$3),0)),SomaAgrup)</f>
        <v>0</v>
      </c>
      <c r="AB134" s="153">
        <f t="shared" ca="1" si="47"/>
        <v>0</v>
      </c>
      <c r="AC134" s="154" t="str">
        <f ca="1">IF($N134="","",IF(ORÇAMENTO.Descricao="","DESCRIÇÃO",IF(AND($C134="S",ORÇAMENTO.Unidade=""),"UNIDADE",IF($X134&lt;0,"VALOR NEGATIVO",IF(OR(AND(TIPOORCAMENTO="Proposto",$AG134&lt;&gt;"",$AG134&gt;0,ORÇAMENTO.CustoUnitario&gt;$AG134),AND(TIPOORCAMENTO="LICITADO",ORÇAMENTO.PrecoUnitarioLicitado&gt;$AN134)),"ACIMA REF.","")))))</f>
        <v/>
      </c>
      <c r="AD134" s="100" t="str">
        <f ca="1">IF(C134&lt;=CRONO.NivelExibicao,MAX($AD$15:OFFSET(AD134,-1,0))+IF($C134&lt;&gt;1,1,MAX(1,COUNTIF(QCI!$A$13:$A$24,OFFSET($E134,-1,0)))),"")</f>
        <v/>
      </c>
      <c r="AE134" s="110" t="b">
        <f ca="1">IF(AND($C134="S",ORÇAMENTO.CodBarra&lt;&gt;""),IF(ORÇAMENTO.Fonte="",ORÇAMENTO.CodBarra,CONCATENATE(ORÇAMENTO.Fonte," ",ORÇAMENTO.CodBarra)))</f>
        <v>0</v>
      </c>
      <c r="AF134" s="155" t="str">
        <f ca="1">IF(ISERROR(INDIRECT(ORÇAMENTO.BancoRef)),"(abra o arquivo 'Referência "&amp;Excel_BuiltIn_Database&amp;".xlsm)",IF(OR($C134&lt;&gt;"S",ORÇAMENTO.CodBarra=""),"(Sem Código)",IF(ISERROR(MATCH($AE134,INDIRECT(ORÇAMENTO.BancoRef),0)),"(Código não identificado nas referências)",MATCH($AE134,INDIRECT(ORÇAMENTO.BancoRef),0))))</f>
        <v>(abra o arquivo 'Referência 11-2024.xlsm)</v>
      </c>
      <c r="AG134" s="574">
        <f ca="1">ROUND(IF(DESONERACAO="sim",REFERENCIA.Desonerado,REFERENCIA.NaoDesonerado),2)</f>
        <v>0</v>
      </c>
      <c r="AH134" s="575">
        <f t="shared" ca="1" si="48"/>
        <v>0.22</v>
      </c>
      <c r="AJ134" s="577"/>
      <c r="AL134" s="607"/>
      <c r="AM134" s="426">
        <f t="shared" ca="1" si="49"/>
        <v>0</v>
      </c>
      <c r="AN134" s="650">
        <f t="shared" ca="1" si="50"/>
        <v>0</v>
      </c>
    </row>
    <row r="135" spans="1:40" ht="13.8" hidden="1">
      <c r="A135" t="str">
        <f t="shared" si="34"/>
        <v>S</v>
      </c>
      <c r="B135">
        <f t="shared" ca="1" si="35"/>
        <v>2</v>
      </c>
      <c r="C135" t="str">
        <f t="shared" ca="1" si="36"/>
        <v>S</v>
      </c>
      <c r="D135">
        <f t="shared" ca="1" si="37"/>
        <v>0</v>
      </c>
      <c r="E135">
        <f ca="1">IF($C135=1,OFFSET(E135,-1,0)+MAX(1,COUNTIF(QCI!$A$13:$A$24,OFFSET(ORÇAMENTO!E135,-1,0))),OFFSET(E135,-1,0))</f>
        <v>1</v>
      </c>
      <c r="F135">
        <f t="shared" ca="1" si="38"/>
        <v>5</v>
      </c>
      <c r="G135">
        <f t="shared" ca="1" si="39"/>
        <v>0</v>
      </c>
      <c r="H135">
        <f t="shared" ca="1" si="40"/>
        <v>0</v>
      </c>
      <c r="I135">
        <f t="shared" ca="1" si="41"/>
        <v>2</v>
      </c>
      <c r="J135">
        <f t="shared" ca="1" si="42"/>
        <v>0</v>
      </c>
      <c r="K135">
        <f ca="1">IF(OR($C135="S",$C135=0),0,MATCH(OFFSET($D135,0,$C135)+IF($C135&lt;&gt;1,1,COUNTIF(QCI!$A$13:$A$24,ORÇAMENTO!E135)),OFFSET($D135,1,$C135,ROW($C$264)-ROW($C135)),0))</f>
        <v>0</v>
      </c>
      <c r="L135" s="139" t="str">
        <f t="shared" ca="1" si="43"/>
        <v/>
      </c>
      <c r="M135" s="140" t="s">
        <v>199</v>
      </c>
      <c r="N135" s="141" t="str">
        <f t="shared" ca="1" si="44"/>
        <v>Serviço</v>
      </c>
      <c r="O135" s="142" t="str">
        <f t="shared" ca="1" si="45"/>
        <v>-</v>
      </c>
      <c r="P135" s="143" t="s">
        <v>247</v>
      </c>
      <c r="Q135" s="144"/>
      <c r="R135" s="145" t="str">
        <f ca="1">IF($C135="S",REFERENCIA.Descricao,"(digite a descrição aqui)")</f>
        <v>(abra o arquivo 'Referência 11-2024.xlsm)</v>
      </c>
      <c r="S135" s="146" t="str">
        <f ca="1">REFERENCIA.Unidade</f>
        <v>-</v>
      </c>
      <c r="T135" s="147">
        <f ca="1">OFFSET(CÁLCULO!H$15,ROW($T135)-ROW(T$15),0)</f>
        <v>0</v>
      </c>
      <c r="U135" s="148"/>
      <c r="V135" s="149" t="s">
        <v>156</v>
      </c>
      <c r="W135" s="147">
        <f ca="1">IF($C135="S",ROUND(IF(TIPOORCAMENTO="Proposto",ORÇAMENTO.CustoUnitario*(1+$AH135),ORÇAMENTO.PrecoUnitarioLicitado),15-13*$AF$10),0)</f>
        <v>0</v>
      </c>
      <c r="X135" s="150">
        <f ca="1">IF($C135="S",IF(Import.TipoArredondamento&lt;&gt;"TransfereGOV",VTOTAL1,SUM(OFFSET(CÁLCULO!$AA$15,ROW($X135)-ROW($X$15),1):OFFSET(CÁLCULO!$AL$15,ROW($X135)-ROW($X$15),-1))),IF($C135=0,0,ROUND(SomaAgrup,15-13*$AF$11)))</f>
        <v>0</v>
      </c>
      <c r="Y135" s="151" t="s">
        <v>245</v>
      </c>
      <c r="Z135" t="str">
        <f t="shared" ca="1" si="46"/>
        <v/>
      </c>
      <c r="AA135" s="152">
        <f ca="1">IF($C135="S",IF($Z135="CP",$X135,IF($Z135="RA",(($X135)*QCI!$AA$3),0)),SomaAgrup)</f>
        <v>0</v>
      </c>
      <c r="AB135" s="153">
        <f t="shared" ca="1" si="47"/>
        <v>0</v>
      </c>
      <c r="AC135" s="154" t="str">
        <f ca="1">IF($N135="","",IF(ORÇAMENTO.Descricao="","DESCRIÇÃO",IF(AND($C135="S",ORÇAMENTO.Unidade=""),"UNIDADE",IF($X135&lt;0,"VALOR NEGATIVO",IF(OR(AND(TIPOORCAMENTO="Proposto",$AG135&lt;&gt;"",$AG135&gt;0,ORÇAMENTO.CustoUnitario&gt;$AG135),AND(TIPOORCAMENTO="LICITADO",ORÇAMENTO.PrecoUnitarioLicitado&gt;$AN135)),"ACIMA REF.","")))))</f>
        <v/>
      </c>
      <c r="AD135" s="100" t="str">
        <f ca="1">IF(C135&lt;=CRONO.NivelExibicao,MAX($AD$15:OFFSET(AD135,-1,0))+IF($C135&lt;&gt;1,1,MAX(1,COUNTIF(QCI!$A$13:$A$24,OFFSET($E135,-1,0)))),"")</f>
        <v/>
      </c>
      <c r="AE135" s="110" t="b">
        <f ca="1">IF(AND($C135="S",ORÇAMENTO.CodBarra&lt;&gt;""),IF(ORÇAMENTO.Fonte="",ORÇAMENTO.CodBarra,CONCATENATE(ORÇAMENTO.Fonte," ",ORÇAMENTO.CodBarra)))</f>
        <v>0</v>
      </c>
      <c r="AF135" s="155" t="str">
        <f ca="1">IF(ISERROR(INDIRECT(ORÇAMENTO.BancoRef)),"(abra o arquivo 'Referência "&amp;Excel_BuiltIn_Database&amp;".xlsm)",IF(OR($C135&lt;&gt;"S",ORÇAMENTO.CodBarra=""),"(Sem Código)",IF(ISERROR(MATCH($AE135,INDIRECT(ORÇAMENTO.BancoRef),0)),"(Código não identificado nas referências)",MATCH($AE135,INDIRECT(ORÇAMENTO.BancoRef),0))))</f>
        <v>(abra o arquivo 'Referência 11-2024.xlsm)</v>
      </c>
      <c r="AG135" s="574">
        <f ca="1">ROUND(IF(DESONERACAO="sim",REFERENCIA.Desonerado,REFERENCIA.NaoDesonerado),2)</f>
        <v>0</v>
      </c>
      <c r="AH135" s="575">
        <f t="shared" ca="1" si="48"/>
        <v>0.22</v>
      </c>
      <c r="AJ135" s="577"/>
      <c r="AL135" s="607"/>
      <c r="AM135" s="426">
        <f t="shared" ca="1" si="49"/>
        <v>0</v>
      </c>
      <c r="AN135" s="650">
        <f t="shared" ca="1" si="50"/>
        <v>0</v>
      </c>
    </row>
    <row r="136" spans="1:40" ht="13.8" hidden="1">
      <c r="A136" t="str">
        <f t="shared" si="34"/>
        <v>S</v>
      </c>
      <c r="B136">
        <f t="shared" ca="1" si="35"/>
        <v>2</v>
      </c>
      <c r="C136" t="str">
        <f t="shared" ca="1" si="36"/>
        <v>S</v>
      </c>
      <c r="D136">
        <f t="shared" ca="1" si="37"/>
        <v>0</v>
      </c>
      <c r="E136">
        <f ca="1">IF($C136=1,OFFSET(E136,-1,0)+MAX(1,COUNTIF(QCI!$A$13:$A$24,OFFSET(ORÇAMENTO!E136,-1,0))),OFFSET(E136,-1,0))</f>
        <v>1</v>
      </c>
      <c r="F136">
        <f t="shared" ca="1" si="38"/>
        <v>5</v>
      </c>
      <c r="G136">
        <f t="shared" ca="1" si="39"/>
        <v>0</v>
      </c>
      <c r="H136">
        <f t="shared" ca="1" si="40"/>
        <v>0</v>
      </c>
      <c r="I136">
        <f t="shared" ca="1" si="41"/>
        <v>2</v>
      </c>
      <c r="J136">
        <f t="shared" ca="1" si="42"/>
        <v>0</v>
      </c>
      <c r="K136">
        <f ca="1">IF(OR($C136="S",$C136=0),0,MATCH(OFFSET($D136,0,$C136)+IF($C136&lt;&gt;1,1,COUNTIF(QCI!$A$13:$A$24,ORÇAMENTO!E136)),OFFSET($D136,1,$C136,ROW($C$264)-ROW($C136)),0))</f>
        <v>0</v>
      </c>
      <c r="L136" s="139" t="str">
        <f t="shared" ca="1" si="43"/>
        <v/>
      </c>
      <c r="M136" s="140" t="s">
        <v>199</v>
      </c>
      <c r="N136" s="141" t="str">
        <f t="shared" ca="1" si="44"/>
        <v>Serviço</v>
      </c>
      <c r="O136" s="142" t="str">
        <f t="shared" ca="1" si="45"/>
        <v>-</v>
      </c>
      <c r="P136" s="143" t="s">
        <v>247</v>
      </c>
      <c r="Q136" s="144"/>
      <c r="R136" s="145" t="str">
        <f ca="1">IF($C136="S",REFERENCIA.Descricao,"(digite a descrição aqui)")</f>
        <v>(abra o arquivo 'Referência 11-2024.xlsm)</v>
      </c>
      <c r="S136" s="146" t="str">
        <f ca="1">REFERENCIA.Unidade</f>
        <v>-</v>
      </c>
      <c r="T136" s="147">
        <f ca="1">OFFSET(CÁLCULO!H$15,ROW($T136)-ROW(T$15),0)</f>
        <v>0</v>
      </c>
      <c r="U136" s="148"/>
      <c r="V136" s="149" t="s">
        <v>156</v>
      </c>
      <c r="W136" s="147">
        <f ca="1">IF($C136="S",ROUND(IF(TIPOORCAMENTO="Proposto",ORÇAMENTO.CustoUnitario*(1+$AH136),ORÇAMENTO.PrecoUnitarioLicitado),15-13*$AF$10),0)</f>
        <v>0</v>
      </c>
      <c r="X136" s="150">
        <f ca="1">IF($C136="S",IF(Import.TipoArredondamento&lt;&gt;"TransfereGOV",VTOTAL1,SUM(OFFSET(CÁLCULO!$AA$15,ROW($X136)-ROW($X$15),1):OFFSET(CÁLCULO!$AL$15,ROW($X136)-ROW($X$15),-1))),IF($C136=0,0,ROUND(SomaAgrup,15-13*$AF$11)))</f>
        <v>0</v>
      </c>
      <c r="Y136" s="151" t="s">
        <v>245</v>
      </c>
      <c r="Z136" t="str">
        <f t="shared" ca="1" si="46"/>
        <v/>
      </c>
      <c r="AA136" s="152">
        <f ca="1">IF($C136="S",IF($Z136="CP",$X136,IF($Z136="RA",(($X136)*QCI!$AA$3),0)),SomaAgrup)</f>
        <v>0</v>
      </c>
      <c r="AB136" s="153">
        <f t="shared" ca="1" si="47"/>
        <v>0</v>
      </c>
      <c r="AC136" s="154" t="str">
        <f ca="1">IF($N136="","",IF(ORÇAMENTO.Descricao="","DESCRIÇÃO",IF(AND($C136="S",ORÇAMENTO.Unidade=""),"UNIDADE",IF($X136&lt;0,"VALOR NEGATIVO",IF(OR(AND(TIPOORCAMENTO="Proposto",$AG136&lt;&gt;"",$AG136&gt;0,ORÇAMENTO.CustoUnitario&gt;$AG136),AND(TIPOORCAMENTO="LICITADO",ORÇAMENTO.PrecoUnitarioLicitado&gt;$AN136)),"ACIMA REF.","")))))</f>
        <v/>
      </c>
      <c r="AD136" s="100" t="str">
        <f ca="1">IF(C136&lt;=CRONO.NivelExibicao,MAX($AD$15:OFFSET(AD136,-1,0))+IF($C136&lt;&gt;1,1,MAX(1,COUNTIF(QCI!$A$13:$A$24,OFFSET($E136,-1,0)))),"")</f>
        <v/>
      </c>
      <c r="AE136" s="110" t="b">
        <f ca="1">IF(AND($C136="S",ORÇAMENTO.CodBarra&lt;&gt;""),IF(ORÇAMENTO.Fonte="",ORÇAMENTO.CodBarra,CONCATENATE(ORÇAMENTO.Fonte," ",ORÇAMENTO.CodBarra)))</f>
        <v>0</v>
      </c>
      <c r="AF136" s="155" t="str">
        <f ca="1">IF(ISERROR(INDIRECT(ORÇAMENTO.BancoRef)),"(abra o arquivo 'Referência "&amp;Excel_BuiltIn_Database&amp;".xlsm)",IF(OR($C136&lt;&gt;"S",ORÇAMENTO.CodBarra=""),"(Sem Código)",IF(ISERROR(MATCH($AE136,INDIRECT(ORÇAMENTO.BancoRef),0)),"(Código não identificado nas referências)",MATCH($AE136,INDIRECT(ORÇAMENTO.BancoRef),0))))</f>
        <v>(abra o arquivo 'Referência 11-2024.xlsm)</v>
      </c>
      <c r="AG136" s="574">
        <f ca="1">ROUND(IF(DESONERACAO="sim",REFERENCIA.Desonerado,REFERENCIA.NaoDesonerado),2)</f>
        <v>0</v>
      </c>
      <c r="AH136" s="575">
        <f t="shared" ca="1" si="48"/>
        <v>0.22</v>
      </c>
      <c r="AJ136" s="577"/>
      <c r="AL136" s="607"/>
      <c r="AM136" s="426">
        <f t="shared" ca="1" si="49"/>
        <v>0</v>
      </c>
      <c r="AN136" s="650">
        <f t="shared" ca="1" si="50"/>
        <v>0</v>
      </c>
    </row>
    <row r="137" spans="1:40" ht="13.8" hidden="1">
      <c r="A137" t="str">
        <f t="shared" si="34"/>
        <v>S</v>
      </c>
      <c r="B137">
        <f t="shared" ca="1" si="35"/>
        <v>2</v>
      </c>
      <c r="C137" t="str">
        <f t="shared" ca="1" si="36"/>
        <v>S</v>
      </c>
      <c r="D137">
        <f t="shared" ca="1" si="37"/>
        <v>0</v>
      </c>
      <c r="E137">
        <f ca="1">IF($C137=1,OFFSET(E137,-1,0)+MAX(1,COUNTIF(QCI!$A$13:$A$24,OFFSET(ORÇAMENTO!E137,-1,0))),OFFSET(E137,-1,0))</f>
        <v>1</v>
      </c>
      <c r="F137">
        <f t="shared" ca="1" si="38"/>
        <v>5</v>
      </c>
      <c r="G137">
        <f t="shared" ca="1" si="39"/>
        <v>0</v>
      </c>
      <c r="H137">
        <f t="shared" ca="1" si="40"/>
        <v>0</v>
      </c>
      <c r="I137">
        <f t="shared" ca="1" si="41"/>
        <v>2</v>
      </c>
      <c r="J137">
        <f t="shared" ca="1" si="42"/>
        <v>0</v>
      </c>
      <c r="K137">
        <f ca="1">IF(OR($C137="S",$C137=0),0,MATCH(OFFSET($D137,0,$C137)+IF($C137&lt;&gt;1,1,COUNTIF(QCI!$A$13:$A$24,ORÇAMENTO!E137)),OFFSET($D137,1,$C137,ROW($C$264)-ROW($C137)),0))</f>
        <v>0</v>
      </c>
      <c r="L137" s="139" t="str">
        <f t="shared" ca="1" si="43"/>
        <v/>
      </c>
      <c r="M137" s="140" t="s">
        <v>199</v>
      </c>
      <c r="N137" s="141" t="str">
        <f t="shared" ca="1" si="44"/>
        <v>Serviço</v>
      </c>
      <c r="O137" s="142" t="str">
        <f t="shared" ca="1" si="45"/>
        <v>-</v>
      </c>
      <c r="P137" s="143" t="s">
        <v>247</v>
      </c>
      <c r="Q137" s="144"/>
      <c r="R137" s="145" t="str">
        <f ca="1">IF($C137="S",REFERENCIA.Descricao,"(digite a descrição aqui)")</f>
        <v>(abra o arquivo 'Referência 11-2024.xlsm)</v>
      </c>
      <c r="S137" s="146" t="str">
        <f ca="1">REFERENCIA.Unidade</f>
        <v>-</v>
      </c>
      <c r="T137" s="147">
        <f ca="1">OFFSET(CÁLCULO!H$15,ROW($T137)-ROW(T$15),0)</f>
        <v>0</v>
      </c>
      <c r="U137" s="148"/>
      <c r="V137" s="149" t="s">
        <v>156</v>
      </c>
      <c r="W137" s="147">
        <f ca="1">IF($C137="S",ROUND(IF(TIPOORCAMENTO="Proposto",ORÇAMENTO.CustoUnitario*(1+$AH137),ORÇAMENTO.PrecoUnitarioLicitado),15-13*$AF$10),0)</f>
        <v>0</v>
      </c>
      <c r="X137" s="150">
        <f ca="1">IF($C137="S",IF(Import.TipoArredondamento&lt;&gt;"TransfereGOV",VTOTAL1,SUM(OFFSET(CÁLCULO!$AA$15,ROW($X137)-ROW($X$15),1):OFFSET(CÁLCULO!$AL$15,ROW($X137)-ROW($X$15),-1))),IF($C137=0,0,ROUND(SomaAgrup,15-13*$AF$11)))</f>
        <v>0</v>
      </c>
      <c r="Y137" s="151" t="s">
        <v>245</v>
      </c>
      <c r="Z137" t="str">
        <f t="shared" ca="1" si="46"/>
        <v/>
      </c>
      <c r="AA137" s="152">
        <f ca="1">IF($C137="S",IF($Z137="CP",$X137,IF($Z137="RA",(($X137)*QCI!$AA$3),0)),SomaAgrup)</f>
        <v>0</v>
      </c>
      <c r="AB137" s="153">
        <f t="shared" ca="1" si="47"/>
        <v>0</v>
      </c>
      <c r="AC137" s="154" t="str">
        <f ca="1">IF($N137="","",IF(ORÇAMENTO.Descricao="","DESCRIÇÃO",IF(AND($C137="S",ORÇAMENTO.Unidade=""),"UNIDADE",IF($X137&lt;0,"VALOR NEGATIVO",IF(OR(AND(TIPOORCAMENTO="Proposto",$AG137&lt;&gt;"",$AG137&gt;0,ORÇAMENTO.CustoUnitario&gt;$AG137),AND(TIPOORCAMENTO="LICITADO",ORÇAMENTO.PrecoUnitarioLicitado&gt;$AN137)),"ACIMA REF.","")))))</f>
        <v/>
      </c>
      <c r="AD137" s="100" t="str">
        <f ca="1">IF(C137&lt;=CRONO.NivelExibicao,MAX($AD$15:OFFSET(AD137,-1,0))+IF($C137&lt;&gt;1,1,MAX(1,COUNTIF(QCI!$A$13:$A$24,OFFSET($E137,-1,0)))),"")</f>
        <v/>
      </c>
      <c r="AE137" s="110" t="b">
        <f ca="1">IF(AND($C137="S",ORÇAMENTO.CodBarra&lt;&gt;""),IF(ORÇAMENTO.Fonte="",ORÇAMENTO.CodBarra,CONCATENATE(ORÇAMENTO.Fonte," ",ORÇAMENTO.CodBarra)))</f>
        <v>0</v>
      </c>
      <c r="AF137" s="155" t="str">
        <f ca="1">IF(ISERROR(INDIRECT(ORÇAMENTO.BancoRef)),"(abra o arquivo 'Referência "&amp;Excel_BuiltIn_Database&amp;".xlsm)",IF(OR($C137&lt;&gt;"S",ORÇAMENTO.CodBarra=""),"(Sem Código)",IF(ISERROR(MATCH($AE137,INDIRECT(ORÇAMENTO.BancoRef),0)),"(Código não identificado nas referências)",MATCH($AE137,INDIRECT(ORÇAMENTO.BancoRef),0))))</f>
        <v>(abra o arquivo 'Referência 11-2024.xlsm)</v>
      </c>
      <c r="AG137" s="574">
        <f ca="1">ROUND(IF(DESONERACAO="sim",REFERENCIA.Desonerado,REFERENCIA.NaoDesonerado),2)</f>
        <v>0</v>
      </c>
      <c r="AH137" s="575">
        <f t="shared" ca="1" si="48"/>
        <v>0.22</v>
      </c>
      <c r="AJ137" s="577"/>
      <c r="AL137" s="607"/>
      <c r="AM137" s="426">
        <f t="shared" ca="1" si="49"/>
        <v>0</v>
      </c>
      <c r="AN137" s="650">
        <f t="shared" ca="1" si="50"/>
        <v>0</v>
      </c>
    </row>
    <row r="138" spans="1:40" ht="13.8" hidden="1">
      <c r="A138" t="str">
        <f t="shared" si="34"/>
        <v>S</v>
      </c>
      <c r="B138">
        <f t="shared" ca="1" si="35"/>
        <v>2</v>
      </c>
      <c r="C138" t="str">
        <f t="shared" ca="1" si="36"/>
        <v>S</v>
      </c>
      <c r="D138">
        <f t="shared" ca="1" si="37"/>
        <v>0</v>
      </c>
      <c r="E138">
        <f ca="1">IF($C138=1,OFFSET(E138,-1,0)+MAX(1,COUNTIF(QCI!$A$13:$A$24,OFFSET(ORÇAMENTO!E138,-1,0))),OFFSET(E138,-1,0))</f>
        <v>1</v>
      </c>
      <c r="F138">
        <f t="shared" ca="1" si="38"/>
        <v>5</v>
      </c>
      <c r="G138">
        <f t="shared" ca="1" si="39"/>
        <v>0</v>
      </c>
      <c r="H138">
        <f t="shared" ca="1" si="40"/>
        <v>0</v>
      </c>
      <c r="I138">
        <f t="shared" ca="1" si="41"/>
        <v>2</v>
      </c>
      <c r="J138">
        <f t="shared" ca="1" si="42"/>
        <v>0</v>
      </c>
      <c r="K138">
        <f ca="1">IF(OR($C138="S",$C138=0),0,MATCH(OFFSET($D138,0,$C138)+IF($C138&lt;&gt;1,1,COUNTIF(QCI!$A$13:$A$24,ORÇAMENTO!E138)),OFFSET($D138,1,$C138,ROW($C$264)-ROW($C138)),0))</f>
        <v>0</v>
      </c>
      <c r="L138" s="139" t="str">
        <f t="shared" ca="1" si="43"/>
        <v/>
      </c>
      <c r="M138" s="140" t="s">
        <v>199</v>
      </c>
      <c r="N138" s="141" t="str">
        <f t="shared" ca="1" si="44"/>
        <v>Serviço</v>
      </c>
      <c r="O138" s="142" t="str">
        <f t="shared" ca="1" si="45"/>
        <v>-</v>
      </c>
      <c r="P138" s="143" t="s">
        <v>247</v>
      </c>
      <c r="Q138" s="144"/>
      <c r="R138" s="145" t="str">
        <f ca="1">IF($C138="S",REFERENCIA.Descricao,"(digite a descrição aqui)")</f>
        <v>(abra o arquivo 'Referência 11-2024.xlsm)</v>
      </c>
      <c r="S138" s="146" t="str">
        <f ca="1">REFERENCIA.Unidade</f>
        <v>-</v>
      </c>
      <c r="T138" s="147">
        <f ca="1">OFFSET(CÁLCULO!H$15,ROW($T138)-ROW(T$15),0)</f>
        <v>0</v>
      </c>
      <c r="U138" s="148"/>
      <c r="V138" s="149" t="s">
        <v>156</v>
      </c>
      <c r="W138" s="147">
        <f ca="1">IF($C138="S",ROUND(IF(TIPOORCAMENTO="Proposto",ORÇAMENTO.CustoUnitario*(1+$AH138),ORÇAMENTO.PrecoUnitarioLicitado),15-13*$AF$10),0)</f>
        <v>0</v>
      </c>
      <c r="X138" s="150">
        <f ca="1">IF($C138="S",IF(Import.TipoArredondamento&lt;&gt;"TransfereGOV",VTOTAL1,SUM(OFFSET(CÁLCULO!$AA$15,ROW($X138)-ROW($X$15),1):OFFSET(CÁLCULO!$AL$15,ROW($X138)-ROW($X$15),-1))),IF($C138=0,0,ROUND(SomaAgrup,15-13*$AF$11)))</f>
        <v>0</v>
      </c>
      <c r="Y138" s="151" t="s">
        <v>245</v>
      </c>
      <c r="Z138" t="str">
        <f t="shared" ca="1" si="46"/>
        <v/>
      </c>
      <c r="AA138" s="152">
        <f ca="1">IF($C138="S",IF($Z138="CP",$X138,IF($Z138="RA",(($X138)*QCI!$AA$3),0)),SomaAgrup)</f>
        <v>0</v>
      </c>
      <c r="AB138" s="153">
        <f t="shared" ca="1" si="47"/>
        <v>0</v>
      </c>
      <c r="AC138" s="154" t="str">
        <f ca="1">IF($N138="","",IF(ORÇAMENTO.Descricao="","DESCRIÇÃO",IF(AND($C138="S",ORÇAMENTO.Unidade=""),"UNIDADE",IF($X138&lt;0,"VALOR NEGATIVO",IF(OR(AND(TIPOORCAMENTO="Proposto",$AG138&lt;&gt;"",$AG138&gt;0,ORÇAMENTO.CustoUnitario&gt;$AG138),AND(TIPOORCAMENTO="LICITADO",ORÇAMENTO.PrecoUnitarioLicitado&gt;$AN138)),"ACIMA REF.","")))))</f>
        <v/>
      </c>
      <c r="AD138" s="100" t="str">
        <f ca="1">IF(C138&lt;=CRONO.NivelExibicao,MAX($AD$15:OFFSET(AD138,-1,0))+IF($C138&lt;&gt;1,1,MAX(1,COUNTIF(QCI!$A$13:$A$24,OFFSET($E138,-1,0)))),"")</f>
        <v/>
      </c>
      <c r="AE138" s="110" t="b">
        <f ca="1">IF(AND($C138="S",ORÇAMENTO.CodBarra&lt;&gt;""),IF(ORÇAMENTO.Fonte="",ORÇAMENTO.CodBarra,CONCATENATE(ORÇAMENTO.Fonte," ",ORÇAMENTO.CodBarra)))</f>
        <v>0</v>
      </c>
      <c r="AF138" s="155" t="str">
        <f ca="1">IF(ISERROR(INDIRECT(ORÇAMENTO.BancoRef)),"(abra o arquivo 'Referência "&amp;Excel_BuiltIn_Database&amp;".xlsm)",IF(OR($C138&lt;&gt;"S",ORÇAMENTO.CodBarra=""),"(Sem Código)",IF(ISERROR(MATCH($AE138,INDIRECT(ORÇAMENTO.BancoRef),0)),"(Código não identificado nas referências)",MATCH($AE138,INDIRECT(ORÇAMENTO.BancoRef),0))))</f>
        <v>(abra o arquivo 'Referência 11-2024.xlsm)</v>
      </c>
      <c r="AG138" s="574">
        <f ca="1">ROUND(IF(DESONERACAO="sim",REFERENCIA.Desonerado,REFERENCIA.NaoDesonerado),2)</f>
        <v>0</v>
      </c>
      <c r="AH138" s="575">
        <f t="shared" ca="1" si="48"/>
        <v>0.22</v>
      </c>
      <c r="AJ138" s="577"/>
      <c r="AL138" s="607"/>
      <c r="AM138" s="426">
        <f t="shared" ca="1" si="49"/>
        <v>0</v>
      </c>
      <c r="AN138" s="650">
        <f t="shared" ca="1" si="50"/>
        <v>0</v>
      </c>
    </row>
    <row r="139" spans="1:40" ht="13.8" hidden="1">
      <c r="A139" t="str">
        <f t="shared" si="34"/>
        <v>S</v>
      </c>
      <c r="B139">
        <f t="shared" ca="1" si="35"/>
        <v>2</v>
      </c>
      <c r="C139" t="str">
        <f t="shared" ca="1" si="36"/>
        <v>S</v>
      </c>
      <c r="D139">
        <f t="shared" ca="1" si="37"/>
        <v>0</v>
      </c>
      <c r="E139">
        <f ca="1">IF($C139=1,OFFSET(E139,-1,0)+MAX(1,COUNTIF(QCI!$A$13:$A$24,OFFSET(ORÇAMENTO!E139,-1,0))),OFFSET(E139,-1,0))</f>
        <v>1</v>
      </c>
      <c r="F139">
        <f t="shared" ca="1" si="38"/>
        <v>5</v>
      </c>
      <c r="G139">
        <f t="shared" ca="1" si="39"/>
        <v>0</v>
      </c>
      <c r="H139">
        <f t="shared" ca="1" si="40"/>
        <v>0</v>
      </c>
      <c r="I139">
        <f t="shared" ca="1" si="41"/>
        <v>2</v>
      </c>
      <c r="J139">
        <f t="shared" ca="1" si="42"/>
        <v>0</v>
      </c>
      <c r="K139">
        <f ca="1">IF(OR($C139="S",$C139=0),0,MATCH(OFFSET($D139,0,$C139)+IF($C139&lt;&gt;1,1,COUNTIF(QCI!$A$13:$A$24,ORÇAMENTO!E139)),OFFSET($D139,1,$C139,ROW($C$264)-ROW($C139)),0))</f>
        <v>0</v>
      </c>
      <c r="L139" s="139" t="str">
        <f t="shared" ca="1" si="43"/>
        <v/>
      </c>
      <c r="M139" s="140" t="s">
        <v>199</v>
      </c>
      <c r="N139" s="141" t="str">
        <f t="shared" ca="1" si="44"/>
        <v>Serviço</v>
      </c>
      <c r="O139" s="142" t="str">
        <f t="shared" ca="1" si="45"/>
        <v>-</v>
      </c>
      <c r="P139" s="143" t="s">
        <v>247</v>
      </c>
      <c r="Q139" s="144"/>
      <c r="R139" s="145" t="str">
        <f ca="1">IF($C139="S",REFERENCIA.Descricao,"(digite a descrição aqui)")</f>
        <v>(abra o arquivo 'Referência 11-2024.xlsm)</v>
      </c>
      <c r="S139" s="146" t="str">
        <f ca="1">REFERENCIA.Unidade</f>
        <v>-</v>
      </c>
      <c r="T139" s="147">
        <f ca="1">OFFSET(CÁLCULO!H$15,ROW($T139)-ROW(T$15),0)</f>
        <v>0</v>
      </c>
      <c r="U139" s="148"/>
      <c r="V139" s="149" t="s">
        <v>156</v>
      </c>
      <c r="W139" s="147">
        <f ca="1">IF($C139="S",ROUND(IF(TIPOORCAMENTO="Proposto",ORÇAMENTO.CustoUnitario*(1+$AH139),ORÇAMENTO.PrecoUnitarioLicitado),15-13*$AF$10),0)</f>
        <v>0</v>
      </c>
      <c r="X139" s="150">
        <f ca="1">IF($C139="S",IF(Import.TipoArredondamento&lt;&gt;"TransfereGOV",VTOTAL1,SUM(OFFSET(CÁLCULO!$AA$15,ROW($X139)-ROW($X$15),1):OFFSET(CÁLCULO!$AL$15,ROW($X139)-ROW($X$15),-1))),IF($C139=0,0,ROUND(SomaAgrup,15-13*$AF$11)))</f>
        <v>0</v>
      </c>
      <c r="Y139" s="151" t="s">
        <v>245</v>
      </c>
      <c r="Z139" t="str">
        <f t="shared" ca="1" si="46"/>
        <v/>
      </c>
      <c r="AA139" s="152">
        <f ca="1">IF($C139="S",IF($Z139="CP",$X139,IF($Z139="RA",(($X139)*QCI!$AA$3),0)),SomaAgrup)</f>
        <v>0</v>
      </c>
      <c r="AB139" s="153">
        <f t="shared" ca="1" si="47"/>
        <v>0</v>
      </c>
      <c r="AC139" s="154" t="str">
        <f ca="1">IF($N139="","",IF(ORÇAMENTO.Descricao="","DESCRIÇÃO",IF(AND($C139="S",ORÇAMENTO.Unidade=""),"UNIDADE",IF($X139&lt;0,"VALOR NEGATIVO",IF(OR(AND(TIPOORCAMENTO="Proposto",$AG139&lt;&gt;"",$AG139&gt;0,ORÇAMENTO.CustoUnitario&gt;$AG139),AND(TIPOORCAMENTO="LICITADO",ORÇAMENTO.PrecoUnitarioLicitado&gt;$AN139)),"ACIMA REF.","")))))</f>
        <v/>
      </c>
      <c r="AD139" s="100" t="str">
        <f ca="1">IF(C139&lt;=CRONO.NivelExibicao,MAX($AD$15:OFFSET(AD139,-1,0))+IF($C139&lt;&gt;1,1,MAX(1,COUNTIF(QCI!$A$13:$A$24,OFFSET($E139,-1,0)))),"")</f>
        <v/>
      </c>
      <c r="AE139" s="110" t="b">
        <f ca="1">IF(AND($C139="S",ORÇAMENTO.CodBarra&lt;&gt;""),IF(ORÇAMENTO.Fonte="",ORÇAMENTO.CodBarra,CONCATENATE(ORÇAMENTO.Fonte," ",ORÇAMENTO.CodBarra)))</f>
        <v>0</v>
      </c>
      <c r="AF139" s="155" t="str">
        <f ca="1">IF(ISERROR(INDIRECT(ORÇAMENTO.BancoRef)),"(abra o arquivo 'Referência "&amp;Excel_BuiltIn_Database&amp;".xlsm)",IF(OR($C139&lt;&gt;"S",ORÇAMENTO.CodBarra=""),"(Sem Código)",IF(ISERROR(MATCH($AE139,INDIRECT(ORÇAMENTO.BancoRef),0)),"(Código não identificado nas referências)",MATCH($AE139,INDIRECT(ORÇAMENTO.BancoRef),0))))</f>
        <v>(abra o arquivo 'Referência 11-2024.xlsm)</v>
      </c>
      <c r="AG139" s="574">
        <f ca="1">ROUND(IF(DESONERACAO="sim",REFERENCIA.Desonerado,REFERENCIA.NaoDesonerado),2)</f>
        <v>0</v>
      </c>
      <c r="AH139" s="575">
        <f t="shared" ca="1" si="48"/>
        <v>0.22</v>
      </c>
      <c r="AJ139" s="577"/>
      <c r="AL139" s="607"/>
      <c r="AM139" s="426">
        <f t="shared" ca="1" si="49"/>
        <v>0</v>
      </c>
      <c r="AN139" s="650">
        <f t="shared" ca="1" si="50"/>
        <v>0</v>
      </c>
    </row>
    <row r="140" spans="1:40" ht="13.8" hidden="1">
      <c r="A140" t="str">
        <f t="shared" si="34"/>
        <v>S</v>
      </c>
      <c r="B140">
        <f t="shared" ca="1" si="35"/>
        <v>2</v>
      </c>
      <c r="C140" t="str">
        <f t="shared" ca="1" si="36"/>
        <v>S</v>
      </c>
      <c r="D140">
        <f t="shared" ca="1" si="37"/>
        <v>0</v>
      </c>
      <c r="E140">
        <f ca="1">IF($C140=1,OFFSET(E140,-1,0)+MAX(1,COUNTIF(QCI!$A$13:$A$24,OFFSET(ORÇAMENTO!E140,-1,0))),OFFSET(E140,-1,0))</f>
        <v>1</v>
      </c>
      <c r="F140">
        <f t="shared" ca="1" si="38"/>
        <v>5</v>
      </c>
      <c r="G140">
        <f t="shared" ca="1" si="39"/>
        <v>0</v>
      </c>
      <c r="H140">
        <f t="shared" ca="1" si="40"/>
        <v>0</v>
      </c>
      <c r="I140">
        <f t="shared" ca="1" si="41"/>
        <v>2</v>
      </c>
      <c r="J140">
        <f t="shared" ca="1" si="42"/>
        <v>0</v>
      </c>
      <c r="K140">
        <f ca="1">IF(OR($C140="S",$C140=0),0,MATCH(OFFSET($D140,0,$C140)+IF($C140&lt;&gt;1,1,COUNTIF(QCI!$A$13:$A$24,ORÇAMENTO!E140)),OFFSET($D140,1,$C140,ROW($C$264)-ROW($C140)),0))</f>
        <v>0</v>
      </c>
      <c r="L140" s="139" t="str">
        <f t="shared" ca="1" si="43"/>
        <v/>
      </c>
      <c r="M140" s="140" t="s">
        <v>199</v>
      </c>
      <c r="N140" s="141" t="str">
        <f t="shared" ca="1" si="44"/>
        <v>Serviço</v>
      </c>
      <c r="O140" s="142" t="str">
        <f t="shared" ca="1" si="45"/>
        <v>-</v>
      </c>
      <c r="P140" s="143" t="s">
        <v>247</v>
      </c>
      <c r="Q140" s="144"/>
      <c r="R140" s="145" t="str">
        <f ca="1">IF($C140="S",REFERENCIA.Descricao,"(digite a descrição aqui)")</f>
        <v>(abra o arquivo 'Referência 11-2024.xlsm)</v>
      </c>
      <c r="S140" s="146" t="str">
        <f ca="1">REFERENCIA.Unidade</f>
        <v>-</v>
      </c>
      <c r="T140" s="147">
        <f ca="1">OFFSET(CÁLCULO!H$15,ROW($T140)-ROW(T$15),0)</f>
        <v>0</v>
      </c>
      <c r="U140" s="148"/>
      <c r="V140" s="149" t="s">
        <v>156</v>
      </c>
      <c r="W140" s="147">
        <f ca="1">IF($C140="S",ROUND(IF(TIPOORCAMENTO="Proposto",ORÇAMENTO.CustoUnitario*(1+$AH140),ORÇAMENTO.PrecoUnitarioLicitado),15-13*$AF$10),0)</f>
        <v>0</v>
      </c>
      <c r="X140" s="150">
        <f ca="1">IF($C140="S",IF(Import.TipoArredondamento&lt;&gt;"TransfereGOV",VTOTAL1,SUM(OFFSET(CÁLCULO!$AA$15,ROW($X140)-ROW($X$15),1):OFFSET(CÁLCULO!$AL$15,ROW($X140)-ROW($X$15),-1))),IF($C140=0,0,ROUND(SomaAgrup,15-13*$AF$11)))</f>
        <v>0</v>
      </c>
      <c r="Y140" s="151" t="s">
        <v>245</v>
      </c>
      <c r="Z140" t="str">
        <f t="shared" ca="1" si="46"/>
        <v/>
      </c>
      <c r="AA140" s="152">
        <f ca="1">IF($C140="S",IF($Z140="CP",$X140,IF($Z140="RA",(($X140)*QCI!$AA$3),0)),SomaAgrup)</f>
        <v>0</v>
      </c>
      <c r="AB140" s="153">
        <f t="shared" ca="1" si="47"/>
        <v>0</v>
      </c>
      <c r="AC140" s="154" t="str">
        <f ca="1">IF($N140="","",IF(ORÇAMENTO.Descricao="","DESCRIÇÃO",IF(AND($C140="S",ORÇAMENTO.Unidade=""),"UNIDADE",IF($X140&lt;0,"VALOR NEGATIVO",IF(OR(AND(TIPOORCAMENTO="Proposto",$AG140&lt;&gt;"",$AG140&gt;0,ORÇAMENTO.CustoUnitario&gt;$AG140),AND(TIPOORCAMENTO="LICITADO",ORÇAMENTO.PrecoUnitarioLicitado&gt;$AN140)),"ACIMA REF.","")))))</f>
        <v/>
      </c>
      <c r="AD140" s="100" t="str">
        <f ca="1">IF(C140&lt;=CRONO.NivelExibicao,MAX($AD$15:OFFSET(AD140,-1,0))+IF($C140&lt;&gt;1,1,MAX(1,COUNTIF(QCI!$A$13:$A$24,OFFSET($E140,-1,0)))),"")</f>
        <v/>
      </c>
      <c r="AE140" s="110" t="b">
        <f ca="1">IF(AND($C140="S",ORÇAMENTO.CodBarra&lt;&gt;""),IF(ORÇAMENTO.Fonte="",ORÇAMENTO.CodBarra,CONCATENATE(ORÇAMENTO.Fonte," ",ORÇAMENTO.CodBarra)))</f>
        <v>0</v>
      </c>
      <c r="AF140" s="155" t="str">
        <f ca="1">IF(ISERROR(INDIRECT(ORÇAMENTO.BancoRef)),"(abra o arquivo 'Referência "&amp;Excel_BuiltIn_Database&amp;".xlsm)",IF(OR($C140&lt;&gt;"S",ORÇAMENTO.CodBarra=""),"(Sem Código)",IF(ISERROR(MATCH($AE140,INDIRECT(ORÇAMENTO.BancoRef),0)),"(Código não identificado nas referências)",MATCH($AE140,INDIRECT(ORÇAMENTO.BancoRef),0))))</f>
        <v>(abra o arquivo 'Referência 11-2024.xlsm)</v>
      </c>
      <c r="AG140" s="574">
        <f ca="1">ROUND(IF(DESONERACAO="sim",REFERENCIA.Desonerado,REFERENCIA.NaoDesonerado),2)</f>
        <v>0</v>
      </c>
      <c r="AH140" s="575">
        <f t="shared" ca="1" si="48"/>
        <v>0.22</v>
      </c>
      <c r="AJ140" s="577"/>
      <c r="AL140" s="607"/>
      <c r="AM140" s="426">
        <f t="shared" ca="1" si="49"/>
        <v>0</v>
      </c>
      <c r="AN140" s="650">
        <f t="shared" ca="1" si="50"/>
        <v>0</v>
      </c>
    </row>
    <row r="141" spans="1:40" ht="13.8" hidden="1">
      <c r="A141" t="str">
        <f t="shared" si="34"/>
        <v>S</v>
      </c>
      <c r="B141">
        <f t="shared" ca="1" si="35"/>
        <v>2</v>
      </c>
      <c r="C141" t="str">
        <f t="shared" ca="1" si="36"/>
        <v>S</v>
      </c>
      <c r="D141">
        <f t="shared" ca="1" si="37"/>
        <v>0</v>
      </c>
      <c r="E141">
        <f ca="1">IF($C141=1,OFFSET(E141,-1,0)+MAX(1,COUNTIF(QCI!$A$13:$A$24,OFFSET(ORÇAMENTO!E141,-1,0))),OFFSET(E141,-1,0))</f>
        <v>1</v>
      </c>
      <c r="F141">
        <f t="shared" ca="1" si="38"/>
        <v>5</v>
      </c>
      <c r="G141">
        <f t="shared" ca="1" si="39"/>
        <v>0</v>
      </c>
      <c r="H141">
        <f t="shared" ca="1" si="40"/>
        <v>0</v>
      </c>
      <c r="I141">
        <f t="shared" ca="1" si="41"/>
        <v>2</v>
      </c>
      <c r="J141">
        <f t="shared" ca="1" si="42"/>
        <v>0</v>
      </c>
      <c r="K141">
        <f ca="1">IF(OR($C141="S",$C141=0),0,MATCH(OFFSET($D141,0,$C141)+IF($C141&lt;&gt;1,1,COUNTIF(QCI!$A$13:$A$24,ORÇAMENTO!E141)),OFFSET($D141,1,$C141,ROW($C$264)-ROW($C141)),0))</f>
        <v>0</v>
      </c>
      <c r="L141" s="139" t="str">
        <f t="shared" ca="1" si="43"/>
        <v/>
      </c>
      <c r="M141" s="140" t="s">
        <v>199</v>
      </c>
      <c r="N141" s="141" t="str">
        <f t="shared" ca="1" si="44"/>
        <v>Serviço</v>
      </c>
      <c r="O141" s="142" t="str">
        <f t="shared" ca="1" si="45"/>
        <v>-</v>
      </c>
      <c r="P141" s="143" t="s">
        <v>247</v>
      </c>
      <c r="Q141" s="144"/>
      <c r="R141" s="145" t="str">
        <f ca="1">IF($C141="S",REFERENCIA.Descricao,"(digite a descrição aqui)")</f>
        <v>(abra o arquivo 'Referência 11-2024.xlsm)</v>
      </c>
      <c r="S141" s="146" t="str">
        <f ca="1">REFERENCIA.Unidade</f>
        <v>-</v>
      </c>
      <c r="T141" s="147">
        <f ca="1">OFFSET(CÁLCULO!H$15,ROW($T141)-ROW(T$15),0)</f>
        <v>0</v>
      </c>
      <c r="U141" s="148"/>
      <c r="V141" s="149" t="s">
        <v>156</v>
      </c>
      <c r="W141" s="147">
        <f ca="1">IF($C141="S",ROUND(IF(TIPOORCAMENTO="Proposto",ORÇAMENTO.CustoUnitario*(1+$AH141),ORÇAMENTO.PrecoUnitarioLicitado),15-13*$AF$10),0)</f>
        <v>0</v>
      </c>
      <c r="X141" s="150">
        <f ca="1">IF($C141="S",IF(Import.TipoArredondamento&lt;&gt;"TransfereGOV",VTOTAL1,SUM(OFFSET(CÁLCULO!$AA$15,ROW($X141)-ROW($X$15),1):OFFSET(CÁLCULO!$AL$15,ROW($X141)-ROW($X$15),-1))),IF($C141=0,0,ROUND(SomaAgrup,15-13*$AF$11)))</f>
        <v>0</v>
      </c>
      <c r="Y141" s="151" t="s">
        <v>245</v>
      </c>
      <c r="Z141" t="str">
        <f t="shared" ca="1" si="46"/>
        <v/>
      </c>
      <c r="AA141" s="152">
        <f ca="1">IF($C141="S",IF($Z141="CP",$X141,IF($Z141="RA",(($X141)*QCI!$AA$3),0)),SomaAgrup)</f>
        <v>0</v>
      </c>
      <c r="AB141" s="153">
        <f t="shared" ca="1" si="47"/>
        <v>0</v>
      </c>
      <c r="AC141" s="154" t="str">
        <f ca="1">IF($N141="","",IF(ORÇAMENTO.Descricao="","DESCRIÇÃO",IF(AND($C141="S",ORÇAMENTO.Unidade=""),"UNIDADE",IF($X141&lt;0,"VALOR NEGATIVO",IF(OR(AND(TIPOORCAMENTO="Proposto",$AG141&lt;&gt;"",$AG141&gt;0,ORÇAMENTO.CustoUnitario&gt;$AG141),AND(TIPOORCAMENTO="LICITADO",ORÇAMENTO.PrecoUnitarioLicitado&gt;$AN141)),"ACIMA REF.","")))))</f>
        <v/>
      </c>
      <c r="AD141" s="100" t="str">
        <f ca="1">IF(C141&lt;=CRONO.NivelExibicao,MAX($AD$15:OFFSET(AD141,-1,0))+IF($C141&lt;&gt;1,1,MAX(1,COUNTIF(QCI!$A$13:$A$24,OFFSET($E141,-1,0)))),"")</f>
        <v/>
      </c>
      <c r="AE141" s="110" t="b">
        <f ca="1">IF(AND($C141="S",ORÇAMENTO.CodBarra&lt;&gt;""),IF(ORÇAMENTO.Fonte="",ORÇAMENTO.CodBarra,CONCATENATE(ORÇAMENTO.Fonte," ",ORÇAMENTO.CodBarra)))</f>
        <v>0</v>
      </c>
      <c r="AF141" s="155" t="str">
        <f ca="1">IF(ISERROR(INDIRECT(ORÇAMENTO.BancoRef)),"(abra o arquivo 'Referência "&amp;Excel_BuiltIn_Database&amp;".xlsm)",IF(OR($C141&lt;&gt;"S",ORÇAMENTO.CodBarra=""),"(Sem Código)",IF(ISERROR(MATCH($AE141,INDIRECT(ORÇAMENTO.BancoRef),0)),"(Código não identificado nas referências)",MATCH($AE141,INDIRECT(ORÇAMENTO.BancoRef),0))))</f>
        <v>(abra o arquivo 'Referência 11-2024.xlsm)</v>
      </c>
      <c r="AG141" s="574">
        <f ca="1">ROUND(IF(DESONERACAO="sim",REFERENCIA.Desonerado,REFERENCIA.NaoDesonerado),2)</f>
        <v>0</v>
      </c>
      <c r="AH141" s="575">
        <f t="shared" ca="1" si="48"/>
        <v>0.22</v>
      </c>
      <c r="AJ141" s="577"/>
      <c r="AL141" s="607"/>
      <c r="AM141" s="426">
        <f t="shared" ca="1" si="49"/>
        <v>0</v>
      </c>
      <c r="AN141" s="650">
        <f t="shared" ca="1" si="50"/>
        <v>0</v>
      </c>
    </row>
    <row r="142" spans="1:40" ht="13.8" hidden="1">
      <c r="A142" t="str">
        <f t="shared" ref="A142:A205" si="51">CHOOSE(1+LOG(1+2*(ORÇAMENTO.Nivel="Meta")+4*(ORÇAMENTO.Nivel="Nível 2")+8*(ORÇAMENTO.Nivel="Nível 3")+16*(ORÇAMENTO.Nivel="Nível 4")+32*(ORÇAMENTO.Nivel="Serviço"),2),0,1,2,3,4,"S")</f>
        <v>S</v>
      </c>
      <c r="B142">
        <f t="shared" ref="B142:B205" ca="1" si="52">IF(OR(C142="s",C142=0),OFFSET(B142,-1,0),C142)</f>
        <v>2</v>
      </c>
      <c r="C142" t="str">
        <f t="shared" ref="C142:C205" ca="1" si="53">IF(OFFSET(C142,-1,0)="L",1,IF(OFFSET(C142,-1,0)=1,2,IF(OR(A142="s",A142=0),"S",IF(AND(OFFSET(C142,-1,0)=2,A142=4),3,IF(AND(OR(OFFSET(C142,-1,0)="s",OFFSET(C142,-1,0)=0),A142&lt;&gt;"s",A142&gt;OFFSET(B142,-1,0)),OFFSET(B142,-1,0),A142)))))</f>
        <v>S</v>
      </c>
      <c r="D142">
        <f t="shared" ref="D142:D205" ca="1" si="54">IF(OR(C142="S",C142=0),0,IF(ISERROR(K142),J142,SMALL(J142:K142,1)))</f>
        <v>0</v>
      </c>
      <c r="E142">
        <f ca="1">IF($C142=1,OFFSET(E142,-1,0)+MAX(1,COUNTIF(QCI!$A$13:$A$24,OFFSET(ORÇAMENTO!E142,-1,0))),OFFSET(E142,-1,0))</f>
        <v>1</v>
      </c>
      <c r="F142">
        <f t="shared" ref="F142:F205" ca="1" si="55">IF($C142=1,0,IF($C142=2,OFFSET(F142,-1,0)+1,OFFSET(F142,-1,0)))</f>
        <v>5</v>
      </c>
      <c r="G142">
        <f t="shared" ref="G142:G205" ca="1" si="56">IF(AND($C142&lt;=2,$C142&lt;&gt;0),0,IF($C142=3,OFFSET(G142,-1,0)+1,OFFSET(G142,-1,0)))</f>
        <v>0</v>
      </c>
      <c r="H142">
        <f t="shared" ref="H142:H205" ca="1" si="57">IF(AND($C142&lt;=3,$C142&lt;&gt;0),0,IF($C142=4,OFFSET(H142,-1,0)+1,OFFSET(H142,-1,0)))</f>
        <v>0</v>
      </c>
      <c r="I142">
        <f t="shared" ref="I142:I205" ca="1" si="58">IF(AND($C142&lt;=4,$C142&lt;&gt;0),0,IF(AND($C142="S",$X142&gt;0),OFFSET(I142,-1,0)+1,OFFSET(I142,-1,0)))</f>
        <v>2</v>
      </c>
      <c r="J142">
        <f t="shared" ref="J142:J205" ca="1" si="59">IF(OR($C142="S",$C142=0),0,MATCH(0,OFFSET($D142,1,$C142,ROW($C$264)-ROW($C142)),0))</f>
        <v>0</v>
      </c>
      <c r="K142">
        <f ca="1">IF(OR($C142="S",$C142=0),0,MATCH(OFFSET($D142,0,$C142)+IF($C142&lt;&gt;1,1,COUNTIF(QCI!$A$13:$A$24,ORÇAMENTO!E142)),OFFSET($D142,1,$C142,ROW($C$264)-ROW($C142)),0))</f>
        <v>0</v>
      </c>
      <c r="L142" s="139" t="str">
        <f t="shared" ref="L142:L205" ca="1" si="60">IF(OR($X142&gt;0,$C142=1,$C142=2,$C142=3,$C142=4),"F","")</f>
        <v/>
      </c>
      <c r="M142" s="140" t="s">
        <v>199</v>
      </c>
      <c r="N142" s="141" t="str">
        <f t="shared" ref="N142:N205" ca="1" si="61">CHOOSE(1+LOG(1+2*(C142=1)+4*(C142=2)+8*(C142=3)+16*(C142=4)+32*(C142="S"),2),"","Meta","Nível 2","Nível 3","Nível 4","Serviço")</f>
        <v>Serviço</v>
      </c>
      <c r="O142" s="142" t="str">
        <f t="shared" ref="O142:O205" ca="1" si="62">IF(OR($C142=0,$L142=""),"-",CONCATENATE(E142&amp;".",IF(AND($A$5&gt;=2,$C142&gt;=2),F142&amp;".",""),IF(AND($A$5&gt;=3,$C142&gt;=3),G142&amp;".",""),IF(AND($A$5&gt;=4,$C142&gt;=4),H142&amp;".",""),IF($C142="S",I142&amp;".","")))</f>
        <v>-</v>
      </c>
      <c r="P142" s="143" t="s">
        <v>247</v>
      </c>
      <c r="Q142" s="144"/>
      <c r="R142" s="145" t="str">
        <f ca="1">IF($C142="S",REFERENCIA.Descricao,"(digite a descrição aqui)")</f>
        <v>(abra o arquivo 'Referência 11-2024.xlsm)</v>
      </c>
      <c r="S142" s="146" t="str">
        <f ca="1">REFERENCIA.Unidade</f>
        <v>-</v>
      </c>
      <c r="T142" s="147">
        <f ca="1">OFFSET(CÁLCULO!H$15,ROW($T142)-ROW(T$15),0)</f>
        <v>0</v>
      </c>
      <c r="U142" s="148"/>
      <c r="V142" s="149" t="s">
        <v>156</v>
      </c>
      <c r="W142" s="147">
        <f ca="1">IF($C142="S",ROUND(IF(TIPOORCAMENTO="Proposto",ORÇAMENTO.CustoUnitario*(1+$AH142),ORÇAMENTO.PrecoUnitarioLicitado),15-13*$AF$10),0)</f>
        <v>0</v>
      </c>
      <c r="X142" s="150">
        <f ca="1">IF($C142="S",IF(Import.TipoArredondamento&lt;&gt;"TransfereGOV",VTOTAL1,SUM(OFFSET(CÁLCULO!$AA$15,ROW($X142)-ROW($X$15),1):OFFSET(CÁLCULO!$AL$15,ROW($X142)-ROW($X$15),-1))),IF($C142=0,0,ROUND(SomaAgrup,15-13*$AF$11)))</f>
        <v>0</v>
      </c>
      <c r="Y142" s="151" t="s">
        <v>245</v>
      </c>
      <c r="Z142" t="str">
        <f t="shared" ref="Z142:Z205" ca="1" si="63">IF(AND($C142="S",$X142&gt;0),IF(ISBLANK($Y142),"RA",LEFT($Y142,2)),"")</f>
        <v/>
      </c>
      <c r="AA142" s="152">
        <f ca="1">IF($C142="S",IF($Z142="CP",$X142,IF($Z142="RA",(($X142)*QCI!$AA$3),0)),SomaAgrup)</f>
        <v>0</v>
      </c>
      <c r="AB142" s="153">
        <f t="shared" ref="AB142:AB205" ca="1" si="64">IF($C142="S",IF($Z142="OU",ROUND($X142,2),0),SomaAgrup)</f>
        <v>0</v>
      </c>
      <c r="AC142" s="154" t="str">
        <f ca="1">IF($N142="","",IF(ORÇAMENTO.Descricao="","DESCRIÇÃO",IF(AND($C142="S",ORÇAMENTO.Unidade=""),"UNIDADE",IF($X142&lt;0,"VALOR NEGATIVO",IF(OR(AND(TIPOORCAMENTO="Proposto",$AG142&lt;&gt;"",$AG142&gt;0,ORÇAMENTO.CustoUnitario&gt;$AG142),AND(TIPOORCAMENTO="LICITADO",ORÇAMENTO.PrecoUnitarioLicitado&gt;$AN142)),"ACIMA REF.","")))))</f>
        <v/>
      </c>
      <c r="AD142" s="100" t="str">
        <f ca="1">IF(C142&lt;=CRONO.NivelExibicao,MAX($AD$15:OFFSET(AD142,-1,0))+IF($C142&lt;&gt;1,1,MAX(1,COUNTIF(QCI!$A$13:$A$24,OFFSET($E142,-1,0)))),"")</f>
        <v/>
      </c>
      <c r="AE142" s="110" t="b">
        <f ca="1">IF(AND($C142="S",ORÇAMENTO.CodBarra&lt;&gt;""),IF(ORÇAMENTO.Fonte="",ORÇAMENTO.CodBarra,CONCATENATE(ORÇAMENTO.Fonte," ",ORÇAMENTO.CodBarra)))</f>
        <v>0</v>
      </c>
      <c r="AF142" s="155" t="str">
        <f ca="1">IF(ISERROR(INDIRECT(ORÇAMENTO.BancoRef)),"(abra o arquivo 'Referência "&amp;Excel_BuiltIn_Database&amp;".xlsm)",IF(OR($C142&lt;&gt;"S",ORÇAMENTO.CodBarra=""),"(Sem Código)",IF(ISERROR(MATCH($AE142,INDIRECT(ORÇAMENTO.BancoRef),0)),"(Código não identificado nas referências)",MATCH($AE142,INDIRECT(ORÇAMENTO.BancoRef),0))))</f>
        <v>(abra o arquivo 'Referência 11-2024.xlsm)</v>
      </c>
      <c r="AG142" s="574">
        <f ca="1">ROUND(IF(DESONERACAO="sim",REFERENCIA.Desonerado,REFERENCIA.NaoDesonerado),2)</f>
        <v>0</v>
      </c>
      <c r="AH142" s="575">
        <f t="shared" ref="AH142:AH205" ca="1" si="65">ROUND(IF(ISNUMBER(ORÇAMENTO.OpcaoBDI),ORÇAMENTO.OpcaoBDI,IF(LEFT(ORÇAMENTO.OpcaoBDI,3)="BDI",HLOOKUP(ORÇAMENTO.OpcaoBDI,$F$4:$H$5,2,FALSE),0)),15-11*$AF$9)</f>
        <v>0.22</v>
      </c>
      <c r="AJ142" s="577"/>
      <c r="AL142" s="607"/>
      <c r="AM142" s="426">
        <f t="shared" ref="AM142:AM205" ca="1" si="66">$X142</f>
        <v>0</v>
      </c>
      <c r="AN142" s="650">
        <f t="shared" ref="AN142:AN205" ca="1" si="67">ROUND(ORÇAMENTO.CustoUnitario*(1+$AH142),2)</f>
        <v>0</v>
      </c>
    </row>
    <row r="143" spans="1:40" ht="13.8" hidden="1">
      <c r="A143" t="str">
        <f t="shared" si="51"/>
        <v>S</v>
      </c>
      <c r="B143">
        <f t="shared" ca="1" si="52"/>
        <v>2</v>
      </c>
      <c r="C143" t="str">
        <f t="shared" ca="1" si="53"/>
        <v>S</v>
      </c>
      <c r="D143">
        <f t="shared" ca="1" si="54"/>
        <v>0</v>
      </c>
      <c r="E143">
        <f ca="1">IF($C143=1,OFFSET(E143,-1,0)+MAX(1,COUNTIF(QCI!$A$13:$A$24,OFFSET(ORÇAMENTO!E143,-1,0))),OFFSET(E143,-1,0))</f>
        <v>1</v>
      </c>
      <c r="F143">
        <f t="shared" ca="1" si="55"/>
        <v>5</v>
      </c>
      <c r="G143">
        <f t="shared" ca="1" si="56"/>
        <v>0</v>
      </c>
      <c r="H143">
        <f t="shared" ca="1" si="57"/>
        <v>0</v>
      </c>
      <c r="I143">
        <f t="shared" ca="1" si="58"/>
        <v>2</v>
      </c>
      <c r="J143">
        <f t="shared" ca="1" si="59"/>
        <v>0</v>
      </c>
      <c r="K143">
        <f ca="1">IF(OR($C143="S",$C143=0),0,MATCH(OFFSET($D143,0,$C143)+IF($C143&lt;&gt;1,1,COUNTIF(QCI!$A$13:$A$24,ORÇAMENTO!E143)),OFFSET($D143,1,$C143,ROW($C$264)-ROW($C143)),0))</f>
        <v>0</v>
      </c>
      <c r="L143" s="139" t="str">
        <f t="shared" ca="1" si="60"/>
        <v/>
      </c>
      <c r="M143" s="140" t="s">
        <v>199</v>
      </c>
      <c r="N143" s="141" t="str">
        <f t="shared" ca="1" si="61"/>
        <v>Serviço</v>
      </c>
      <c r="O143" s="142" t="str">
        <f t="shared" ca="1" si="62"/>
        <v>-</v>
      </c>
      <c r="P143" s="143" t="s">
        <v>247</v>
      </c>
      <c r="Q143" s="144"/>
      <c r="R143" s="145" t="str">
        <f ca="1">IF($C143="S",REFERENCIA.Descricao,"(digite a descrição aqui)")</f>
        <v>(abra o arquivo 'Referência 11-2024.xlsm)</v>
      </c>
      <c r="S143" s="146" t="str">
        <f ca="1">REFERENCIA.Unidade</f>
        <v>-</v>
      </c>
      <c r="T143" s="147">
        <f ca="1">OFFSET(CÁLCULO!H$15,ROW($T143)-ROW(T$15),0)</f>
        <v>0</v>
      </c>
      <c r="U143" s="148"/>
      <c r="V143" s="149" t="s">
        <v>156</v>
      </c>
      <c r="W143" s="147">
        <f ca="1">IF($C143="S",ROUND(IF(TIPOORCAMENTO="Proposto",ORÇAMENTO.CustoUnitario*(1+$AH143),ORÇAMENTO.PrecoUnitarioLicitado),15-13*$AF$10),0)</f>
        <v>0</v>
      </c>
      <c r="X143" s="150">
        <f ca="1">IF($C143="S",IF(Import.TipoArredondamento&lt;&gt;"TransfereGOV",VTOTAL1,SUM(OFFSET(CÁLCULO!$AA$15,ROW($X143)-ROW($X$15),1):OFFSET(CÁLCULO!$AL$15,ROW($X143)-ROW($X$15),-1))),IF($C143=0,0,ROUND(SomaAgrup,15-13*$AF$11)))</f>
        <v>0</v>
      </c>
      <c r="Y143" s="151" t="s">
        <v>245</v>
      </c>
      <c r="Z143" t="str">
        <f t="shared" ca="1" si="63"/>
        <v/>
      </c>
      <c r="AA143" s="152">
        <f ca="1">IF($C143="S",IF($Z143="CP",$X143,IF($Z143="RA",(($X143)*QCI!$AA$3),0)),SomaAgrup)</f>
        <v>0</v>
      </c>
      <c r="AB143" s="153">
        <f t="shared" ca="1" si="64"/>
        <v>0</v>
      </c>
      <c r="AC143" s="154" t="str">
        <f ca="1">IF($N143="","",IF(ORÇAMENTO.Descricao="","DESCRIÇÃO",IF(AND($C143="S",ORÇAMENTO.Unidade=""),"UNIDADE",IF($X143&lt;0,"VALOR NEGATIVO",IF(OR(AND(TIPOORCAMENTO="Proposto",$AG143&lt;&gt;"",$AG143&gt;0,ORÇAMENTO.CustoUnitario&gt;$AG143),AND(TIPOORCAMENTO="LICITADO",ORÇAMENTO.PrecoUnitarioLicitado&gt;$AN143)),"ACIMA REF.","")))))</f>
        <v/>
      </c>
      <c r="AD143" s="100" t="str">
        <f ca="1">IF(C143&lt;=CRONO.NivelExibicao,MAX($AD$15:OFFSET(AD143,-1,0))+IF($C143&lt;&gt;1,1,MAX(1,COUNTIF(QCI!$A$13:$A$24,OFFSET($E143,-1,0)))),"")</f>
        <v/>
      </c>
      <c r="AE143" s="110" t="b">
        <f ca="1">IF(AND($C143="S",ORÇAMENTO.CodBarra&lt;&gt;""),IF(ORÇAMENTO.Fonte="",ORÇAMENTO.CodBarra,CONCATENATE(ORÇAMENTO.Fonte," ",ORÇAMENTO.CodBarra)))</f>
        <v>0</v>
      </c>
      <c r="AF143" s="155" t="str">
        <f ca="1">IF(ISERROR(INDIRECT(ORÇAMENTO.BancoRef)),"(abra o arquivo 'Referência "&amp;Excel_BuiltIn_Database&amp;".xlsm)",IF(OR($C143&lt;&gt;"S",ORÇAMENTO.CodBarra=""),"(Sem Código)",IF(ISERROR(MATCH($AE143,INDIRECT(ORÇAMENTO.BancoRef),0)),"(Código não identificado nas referências)",MATCH($AE143,INDIRECT(ORÇAMENTO.BancoRef),0))))</f>
        <v>(abra o arquivo 'Referência 11-2024.xlsm)</v>
      </c>
      <c r="AG143" s="574">
        <f ca="1">ROUND(IF(DESONERACAO="sim",REFERENCIA.Desonerado,REFERENCIA.NaoDesonerado),2)</f>
        <v>0</v>
      </c>
      <c r="AH143" s="575">
        <f t="shared" ca="1" si="65"/>
        <v>0.22</v>
      </c>
      <c r="AJ143" s="577"/>
      <c r="AL143" s="607"/>
      <c r="AM143" s="426">
        <f t="shared" ca="1" si="66"/>
        <v>0</v>
      </c>
      <c r="AN143" s="650">
        <f t="shared" ca="1" si="67"/>
        <v>0</v>
      </c>
    </row>
    <row r="144" spans="1:40" ht="13.8" hidden="1">
      <c r="A144" t="str">
        <f t="shared" si="51"/>
        <v>S</v>
      </c>
      <c r="B144">
        <f t="shared" ca="1" si="52"/>
        <v>2</v>
      </c>
      <c r="C144" t="str">
        <f t="shared" ca="1" si="53"/>
        <v>S</v>
      </c>
      <c r="D144">
        <f t="shared" ca="1" si="54"/>
        <v>0</v>
      </c>
      <c r="E144">
        <f ca="1">IF($C144=1,OFFSET(E144,-1,0)+MAX(1,COUNTIF(QCI!$A$13:$A$24,OFFSET(ORÇAMENTO!E144,-1,0))),OFFSET(E144,-1,0))</f>
        <v>1</v>
      </c>
      <c r="F144">
        <f t="shared" ca="1" si="55"/>
        <v>5</v>
      </c>
      <c r="G144">
        <f t="shared" ca="1" si="56"/>
        <v>0</v>
      </c>
      <c r="H144">
        <f t="shared" ca="1" si="57"/>
        <v>0</v>
      </c>
      <c r="I144">
        <f t="shared" ca="1" si="58"/>
        <v>2</v>
      </c>
      <c r="J144">
        <f t="shared" ca="1" si="59"/>
        <v>0</v>
      </c>
      <c r="K144">
        <f ca="1">IF(OR($C144="S",$C144=0),0,MATCH(OFFSET($D144,0,$C144)+IF($C144&lt;&gt;1,1,COUNTIF(QCI!$A$13:$A$24,ORÇAMENTO!E144)),OFFSET($D144,1,$C144,ROW($C$264)-ROW($C144)),0))</f>
        <v>0</v>
      </c>
      <c r="L144" s="139" t="str">
        <f t="shared" ca="1" si="60"/>
        <v/>
      </c>
      <c r="M144" s="140" t="s">
        <v>199</v>
      </c>
      <c r="N144" s="141" t="str">
        <f t="shared" ca="1" si="61"/>
        <v>Serviço</v>
      </c>
      <c r="O144" s="142" t="str">
        <f t="shared" ca="1" si="62"/>
        <v>-</v>
      </c>
      <c r="P144" s="143" t="s">
        <v>247</v>
      </c>
      <c r="Q144" s="144"/>
      <c r="R144" s="145" t="str">
        <f ca="1">IF($C144="S",REFERENCIA.Descricao,"(digite a descrição aqui)")</f>
        <v>(abra o arquivo 'Referência 11-2024.xlsm)</v>
      </c>
      <c r="S144" s="146" t="str">
        <f ca="1">REFERENCIA.Unidade</f>
        <v>-</v>
      </c>
      <c r="T144" s="147">
        <f ca="1">OFFSET(CÁLCULO!H$15,ROW($T144)-ROW(T$15),0)</f>
        <v>0</v>
      </c>
      <c r="U144" s="148"/>
      <c r="V144" s="149" t="s">
        <v>156</v>
      </c>
      <c r="W144" s="147">
        <f ca="1">IF($C144="S",ROUND(IF(TIPOORCAMENTO="Proposto",ORÇAMENTO.CustoUnitario*(1+$AH144),ORÇAMENTO.PrecoUnitarioLicitado),15-13*$AF$10),0)</f>
        <v>0</v>
      </c>
      <c r="X144" s="150">
        <f ca="1">IF($C144="S",IF(Import.TipoArredondamento&lt;&gt;"TransfereGOV",VTOTAL1,SUM(OFFSET(CÁLCULO!$AA$15,ROW($X144)-ROW($X$15),1):OFFSET(CÁLCULO!$AL$15,ROW($X144)-ROW($X$15),-1))),IF($C144=0,0,ROUND(SomaAgrup,15-13*$AF$11)))</f>
        <v>0</v>
      </c>
      <c r="Y144" s="151" t="s">
        <v>245</v>
      </c>
      <c r="Z144" t="str">
        <f t="shared" ca="1" si="63"/>
        <v/>
      </c>
      <c r="AA144" s="152">
        <f ca="1">IF($C144="S",IF($Z144="CP",$X144,IF($Z144="RA",(($X144)*QCI!$AA$3),0)),SomaAgrup)</f>
        <v>0</v>
      </c>
      <c r="AB144" s="153">
        <f t="shared" ca="1" si="64"/>
        <v>0</v>
      </c>
      <c r="AC144" s="154" t="str">
        <f ca="1">IF($N144="","",IF(ORÇAMENTO.Descricao="","DESCRIÇÃO",IF(AND($C144="S",ORÇAMENTO.Unidade=""),"UNIDADE",IF($X144&lt;0,"VALOR NEGATIVO",IF(OR(AND(TIPOORCAMENTO="Proposto",$AG144&lt;&gt;"",$AG144&gt;0,ORÇAMENTO.CustoUnitario&gt;$AG144),AND(TIPOORCAMENTO="LICITADO",ORÇAMENTO.PrecoUnitarioLicitado&gt;$AN144)),"ACIMA REF.","")))))</f>
        <v/>
      </c>
      <c r="AD144" s="100" t="str">
        <f ca="1">IF(C144&lt;=CRONO.NivelExibicao,MAX($AD$15:OFFSET(AD144,-1,0))+IF($C144&lt;&gt;1,1,MAX(1,COUNTIF(QCI!$A$13:$A$24,OFFSET($E144,-1,0)))),"")</f>
        <v/>
      </c>
      <c r="AE144" s="110" t="b">
        <f ca="1">IF(AND($C144="S",ORÇAMENTO.CodBarra&lt;&gt;""),IF(ORÇAMENTO.Fonte="",ORÇAMENTO.CodBarra,CONCATENATE(ORÇAMENTO.Fonte," ",ORÇAMENTO.CodBarra)))</f>
        <v>0</v>
      </c>
      <c r="AF144" s="155" t="str">
        <f ca="1">IF(ISERROR(INDIRECT(ORÇAMENTO.BancoRef)),"(abra o arquivo 'Referência "&amp;Excel_BuiltIn_Database&amp;".xlsm)",IF(OR($C144&lt;&gt;"S",ORÇAMENTO.CodBarra=""),"(Sem Código)",IF(ISERROR(MATCH($AE144,INDIRECT(ORÇAMENTO.BancoRef),0)),"(Código não identificado nas referências)",MATCH($AE144,INDIRECT(ORÇAMENTO.BancoRef),0))))</f>
        <v>(abra o arquivo 'Referência 11-2024.xlsm)</v>
      </c>
      <c r="AG144" s="574">
        <f ca="1">ROUND(IF(DESONERACAO="sim",REFERENCIA.Desonerado,REFERENCIA.NaoDesonerado),2)</f>
        <v>0</v>
      </c>
      <c r="AH144" s="575">
        <f t="shared" ca="1" si="65"/>
        <v>0.22</v>
      </c>
      <c r="AJ144" s="577"/>
      <c r="AL144" s="607"/>
      <c r="AM144" s="426">
        <f t="shared" ca="1" si="66"/>
        <v>0</v>
      </c>
      <c r="AN144" s="650">
        <f t="shared" ca="1" si="67"/>
        <v>0</v>
      </c>
    </row>
    <row r="145" spans="1:40" ht="13.8" hidden="1">
      <c r="A145" t="str">
        <f t="shared" si="51"/>
        <v>S</v>
      </c>
      <c r="B145">
        <f t="shared" ca="1" si="52"/>
        <v>2</v>
      </c>
      <c r="C145" t="str">
        <f t="shared" ca="1" si="53"/>
        <v>S</v>
      </c>
      <c r="D145">
        <f t="shared" ca="1" si="54"/>
        <v>0</v>
      </c>
      <c r="E145">
        <f ca="1">IF($C145=1,OFFSET(E145,-1,0)+MAX(1,COUNTIF(QCI!$A$13:$A$24,OFFSET(ORÇAMENTO!E145,-1,0))),OFFSET(E145,-1,0))</f>
        <v>1</v>
      </c>
      <c r="F145">
        <f t="shared" ca="1" si="55"/>
        <v>5</v>
      </c>
      <c r="G145">
        <f t="shared" ca="1" si="56"/>
        <v>0</v>
      </c>
      <c r="H145">
        <f t="shared" ca="1" si="57"/>
        <v>0</v>
      </c>
      <c r="I145">
        <f t="shared" ca="1" si="58"/>
        <v>2</v>
      </c>
      <c r="J145">
        <f t="shared" ca="1" si="59"/>
        <v>0</v>
      </c>
      <c r="K145">
        <f ca="1">IF(OR($C145="S",$C145=0),0,MATCH(OFFSET($D145,0,$C145)+IF($C145&lt;&gt;1,1,COUNTIF(QCI!$A$13:$A$24,ORÇAMENTO!E145)),OFFSET($D145,1,$C145,ROW($C$264)-ROW($C145)),0))</f>
        <v>0</v>
      </c>
      <c r="L145" s="139" t="str">
        <f t="shared" ca="1" si="60"/>
        <v/>
      </c>
      <c r="M145" s="140" t="s">
        <v>199</v>
      </c>
      <c r="N145" s="141" t="str">
        <f t="shared" ca="1" si="61"/>
        <v>Serviço</v>
      </c>
      <c r="O145" s="142" t="str">
        <f t="shared" ca="1" si="62"/>
        <v>-</v>
      </c>
      <c r="P145" s="143" t="s">
        <v>247</v>
      </c>
      <c r="Q145" s="144"/>
      <c r="R145" s="145" t="str">
        <f ca="1">IF($C145="S",REFERENCIA.Descricao,"(digite a descrição aqui)")</f>
        <v>(abra o arquivo 'Referência 11-2024.xlsm)</v>
      </c>
      <c r="S145" s="146" t="str">
        <f ca="1">REFERENCIA.Unidade</f>
        <v>-</v>
      </c>
      <c r="T145" s="147">
        <f ca="1">OFFSET(CÁLCULO!H$15,ROW($T145)-ROW(T$15),0)</f>
        <v>0</v>
      </c>
      <c r="U145" s="148"/>
      <c r="V145" s="149" t="s">
        <v>156</v>
      </c>
      <c r="W145" s="147">
        <f ca="1">IF($C145="S",ROUND(IF(TIPOORCAMENTO="Proposto",ORÇAMENTO.CustoUnitario*(1+$AH145),ORÇAMENTO.PrecoUnitarioLicitado),15-13*$AF$10),0)</f>
        <v>0</v>
      </c>
      <c r="X145" s="150">
        <f ca="1">IF($C145="S",IF(Import.TipoArredondamento&lt;&gt;"TransfereGOV",VTOTAL1,SUM(OFFSET(CÁLCULO!$AA$15,ROW($X145)-ROW($X$15),1):OFFSET(CÁLCULO!$AL$15,ROW($X145)-ROW($X$15),-1))),IF($C145=0,0,ROUND(SomaAgrup,15-13*$AF$11)))</f>
        <v>0</v>
      </c>
      <c r="Y145" s="151" t="s">
        <v>245</v>
      </c>
      <c r="Z145" t="str">
        <f t="shared" ca="1" si="63"/>
        <v/>
      </c>
      <c r="AA145" s="152">
        <f ca="1">IF($C145="S",IF($Z145="CP",$X145,IF($Z145="RA",(($X145)*QCI!$AA$3),0)),SomaAgrup)</f>
        <v>0</v>
      </c>
      <c r="AB145" s="153">
        <f t="shared" ca="1" si="64"/>
        <v>0</v>
      </c>
      <c r="AC145" s="154" t="str">
        <f ca="1">IF($N145="","",IF(ORÇAMENTO.Descricao="","DESCRIÇÃO",IF(AND($C145="S",ORÇAMENTO.Unidade=""),"UNIDADE",IF($X145&lt;0,"VALOR NEGATIVO",IF(OR(AND(TIPOORCAMENTO="Proposto",$AG145&lt;&gt;"",$AG145&gt;0,ORÇAMENTO.CustoUnitario&gt;$AG145),AND(TIPOORCAMENTO="LICITADO",ORÇAMENTO.PrecoUnitarioLicitado&gt;$AN145)),"ACIMA REF.","")))))</f>
        <v/>
      </c>
      <c r="AD145" s="100" t="str">
        <f ca="1">IF(C145&lt;=CRONO.NivelExibicao,MAX($AD$15:OFFSET(AD145,-1,0))+IF($C145&lt;&gt;1,1,MAX(1,COUNTIF(QCI!$A$13:$A$24,OFFSET($E145,-1,0)))),"")</f>
        <v/>
      </c>
      <c r="AE145" s="110" t="b">
        <f ca="1">IF(AND($C145="S",ORÇAMENTO.CodBarra&lt;&gt;""),IF(ORÇAMENTO.Fonte="",ORÇAMENTO.CodBarra,CONCATENATE(ORÇAMENTO.Fonte," ",ORÇAMENTO.CodBarra)))</f>
        <v>0</v>
      </c>
      <c r="AF145" s="155" t="str">
        <f ca="1">IF(ISERROR(INDIRECT(ORÇAMENTO.BancoRef)),"(abra o arquivo 'Referência "&amp;Excel_BuiltIn_Database&amp;".xlsm)",IF(OR($C145&lt;&gt;"S",ORÇAMENTO.CodBarra=""),"(Sem Código)",IF(ISERROR(MATCH($AE145,INDIRECT(ORÇAMENTO.BancoRef),0)),"(Código não identificado nas referências)",MATCH($AE145,INDIRECT(ORÇAMENTO.BancoRef),0))))</f>
        <v>(abra o arquivo 'Referência 11-2024.xlsm)</v>
      </c>
      <c r="AG145" s="574">
        <f ca="1">ROUND(IF(DESONERACAO="sim",REFERENCIA.Desonerado,REFERENCIA.NaoDesonerado),2)</f>
        <v>0</v>
      </c>
      <c r="AH145" s="575">
        <f t="shared" ca="1" si="65"/>
        <v>0.22</v>
      </c>
      <c r="AJ145" s="577"/>
      <c r="AL145" s="607"/>
      <c r="AM145" s="426">
        <f t="shared" ca="1" si="66"/>
        <v>0</v>
      </c>
      <c r="AN145" s="650">
        <f t="shared" ca="1" si="67"/>
        <v>0</v>
      </c>
    </row>
    <row r="146" spans="1:40" ht="13.8" hidden="1">
      <c r="A146" t="str">
        <f t="shared" si="51"/>
        <v>S</v>
      </c>
      <c r="B146">
        <f t="shared" ca="1" si="52"/>
        <v>2</v>
      </c>
      <c r="C146" t="str">
        <f t="shared" ca="1" si="53"/>
        <v>S</v>
      </c>
      <c r="D146">
        <f t="shared" ca="1" si="54"/>
        <v>0</v>
      </c>
      <c r="E146">
        <f ca="1">IF($C146=1,OFFSET(E146,-1,0)+MAX(1,COUNTIF(QCI!$A$13:$A$24,OFFSET(ORÇAMENTO!E146,-1,0))),OFFSET(E146,-1,0))</f>
        <v>1</v>
      </c>
      <c r="F146">
        <f t="shared" ca="1" si="55"/>
        <v>5</v>
      </c>
      <c r="G146">
        <f t="shared" ca="1" si="56"/>
        <v>0</v>
      </c>
      <c r="H146">
        <f t="shared" ca="1" si="57"/>
        <v>0</v>
      </c>
      <c r="I146">
        <f t="shared" ca="1" si="58"/>
        <v>2</v>
      </c>
      <c r="J146">
        <f t="shared" ca="1" si="59"/>
        <v>0</v>
      </c>
      <c r="K146">
        <f ca="1">IF(OR($C146="S",$C146=0),0,MATCH(OFFSET($D146,0,$C146)+IF($C146&lt;&gt;1,1,COUNTIF(QCI!$A$13:$A$24,ORÇAMENTO!E146)),OFFSET($D146,1,$C146,ROW($C$264)-ROW($C146)),0))</f>
        <v>0</v>
      </c>
      <c r="L146" s="139" t="str">
        <f t="shared" ca="1" si="60"/>
        <v/>
      </c>
      <c r="M146" s="140" t="s">
        <v>199</v>
      </c>
      <c r="N146" s="141" t="str">
        <f t="shared" ca="1" si="61"/>
        <v>Serviço</v>
      </c>
      <c r="O146" s="142" t="str">
        <f t="shared" ca="1" si="62"/>
        <v>-</v>
      </c>
      <c r="P146" s="143" t="s">
        <v>247</v>
      </c>
      <c r="Q146" s="144"/>
      <c r="R146" s="145" t="str">
        <f ca="1">IF($C146="S",REFERENCIA.Descricao,"(digite a descrição aqui)")</f>
        <v>(abra o arquivo 'Referência 11-2024.xlsm)</v>
      </c>
      <c r="S146" s="146" t="str">
        <f ca="1">REFERENCIA.Unidade</f>
        <v>-</v>
      </c>
      <c r="T146" s="147">
        <f ca="1">OFFSET(CÁLCULO!H$15,ROW($T146)-ROW(T$15),0)</f>
        <v>0</v>
      </c>
      <c r="U146" s="148"/>
      <c r="V146" s="149" t="s">
        <v>156</v>
      </c>
      <c r="W146" s="147">
        <f ca="1">IF($C146="S",ROUND(IF(TIPOORCAMENTO="Proposto",ORÇAMENTO.CustoUnitario*(1+$AH146),ORÇAMENTO.PrecoUnitarioLicitado),15-13*$AF$10),0)</f>
        <v>0</v>
      </c>
      <c r="X146" s="150">
        <f ca="1">IF($C146="S",IF(Import.TipoArredondamento&lt;&gt;"TransfereGOV",VTOTAL1,SUM(OFFSET(CÁLCULO!$AA$15,ROW($X146)-ROW($X$15),1):OFFSET(CÁLCULO!$AL$15,ROW($X146)-ROW($X$15),-1))),IF($C146=0,0,ROUND(SomaAgrup,15-13*$AF$11)))</f>
        <v>0</v>
      </c>
      <c r="Y146" s="151" t="s">
        <v>245</v>
      </c>
      <c r="Z146" t="str">
        <f t="shared" ca="1" si="63"/>
        <v/>
      </c>
      <c r="AA146" s="152">
        <f ca="1">IF($C146="S",IF($Z146="CP",$X146,IF($Z146="RA",(($X146)*QCI!$AA$3),0)),SomaAgrup)</f>
        <v>0</v>
      </c>
      <c r="AB146" s="153">
        <f t="shared" ca="1" si="64"/>
        <v>0</v>
      </c>
      <c r="AC146" s="154" t="str">
        <f ca="1">IF($N146="","",IF(ORÇAMENTO.Descricao="","DESCRIÇÃO",IF(AND($C146="S",ORÇAMENTO.Unidade=""),"UNIDADE",IF($X146&lt;0,"VALOR NEGATIVO",IF(OR(AND(TIPOORCAMENTO="Proposto",$AG146&lt;&gt;"",$AG146&gt;0,ORÇAMENTO.CustoUnitario&gt;$AG146),AND(TIPOORCAMENTO="LICITADO",ORÇAMENTO.PrecoUnitarioLicitado&gt;$AN146)),"ACIMA REF.","")))))</f>
        <v/>
      </c>
      <c r="AD146" s="100" t="str">
        <f ca="1">IF(C146&lt;=CRONO.NivelExibicao,MAX($AD$15:OFFSET(AD146,-1,0))+IF($C146&lt;&gt;1,1,MAX(1,COUNTIF(QCI!$A$13:$A$24,OFFSET($E146,-1,0)))),"")</f>
        <v/>
      </c>
      <c r="AE146" s="110" t="b">
        <f ca="1">IF(AND($C146="S",ORÇAMENTO.CodBarra&lt;&gt;""),IF(ORÇAMENTO.Fonte="",ORÇAMENTO.CodBarra,CONCATENATE(ORÇAMENTO.Fonte," ",ORÇAMENTO.CodBarra)))</f>
        <v>0</v>
      </c>
      <c r="AF146" s="155" t="str">
        <f ca="1">IF(ISERROR(INDIRECT(ORÇAMENTO.BancoRef)),"(abra o arquivo 'Referência "&amp;Excel_BuiltIn_Database&amp;".xlsm)",IF(OR($C146&lt;&gt;"S",ORÇAMENTO.CodBarra=""),"(Sem Código)",IF(ISERROR(MATCH($AE146,INDIRECT(ORÇAMENTO.BancoRef),0)),"(Código não identificado nas referências)",MATCH($AE146,INDIRECT(ORÇAMENTO.BancoRef),0))))</f>
        <v>(abra o arquivo 'Referência 11-2024.xlsm)</v>
      </c>
      <c r="AG146" s="574">
        <f ca="1">ROUND(IF(DESONERACAO="sim",REFERENCIA.Desonerado,REFERENCIA.NaoDesonerado),2)</f>
        <v>0</v>
      </c>
      <c r="AH146" s="575">
        <f t="shared" ca="1" si="65"/>
        <v>0.22</v>
      </c>
      <c r="AJ146" s="577"/>
      <c r="AL146" s="607"/>
      <c r="AM146" s="426">
        <f t="shared" ca="1" si="66"/>
        <v>0</v>
      </c>
      <c r="AN146" s="650">
        <f t="shared" ca="1" si="67"/>
        <v>0</v>
      </c>
    </row>
    <row r="147" spans="1:40" ht="13.8" hidden="1">
      <c r="A147" t="str">
        <f t="shared" si="51"/>
        <v>S</v>
      </c>
      <c r="B147">
        <f t="shared" ca="1" si="52"/>
        <v>2</v>
      </c>
      <c r="C147" t="str">
        <f t="shared" ca="1" si="53"/>
        <v>S</v>
      </c>
      <c r="D147">
        <f t="shared" ca="1" si="54"/>
        <v>0</v>
      </c>
      <c r="E147">
        <f ca="1">IF($C147=1,OFFSET(E147,-1,0)+MAX(1,COUNTIF(QCI!$A$13:$A$24,OFFSET(ORÇAMENTO!E147,-1,0))),OFFSET(E147,-1,0))</f>
        <v>1</v>
      </c>
      <c r="F147">
        <f t="shared" ca="1" si="55"/>
        <v>5</v>
      </c>
      <c r="G147">
        <f t="shared" ca="1" si="56"/>
        <v>0</v>
      </c>
      <c r="H147">
        <f t="shared" ca="1" si="57"/>
        <v>0</v>
      </c>
      <c r="I147">
        <f t="shared" ca="1" si="58"/>
        <v>2</v>
      </c>
      <c r="J147">
        <f t="shared" ca="1" si="59"/>
        <v>0</v>
      </c>
      <c r="K147">
        <f ca="1">IF(OR($C147="S",$C147=0),0,MATCH(OFFSET($D147,0,$C147)+IF($C147&lt;&gt;1,1,COUNTIF(QCI!$A$13:$A$24,ORÇAMENTO!E147)),OFFSET($D147,1,$C147,ROW($C$264)-ROW($C147)),0))</f>
        <v>0</v>
      </c>
      <c r="L147" s="139" t="str">
        <f t="shared" ca="1" si="60"/>
        <v/>
      </c>
      <c r="M147" s="140" t="s">
        <v>199</v>
      </c>
      <c r="N147" s="141" t="str">
        <f t="shared" ca="1" si="61"/>
        <v>Serviço</v>
      </c>
      <c r="O147" s="142" t="str">
        <f t="shared" ca="1" si="62"/>
        <v>-</v>
      </c>
      <c r="P147" s="143" t="s">
        <v>247</v>
      </c>
      <c r="Q147" s="144"/>
      <c r="R147" s="145" t="str">
        <f ca="1">IF($C147="S",REFERENCIA.Descricao,"(digite a descrição aqui)")</f>
        <v>(abra o arquivo 'Referência 11-2024.xlsm)</v>
      </c>
      <c r="S147" s="146" t="str">
        <f ca="1">REFERENCIA.Unidade</f>
        <v>-</v>
      </c>
      <c r="T147" s="147">
        <f ca="1">OFFSET(CÁLCULO!H$15,ROW($T147)-ROW(T$15),0)</f>
        <v>0</v>
      </c>
      <c r="U147" s="148"/>
      <c r="V147" s="149" t="s">
        <v>156</v>
      </c>
      <c r="W147" s="147">
        <f ca="1">IF($C147="S",ROUND(IF(TIPOORCAMENTO="Proposto",ORÇAMENTO.CustoUnitario*(1+$AH147),ORÇAMENTO.PrecoUnitarioLicitado),15-13*$AF$10),0)</f>
        <v>0</v>
      </c>
      <c r="X147" s="150">
        <f ca="1">IF($C147="S",IF(Import.TipoArredondamento&lt;&gt;"TransfereGOV",VTOTAL1,SUM(OFFSET(CÁLCULO!$AA$15,ROW($X147)-ROW($X$15),1):OFFSET(CÁLCULO!$AL$15,ROW($X147)-ROW($X$15),-1))),IF($C147=0,0,ROUND(SomaAgrup,15-13*$AF$11)))</f>
        <v>0</v>
      </c>
      <c r="Y147" s="151" t="s">
        <v>245</v>
      </c>
      <c r="Z147" t="str">
        <f t="shared" ca="1" si="63"/>
        <v/>
      </c>
      <c r="AA147" s="152">
        <f ca="1">IF($C147="S",IF($Z147="CP",$X147,IF($Z147="RA",(($X147)*QCI!$AA$3),0)),SomaAgrup)</f>
        <v>0</v>
      </c>
      <c r="AB147" s="153">
        <f t="shared" ca="1" si="64"/>
        <v>0</v>
      </c>
      <c r="AC147" s="154" t="str">
        <f ca="1">IF($N147="","",IF(ORÇAMENTO.Descricao="","DESCRIÇÃO",IF(AND($C147="S",ORÇAMENTO.Unidade=""),"UNIDADE",IF($X147&lt;0,"VALOR NEGATIVO",IF(OR(AND(TIPOORCAMENTO="Proposto",$AG147&lt;&gt;"",$AG147&gt;0,ORÇAMENTO.CustoUnitario&gt;$AG147),AND(TIPOORCAMENTO="LICITADO",ORÇAMENTO.PrecoUnitarioLicitado&gt;$AN147)),"ACIMA REF.","")))))</f>
        <v/>
      </c>
      <c r="AD147" s="100" t="str">
        <f ca="1">IF(C147&lt;=CRONO.NivelExibicao,MAX($AD$15:OFFSET(AD147,-1,0))+IF($C147&lt;&gt;1,1,MAX(1,COUNTIF(QCI!$A$13:$A$24,OFFSET($E147,-1,0)))),"")</f>
        <v/>
      </c>
      <c r="AE147" s="110" t="b">
        <f ca="1">IF(AND($C147="S",ORÇAMENTO.CodBarra&lt;&gt;""),IF(ORÇAMENTO.Fonte="",ORÇAMENTO.CodBarra,CONCATENATE(ORÇAMENTO.Fonte," ",ORÇAMENTO.CodBarra)))</f>
        <v>0</v>
      </c>
      <c r="AF147" s="155" t="str">
        <f ca="1">IF(ISERROR(INDIRECT(ORÇAMENTO.BancoRef)),"(abra o arquivo 'Referência "&amp;Excel_BuiltIn_Database&amp;".xlsm)",IF(OR($C147&lt;&gt;"S",ORÇAMENTO.CodBarra=""),"(Sem Código)",IF(ISERROR(MATCH($AE147,INDIRECT(ORÇAMENTO.BancoRef),0)),"(Código não identificado nas referências)",MATCH($AE147,INDIRECT(ORÇAMENTO.BancoRef),0))))</f>
        <v>(abra o arquivo 'Referência 11-2024.xlsm)</v>
      </c>
      <c r="AG147" s="574">
        <f ca="1">ROUND(IF(DESONERACAO="sim",REFERENCIA.Desonerado,REFERENCIA.NaoDesonerado),2)</f>
        <v>0</v>
      </c>
      <c r="AH147" s="575">
        <f t="shared" ca="1" si="65"/>
        <v>0.22</v>
      </c>
      <c r="AJ147" s="577"/>
      <c r="AL147" s="607"/>
      <c r="AM147" s="426">
        <f t="shared" ca="1" si="66"/>
        <v>0</v>
      </c>
      <c r="AN147" s="650">
        <f t="shared" ca="1" si="67"/>
        <v>0</v>
      </c>
    </row>
    <row r="148" spans="1:40" ht="13.8" hidden="1">
      <c r="A148" t="str">
        <f t="shared" si="51"/>
        <v>S</v>
      </c>
      <c r="B148">
        <f t="shared" ca="1" si="52"/>
        <v>2</v>
      </c>
      <c r="C148" t="str">
        <f t="shared" ca="1" si="53"/>
        <v>S</v>
      </c>
      <c r="D148">
        <f t="shared" ca="1" si="54"/>
        <v>0</v>
      </c>
      <c r="E148">
        <f ca="1">IF($C148=1,OFFSET(E148,-1,0)+MAX(1,COUNTIF(QCI!$A$13:$A$24,OFFSET(ORÇAMENTO!E148,-1,0))),OFFSET(E148,-1,0))</f>
        <v>1</v>
      </c>
      <c r="F148">
        <f t="shared" ca="1" si="55"/>
        <v>5</v>
      </c>
      <c r="G148">
        <f t="shared" ca="1" si="56"/>
        <v>0</v>
      </c>
      <c r="H148">
        <f t="shared" ca="1" si="57"/>
        <v>0</v>
      </c>
      <c r="I148">
        <f t="shared" ca="1" si="58"/>
        <v>2</v>
      </c>
      <c r="J148">
        <f t="shared" ca="1" si="59"/>
        <v>0</v>
      </c>
      <c r="K148">
        <f ca="1">IF(OR($C148="S",$C148=0),0,MATCH(OFFSET($D148,0,$C148)+IF($C148&lt;&gt;1,1,COUNTIF(QCI!$A$13:$A$24,ORÇAMENTO!E148)),OFFSET($D148,1,$C148,ROW($C$264)-ROW($C148)),0))</f>
        <v>0</v>
      </c>
      <c r="L148" s="139" t="str">
        <f t="shared" ca="1" si="60"/>
        <v/>
      </c>
      <c r="M148" s="140" t="s">
        <v>199</v>
      </c>
      <c r="N148" s="141" t="str">
        <f t="shared" ca="1" si="61"/>
        <v>Serviço</v>
      </c>
      <c r="O148" s="142" t="str">
        <f t="shared" ca="1" si="62"/>
        <v>-</v>
      </c>
      <c r="P148" s="143" t="s">
        <v>247</v>
      </c>
      <c r="Q148" s="144"/>
      <c r="R148" s="145" t="str">
        <f ca="1">IF($C148="S",REFERENCIA.Descricao,"(digite a descrição aqui)")</f>
        <v>(abra o arquivo 'Referência 11-2024.xlsm)</v>
      </c>
      <c r="S148" s="146" t="str">
        <f ca="1">REFERENCIA.Unidade</f>
        <v>-</v>
      </c>
      <c r="T148" s="147">
        <f ca="1">OFFSET(CÁLCULO!H$15,ROW($T148)-ROW(T$15),0)</f>
        <v>0</v>
      </c>
      <c r="U148" s="148"/>
      <c r="V148" s="149" t="s">
        <v>156</v>
      </c>
      <c r="W148" s="147">
        <f ca="1">IF($C148="S",ROUND(IF(TIPOORCAMENTO="Proposto",ORÇAMENTO.CustoUnitario*(1+$AH148),ORÇAMENTO.PrecoUnitarioLicitado),15-13*$AF$10),0)</f>
        <v>0</v>
      </c>
      <c r="X148" s="150">
        <f ca="1">IF($C148="S",IF(Import.TipoArredondamento&lt;&gt;"TransfereGOV",VTOTAL1,SUM(OFFSET(CÁLCULO!$AA$15,ROW($X148)-ROW($X$15),1):OFFSET(CÁLCULO!$AL$15,ROW($X148)-ROW($X$15),-1))),IF($C148=0,0,ROUND(SomaAgrup,15-13*$AF$11)))</f>
        <v>0</v>
      </c>
      <c r="Y148" s="151" t="s">
        <v>245</v>
      </c>
      <c r="Z148" t="str">
        <f t="shared" ca="1" si="63"/>
        <v/>
      </c>
      <c r="AA148" s="152">
        <f ca="1">IF($C148="S",IF($Z148="CP",$X148,IF($Z148="RA",(($X148)*QCI!$AA$3),0)),SomaAgrup)</f>
        <v>0</v>
      </c>
      <c r="AB148" s="153">
        <f t="shared" ca="1" si="64"/>
        <v>0</v>
      </c>
      <c r="AC148" s="154" t="str">
        <f ca="1">IF($N148="","",IF(ORÇAMENTO.Descricao="","DESCRIÇÃO",IF(AND($C148="S",ORÇAMENTO.Unidade=""),"UNIDADE",IF($X148&lt;0,"VALOR NEGATIVO",IF(OR(AND(TIPOORCAMENTO="Proposto",$AG148&lt;&gt;"",$AG148&gt;0,ORÇAMENTO.CustoUnitario&gt;$AG148),AND(TIPOORCAMENTO="LICITADO",ORÇAMENTO.PrecoUnitarioLicitado&gt;$AN148)),"ACIMA REF.","")))))</f>
        <v/>
      </c>
      <c r="AD148" s="100" t="str">
        <f ca="1">IF(C148&lt;=CRONO.NivelExibicao,MAX($AD$15:OFFSET(AD148,-1,0))+IF($C148&lt;&gt;1,1,MAX(1,COUNTIF(QCI!$A$13:$A$24,OFFSET($E148,-1,0)))),"")</f>
        <v/>
      </c>
      <c r="AE148" s="110" t="b">
        <f ca="1">IF(AND($C148="S",ORÇAMENTO.CodBarra&lt;&gt;""),IF(ORÇAMENTO.Fonte="",ORÇAMENTO.CodBarra,CONCATENATE(ORÇAMENTO.Fonte," ",ORÇAMENTO.CodBarra)))</f>
        <v>0</v>
      </c>
      <c r="AF148" s="155" t="str">
        <f ca="1">IF(ISERROR(INDIRECT(ORÇAMENTO.BancoRef)),"(abra o arquivo 'Referência "&amp;Excel_BuiltIn_Database&amp;".xlsm)",IF(OR($C148&lt;&gt;"S",ORÇAMENTO.CodBarra=""),"(Sem Código)",IF(ISERROR(MATCH($AE148,INDIRECT(ORÇAMENTO.BancoRef),0)),"(Código não identificado nas referências)",MATCH($AE148,INDIRECT(ORÇAMENTO.BancoRef),0))))</f>
        <v>(abra o arquivo 'Referência 11-2024.xlsm)</v>
      </c>
      <c r="AG148" s="574">
        <f ca="1">ROUND(IF(DESONERACAO="sim",REFERENCIA.Desonerado,REFERENCIA.NaoDesonerado),2)</f>
        <v>0</v>
      </c>
      <c r="AH148" s="575">
        <f t="shared" ca="1" si="65"/>
        <v>0.22</v>
      </c>
      <c r="AJ148" s="577"/>
      <c r="AL148" s="607"/>
      <c r="AM148" s="426">
        <f t="shared" ca="1" si="66"/>
        <v>0</v>
      </c>
      <c r="AN148" s="650">
        <f t="shared" ca="1" si="67"/>
        <v>0</v>
      </c>
    </row>
    <row r="149" spans="1:40" ht="13.8" hidden="1">
      <c r="A149" t="str">
        <f t="shared" si="51"/>
        <v>S</v>
      </c>
      <c r="B149">
        <f t="shared" ca="1" si="52"/>
        <v>2</v>
      </c>
      <c r="C149" t="str">
        <f t="shared" ca="1" si="53"/>
        <v>S</v>
      </c>
      <c r="D149">
        <f t="shared" ca="1" si="54"/>
        <v>0</v>
      </c>
      <c r="E149">
        <f ca="1">IF($C149=1,OFFSET(E149,-1,0)+MAX(1,COUNTIF(QCI!$A$13:$A$24,OFFSET(ORÇAMENTO!E149,-1,0))),OFFSET(E149,-1,0))</f>
        <v>1</v>
      </c>
      <c r="F149">
        <f t="shared" ca="1" si="55"/>
        <v>5</v>
      </c>
      <c r="G149">
        <f t="shared" ca="1" si="56"/>
        <v>0</v>
      </c>
      <c r="H149">
        <f t="shared" ca="1" si="57"/>
        <v>0</v>
      </c>
      <c r="I149">
        <f t="shared" ca="1" si="58"/>
        <v>2</v>
      </c>
      <c r="J149">
        <f t="shared" ca="1" si="59"/>
        <v>0</v>
      </c>
      <c r="K149">
        <f ca="1">IF(OR($C149="S",$C149=0),0,MATCH(OFFSET($D149,0,$C149)+IF($C149&lt;&gt;1,1,COUNTIF(QCI!$A$13:$A$24,ORÇAMENTO!E149)),OFFSET($D149,1,$C149,ROW($C$264)-ROW($C149)),0))</f>
        <v>0</v>
      </c>
      <c r="L149" s="139" t="str">
        <f t="shared" ca="1" si="60"/>
        <v/>
      </c>
      <c r="M149" s="140" t="s">
        <v>199</v>
      </c>
      <c r="N149" s="141" t="str">
        <f t="shared" ca="1" si="61"/>
        <v>Serviço</v>
      </c>
      <c r="O149" s="142" t="str">
        <f t="shared" ca="1" si="62"/>
        <v>-</v>
      </c>
      <c r="P149" s="143" t="s">
        <v>247</v>
      </c>
      <c r="Q149" s="144"/>
      <c r="R149" s="145" t="str">
        <f ca="1">IF($C149="S",REFERENCIA.Descricao,"(digite a descrição aqui)")</f>
        <v>(abra o arquivo 'Referência 11-2024.xlsm)</v>
      </c>
      <c r="S149" s="146" t="str">
        <f ca="1">REFERENCIA.Unidade</f>
        <v>-</v>
      </c>
      <c r="T149" s="147">
        <f ca="1">OFFSET(CÁLCULO!H$15,ROW($T149)-ROW(T$15),0)</f>
        <v>0</v>
      </c>
      <c r="U149" s="148"/>
      <c r="V149" s="149" t="s">
        <v>156</v>
      </c>
      <c r="W149" s="147">
        <f ca="1">IF($C149="S",ROUND(IF(TIPOORCAMENTO="Proposto",ORÇAMENTO.CustoUnitario*(1+$AH149),ORÇAMENTO.PrecoUnitarioLicitado),15-13*$AF$10),0)</f>
        <v>0</v>
      </c>
      <c r="X149" s="150">
        <f ca="1">IF($C149="S",IF(Import.TipoArredondamento&lt;&gt;"TransfereGOV",VTOTAL1,SUM(OFFSET(CÁLCULO!$AA$15,ROW($X149)-ROW($X$15),1):OFFSET(CÁLCULO!$AL$15,ROW($X149)-ROW($X$15),-1))),IF($C149=0,0,ROUND(SomaAgrup,15-13*$AF$11)))</f>
        <v>0</v>
      </c>
      <c r="Y149" s="151" t="s">
        <v>245</v>
      </c>
      <c r="Z149" t="str">
        <f t="shared" ca="1" si="63"/>
        <v/>
      </c>
      <c r="AA149" s="152">
        <f ca="1">IF($C149="S",IF($Z149="CP",$X149,IF($Z149="RA",(($X149)*QCI!$AA$3),0)),SomaAgrup)</f>
        <v>0</v>
      </c>
      <c r="AB149" s="153">
        <f t="shared" ca="1" si="64"/>
        <v>0</v>
      </c>
      <c r="AC149" s="154" t="str">
        <f ca="1">IF($N149="","",IF(ORÇAMENTO.Descricao="","DESCRIÇÃO",IF(AND($C149="S",ORÇAMENTO.Unidade=""),"UNIDADE",IF($X149&lt;0,"VALOR NEGATIVO",IF(OR(AND(TIPOORCAMENTO="Proposto",$AG149&lt;&gt;"",$AG149&gt;0,ORÇAMENTO.CustoUnitario&gt;$AG149),AND(TIPOORCAMENTO="LICITADO",ORÇAMENTO.PrecoUnitarioLicitado&gt;$AN149)),"ACIMA REF.","")))))</f>
        <v/>
      </c>
      <c r="AD149" s="100" t="str">
        <f ca="1">IF(C149&lt;=CRONO.NivelExibicao,MAX($AD$15:OFFSET(AD149,-1,0))+IF($C149&lt;&gt;1,1,MAX(1,COUNTIF(QCI!$A$13:$A$24,OFFSET($E149,-1,0)))),"")</f>
        <v/>
      </c>
      <c r="AE149" s="110" t="b">
        <f ca="1">IF(AND($C149="S",ORÇAMENTO.CodBarra&lt;&gt;""),IF(ORÇAMENTO.Fonte="",ORÇAMENTO.CodBarra,CONCATENATE(ORÇAMENTO.Fonte," ",ORÇAMENTO.CodBarra)))</f>
        <v>0</v>
      </c>
      <c r="AF149" s="155" t="str">
        <f ca="1">IF(ISERROR(INDIRECT(ORÇAMENTO.BancoRef)),"(abra o arquivo 'Referência "&amp;Excel_BuiltIn_Database&amp;".xlsm)",IF(OR($C149&lt;&gt;"S",ORÇAMENTO.CodBarra=""),"(Sem Código)",IF(ISERROR(MATCH($AE149,INDIRECT(ORÇAMENTO.BancoRef),0)),"(Código não identificado nas referências)",MATCH($AE149,INDIRECT(ORÇAMENTO.BancoRef),0))))</f>
        <v>(abra o arquivo 'Referência 11-2024.xlsm)</v>
      </c>
      <c r="AG149" s="574">
        <f ca="1">ROUND(IF(DESONERACAO="sim",REFERENCIA.Desonerado,REFERENCIA.NaoDesonerado),2)</f>
        <v>0</v>
      </c>
      <c r="AH149" s="575">
        <f t="shared" ca="1" si="65"/>
        <v>0.22</v>
      </c>
      <c r="AJ149" s="577"/>
      <c r="AL149" s="607"/>
      <c r="AM149" s="426">
        <f t="shared" ca="1" si="66"/>
        <v>0</v>
      </c>
      <c r="AN149" s="650">
        <f t="shared" ca="1" si="67"/>
        <v>0</v>
      </c>
    </row>
    <row r="150" spans="1:40" ht="13.8" hidden="1">
      <c r="A150" t="str">
        <f t="shared" si="51"/>
        <v>S</v>
      </c>
      <c r="B150">
        <f t="shared" ca="1" si="52"/>
        <v>2</v>
      </c>
      <c r="C150" t="str">
        <f t="shared" ca="1" si="53"/>
        <v>S</v>
      </c>
      <c r="D150">
        <f t="shared" ca="1" si="54"/>
        <v>0</v>
      </c>
      <c r="E150">
        <f ca="1">IF($C150=1,OFFSET(E150,-1,0)+MAX(1,COUNTIF(QCI!$A$13:$A$24,OFFSET(ORÇAMENTO!E150,-1,0))),OFFSET(E150,-1,0))</f>
        <v>1</v>
      </c>
      <c r="F150">
        <f t="shared" ca="1" si="55"/>
        <v>5</v>
      </c>
      <c r="G150">
        <f t="shared" ca="1" si="56"/>
        <v>0</v>
      </c>
      <c r="H150">
        <f t="shared" ca="1" si="57"/>
        <v>0</v>
      </c>
      <c r="I150">
        <f t="shared" ca="1" si="58"/>
        <v>2</v>
      </c>
      <c r="J150">
        <f t="shared" ca="1" si="59"/>
        <v>0</v>
      </c>
      <c r="K150">
        <f ca="1">IF(OR($C150="S",$C150=0),0,MATCH(OFFSET($D150,0,$C150)+IF($C150&lt;&gt;1,1,COUNTIF(QCI!$A$13:$A$24,ORÇAMENTO!E150)),OFFSET($D150,1,$C150,ROW($C$264)-ROW($C150)),0))</f>
        <v>0</v>
      </c>
      <c r="L150" s="139" t="str">
        <f t="shared" ca="1" si="60"/>
        <v/>
      </c>
      <c r="M150" s="140" t="s">
        <v>199</v>
      </c>
      <c r="N150" s="141" t="str">
        <f t="shared" ca="1" si="61"/>
        <v>Serviço</v>
      </c>
      <c r="O150" s="142" t="str">
        <f t="shared" ca="1" si="62"/>
        <v>-</v>
      </c>
      <c r="P150" s="143" t="s">
        <v>247</v>
      </c>
      <c r="Q150" s="144"/>
      <c r="R150" s="145" t="str">
        <f ca="1">IF($C150="S",REFERENCIA.Descricao,"(digite a descrição aqui)")</f>
        <v>(abra o arquivo 'Referência 11-2024.xlsm)</v>
      </c>
      <c r="S150" s="146" t="str">
        <f ca="1">REFERENCIA.Unidade</f>
        <v>-</v>
      </c>
      <c r="T150" s="147">
        <f ca="1">OFFSET(CÁLCULO!H$15,ROW($T150)-ROW(T$15),0)</f>
        <v>0</v>
      </c>
      <c r="U150" s="148"/>
      <c r="V150" s="149" t="s">
        <v>156</v>
      </c>
      <c r="W150" s="147">
        <f ca="1">IF($C150="S",ROUND(IF(TIPOORCAMENTO="Proposto",ORÇAMENTO.CustoUnitario*(1+$AH150),ORÇAMENTO.PrecoUnitarioLicitado),15-13*$AF$10),0)</f>
        <v>0</v>
      </c>
      <c r="X150" s="150">
        <f ca="1">IF($C150="S",IF(Import.TipoArredondamento&lt;&gt;"TransfereGOV",VTOTAL1,SUM(OFFSET(CÁLCULO!$AA$15,ROW($X150)-ROW($X$15),1):OFFSET(CÁLCULO!$AL$15,ROW($X150)-ROW($X$15),-1))),IF($C150=0,0,ROUND(SomaAgrup,15-13*$AF$11)))</f>
        <v>0</v>
      </c>
      <c r="Y150" s="151" t="s">
        <v>245</v>
      </c>
      <c r="Z150" t="str">
        <f t="shared" ca="1" si="63"/>
        <v/>
      </c>
      <c r="AA150" s="152">
        <f ca="1">IF($C150="S",IF($Z150="CP",$X150,IF($Z150="RA",(($X150)*QCI!$AA$3),0)),SomaAgrup)</f>
        <v>0</v>
      </c>
      <c r="AB150" s="153">
        <f t="shared" ca="1" si="64"/>
        <v>0</v>
      </c>
      <c r="AC150" s="154" t="str">
        <f ca="1">IF($N150="","",IF(ORÇAMENTO.Descricao="","DESCRIÇÃO",IF(AND($C150="S",ORÇAMENTO.Unidade=""),"UNIDADE",IF($X150&lt;0,"VALOR NEGATIVO",IF(OR(AND(TIPOORCAMENTO="Proposto",$AG150&lt;&gt;"",$AG150&gt;0,ORÇAMENTO.CustoUnitario&gt;$AG150),AND(TIPOORCAMENTO="LICITADO",ORÇAMENTO.PrecoUnitarioLicitado&gt;$AN150)),"ACIMA REF.","")))))</f>
        <v/>
      </c>
      <c r="AD150" s="100" t="str">
        <f ca="1">IF(C150&lt;=CRONO.NivelExibicao,MAX($AD$15:OFFSET(AD150,-1,0))+IF($C150&lt;&gt;1,1,MAX(1,COUNTIF(QCI!$A$13:$A$24,OFFSET($E150,-1,0)))),"")</f>
        <v/>
      </c>
      <c r="AE150" s="110" t="b">
        <f ca="1">IF(AND($C150="S",ORÇAMENTO.CodBarra&lt;&gt;""),IF(ORÇAMENTO.Fonte="",ORÇAMENTO.CodBarra,CONCATENATE(ORÇAMENTO.Fonte," ",ORÇAMENTO.CodBarra)))</f>
        <v>0</v>
      </c>
      <c r="AF150" s="155" t="str">
        <f ca="1">IF(ISERROR(INDIRECT(ORÇAMENTO.BancoRef)),"(abra o arquivo 'Referência "&amp;Excel_BuiltIn_Database&amp;".xlsm)",IF(OR($C150&lt;&gt;"S",ORÇAMENTO.CodBarra=""),"(Sem Código)",IF(ISERROR(MATCH($AE150,INDIRECT(ORÇAMENTO.BancoRef),0)),"(Código não identificado nas referências)",MATCH($AE150,INDIRECT(ORÇAMENTO.BancoRef),0))))</f>
        <v>(abra o arquivo 'Referência 11-2024.xlsm)</v>
      </c>
      <c r="AG150" s="574">
        <f ca="1">ROUND(IF(DESONERACAO="sim",REFERENCIA.Desonerado,REFERENCIA.NaoDesonerado),2)</f>
        <v>0</v>
      </c>
      <c r="AH150" s="575">
        <f t="shared" ca="1" si="65"/>
        <v>0.22</v>
      </c>
      <c r="AJ150" s="577"/>
      <c r="AL150" s="607"/>
      <c r="AM150" s="426">
        <f t="shared" ca="1" si="66"/>
        <v>0</v>
      </c>
      <c r="AN150" s="650">
        <f t="shared" ca="1" si="67"/>
        <v>0</v>
      </c>
    </row>
    <row r="151" spans="1:40" ht="13.8" hidden="1">
      <c r="A151" t="str">
        <f t="shared" si="51"/>
        <v>S</v>
      </c>
      <c r="B151">
        <f t="shared" ca="1" si="52"/>
        <v>2</v>
      </c>
      <c r="C151" t="str">
        <f t="shared" ca="1" si="53"/>
        <v>S</v>
      </c>
      <c r="D151">
        <f t="shared" ca="1" si="54"/>
        <v>0</v>
      </c>
      <c r="E151">
        <f ca="1">IF($C151=1,OFFSET(E151,-1,0)+MAX(1,COUNTIF(QCI!$A$13:$A$24,OFFSET(ORÇAMENTO!E151,-1,0))),OFFSET(E151,-1,0))</f>
        <v>1</v>
      </c>
      <c r="F151">
        <f t="shared" ca="1" si="55"/>
        <v>5</v>
      </c>
      <c r="G151">
        <f t="shared" ca="1" si="56"/>
        <v>0</v>
      </c>
      <c r="H151">
        <f t="shared" ca="1" si="57"/>
        <v>0</v>
      </c>
      <c r="I151">
        <f t="shared" ca="1" si="58"/>
        <v>2</v>
      </c>
      <c r="J151">
        <f t="shared" ca="1" si="59"/>
        <v>0</v>
      </c>
      <c r="K151">
        <f ca="1">IF(OR($C151="S",$C151=0),0,MATCH(OFFSET($D151,0,$C151)+IF($C151&lt;&gt;1,1,COUNTIF(QCI!$A$13:$A$24,ORÇAMENTO!E151)),OFFSET($D151,1,$C151,ROW($C$264)-ROW($C151)),0))</f>
        <v>0</v>
      </c>
      <c r="L151" s="139" t="str">
        <f t="shared" ca="1" si="60"/>
        <v/>
      </c>
      <c r="M151" s="140" t="s">
        <v>199</v>
      </c>
      <c r="N151" s="141" t="str">
        <f t="shared" ca="1" si="61"/>
        <v>Serviço</v>
      </c>
      <c r="O151" s="142" t="str">
        <f t="shared" ca="1" si="62"/>
        <v>-</v>
      </c>
      <c r="P151" s="143" t="s">
        <v>247</v>
      </c>
      <c r="Q151" s="144"/>
      <c r="R151" s="145" t="str">
        <f ca="1">IF($C151="S",REFERENCIA.Descricao,"(digite a descrição aqui)")</f>
        <v>(abra o arquivo 'Referência 11-2024.xlsm)</v>
      </c>
      <c r="S151" s="146" t="str">
        <f ca="1">REFERENCIA.Unidade</f>
        <v>-</v>
      </c>
      <c r="T151" s="147">
        <f ca="1">OFFSET(CÁLCULO!H$15,ROW($T151)-ROW(T$15),0)</f>
        <v>0</v>
      </c>
      <c r="U151" s="148"/>
      <c r="V151" s="149" t="s">
        <v>156</v>
      </c>
      <c r="W151" s="147">
        <f ca="1">IF($C151="S",ROUND(IF(TIPOORCAMENTO="Proposto",ORÇAMENTO.CustoUnitario*(1+$AH151),ORÇAMENTO.PrecoUnitarioLicitado),15-13*$AF$10),0)</f>
        <v>0</v>
      </c>
      <c r="X151" s="150">
        <f ca="1">IF($C151="S",IF(Import.TipoArredondamento&lt;&gt;"TransfereGOV",VTOTAL1,SUM(OFFSET(CÁLCULO!$AA$15,ROW($X151)-ROW($X$15),1):OFFSET(CÁLCULO!$AL$15,ROW($X151)-ROW($X$15),-1))),IF($C151=0,0,ROUND(SomaAgrup,15-13*$AF$11)))</f>
        <v>0</v>
      </c>
      <c r="Y151" s="151" t="s">
        <v>245</v>
      </c>
      <c r="Z151" t="str">
        <f t="shared" ca="1" si="63"/>
        <v/>
      </c>
      <c r="AA151" s="152">
        <f ca="1">IF($C151="S",IF($Z151="CP",$X151,IF($Z151="RA",(($X151)*QCI!$AA$3),0)),SomaAgrup)</f>
        <v>0</v>
      </c>
      <c r="AB151" s="153">
        <f t="shared" ca="1" si="64"/>
        <v>0</v>
      </c>
      <c r="AC151" s="154" t="str">
        <f ca="1">IF($N151="","",IF(ORÇAMENTO.Descricao="","DESCRIÇÃO",IF(AND($C151="S",ORÇAMENTO.Unidade=""),"UNIDADE",IF($X151&lt;0,"VALOR NEGATIVO",IF(OR(AND(TIPOORCAMENTO="Proposto",$AG151&lt;&gt;"",$AG151&gt;0,ORÇAMENTO.CustoUnitario&gt;$AG151),AND(TIPOORCAMENTO="LICITADO",ORÇAMENTO.PrecoUnitarioLicitado&gt;$AN151)),"ACIMA REF.","")))))</f>
        <v/>
      </c>
      <c r="AD151" s="100" t="str">
        <f ca="1">IF(C151&lt;=CRONO.NivelExibicao,MAX($AD$15:OFFSET(AD151,-1,0))+IF($C151&lt;&gt;1,1,MAX(1,COUNTIF(QCI!$A$13:$A$24,OFFSET($E151,-1,0)))),"")</f>
        <v/>
      </c>
      <c r="AE151" s="110" t="b">
        <f ca="1">IF(AND($C151="S",ORÇAMENTO.CodBarra&lt;&gt;""),IF(ORÇAMENTO.Fonte="",ORÇAMENTO.CodBarra,CONCATENATE(ORÇAMENTO.Fonte," ",ORÇAMENTO.CodBarra)))</f>
        <v>0</v>
      </c>
      <c r="AF151" s="155" t="str">
        <f ca="1">IF(ISERROR(INDIRECT(ORÇAMENTO.BancoRef)),"(abra o arquivo 'Referência "&amp;Excel_BuiltIn_Database&amp;".xlsm)",IF(OR($C151&lt;&gt;"S",ORÇAMENTO.CodBarra=""),"(Sem Código)",IF(ISERROR(MATCH($AE151,INDIRECT(ORÇAMENTO.BancoRef),0)),"(Código não identificado nas referências)",MATCH($AE151,INDIRECT(ORÇAMENTO.BancoRef),0))))</f>
        <v>(abra o arquivo 'Referência 11-2024.xlsm)</v>
      </c>
      <c r="AG151" s="574">
        <f ca="1">ROUND(IF(DESONERACAO="sim",REFERENCIA.Desonerado,REFERENCIA.NaoDesonerado),2)</f>
        <v>0</v>
      </c>
      <c r="AH151" s="575">
        <f t="shared" ca="1" si="65"/>
        <v>0.22</v>
      </c>
      <c r="AJ151" s="577"/>
      <c r="AL151" s="607"/>
      <c r="AM151" s="426">
        <f t="shared" ca="1" si="66"/>
        <v>0</v>
      </c>
      <c r="AN151" s="650">
        <f t="shared" ca="1" si="67"/>
        <v>0</v>
      </c>
    </row>
    <row r="152" spans="1:40" ht="13.8" hidden="1">
      <c r="A152" t="str">
        <f t="shared" si="51"/>
        <v>S</v>
      </c>
      <c r="B152">
        <f t="shared" ca="1" si="52"/>
        <v>2</v>
      </c>
      <c r="C152" t="str">
        <f t="shared" ca="1" si="53"/>
        <v>S</v>
      </c>
      <c r="D152">
        <f t="shared" ca="1" si="54"/>
        <v>0</v>
      </c>
      <c r="E152">
        <f ca="1">IF($C152=1,OFFSET(E152,-1,0)+MAX(1,COUNTIF(QCI!$A$13:$A$24,OFFSET(ORÇAMENTO!E152,-1,0))),OFFSET(E152,-1,0))</f>
        <v>1</v>
      </c>
      <c r="F152">
        <f t="shared" ca="1" si="55"/>
        <v>5</v>
      </c>
      <c r="G152">
        <f t="shared" ca="1" si="56"/>
        <v>0</v>
      </c>
      <c r="H152">
        <f t="shared" ca="1" si="57"/>
        <v>0</v>
      </c>
      <c r="I152">
        <f t="shared" ca="1" si="58"/>
        <v>2</v>
      </c>
      <c r="J152">
        <f t="shared" ca="1" si="59"/>
        <v>0</v>
      </c>
      <c r="K152">
        <f ca="1">IF(OR($C152="S",$C152=0),0,MATCH(OFFSET($D152,0,$C152)+IF($C152&lt;&gt;1,1,COUNTIF(QCI!$A$13:$A$24,ORÇAMENTO!E152)),OFFSET($D152,1,$C152,ROW($C$264)-ROW($C152)),0))</f>
        <v>0</v>
      </c>
      <c r="L152" s="139" t="str">
        <f t="shared" ca="1" si="60"/>
        <v/>
      </c>
      <c r="M152" s="140" t="s">
        <v>199</v>
      </c>
      <c r="N152" s="141" t="str">
        <f t="shared" ca="1" si="61"/>
        <v>Serviço</v>
      </c>
      <c r="O152" s="142" t="str">
        <f t="shared" ca="1" si="62"/>
        <v>-</v>
      </c>
      <c r="P152" s="143" t="s">
        <v>247</v>
      </c>
      <c r="Q152" s="144"/>
      <c r="R152" s="145" t="str">
        <f ca="1">IF($C152="S",REFERENCIA.Descricao,"(digite a descrição aqui)")</f>
        <v>(abra o arquivo 'Referência 11-2024.xlsm)</v>
      </c>
      <c r="S152" s="146" t="str">
        <f ca="1">REFERENCIA.Unidade</f>
        <v>-</v>
      </c>
      <c r="T152" s="147">
        <f ca="1">OFFSET(CÁLCULO!H$15,ROW($T152)-ROW(T$15),0)</f>
        <v>0</v>
      </c>
      <c r="U152" s="148"/>
      <c r="V152" s="149" t="s">
        <v>156</v>
      </c>
      <c r="W152" s="147">
        <f ca="1">IF($C152="S",ROUND(IF(TIPOORCAMENTO="Proposto",ORÇAMENTO.CustoUnitario*(1+$AH152),ORÇAMENTO.PrecoUnitarioLicitado),15-13*$AF$10),0)</f>
        <v>0</v>
      </c>
      <c r="X152" s="150">
        <f ca="1">IF($C152="S",IF(Import.TipoArredondamento&lt;&gt;"TransfereGOV",VTOTAL1,SUM(OFFSET(CÁLCULO!$AA$15,ROW($X152)-ROW($X$15),1):OFFSET(CÁLCULO!$AL$15,ROW($X152)-ROW($X$15),-1))),IF($C152=0,0,ROUND(SomaAgrup,15-13*$AF$11)))</f>
        <v>0</v>
      </c>
      <c r="Y152" s="151" t="s">
        <v>245</v>
      </c>
      <c r="Z152" t="str">
        <f t="shared" ca="1" si="63"/>
        <v/>
      </c>
      <c r="AA152" s="152">
        <f ca="1">IF($C152="S",IF($Z152="CP",$X152,IF($Z152="RA",(($X152)*QCI!$AA$3),0)),SomaAgrup)</f>
        <v>0</v>
      </c>
      <c r="AB152" s="153">
        <f t="shared" ca="1" si="64"/>
        <v>0</v>
      </c>
      <c r="AC152" s="154" t="str">
        <f ca="1">IF($N152="","",IF(ORÇAMENTO.Descricao="","DESCRIÇÃO",IF(AND($C152="S",ORÇAMENTO.Unidade=""),"UNIDADE",IF($X152&lt;0,"VALOR NEGATIVO",IF(OR(AND(TIPOORCAMENTO="Proposto",$AG152&lt;&gt;"",$AG152&gt;0,ORÇAMENTO.CustoUnitario&gt;$AG152),AND(TIPOORCAMENTO="LICITADO",ORÇAMENTO.PrecoUnitarioLicitado&gt;$AN152)),"ACIMA REF.","")))))</f>
        <v/>
      </c>
      <c r="AD152" s="100" t="str">
        <f ca="1">IF(C152&lt;=CRONO.NivelExibicao,MAX($AD$15:OFFSET(AD152,-1,0))+IF($C152&lt;&gt;1,1,MAX(1,COUNTIF(QCI!$A$13:$A$24,OFFSET($E152,-1,0)))),"")</f>
        <v/>
      </c>
      <c r="AE152" s="110" t="b">
        <f ca="1">IF(AND($C152="S",ORÇAMENTO.CodBarra&lt;&gt;""),IF(ORÇAMENTO.Fonte="",ORÇAMENTO.CodBarra,CONCATENATE(ORÇAMENTO.Fonte," ",ORÇAMENTO.CodBarra)))</f>
        <v>0</v>
      </c>
      <c r="AF152" s="155" t="str">
        <f ca="1">IF(ISERROR(INDIRECT(ORÇAMENTO.BancoRef)),"(abra o arquivo 'Referência "&amp;Excel_BuiltIn_Database&amp;".xlsm)",IF(OR($C152&lt;&gt;"S",ORÇAMENTO.CodBarra=""),"(Sem Código)",IF(ISERROR(MATCH($AE152,INDIRECT(ORÇAMENTO.BancoRef),0)),"(Código não identificado nas referências)",MATCH($AE152,INDIRECT(ORÇAMENTO.BancoRef),0))))</f>
        <v>(abra o arquivo 'Referência 11-2024.xlsm)</v>
      </c>
      <c r="AG152" s="574">
        <f ca="1">ROUND(IF(DESONERACAO="sim",REFERENCIA.Desonerado,REFERENCIA.NaoDesonerado),2)</f>
        <v>0</v>
      </c>
      <c r="AH152" s="575">
        <f t="shared" ca="1" si="65"/>
        <v>0.22</v>
      </c>
      <c r="AJ152" s="577"/>
      <c r="AL152" s="607"/>
      <c r="AM152" s="426">
        <f t="shared" ca="1" si="66"/>
        <v>0</v>
      </c>
      <c r="AN152" s="650">
        <f t="shared" ca="1" si="67"/>
        <v>0</v>
      </c>
    </row>
    <row r="153" spans="1:40" ht="13.8" hidden="1">
      <c r="A153" t="str">
        <f t="shared" si="51"/>
        <v>S</v>
      </c>
      <c r="B153">
        <f t="shared" ca="1" si="52"/>
        <v>2</v>
      </c>
      <c r="C153" t="str">
        <f t="shared" ca="1" si="53"/>
        <v>S</v>
      </c>
      <c r="D153">
        <f t="shared" ca="1" si="54"/>
        <v>0</v>
      </c>
      <c r="E153">
        <f ca="1">IF($C153=1,OFFSET(E153,-1,0)+MAX(1,COUNTIF(QCI!$A$13:$A$24,OFFSET(ORÇAMENTO!E153,-1,0))),OFFSET(E153,-1,0))</f>
        <v>1</v>
      </c>
      <c r="F153">
        <f t="shared" ca="1" si="55"/>
        <v>5</v>
      </c>
      <c r="G153">
        <f t="shared" ca="1" si="56"/>
        <v>0</v>
      </c>
      <c r="H153">
        <f t="shared" ca="1" si="57"/>
        <v>0</v>
      </c>
      <c r="I153">
        <f t="shared" ca="1" si="58"/>
        <v>2</v>
      </c>
      <c r="J153">
        <f t="shared" ca="1" si="59"/>
        <v>0</v>
      </c>
      <c r="K153">
        <f ca="1">IF(OR($C153="S",$C153=0),0,MATCH(OFFSET($D153,0,$C153)+IF($C153&lt;&gt;1,1,COUNTIF(QCI!$A$13:$A$24,ORÇAMENTO!E153)),OFFSET($D153,1,$C153,ROW($C$264)-ROW($C153)),0))</f>
        <v>0</v>
      </c>
      <c r="L153" s="139" t="str">
        <f t="shared" ca="1" si="60"/>
        <v/>
      </c>
      <c r="M153" s="140" t="s">
        <v>199</v>
      </c>
      <c r="N153" s="141" t="str">
        <f t="shared" ca="1" si="61"/>
        <v>Serviço</v>
      </c>
      <c r="O153" s="142" t="str">
        <f t="shared" ca="1" si="62"/>
        <v>-</v>
      </c>
      <c r="P153" s="143" t="s">
        <v>247</v>
      </c>
      <c r="Q153" s="144"/>
      <c r="R153" s="145" t="str">
        <f ca="1">IF($C153="S",REFERENCIA.Descricao,"(digite a descrição aqui)")</f>
        <v>(abra o arquivo 'Referência 11-2024.xlsm)</v>
      </c>
      <c r="S153" s="146" t="str">
        <f ca="1">REFERENCIA.Unidade</f>
        <v>-</v>
      </c>
      <c r="T153" s="147">
        <f ca="1">OFFSET(CÁLCULO!H$15,ROW($T153)-ROW(T$15),0)</f>
        <v>0</v>
      </c>
      <c r="U153" s="148"/>
      <c r="V153" s="149" t="s">
        <v>156</v>
      </c>
      <c r="W153" s="147">
        <f ca="1">IF($C153="S",ROUND(IF(TIPOORCAMENTO="Proposto",ORÇAMENTO.CustoUnitario*(1+$AH153),ORÇAMENTO.PrecoUnitarioLicitado),15-13*$AF$10),0)</f>
        <v>0</v>
      </c>
      <c r="X153" s="150">
        <f ca="1">IF($C153="S",IF(Import.TipoArredondamento&lt;&gt;"TransfereGOV",VTOTAL1,SUM(OFFSET(CÁLCULO!$AA$15,ROW($X153)-ROW($X$15),1):OFFSET(CÁLCULO!$AL$15,ROW($X153)-ROW($X$15),-1))),IF($C153=0,0,ROUND(SomaAgrup,15-13*$AF$11)))</f>
        <v>0</v>
      </c>
      <c r="Y153" s="151" t="s">
        <v>245</v>
      </c>
      <c r="Z153" t="str">
        <f t="shared" ca="1" si="63"/>
        <v/>
      </c>
      <c r="AA153" s="152">
        <f ca="1">IF($C153="S",IF($Z153="CP",$X153,IF($Z153="RA",(($X153)*QCI!$AA$3),0)),SomaAgrup)</f>
        <v>0</v>
      </c>
      <c r="AB153" s="153">
        <f t="shared" ca="1" si="64"/>
        <v>0</v>
      </c>
      <c r="AC153" s="154" t="str">
        <f ca="1">IF($N153="","",IF(ORÇAMENTO.Descricao="","DESCRIÇÃO",IF(AND($C153="S",ORÇAMENTO.Unidade=""),"UNIDADE",IF($X153&lt;0,"VALOR NEGATIVO",IF(OR(AND(TIPOORCAMENTO="Proposto",$AG153&lt;&gt;"",$AG153&gt;0,ORÇAMENTO.CustoUnitario&gt;$AG153),AND(TIPOORCAMENTO="LICITADO",ORÇAMENTO.PrecoUnitarioLicitado&gt;$AN153)),"ACIMA REF.","")))))</f>
        <v/>
      </c>
      <c r="AD153" s="100" t="str">
        <f ca="1">IF(C153&lt;=CRONO.NivelExibicao,MAX($AD$15:OFFSET(AD153,-1,0))+IF($C153&lt;&gt;1,1,MAX(1,COUNTIF(QCI!$A$13:$A$24,OFFSET($E153,-1,0)))),"")</f>
        <v/>
      </c>
      <c r="AE153" s="110" t="b">
        <f ca="1">IF(AND($C153="S",ORÇAMENTO.CodBarra&lt;&gt;""),IF(ORÇAMENTO.Fonte="",ORÇAMENTO.CodBarra,CONCATENATE(ORÇAMENTO.Fonte," ",ORÇAMENTO.CodBarra)))</f>
        <v>0</v>
      </c>
      <c r="AF153" s="155" t="str">
        <f ca="1">IF(ISERROR(INDIRECT(ORÇAMENTO.BancoRef)),"(abra o arquivo 'Referência "&amp;Excel_BuiltIn_Database&amp;".xlsm)",IF(OR($C153&lt;&gt;"S",ORÇAMENTO.CodBarra=""),"(Sem Código)",IF(ISERROR(MATCH($AE153,INDIRECT(ORÇAMENTO.BancoRef),0)),"(Código não identificado nas referências)",MATCH($AE153,INDIRECT(ORÇAMENTO.BancoRef),0))))</f>
        <v>(abra o arquivo 'Referência 11-2024.xlsm)</v>
      </c>
      <c r="AG153" s="574">
        <f ca="1">ROUND(IF(DESONERACAO="sim",REFERENCIA.Desonerado,REFERENCIA.NaoDesonerado),2)</f>
        <v>0</v>
      </c>
      <c r="AH153" s="575">
        <f t="shared" ca="1" si="65"/>
        <v>0.22</v>
      </c>
      <c r="AJ153" s="577"/>
      <c r="AL153" s="607"/>
      <c r="AM153" s="426">
        <f t="shared" ca="1" si="66"/>
        <v>0</v>
      </c>
      <c r="AN153" s="650">
        <f t="shared" ca="1" si="67"/>
        <v>0</v>
      </c>
    </row>
    <row r="154" spans="1:40" ht="13.8" hidden="1">
      <c r="A154" t="str">
        <f t="shared" si="51"/>
        <v>S</v>
      </c>
      <c r="B154">
        <f t="shared" ca="1" si="52"/>
        <v>2</v>
      </c>
      <c r="C154" t="str">
        <f t="shared" ca="1" si="53"/>
        <v>S</v>
      </c>
      <c r="D154">
        <f t="shared" ca="1" si="54"/>
        <v>0</v>
      </c>
      <c r="E154">
        <f ca="1">IF($C154=1,OFFSET(E154,-1,0)+MAX(1,COUNTIF(QCI!$A$13:$A$24,OFFSET(ORÇAMENTO!E154,-1,0))),OFFSET(E154,-1,0))</f>
        <v>1</v>
      </c>
      <c r="F154">
        <f t="shared" ca="1" si="55"/>
        <v>5</v>
      </c>
      <c r="G154">
        <f t="shared" ca="1" si="56"/>
        <v>0</v>
      </c>
      <c r="H154">
        <f t="shared" ca="1" si="57"/>
        <v>0</v>
      </c>
      <c r="I154">
        <f t="shared" ca="1" si="58"/>
        <v>2</v>
      </c>
      <c r="J154">
        <f t="shared" ca="1" si="59"/>
        <v>0</v>
      </c>
      <c r="K154">
        <f ca="1">IF(OR($C154="S",$C154=0),0,MATCH(OFFSET($D154,0,$C154)+IF($C154&lt;&gt;1,1,COUNTIF(QCI!$A$13:$A$24,ORÇAMENTO!E154)),OFFSET($D154,1,$C154,ROW($C$264)-ROW($C154)),0))</f>
        <v>0</v>
      </c>
      <c r="L154" s="139" t="str">
        <f t="shared" ca="1" si="60"/>
        <v/>
      </c>
      <c r="M154" s="140" t="s">
        <v>199</v>
      </c>
      <c r="N154" s="141" t="str">
        <f t="shared" ca="1" si="61"/>
        <v>Serviço</v>
      </c>
      <c r="O154" s="142" t="str">
        <f t="shared" ca="1" si="62"/>
        <v>-</v>
      </c>
      <c r="P154" s="143" t="s">
        <v>247</v>
      </c>
      <c r="Q154" s="144"/>
      <c r="R154" s="145" t="str">
        <f ca="1">IF($C154="S",REFERENCIA.Descricao,"(digite a descrição aqui)")</f>
        <v>(abra o arquivo 'Referência 11-2024.xlsm)</v>
      </c>
      <c r="S154" s="146" t="str">
        <f ca="1">REFERENCIA.Unidade</f>
        <v>-</v>
      </c>
      <c r="T154" s="147">
        <f ca="1">OFFSET(CÁLCULO!H$15,ROW($T154)-ROW(T$15),0)</f>
        <v>0</v>
      </c>
      <c r="U154" s="148"/>
      <c r="V154" s="149" t="s">
        <v>156</v>
      </c>
      <c r="W154" s="147">
        <f ca="1">IF($C154="S",ROUND(IF(TIPOORCAMENTO="Proposto",ORÇAMENTO.CustoUnitario*(1+$AH154),ORÇAMENTO.PrecoUnitarioLicitado),15-13*$AF$10),0)</f>
        <v>0</v>
      </c>
      <c r="X154" s="150">
        <f ca="1">IF($C154="S",IF(Import.TipoArredondamento&lt;&gt;"TransfereGOV",VTOTAL1,SUM(OFFSET(CÁLCULO!$AA$15,ROW($X154)-ROW($X$15),1):OFFSET(CÁLCULO!$AL$15,ROW($X154)-ROW($X$15),-1))),IF($C154=0,0,ROUND(SomaAgrup,15-13*$AF$11)))</f>
        <v>0</v>
      </c>
      <c r="Y154" s="151" t="s">
        <v>245</v>
      </c>
      <c r="Z154" t="str">
        <f t="shared" ca="1" si="63"/>
        <v/>
      </c>
      <c r="AA154" s="152">
        <f ca="1">IF($C154="S",IF($Z154="CP",$X154,IF($Z154="RA",(($X154)*QCI!$AA$3),0)),SomaAgrup)</f>
        <v>0</v>
      </c>
      <c r="AB154" s="153">
        <f t="shared" ca="1" si="64"/>
        <v>0</v>
      </c>
      <c r="AC154" s="154" t="str">
        <f ca="1">IF($N154="","",IF(ORÇAMENTO.Descricao="","DESCRIÇÃO",IF(AND($C154="S",ORÇAMENTO.Unidade=""),"UNIDADE",IF($X154&lt;0,"VALOR NEGATIVO",IF(OR(AND(TIPOORCAMENTO="Proposto",$AG154&lt;&gt;"",$AG154&gt;0,ORÇAMENTO.CustoUnitario&gt;$AG154),AND(TIPOORCAMENTO="LICITADO",ORÇAMENTO.PrecoUnitarioLicitado&gt;$AN154)),"ACIMA REF.","")))))</f>
        <v/>
      </c>
      <c r="AD154" s="100" t="str">
        <f ca="1">IF(C154&lt;=CRONO.NivelExibicao,MAX($AD$15:OFFSET(AD154,-1,0))+IF($C154&lt;&gt;1,1,MAX(1,COUNTIF(QCI!$A$13:$A$24,OFFSET($E154,-1,0)))),"")</f>
        <v/>
      </c>
      <c r="AE154" s="110" t="b">
        <f ca="1">IF(AND($C154="S",ORÇAMENTO.CodBarra&lt;&gt;""),IF(ORÇAMENTO.Fonte="",ORÇAMENTO.CodBarra,CONCATENATE(ORÇAMENTO.Fonte," ",ORÇAMENTO.CodBarra)))</f>
        <v>0</v>
      </c>
      <c r="AF154" s="155" t="str">
        <f ca="1">IF(ISERROR(INDIRECT(ORÇAMENTO.BancoRef)),"(abra o arquivo 'Referência "&amp;Excel_BuiltIn_Database&amp;".xlsm)",IF(OR($C154&lt;&gt;"S",ORÇAMENTO.CodBarra=""),"(Sem Código)",IF(ISERROR(MATCH($AE154,INDIRECT(ORÇAMENTO.BancoRef),0)),"(Código não identificado nas referências)",MATCH($AE154,INDIRECT(ORÇAMENTO.BancoRef),0))))</f>
        <v>(abra o arquivo 'Referência 11-2024.xlsm)</v>
      </c>
      <c r="AG154" s="574">
        <f ca="1">ROUND(IF(DESONERACAO="sim",REFERENCIA.Desonerado,REFERENCIA.NaoDesonerado),2)</f>
        <v>0</v>
      </c>
      <c r="AH154" s="575">
        <f t="shared" ca="1" si="65"/>
        <v>0.22</v>
      </c>
      <c r="AJ154" s="577"/>
      <c r="AL154" s="607"/>
      <c r="AM154" s="426">
        <f t="shared" ca="1" si="66"/>
        <v>0</v>
      </c>
      <c r="AN154" s="650">
        <f t="shared" ca="1" si="67"/>
        <v>0</v>
      </c>
    </row>
    <row r="155" spans="1:40" ht="13.8" hidden="1">
      <c r="A155" t="str">
        <f t="shared" si="51"/>
        <v>S</v>
      </c>
      <c r="B155">
        <f t="shared" ca="1" si="52"/>
        <v>2</v>
      </c>
      <c r="C155" t="str">
        <f t="shared" ca="1" si="53"/>
        <v>S</v>
      </c>
      <c r="D155">
        <f t="shared" ca="1" si="54"/>
        <v>0</v>
      </c>
      <c r="E155">
        <f ca="1">IF($C155=1,OFFSET(E155,-1,0)+MAX(1,COUNTIF(QCI!$A$13:$A$24,OFFSET(ORÇAMENTO!E155,-1,0))),OFFSET(E155,-1,0))</f>
        <v>1</v>
      </c>
      <c r="F155">
        <f t="shared" ca="1" si="55"/>
        <v>5</v>
      </c>
      <c r="G155">
        <f t="shared" ca="1" si="56"/>
        <v>0</v>
      </c>
      <c r="H155">
        <f t="shared" ca="1" si="57"/>
        <v>0</v>
      </c>
      <c r="I155">
        <f t="shared" ca="1" si="58"/>
        <v>2</v>
      </c>
      <c r="J155">
        <f t="shared" ca="1" si="59"/>
        <v>0</v>
      </c>
      <c r="K155">
        <f ca="1">IF(OR($C155="S",$C155=0),0,MATCH(OFFSET($D155,0,$C155)+IF($C155&lt;&gt;1,1,COUNTIF(QCI!$A$13:$A$24,ORÇAMENTO!E155)),OFFSET($D155,1,$C155,ROW($C$264)-ROW($C155)),0))</f>
        <v>0</v>
      </c>
      <c r="L155" s="139" t="str">
        <f t="shared" ca="1" si="60"/>
        <v/>
      </c>
      <c r="M155" s="140" t="s">
        <v>199</v>
      </c>
      <c r="N155" s="141" t="str">
        <f t="shared" ca="1" si="61"/>
        <v>Serviço</v>
      </c>
      <c r="O155" s="142" t="str">
        <f t="shared" ca="1" si="62"/>
        <v>-</v>
      </c>
      <c r="P155" s="143" t="s">
        <v>247</v>
      </c>
      <c r="Q155" s="144"/>
      <c r="R155" s="145" t="str">
        <f ca="1">IF($C155="S",REFERENCIA.Descricao,"(digite a descrição aqui)")</f>
        <v>(abra o arquivo 'Referência 11-2024.xlsm)</v>
      </c>
      <c r="S155" s="146" t="str">
        <f ca="1">REFERENCIA.Unidade</f>
        <v>-</v>
      </c>
      <c r="T155" s="147">
        <f ca="1">OFFSET(CÁLCULO!H$15,ROW($T155)-ROW(T$15),0)</f>
        <v>0</v>
      </c>
      <c r="U155" s="148"/>
      <c r="V155" s="149" t="s">
        <v>156</v>
      </c>
      <c r="W155" s="147">
        <f ca="1">IF($C155="S",ROUND(IF(TIPOORCAMENTO="Proposto",ORÇAMENTO.CustoUnitario*(1+$AH155),ORÇAMENTO.PrecoUnitarioLicitado),15-13*$AF$10),0)</f>
        <v>0</v>
      </c>
      <c r="X155" s="150">
        <f ca="1">IF($C155="S",IF(Import.TipoArredondamento&lt;&gt;"TransfereGOV",VTOTAL1,SUM(OFFSET(CÁLCULO!$AA$15,ROW($X155)-ROW($X$15),1):OFFSET(CÁLCULO!$AL$15,ROW($X155)-ROW($X$15),-1))),IF($C155=0,0,ROUND(SomaAgrup,15-13*$AF$11)))</f>
        <v>0</v>
      </c>
      <c r="Y155" s="151" t="s">
        <v>245</v>
      </c>
      <c r="Z155" t="str">
        <f t="shared" ca="1" si="63"/>
        <v/>
      </c>
      <c r="AA155" s="152">
        <f ca="1">IF($C155="S",IF($Z155="CP",$X155,IF($Z155="RA",(($X155)*QCI!$AA$3),0)),SomaAgrup)</f>
        <v>0</v>
      </c>
      <c r="AB155" s="153">
        <f t="shared" ca="1" si="64"/>
        <v>0</v>
      </c>
      <c r="AC155" s="154" t="str">
        <f ca="1">IF($N155="","",IF(ORÇAMENTO.Descricao="","DESCRIÇÃO",IF(AND($C155="S",ORÇAMENTO.Unidade=""),"UNIDADE",IF($X155&lt;0,"VALOR NEGATIVO",IF(OR(AND(TIPOORCAMENTO="Proposto",$AG155&lt;&gt;"",$AG155&gt;0,ORÇAMENTO.CustoUnitario&gt;$AG155),AND(TIPOORCAMENTO="LICITADO",ORÇAMENTO.PrecoUnitarioLicitado&gt;$AN155)),"ACIMA REF.","")))))</f>
        <v/>
      </c>
      <c r="AD155" s="100" t="str">
        <f ca="1">IF(C155&lt;=CRONO.NivelExibicao,MAX($AD$15:OFFSET(AD155,-1,0))+IF($C155&lt;&gt;1,1,MAX(1,COUNTIF(QCI!$A$13:$A$24,OFFSET($E155,-1,0)))),"")</f>
        <v/>
      </c>
      <c r="AE155" s="110" t="b">
        <f ca="1">IF(AND($C155="S",ORÇAMENTO.CodBarra&lt;&gt;""),IF(ORÇAMENTO.Fonte="",ORÇAMENTO.CodBarra,CONCATENATE(ORÇAMENTO.Fonte," ",ORÇAMENTO.CodBarra)))</f>
        <v>0</v>
      </c>
      <c r="AF155" s="155" t="str">
        <f ca="1">IF(ISERROR(INDIRECT(ORÇAMENTO.BancoRef)),"(abra o arquivo 'Referência "&amp;Excel_BuiltIn_Database&amp;".xlsm)",IF(OR($C155&lt;&gt;"S",ORÇAMENTO.CodBarra=""),"(Sem Código)",IF(ISERROR(MATCH($AE155,INDIRECT(ORÇAMENTO.BancoRef),0)),"(Código não identificado nas referências)",MATCH($AE155,INDIRECT(ORÇAMENTO.BancoRef),0))))</f>
        <v>(abra o arquivo 'Referência 11-2024.xlsm)</v>
      </c>
      <c r="AG155" s="574">
        <f ca="1">ROUND(IF(DESONERACAO="sim",REFERENCIA.Desonerado,REFERENCIA.NaoDesonerado),2)</f>
        <v>0</v>
      </c>
      <c r="AH155" s="575">
        <f t="shared" ca="1" si="65"/>
        <v>0.22</v>
      </c>
      <c r="AJ155" s="577"/>
      <c r="AL155" s="607"/>
      <c r="AM155" s="426">
        <f t="shared" ca="1" si="66"/>
        <v>0</v>
      </c>
      <c r="AN155" s="650">
        <f t="shared" ca="1" si="67"/>
        <v>0</v>
      </c>
    </row>
    <row r="156" spans="1:40" ht="13.8" hidden="1">
      <c r="A156" t="str">
        <f t="shared" si="51"/>
        <v>S</v>
      </c>
      <c r="B156">
        <f t="shared" ca="1" si="52"/>
        <v>2</v>
      </c>
      <c r="C156" t="str">
        <f t="shared" ca="1" si="53"/>
        <v>S</v>
      </c>
      <c r="D156">
        <f t="shared" ca="1" si="54"/>
        <v>0</v>
      </c>
      <c r="E156">
        <f ca="1">IF($C156=1,OFFSET(E156,-1,0)+MAX(1,COUNTIF(QCI!$A$13:$A$24,OFFSET(ORÇAMENTO!E156,-1,0))),OFFSET(E156,-1,0))</f>
        <v>1</v>
      </c>
      <c r="F156">
        <f t="shared" ca="1" si="55"/>
        <v>5</v>
      </c>
      <c r="G156">
        <f t="shared" ca="1" si="56"/>
        <v>0</v>
      </c>
      <c r="H156">
        <f t="shared" ca="1" si="57"/>
        <v>0</v>
      </c>
      <c r="I156">
        <f t="shared" ca="1" si="58"/>
        <v>2</v>
      </c>
      <c r="J156">
        <f t="shared" ca="1" si="59"/>
        <v>0</v>
      </c>
      <c r="K156">
        <f ca="1">IF(OR($C156="S",$C156=0),0,MATCH(OFFSET($D156,0,$C156)+IF($C156&lt;&gt;1,1,COUNTIF(QCI!$A$13:$A$24,ORÇAMENTO!E156)),OFFSET($D156,1,$C156,ROW($C$264)-ROW($C156)),0))</f>
        <v>0</v>
      </c>
      <c r="L156" s="139" t="str">
        <f t="shared" ca="1" si="60"/>
        <v/>
      </c>
      <c r="M156" s="140" t="s">
        <v>199</v>
      </c>
      <c r="N156" s="141" t="str">
        <f t="shared" ca="1" si="61"/>
        <v>Serviço</v>
      </c>
      <c r="O156" s="142" t="str">
        <f t="shared" ca="1" si="62"/>
        <v>-</v>
      </c>
      <c r="P156" s="143" t="s">
        <v>247</v>
      </c>
      <c r="Q156" s="144"/>
      <c r="R156" s="145" t="str">
        <f ca="1">IF($C156="S",REFERENCIA.Descricao,"(digite a descrição aqui)")</f>
        <v>(abra o arquivo 'Referência 11-2024.xlsm)</v>
      </c>
      <c r="S156" s="146" t="str">
        <f ca="1">REFERENCIA.Unidade</f>
        <v>-</v>
      </c>
      <c r="T156" s="147">
        <f ca="1">OFFSET(CÁLCULO!H$15,ROW($T156)-ROW(T$15),0)</f>
        <v>0</v>
      </c>
      <c r="U156" s="148"/>
      <c r="V156" s="149" t="s">
        <v>156</v>
      </c>
      <c r="W156" s="147">
        <f ca="1">IF($C156="S",ROUND(IF(TIPOORCAMENTO="Proposto",ORÇAMENTO.CustoUnitario*(1+$AH156),ORÇAMENTO.PrecoUnitarioLicitado),15-13*$AF$10),0)</f>
        <v>0</v>
      </c>
      <c r="X156" s="150">
        <f ca="1">IF($C156="S",IF(Import.TipoArredondamento&lt;&gt;"TransfereGOV",VTOTAL1,SUM(OFFSET(CÁLCULO!$AA$15,ROW($X156)-ROW($X$15),1):OFFSET(CÁLCULO!$AL$15,ROW($X156)-ROW($X$15),-1))),IF($C156=0,0,ROUND(SomaAgrup,15-13*$AF$11)))</f>
        <v>0</v>
      </c>
      <c r="Y156" s="151" t="s">
        <v>245</v>
      </c>
      <c r="Z156" t="str">
        <f t="shared" ca="1" si="63"/>
        <v/>
      </c>
      <c r="AA156" s="152">
        <f ca="1">IF($C156="S",IF($Z156="CP",$X156,IF($Z156="RA",(($X156)*QCI!$AA$3),0)),SomaAgrup)</f>
        <v>0</v>
      </c>
      <c r="AB156" s="153">
        <f t="shared" ca="1" si="64"/>
        <v>0</v>
      </c>
      <c r="AC156" s="154" t="str">
        <f ca="1">IF($N156="","",IF(ORÇAMENTO.Descricao="","DESCRIÇÃO",IF(AND($C156="S",ORÇAMENTO.Unidade=""),"UNIDADE",IF($X156&lt;0,"VALOR NEGATIVO",IF(OR(AND(TIPOORCAMENTO="Proposto",$AG156&lt;&gt;"",$AG156&gt;0,ORÇAMENTO.CustoUnitario&gt;$AG156),AND(TIPOORCAMENTO="LICITADO",ORÇAMENTO.PrecoUnitarioLicitado&gt;$AN156)),"ACIMA REF.","")))))</f>
        <v/>
      </c>
      <c r="AD156" s="100" t="str">
        <f ca="1">IF(C156&lt;=CRONO.NivelExibicao,MAX($AD$15:OFFSET(AD156,-1,0))+IF($C156&lt;&gt;1,1,MAX(1,COUNTIF(QCI!$A$13:$A$24,OFFSET($E156,-1,0)))),"")</f>
        <v/>
      </c>
      <c r="AE156" s="110" t="b">
        <f ca="1">IF(AND($C156="S",ORÇAMENTO.CodBarra&lt;&gt;""),IF(ORÇAMENTO.Fonte="",ORÇAMENTO.CodBarra,CONCATENATE(ORÇAMENTO.Fonte," ",ORÇAMENTO.CodBarra)))</f>
        <v>0</v>
      </c>
      <c r="AF156" s="155" t="str">
        <f ca="1">IF(ISERROR(INDIRECT(ORÇAMENTO.BancoRef)),"(abra o arquivo 'Referência "&amp;Excel_BuiltIn_Database&amp;".xlsm)",IF(OR($C156&lt;&gt;"S",ORÇAMENTO.CodBarra=""),"(Sem Código)",IF(ISERROR(MATCH($AE156,INDIRECT(ORÇAMENTO.BancoRef),0)),"(Código não identificado nas referências)",MATCH($AE156,INDIRECT(ORÇAMENTO.BancoRef),0))))</f>
        <v>(abra o arquivo 'Referência 11-2024.xlsm)</v>
      </c>
      <c r="AG156" s="574">
        <f ca="1">ROUND(IF(DESONERACAO="sim",REFERENCIA.Desonerado,REFERENCIA.NaoDesonerado),2)</f>
        <v>0</v>
      </c>
      <c r="AH156" s="575">
        <f t="shared" ca="1" si="65"/>
        <v>0.22</v>
      </c>
      <c r="AJ156" s="577"/>
      <c r="AL156" s="607"/>
      <c r="AM156" s="426">
        <f t="shared" ca="1" si="66"/>
        <v>0</v>
      </c>
      <c r="AN156" s="650">
        <f t="shared" ca="1" si="67"/>
        <v>0</v>
      </c>
    </row>
    <row r="157" spans="1:40" ht="13.8" hidden="1">
      <c r="A157" t="str">
        <f t="shared" si="51"/>
        <v>S</v>
      </c>
      <c r="B157">
        <f t="shared" ca="1" si="52"/>
        <v>2</v>
      </c>
      <c r="C157" t="str">
        <f t="shared" ca="1" si="53"/>
        <v>S</v>
      </c>
      <c r="D157">
        <f t="shared" ca="1" si="54"/>
        <v>0</v>
      </c>
      <c r="E157">
        <f ca="1">IF($C157=1,OFFSET(E157,-1,0)+MAX(1,COUNTIF(QCI!$A$13:$A$24,OFFSET(ORÇAMENTO!E157,-1,0))),OFFSET(E157,-1,0))</f>
        <v>1</v>
      </c>
      <c r="F157">
        <f t="shared" ca="1" si="55"/>
        <v>5</v>
      </c>
      <c r="G157">
        <f t="shared" ca="1" si="56"/>
        <v>0</v>
      </c>
      <c r="H157">
        <f t="shared" ca="1" si="57"/>
        <v>0</v>
      </c>
      <c r="I157">
        <f t="shared" ca="1" si="58"/>
        <v>2</v>
      </c>
      <c r="J157">
        <f t="shared" ca="1" si="59"/>
        <v>0</v>
      </c>
      <c r="K157">
        <f ca="1">IF(OR($C157="S",$C157=0),0,MATCH(OFFSET($D157,0,$C157)+IF($C157&lt;&gt;1,1,COUNTIF(QCI!$A$13:$A$24,ORÇAMENTO!E157)),OFFSET($D157,1,$C157,ROW($C$264)-ROW($C157)),0))</f>
        <v>0</v>
      </c>
      <c r="L157" s="139" t="str">
        <f t="shared" ca="1" si="60"/>
        <v/>
      </c>
      <c r="M157" s="140" t="s">
        <v>199</v>
      </c>
      <c r="N157" s="141" t="str">
        <f t="shared" ca="1" si="61"/>
        <v>Serviço</v>
      </c>
      <c r="O157" s="142" t="str">
        <f t="shared" ca="1" si="62"/>
        <v>-</v>
      </c>
      <c r="P157" s="143" t="s">
        <v>247</v>
      </c>
      <c r="Q157" s="144"/>
      <c r="R157" s="145" t="str">
        <f ca="1">IF($C157="S",REFERENCIA.Descricao,"(digite a descrição aqui)")</f>
        <v>(abra o arquivo 'Referência 11-2024.xlsm)</v>
      </c>
      <c r="S157" s="146" t="str">
        <f ca="1">REFERENCIA.Unidade</f>
        <v>-</v>
      </c>
      <c r="T157" s="147">
        <f ca="1">OFFSET(CÁLCULO!H$15,ROW($T157)-ROW(T$15),0)</f>
        <v>0</v>
      </c>
      <c r="U157" s="148"/>
      <c r="V157" s="149" t="s">
        <v>156</v>
      </c>
      <c r="W157" s="147">
        <f ca="1">IF($C157="S",ROUND(IF(TIPOORCAMENTO="Proposto",ORÇAMENTO.CustoUnitario*(1+$AH157),ORÇAMENTO.PrecoUnitarioLicitado),15-13*$AF$10),0)</f>
        <v>0</v>
      </c>
      <c r="X157" s="150">
        <f ca="1">IF($C157="S",IF(Import.TipoArredondamento&lt;&gt;"TransfereGOV",VTOTAL1,SUM(OFFSET(CÁLCULO!$AA$15,ROW($X157)-ROW($X$15),1):OFFSET(CÁLCULO!$AL$15,ROW($X157)-ROW($X$15),-1))),IF($C157=0,0,ROUND(SomaAgrup,15-13*$AF$11)))</f>
        <v>0</v>
      </c>
      <c r="Y157" s="151" t="s">
        <v>245</v>
      </c>
      <c r="Z157" t="str">
        <f t="shared" ca="1" si="63"/>
        <v/>
      </c>
      <c r="AA157" s="152">
        <f ca="1">IF($C157="S",IF($Z157="CP",$X157,IF($Z157="RA",(($X157)*QCI!$AA$3),0)),SomaAgrup)</f>
        <v>0</v>
      </c>
      <c r="AB157" s="153">
        <f t="shared" ca="1" si="64"/>
        <v>0</v>
      </c>
      <c r="AC157" s="154" t="str">
        <f ca="1">IF($N157="","",IF(ORÇAMENTO.Descricao="","DESCRIÇÃO",IF(AND($C157="S",ORÇAMENTO.Unidade=""),"UNIDADE",IF($X157&lt;0,"VALOR NEGATIVO",IF(OR(AND(TIPOORCAMENTO="Proposto",$AG157&lt;&gt;"",$AG157&gt;0,ORÇAMENTO.CustoUnitario&gt;$AG157),AND(TIPOORCAMENTO="LICITADO",ORÇAMENTO.PrecoUnitarioLicitado&gt;$AN157)),"ACIMA REF.","")))))</f>
        <v/>
      </c>
      <c r="AD157" s="100" t="str">
        <f ca="1">IF(C157&lt;=CRONO.NivelExibicao,MAX($AD$15:OFFSET(AD157,-1,0))+IF($C157&lt;&gt;1,1,MAX(1,COUNTIF(QCI!$A$13:$A$24,OFFSET($E157,-1,0)))),"")</f>
        <v/>
      </c>
      <c r="AE157" s="110" t="b">
        <f ca="1">IF(AND($C157="S",ORÇAMENTO.CodBarra&lt;&gt;""),IF(ORÇAMENTO.Fonte="",ORÇAMENTO.CodBarra,CONCATENATE(ORÇAMENTO.Fonte," ",ORÇAMENTO.CodBarra)))</f>
        <v>0</v>
      </c>
      <c r="AF157" s="155" t="str">
        <f ca="1">IF(ISERROR(INDIRECT(ORÇAMENTO.BancoRef)),"(abra o arquivo 'Referência "&amp;Excel_BuiltIn_Database&amp;".xlsm)",IF(OR($C157&lt;&gt;"S",ORÇAMENTO.CodBarra=""),"(Sem Código)",IF(ISERROR(MATCH($AE157,INDIRECT(ORÇAMENTO.BancoRef),0)),"(Código não identificado nas referências)",MATCH($AE157,INDIRECT(ORÇAMENTO.BancoRef),0))))</f>
        <v>(abra o arquivo 'Referência 11-2024.xlsm)</v>
      </c>
      <c r="AG157" s="574">
        <f ca="1">ROUND(IF(DESONERACAO="sim",REFERENCIA.Desonerado,REFERENCIA.NaoDesonerado),2)</f>
        <v>0</v>
      </c>
      <c r="AH157" s="575">
        <f t="shared" ca="1" si="65"/>
        <v>0.22</v>
      </c>
      <c r="AJ157" s="577"/>
      <c r="AL157" s="607"/>
      <c r="AM157" s="426">
        <f t="shared" ca="1" si="66"/>
        <v>0</v>
      </c>
      <c r="AN157" s="650">
        <f t="shared" ca="1" si="67"/>
        <v>0</v>
      </c>
    </row>
    <row r="158" spans="1:40" ht="13.8" hidden="1">
      <c r="A158" t="str">
        <f t="shared" si="51"/>
        <v>S</v>
      </c>
      <c r="B158">
        <f t="shared" ca="1" si="52"/>
        <v>2</v>
      </c>
      <c r="C158" t="str">
        <f t="shared" ca="1" si="53"/>
        <v>S</v>
      </c>
      <c r="D158">
        <f t="shared" ca="1" si="54"/>
        <v>0</v>
      </c>
      <c r="E158">
        <f ca="1">IF($C158=1,OFFSET(E158,-1,0)+MAX(1,COUNTIF(QCI!$A$13:$A$24,OFFSET(ORÇAMENTO!E158,-1,0))),OFFSET(E158,-1,0))</f>
        <v>1</v>
      </c>
      <c r="F158">
        <f t="shared" ca="1" si="55"/>
        <v>5</v>
      </c>
      <c r="G158">
        <f t="shared" ca="1" si="56"/>
        <v>0</v>
      </c>
      <c r="H158">
        <f t="shared" ca="1" si="57"/>
        <v>0</v>
      </c>
      <c r="I158">
        <f t="shared" ca="1" si="58"/>
        <v>2</v>
      </c>
      <c r="J158">
        <f t="shared" ca="1" si="59"/>
        <v>0</v>
      </c>
      <c r="K158">
        <f ca="1">IF(OR($C158="S",$C158=0),0,MATCH(OFFSET($D158,0,$C158)+IF($C158&lt;&gt;1,1,COUNTIF(QCI!$A$13:$A$24,ORÇAMENTO!E158)),OFFSET($D158,1,$C158,ROW($C$264)-ROW($C158)),0))</f>
        <v>0</v>
      </c>
      <c r="L158" s="139" t="str">
        <f t="shared" ca="1" si="60"/>
        <v/>
      </c>
      <c r="M158" s="140" t="s">
        <v>199</v>
      </c>
      <c r="N158" s="141" t="str">
        <f t="shared" ca="1" si="61"/>
        <v>Serviço</v>
      </c>
      <c r="O158" s="142" t="str">
        <f t="shared" ca="1" si="62"/>
        <v>-</v>
      </c>
      <c r="P158" s="143" t="s">
        <v>247</v>
      </c>
      <c r="Q158" s="144"/>
      <c r="R158" s="145" t="str">
        <f ca="1">IF($C158="S",REFERENCIA.Descricao,"(digite a descrição aqui)")</f>
        <v>(abra o arquivo 'Referência 11-2024.xlsm)</v>
      </c>
      <c r="S158" s="146" t="str">
        <f ca="1">REFERENCIA.Unidade</f>
        <v>-</v>
      </c>
      <c r="T158" s="147">
        <f ca="1">OFFSET(CÁLCULO!H$15,ROW($T158)-ROW(T$15),0)</f>
        <v>0</v>
      </c>
      <c r="U158" s="148"/>
      <c r="V158" s="149" t="s">
        <v>156</v>
      </c>
      <c r="W158" s="147">
        <f ca="1">IF($C158="S",ROUND(IF(TIPOORCAMENTO="Proposto",ORÇAMENTO.CustoUnitario*(1+$AH158),ORÇAMENTO.PrecoUnitarioLicitado),15-13*$AF$10),0)</f>
        <v>0</v>
      </c>
      <c r="X158" s="150">
        <f ca="1">IF($C158="S",IF(Import.TipoArredondamento&lt;&gt;"TransfereGOV",VTOTAL1,SUM(OFFSET(CÁLCULO!$AA$15,ROW($X158)-ROW($X$15),1):OFFSET(CÁLCULO!$AL$15,ROW($X158)-ROW($X$15),-1))),IF($C158=0,0,ROUND(SomaAgrup,15-13*$AF$11)))</f>
        <v>0</v>
      </c>
      <c r="Y158" s="151" t="s">
        <v>245</v>
      </c>
      <c r="Z158" t="str">
        <f t="shared" ca="1" si="63"/>
        <v/>
      </c>
      <c r="AA158" s="152">
        <f ca="1">IF($C158="S",IF($Z158="CP",$X158,IF($Z158="RA",(($X158)*QCI!$AA$3),0)),SomaAgrup)</f>
        <v>0</v>
      </c>
      <c r="AB158" s="153">
        <f t="shared" ca="1" si="64"/>
        <v>0</v>
      </c>
      <c r="AC158" s="154" t="str">
        <f ca="1">IF($N158="","",IF(ORÇAMENTO.Descricao="","DESCRIÇÃO",IF(AND($C158="S",ORÇAMENTO.Unidade=""),"UNIDADE",IF($X158&lt;0,"VALOR NEGATIVO",IF(OR(AND(TIPOORCAMENTO="Proposto",$AG158&lt;&gt;"",$AG158&gt;0,ORÇAMENTO.CustoUnitario&gt;$AG158),AND(TIPOORCAMENTO="LICITADO",ORÇAMENTO.PrecoUnitarioLicitado&gt;$AN158)),"ACIMA REF.","")))))</f>
        <v/>
      </c>
      <c r="AD158" s="100" t="str">
        <f ca="1">IF(C158&lt;=CRONO.NivelExibicao,MAX($AD$15:OFFSET(AD158,-1,0))+IF($C158&lt;&gt;1,1,MAX(1,COUNTIF(QCI!$A$13:$A$24,OFFSET($E158,-1,0)))),"")</f>
        <v/>
      </c>
      <c r="AE158" s="110" t="b">
        <f ca="1">IF(AND($C158="S",ORÇAMENTO.CodBarra&lt;&gt;""),IF(ORÇAMENTO.Fonte="",ORÇAMENTO.CodBarra,CONCATENATE(ORÇAMENTO.Fonte," ",ORÇAMENTO.CodBarra)))</f>
        <v>0</v>
      </c>
      <c r="AF158" s="155" t="str">
        <f ca="1">IF(ISERROR(INDIRECT(ORÇAMENTO.BancoRef)),"(abra o arquivo 'Referência "&amp;Excel_BuiltIn_Database&amp;".xlsm)",IF(OR($C158&lt;&gt;"S",ORÇAMENTO.CodBarra=""),"(Sem Código)",IF(ISERROR(MATCH($AE158,INDIRECT(ORÇAMENTO.BancoRef),0)),"(Código não identificado nas referências)",MATCH($AE158,INDIRECT(ORÇAMENTO.BancoRef),0))))</f>
        <v>(abra o arquivo 'Referência 11-2024.xlsm)</v>
      </c>
      <c r="AG158" s="574">
        <f ca="1">ROUND(IF(DESONERACAO="sim",REFERENCIA.Desonerado,REFERENCIA.NaoDesonerado),2)</f>
        <v>0</v>
      </c>
      <c r="AH158" s="575">
        <f t="shared" ca="1" si="65"/>
        <v>0.22</v>
      </c>
      <c r="AJ158" s="577"/>
      <c r="AL158" s="607"/>
      <c r="AM158" s="426">
        <f t="shared" ca="1" si="66"/>
        <v>0</v>
      </c>
      <c r="AN158" s="650">
        <f t="shared" ca="1" si="67"/>
        <v>0</v>
      </c>
    </row>
    <row r="159" spans="1:40" ht="13.8" hidden="1">
      <c r="A159" t="str">
        <f t="shared" si="51"/>
        <v>S</v>
      </c>
      <c r="B159">
        <f t="shared" ca="1" si="52"/>
        <v>2</v>
      </c>
      <c r="C159" t="str">
        <f t="shared" ca="1" si="53"/>
        <v>S</v>
      </c>
      <c r="D159">
        <f t="shared" ca="1" si="54"/>
        <v>0</v>
      </c>
      <c r="E159">
        <f ca="1">IF($C159=1,OFFSET(E159,-1,0)+MAX(1,COUNTIF(QCI!$A$13:$A$24,OFFSET(ORÇAMENTO!E159,-1,0))),OFFSET(E159,-1,0))</f>
        <v>1</v>
      </c>
      <c r="F159">
        <f t="shared" ca="1" si="55"/>
        <v>5</v>
      </c>
      <c r="G159">
        <f t="shared" ca="1" si="56"/>
        <v>0</v>
      </c>
      <c r="H159">
        <f t="shared" ca="1" si="57"/>
        <v>0</v>
      </c>
      <c r="I159">
        <f t="shared" ca="1" si="58"/>
        <v>2</v>
      </c>
      <c r="J159">
        <f t="shared" ca="1" si="59"/>
        <v>0</v>
      </c>
      <c r="K159">
        <f ca="1">IF(OR($C159="S",$C159=0),0,MATCH(OFFSET($D159,0,$C159)+IF($C159&lt;&gt;1,1,COUNTIF(QCI!$A$13:$A$24,ORÇAMENTO!E159)),OFFSET($D159,1,$C159,ROW($C$264)-ROW($C159)),0))</f>
        <v>0</v>
      </c>
      <c r="L159" s="139" t="str">
        <f t="shared" ca="1" si="60"/>
        <v/>
      </c>
      <c r="M159" s="140" t="s">
        <v>199</v>
      </c>
      <c r="N159" s="141" t="str">
        <f t="shared" ca="1" si="61"/>
        <v>Serviço</v>
      </c>
      <c r="O159" s="142" t="str">
        <f t="shared" ca="1" si="62"/>
        <v>-</v>
      </c>
      <c r="P159" s="143" t="s">
        <v>247</v>
      </c>
      <c r="Q159" s="144"/>
      <c r="R159" s="145" t="str">
        <f ca="1">IF($C159="S",REFERENCIA.Descricao,"(digite a descrição aqui)")</f>
        <v>(abra o arquivo 'Referência 11-2024.xlsm)</v>
      </c>
      <c r="S159" s="146" t="str">
        <f ca="1">REFERENCIA.Unidade</f>
        <v>-</v>
      </c>
      <c r="T159" s="147">
        <f ca="1">OFFSET(CÁLCULO!H$15,ROW($T159)-ROW(T$15),0)</f>
        <v>0</v>
      </c>
      <c r="U159" s="148"/>
      <c r="V159" s="149" t="s">
        <v>156</v>
      </c>
      <c r="W159" s="147">
        <f ca="1">IF($C159="S",ROUND(IF(TIPOORCAMENTO="Proposto",ORÇAMENTO.CustoUnitario*(1+$AH159),ORÇAMENTO.PrecoUnitarioLicitado),15-13*$AF$10),0)</f>
        <v>0</v>
      </c>
      <c r="X159" s="150">
        <f ca="1">IF($C159="S",IF(Import.TipoArredondamento&lt;&gt;"TransfereGOV",VTOTAL1,SUM(OFFSET(CÁLCULO!$AA$15,ROW($X159)-ROW($X$15),1):OFFSET(CÁLCULO!$AL$15,ROW($X159)-ROW($X$15),-1))),IF($C159=0,0,ROUND(SomaAgrup,15-13*$AF$11)))</f>
        <v>0</v>
      </c>
      <c r="Y159" s="151" t="s">
        <v>245</v>
      </c>
      <c r="Z159" t="str">
        <f t="shared" ca="1" si="63"/>
        <v/>
      </c>
      <c r="AA159" s="152">
        <f ca="1">IF($C159="S",IF($Z159="CP",$X159,IF($Z159="RA",(($X159)*QCI!$AA$3),0)),SomaAgrup)</f>
        <v>0</v>
      </c>
      <c r="AB159" s="153">
        <f t="shared" ca="1" si="64"/>
        <v>0</v>
      </c>
      <c r="AC159" s="154" t="str">
        <f ca="1">IF($N159="","",IF(ORÇAMENTO.Descricao="","DESCRIÇÃO",IF(AND($C159="S",ORÇAMENTO.Unidade=""),"UNIDADE",IF($X159&lt;0,"VALOR NEGATIVO",IF(OR(AND(TIPOORCAMENTO="Proposto",$AG159&lt;&gt;"",$AG159&gt;0,ORÇAMENTO.CustoUnitario&gt;$AG159),AND(TIPOORCAMENTO="LICITADO",ORÇAMENTO.PrecoUnitarioLicitado&gt;$AN159)),"ACIMA REF.","")))))</f>
        <v/>
      </c>
      <c r="AD159" s="100" t="str">
        <f ca="1">IF(C159&lt;=CRONO.NivelExibicao,MAX($AD$15:OFFSET(AD159,-1,0))+IF($C159&lt;&gt;1,1,MAX(1,COUNTIF(QCI!$A$13:$A$24,OFFSET($E159,-1,0)))),"")</f>
        <v/>
      </c>
      <c r="AE159" s="110" t="b">
        <f ca="1">IF(AND($C159="S",ORÇAMENTO.CodBarra&lt;&gt;""),IF(ORÇAMENTO.Fonte="",ORÇAMENTO.CodBarra,CONCATENATE(ORÇAMENTO.Fonte," ",ORÇAMENTO.CodBarra)))</f>
        <v>0</v>
      </c>
      <c r="AF159" s="155" t="str">
        <f ca="1">IF(ISERROR(INDIRECT(ORÇAMENTO.BancoRef)),"(abra o arquivo 'Referência "&amp;Excel_BuiltIn_Database&amp;".xlsm)",IF(OR($C159&lt;&gt;"S",ORÇAMENTO.CodBarra=""),"(Sem Código)",IF(ISERROR(MATCH($AE159,INDIRECT(ORÇAMENTO.BancoRef),0)),"(Código não identificado nas referências)",MATCH($AE159,INDIRECT(ORÇAMENTO.BancoRef),0))))</f>
        <v>(abra o arquivo 'Referência 11-2024.xlsm)</v>
      </c>
      <c r="AG159" s="574">
        <f ca="1">ROUND(IF(DESONERACAO="sim",REFERENCIA.Desonerado,REFERENCIA.NaoDesonerado),2)</f>
        <v>0</v>
      </c>
      <c r="AH159" s="575">
        <f t="shared" ca="1" si="65"/>
        <v>0.22</v>
      </c>
      <c r="AJ159" s="577"/>
      <c r="AL159" s="607"/>
      <c r="AM159" s="426">
        <f t="shared" ca="1" si="66"/>
        <v>0</v>
      </c>
      <c r="AN159" s="650">
        <f t="shared" ca="1" si="67"/>
        <v>0</v>
      </c>
    </row>
    <row r="160" spans="1:40" ht="13.8" hidden="1">
      <c r="A160" t="str">
        <f t="shared" si="51"/>
        <v>S</v>
      </c>
      <c r="B160">
        <f t="shared" ca="1" si="52"/>
        <v>2</v>
      </c>
      <c r="C160" t="str">
        <f t="shared" ca="1" si="53"/>
        <v>S</v>
      </c>
      <c r="D160">
        <f t="shared" ca="1" si="54"/>
        <v>0</v>
      </c>
      <c r="E160">
        <f ca="1">IF($C160=1,OFFSET(E160,-1,0)+MAX(1,COUNTIF(QCI!$A$13:$A$24,OFFSET(ORÇAMENTO!E160,-1,0))),OFFSET(E160,-1,0))</f>
        <v>1</v>
      </c>
      <c r="F160">
        <f t="shared" ca="1" si="55"/>
        <v>5</v>
      </c>
      <c r="G160">
        <f t="shared" ca="1" si="56"/>
        <v>0</v>
      </c>
      <c r="H160">
        <f t="shared" ca="1" si="57"/>
        <v>0</v>
      </c>
      <c r="I160">
        <f t="shared" ca="1" si="58"/>
        <v>2</v>
      </c>
      <c r="J160">
        <f t="shared" ca="1" si="59"/>
        <v>0</v>
      </c>
      <c r="K160">
        <f ca="1">IF(OR($C160="S",$C160=0),0,MATCH(OFFSET($D160,0,$C160)+IF($C160&lt;&gt;1,1,COUNTIF(QCI!$A$13:$A$24,ORÇAMENTO!E160)),OFFSET($D160,1,$C160,ROW($C$264)-ROW($C160)),0))</f>
        <v>0</v>
      </c>
      <c r="L160" s="139" t="str">
        <f t="shared" ca="1" si="60"/>
        <v/>
      </c>
      <c r="M160" s="140" t="s">
        <v>199</v>
      </c>
      <c r="N160" s="141" t="str">
        <f t="shared" ca="1" si="61"/>
        <v>Serviço</v>
      </c>
      <c r="O160" s="142" t="str">
        <f t="shared" ca="1" si="62"/>
        <v>-</v>
      </c>
      <c r="P160" s="143" t="s">
        <v>247</v>
      </c>
      <c r="Q160" s="144"/>
      <c r="R160" s="145" t="str">
        <f ca="1">IF($C160="S",REFERENCIA.Descricao,"(digite a descrição aqui)")</f>
        <v>(abra o arquivo 'Referência 11-2024.xlsm)</v>
      </c>
      <c r="S160" s="146" t="str">
        <f ca="1">REFERENCIA.Unidade</f>
        <v>-</v>
      </c>
      <c r="T160" s="147">
        <f ca="1">OFFSET(CÁLCULO!H$15,ROW($T160)-ROW(T$15),0)</f>
        <v>0</v>
      </c>
      <c r="U160" s="148"/>
      <c r="V160" s="149" t="s">
        <v>156</v>
      </c>
      <c r="W160" s="147">
        <f ca="1">IF($C160="S",ROUND(IF(TIPOORCAMENTO="Proposto",ORÇAMENTO.CustoUnitario*(1+$AH160),ORÇAMENTO.PrecoUnitarioLicitado),15-13*$AF$10),0)</f>
        <v>0</v>
      </c>
      <c r="X160" s="150">
        <f ca="1">IF($C160="S",IF(Import.TipoArredondamento&lt;&gt;"TransfereGOV",VTOTAL1,SUM(OFFSET(CÁLCULO!$AA$15,ROW($X160)-ROW($X$15),1):OFFSET(CÁLCULO!$AL$15,ROW($X160)-ROW($X$15),-1))),IF($C160=0,0,ROUND(SomaAgrup,15-13*$AF$11)))</f>
        <v>0</v>
      </c>
      <c r="Y160" s="151" t="s">
        <v>245</v>
      </c>
      <c r="Z160" t="str">
        <f t="shared" ca="1" si="63"/>
        <v/>
      </c>
      <c r="AA160" s="152">
        <f ca="1">IF($C160="S",IF($Z160="CP",$X160,IF($Z160="RA",(($X160)*QCI!$AA$3),0)),SomaAgrup)</f>
        <v>0</v>
      </c>
      <c r="AB160" s="153">
        <f t="shared" ca="1" si="64"/>
        <v>0</v>
      </c>
      <c r="AC160" s="154" t="str">
        <f ca="1">IF($N160="","",IF(ORÇAMENTO.Descricao="","DESCRIÇÃO",IF(AND($C160="S",ORÇAMENTO.Unidade=""),"UNIDADE",IF($X160&lt;0,"VALOR NEGATIVO",IF(OR(AND(TIPOORCAMENTO="Proposto",$AG160&lt;&gt;"",$AG160&gt;0,ORÇAMENTO.CustoUnitario&gt;$AG160),AND(TIPOORCAMENTO="LICITADO",ORÇAMENTO.PrecoUnitarioLicitado&gt;$AN160)),"ACIMA REF.","")))))</f>
        <v/>
      </c>
      <c r="AD160" s="100" t="str">
        <f ca="1">IF(C160&lt;=CRONO.NivelExibicao,MAX($AD$15:OFFSET(AD160,-1,0))+IF($C160&lt;&gt;1,1,MAX(1,COUNTIF(QCI!$A$13:$A$24,OFFSET($E160,-1,0)))),"")</f>
        <v/>
      </c>
      <c r="AE160" s="110" t="b">
        <f ca="1">IF(AND($C160="S",ORÇAMENTO.CodBarra&lt;&gt;""),IF(ORÇAMENTO.Fonte="",ORÇAMENTO.CodBarra,CONCATENATE(ORÇAMENTO.Fonte," ",ORÇAMENTO.CodBarra)))</f>
        <v>0</v>
      </c>
      <c r="AF160" s="155" t="str">
        <f ca="1">IF(ISERROR(INDIRECT(ORÇAMENTO.BancoRef)),"(abra o arquivo 'Referência "&amp;Excel_BuiltIn_Database&amp;".xlsm)",IF(OR($C160&lt;&gt;"S",ORÇAMENTO.CodBarra=""),"(Sem Código)",IF(ISERROR(MATCH($AE160,INDIRECT(ORÇAMENTO.BancoRef),0)),"(Código não identificado nas referências)",MATCH($AE160,INDIRECT(ORÇAMENTO.BancoRef),0))))</f>
        <v>(abra o arquivo 'Referência 11-2024.xlsm)</v>
      </c>
      <c r="AG160" s="574">
        <f ca="1">ROUND(IF(DESONERACAO="sim",REFERENCIA.Desonerado,REFERENCIA.NaoDesonerado),2)</f>
        <v>0</v>
      </c>
      <c r="AH160" s="575">
        <f t="shared" ca="1" si="65"/>
        <v>0.22</v>
      </c>
      <c r="AJ160" s="577"/>
      <c r="AL160" s="607"/>
      <c r="AM160" s="426">
        <f t="shared" ca="1" si="66"/>
        <v>0</v>
      </c>
      <c r="AN160" s="650">
        <f t="shared" ca="1" si="67"/>
        <v>0</v>
      </c>
    </row>
    <row r="161" spans="1:40" ht="13.8" hidden="1">
      <c r="A161" t="str">
        <f t="shared" si="51"/>
        <v>S</v>
      </c>
      <c r="B161">
        <f t="shared" ca="1" si="52"/>
        <v>2</v>
      </c>
      <c r="C161" t="str">
        <f t="shared" ca="1" si="53"/>
        <v>S</v>
      </c>
      <c r="D161">
        <f t="shared" ca="1" si="54"/>
        <v>0</v>
      </c>
      <c r="E161">
        <f ca="1">IF($C161=1,OFFSET(E161,-1,0)+MAX(1,COUNTIF(QCI!$A$13:$A$24,OFFSET(ORÇAMENTO!E161,-1,0))),OFFSET(E161,-1,0))</f>
        <v>1</v>
      </c>
      <c r="F161">
        <f t="shared" ca="1" si="55"/>
        <v>5</v>
      </c>
      <c r="G161">
        <f t="shared" ca="1" si="56"/>
        <v>0</v>
      </c>
      <c r="H161">
        <f t="shared" ca="1" si="57"/>
        <v>0</v>
      </c>
      <c r="I161">
        <f t="shared" ca="1" si="58"/>
        <v>2</v>
      </c>
      <c r="J161">
        <f t="shared" ca="1" si="59"/>
        <v>0</v>
      </c>
      <c r="K161">
        <f ca="1">IF(OR($C161="S",$C161=0),0,MATCH(OFFSET($D161,0,$C161)+IF($C161&lt;&gt;1,1,COUNTIF(QCI!$A$13:$A$24,ORÇAMENTO!E161)),OFFSET($D161,1,$C161,ROW($C$264)-ROW($C161)),0))</f>
        <v>0</v>
      </c>
      <c r="L161" s="139" t="str">
        <f t="shared" ca="1" si="60"/>
        <v/>
      </c>
      <c r="M161" s="140" t="s">
        <v>199</v>
      </c>
      <c r="N161" s="141" t="str">
        <f t="shared" ca="1" si="61"/>
        <v>Serviço</v>
      </c>
      <c r="O161" s="142" t="str">
        <f t="shared" ca="1" si="62"/>
        <v>-</v>
      </c>
      <c r="P161" s="143" t="s">
        <v>247</v>
      </c>
      <c r="Q161" s="144"/>
      <c r="R161" s="145" t="str">
        <f ca="1">IF($C161="S",REFERENCIA.Descricao,"(digite a descrição aqui)")</f>
        <v>(abra o arquivo 'Referência 11-2024.xlsm)</v>
      </c>
      <c r="S161" s="146" t="str">
        <f ca="1">REFERENCIA.Unidade</f>
        <v>-</v>
      </c>
      <c r="T161" s="147">
        <f ca="1">OFFSET(CÁLCULO!H$15,ROW($T161)-ROW(T$15),0)</f>
        <v>0</v>
      </c>
      <c r="U161" s="148"/>
      <c r="V161" s="149" t="s">
        <v>156</v>
      </c>
      <c r="W161" s="147">
        <f ca="1">IF($C161="S",ROUND(IF(TIPOORCAMENTO="Proposto",ORÇAMENTO.CustoUnitario*(1+$AH161),ORÇAMENTO.PrecoUnitarioLicitado),15-13*$AF$10),0)</f>
        <v>0</v>
      </c>
      <c r="X161" s="150">
        <f ca="1">IF($C161="S",IF(Import.TipoArredondamento&lt;&gt;"TransfereGOV",VTOTAL1,SUM(OFFSET(CÁLCULO!$AA$15,ROW($X161)-ROW($X$15),1):OFFSET(CÁLCULO!$AL$15,ROW($X161)-ROW($X$15),-1))),IF($C161=0,0,ROUND(SomaAgrup,15-13*$AF$11)))</f>
        <v>0</v>
      </c>
      <c r="Y161" s="151" t="s">
        <v>245</v>
      </c>
      <c r="Z161" t="str">
        <f t="shared" ca="1" si="63"/>
        <v/>
      </c>
      <c r="AA161" s="152">
        <f ca="1">IF($C161="S",IF($Z161="CP",$X161,IF($Z161="RA",(($X161)*QCI!$AA$3),0)),SomaAgrup)</f>
        <v>0</v>
      </c>
      <c r="AB161" s="153">
        <f t="shared" ca="1" si="64"/>
        <v>0</v>
      </c>
      <c r="AC161" s="154" t="str">
        <f ca="1">IF($N161="","",IF(ORÇAMENTO.Descricao="","DESCRIÇÃO",IF(AND($C161="S",ORÇAMENTO.Unidade=""),"UNIDADE",IF($X161&lt;0,"VALOR NEGATIVO",IF(OR(AND(TIPOORCAMENTO="Proposto",$AG161&lt;&gt;"",$AG161&gt;0,ORÇAMENTO.CustoUnitario&gt;$AG161),AND(TIPOORCAMENTO="LICITADO",ORÇAMENTO.PrecoUnitarioLicitado&gt;$AN161)),"ACIMA REF.","")))))</f>
        <v/>
      </c>
      <c r="AD161" s="100" t="str">
        <f ca="1">IF(C161&lt;=CRONO.NivelExibicao,MAX($AD$15:OFFSET(AD161,-1,0))+IF($C161&lt;&gt;1,1,MAX(1,COUNTIF(QCI!$A$13:$A$24,OFFSET($E161,-1,0)))),"")</f>
        <v/>
      </c>
      <c r="AE161" s="110" t="b">
        <f ca="1">IF(AND($C161="S",ORÇAMENTO.CodBarra&lt;&gt;""),IF(ORÇAMENTO.Fonte="",ORÇAMENTO.CodBarra,CONCATENATE(ORÇAMENTO.Fonte," ",ORÇAMENTO.CodBarra)))</f>
        <v>0</v>
      </c>
      <c r="AF161" s="155" t="str">
        <f ca="1">IF(ISERROR(INDIRECT(ORÇAMENTO.BancoRef)),"(abra o arquivo 'Referência "&amp;Excel_BuiltIn_Database&amp;".xlsm)",IF(OR($C161&lt;&gt;"S",ORÇAMENTO.CodBarra=""),"(Sem Código)",IF(ISERROR(MATCH($AE161,INDIRECT(ORÇAMENTO.BancoRef),0)),"(Código não identificado nas referências)",MATCH($AE161,INDIRECT(ORÇAMENTO.BancoRef),0))))</f>
        <v>(abra o arquivo 'Referência 11-2024.xlsm)</v>
      </c>
      <c r="AG161" s="574">
        <f ca="1">ROUND(IF(DESONERACAO="sim",REFERENCIA.Desonerado,REFERENCIA.NaoDesonerado),2)</f>
        <v>0</v>
      </c>
      <c r="AH161" s="575">
        <f t="shared" ca="1" si="65"/>
        <v>0.22</v>
      </c>
      <c r="AJ161" s="577"/>
      <c r="AL161" s="607"/>
      <c r="AM161" s="426">
        <f t="shared" ca="1" si="66"/>
        <v>0</v>
      </c>
      <c r="AN161" s="650">
        <f t="shared" ca="1" si="67"/>
        <v>0</v>
      </c>
    </row>
    <row r="162" spans="1:40" ht="13.8" hidden="1">
      <c r="A162" t="str">
        <f t="shared" si="51"/>
        <v>S</v>
      </c>
      <c r="B162">
        <f t="shared" ca="1" si="52"/>
        <v>2</v>
      </c>
      <c r="C162" t="str">
        <f t="shared" ca="1" si="53"/>
        <v>S</v>
      </c>
      <c r="D162">
        <f t="shared" ca="1" si="54"/>
        <v>0</v>
      </c>
      <c r="E162">
        <f ca="1">IF($C162=1,OFFSET(E162,-1,0)+MAX(1,COUNTIF(QCI!$A$13:$A$24,OFFSET(ORÇAMENTO!E162,-1,0))),OFFSET(E162,-1,0))</f>
        <v>1</v>
      </c>
      <c r="F162">
        <f t="shared" ca="1" si="55"/>
        <v>5</v>
      </c>
      <c r="G162">
        <f t="shared" ca="1" si="56"/>
        <v>0</v>
      </c>
      <c r="H162">
        <f t="shared" ca="1" si="57"/>
        <v>0</v>
      </c>
      <c r="I162">
        <f t="shared" ca="1" si="58"/>
        <v>2</v>
      </c>
      <c r="J162">
        <f t="shared" ca="1" si="59"/>
        <v>0</v>
      </c>
      <c r="K162">
        <f ca="1">IF(OR($C162="S",$C162=0),0,MATCH(OFFSET($D162,0,$C162)+IF($C162&lt;&gt;1,1,COUNTIF(QCI!$A$13:$A$24,ORÇAMENTO!E162)),OFFSET($D162,1,$C162,ROW($C$264)-ROW($C162)),0))</f>
        <v>0</v>
      </c>
      <c r="L162" s="139" t="str">
        <f t="shared" ca="1" si="60"/>
        <v/>
      </c>
      <c r="M162" s="140" t="s">
        <v>199</v>
      </c>
      <c r="N162" s="141" t="str">
        <f t="shared" ca="1" si="61"/>
        <v>Serviço</v>
      </c>
      <c r="O162" s="142" t="str">
        <f t="shared" ca="1" si="62"/>
        <v>-</v>
      </c>
      <c r="P162" s="143" t="s">
        <v>247</v>
      </c>
      <c r="Q162" s="144"/>
      <c r="R162" s="145" t="str">
        <f ca="1">IF($C162="S",REFERENCIA.Descricao,"(digite a descrição aqui)")</f>
        <v>(abra o arquivo 'Referência 11-2024.xlsm)</v>
      </c>
      <c r="S162" s="146" t="str">
        <f ca="1">REFERENCIA.Unidade</f>
        <v>-</v>
      </c>
      <c r="T162" s="147">
        <f ca="1">OFFSET(CÁLCULO!H$15,ROW($T162)-ROW(T$15),0)</f>
        <v>0</v>
      </c>
      <c r="U162" s="148"/>
      <c r="V162" s="149" t="s">
        <v>156</v>
      </c>
      <c r="W162" s="147">
        <f ca="1">IF($C162="S",ROUND(IF(TIPOORCAMENTO="Proposto",ORÇAMENTO.CustoUnitario*(1+$AH162),ORÇAMENTO.PrecoUnitarioLicitado),15-13*$AF$10),0)</f>
        <v>0</v>
      </c>
      <c r="X162" s="150">
        <f ca="1">IF($C162="S",IF(Import.TipoArredondamento&lt;&gt;"TransfereGOV",VTOTAL1,SUM(OFFSET(CÁLCULO!$AA$15,ROW($X162)-ROW($X$15),1):OFFSET(CÁLCULO!$AL$15,ROW($X162)-ROW($X$15),-1))),IF($C162=0,0,ROUND(SomaAgrup,15-13*$AF$11)))</f>
        <v>0</v>
      </c>
      <c r="Y162" s="151" t="s">
        <v>245</v>
      </c>
      <c r="Z162" t="str">
        <f t="shared" ca="1" si="63"/>
        <v/>
      </c>
      <c r="AA162" s="152">
        <f ca="1">IF($C162="S",IF($Z162="CP",$X162,IF($Z162="RA",(($X162)*QCI!$AA$3),0)),SomaAgrup)</f>
        <v>0</v>
      </c>
      <c r="AB162" s="153">
        <f t="shared" ca="1" si="64"/>
        <v>0</v>
      </c>
      <c r="AC162" s="154" t="str">
        <f ca="1">IF($N162="","",IF(ORÇAMENTO.Descricao="","DESCRIÇÃO",IF(AND($C162="S",ORÇAMENTO.Unidade=""),"UNIDADE",IF($X162&lt;0,"VALOR NEGATIVO",IF(OR(AND(TIPOORCAMENTO="Proposto",$AG162&lt;&gt;"",$AG162&gt;0,ORÇAMENTO.CustoUnitario&gt;$AG162),AND(TIPOORCAMENTO="LICITADO",ORÇAMENTO.PrecoUnitarioLicitado&gt;$AN162)),"ACIMA REF.","")))))</f>
        <v/>
      </c>
      <c r="AD162" s="100" t="str">
        <f ca="1">IF(C162&lt;=CRONO.NivelExibicao,MAX($AD$15:OFFSET(AD162,-1,0))+IF($C162&lt;&gt;1,1,MAX(1,COUNTIF(QCI!$A$13:$A$24,OFFSET($E162,-1,0)))),"")</f>
        <v/>
      </c>
      <c r="AE162" s="110" t="b">
        <f ca="1">IF(AND($C162="S",ORÇAMENTO.CodBarra&lt;&gt;""),IF(ORÇAMENTO.Fonte="",ORÇAMENTO.CodBarra,CONCATENATE(ORÇAMENTO.Fonte," ",ORÇAMENTO.CodBarra)))</f>
        <v>0</v>
      </c>
      <c r="AF162" s="155" t="str">
        <f ca="1">IF(ISERROR(INDIRECT(ORÇAMENTO.BancoRef)),"(abra o arquivo 'Referência "&amp;Excel_BuiltIn_Database&amp;".xlsm)",IF(OR($C162&lt;&gt;"S",ORÇAMENTO.CodBarra=""),"(Sem Código)",IF(ISERROR(MATCH($AE162,INDIRECT(ORÇAMENTO.BancoRef),0)),"(Código não identificado nas referências)",MATCH($AE162,INDIRECT(ORÇAMENTO.BancoRef),0))))</f>
        <v>(abra o arquivo 'Referência 11-2024.xlsm)</v>
      </c>
      <c r="AG162" s="574">
        <f ca="1">ROUND(IF(DESONERACAO="sim",REFERENCIA.Desonerado,REFERENCIA.NaoDesonerado),2)</f>
        <v>0</v>
      </c>
      <c r="AH162" s="575">
        <f t="shared" ca="1" si="65"/>
        <v>0.22</v>
      </c>
      <c r="AJ162" s="577"/>
      <c r="AL162" s="607"/>
      <c r="AM162" s="426">
        <f t="shared" ca="1" si="66"/>
        <v>0</v>
      </c>
      <c r="AN162" s="650">
        <f t="shared" ca="1" si="67"/>
        <v>0</v>
      </c>
    </row>
    <row r="163" spans="1:40" ht="13.8" hidden="1">
      <c r="A163" t="str">
        <f t="shared" si="51"/>
        <v>S</v>
      </c>
      <c r="B163">
        <f t="shared" ca="1" si="52"/>
        <v>2</v>
      </c>
      <c r="C163" t="str">
        <f t="shared" ca="1" si="53"/>
        <v>S</v>
      </c>
      <c r="D163">
        <f t="shared" ca="1" si="54"/>
        <v>0</v>
      </c>
      <c r="E163">
        <f ca="1">IF($C163=1,OFFSET(E163,-1,0)+MAX(1,COUNTIF(QCI!$A$13:$A$24,OFFSET(ORÇAMENTO!E163,-1,0))),OFFSET(E163,-1,0))</f>
        <v>1</v>
      </c>
      <c r="F163">
        <f t="shared" ca="1" si="55"/>
        <v>5</v>
      </c>
      <c r="G163">
        <f t="shared" ca="1" si="56"/>
        <v>0</v>
      </c>
      <c r="H163">
        <f t="shared" ca="1" si="57"/>
        <v>0</v>
      </c>
      <c r="I163">
        <f t="shared" ca="1" si="58"/>
        <v>2</v>
      </c>
      <c r="J163">
        <f t="shared" ca="1" si="59"/>
        <v>0</v>
      </c>
      <c r="K163">
        <f ca="1">IF(OR($C163="S",$C163=0),0,MATCH(OFFSET($D163,0,$C163)+IF($C163&lt;&gt;1,1,COUNTIF(QCI!$A$13:$A$24,ORÇAMENTO!E163)),OFFSET($D163,1,$C163,ROW($C$264)-ROW($C163)),0))</f>
        <v>0</v>
      </c>
      <c r="L163" s="139" t="str">
        <f t="shared" ca="1" si="60"/>
        <v/>
      </c>
      <c r="M163" s="140" t="s">
        <v>199</v>
      </c>
      <c r="N163" s="141" t="str">
        <f t="shared" ca="1" si="61"/>
        <v>Serviço</v>
      </c>
      <c r="O163" s="142" t="str">
        <f t="shared" ca="1" si="62"/>
        <v>-</v>
      </c>
      <c r="P163" s="143" t="s">
        <v>247</v>
      </c>
      <c r="Q163" s="144"/>
      <c r="R163" s="145" t="str">
        <f ca="1">IF($C163="S",REFERENCIA.Descricao,"(digite a descrição aqui)")</f>
        <v>(abra o arquivo 'Referência 11-2024.xlsm)</v>
      </c>
      <c r="S163" s="146" t="str">
        <f ca="1">REFERENCIA.Unidade</f>
        <v>-</v>
      </c>
      <c r="T163" s="147">
        <f ca="1">OFFSET(CÁLCULO!H$15,ROW($T163)-ROW(T$15),0)</f>
        <v>0</v>
      </c>
      <c r="U163" s="148"/>
      <c r="V163" s="149" t="s">
        <v>156</v>
      </c>
      <c r="W163" s="147">
        <f ca="1">IF($C163="S",ROUND(IF(TIPOORCAMENTO="Proposto",ORÇAMENTO.CustoUnitario*(1+$AH163),ORÇAMENTO.PrecoUnitarioLicitado),15-13*$AF$10),0)</f>
        <v>0</v>
      </c>
      <c r="X163" s="150">
        <f ca="1">IF($C163="S",IF(Import.TipoArredondamento&lt;&gt;"TransfereGOV",VTOTAL1,SUM(OFFSET(CÁLCULO!$AA$15,ROW($X163)-ROW($X$15),1):OFFSET(CÁLCULO!$AL$15,ROW($X163)-ROW($X$15),-1))),IF($C163=0,0,ROUND(SomaAgrup,15-13*$AF$11)))</f>
        <v>0</v>
      </c>
      <c r="Y163" s="151" t="s">
        <v>245</v>
      </c>
      <c r="Z163" t="str">
        <f t="shared" ca="1" si="63"/>
        <v/>
      </c>
      <c r="AA163" s="152">
        <f ca="1">IF($C163="S",IF($Z163="CP",$X163,IF($Z163="RA",(($X163)*QCI!$AA$3),0)),SomaAgrup)</f>
        <v>0</v>
      </c>
      <c r="AB163" s="153">
        <f t="shared" ca="1" si="64"/>
        <v>0</v>
      </c>
      <c r="AC163" s="154" t="str">
        <f ca="1">IF($N163="","",IF(ORÇAMENTO.Descricao="","DESCRIÇÃO",IF(AND($C163="S",ORÇAMENTO.Unidade=""),"UNIDADE",IF($X163&lt;0,"VALOR NEGATIVO",IF(OR(AND(TIPOORCAMENTO="Proposto",$AG163&lt;&gt;"",$AG163&gt;0,ORÇAMENTO.CustoUnitario&gt;$AG163),AND(TIPOORCAMENTO="LICITADO",ORÇAMENTO.PrecoUnitarioLicitado&gt;$AN163)),"ACIMA REF.","")))))</f>
        <v/>
      </c>
      <c r="AD163" s="100" t="str">
        <f ca="1">IF(C163&lt;=CRONO.NivelExibicao,MAX($AD$15:OFFSET(AD163,-1,0))+IF($C163&lt;&gt;1,1,MAX(1,COUNTIF(QCI!$A$13:$A$24,OFFSET($E163,-1,0)))),"")</f>
        <v/>
      </c>
      <c r="AE163" s="110" t="b">
        <f ca="1">IF(AND($C163="S",ORÇAMENTO.CodBarra&lt;&gt;""),IF(ORÇAMENTO.Fonte="",ORÇAMENTO.CodBarra,CONCATENATE(ORÇAMENTO.Fonte," ",ORÇAMENTO.CodBarra)))</f>
        <v>0</v>
      </c>
      <c r="AF163" s="155" t="str">
        <f ca="1">IF(ISERROR(INDIRECT(ORÇAMENTO.BancoRef)),"(abra o arquivo 'Referência "&amp;Excel_BuiltIn_Database&amp;".xlsm)",IF(OR($C163&lt;&gt;"S",ORÇAMENTO.CodBarra=""),"(Sem Código)",IF(ISERROR(MATCH($AE163,INDIRECT(ORÇAMENTO.BancoRef),0)),"(Código não identificado nas referências)",MATCH($AE163,INDIRECT(ORÇAMENTO.BancoRef),0))))</f>
        <v>(abra o arquivo 'Referência 11-2024.xlsm)</v>
      </c>
      <c r="AG163" s="574">
        <f ca="1">ROUND(IF(DESONERACAO="sim",REFERENCIA.Desonerado,REFERENCIA.NaoDesonerado),2)</f>
        <v>0</v>
      </c>
      <c r="AH163" s="575">
        <f t="shared" ca="1" si="65"/>
        <v>0.22</v>
      </c>
      <c r="AJ163" s="577"/>
      <c r="AL163" s="607"/>
      <c r="AM163" s="426">
        <f t="shared" ca="1" si="66"/>
        <v>0</v>
      </c>
      <c r="AN163" s="650">
        <f t="shared" ca="1" si="67"/>
        <v>0</v>
      </c>
    </row>
    <row r="164" spans="1:40" ht="13.8" hidden="1">
      <c r="A164" t="str">
        <f t="shared" si="51"/>
        <v>S</v>
      </c>
      <c r="B164">
        <f t="shared" ca="1" si="52"/>
        <v>2</v>
      </c>
      <c r="C164" t="str">
        <f t="shared" ca="1" si="53"/>
        <v>S</v>
      </c>
      <c r="D164">
        <f t="shared" ca="1" si="54"/>
        <v>0</v>
      </c>
      <c r="E164">
        <f ca="1">IF($C164=1,OFFSET(E164,-1,0)+MAX(1,COUNTIF(QCI!$A$13:$A$24,OFFSET(ORÇAMENTO!E164,-1,0))),OFFSET(E164,-1,0))</f>
        <v>1</v>
      </c>
      <c r="F164">
        <f t="shared" ca="1" si="55"/>
        <v>5</v>
      </c>
      <c r="G164">
        <f t="shared" ca="1" si="56"/>
        <v>0</v>
      </c>
      <c r="H164">
        <f t="shared" ca="1" si="57"/>
        <v>0</v>
      </c>
      <c r="I164">
        <f t="shared" ca="1" si="58"/>
        <v>2</v>
      </c>
      <c r="J164">
        <f t="shared" ca="1" si="59"/>
        <v>0</v>
      </c>
      <c r="K164">
        <f ca="1">IF(OR($C164="S",$C164=0),0,MATCH(OFFSET($D164,0,$C164)+IF($C164&lt;&gt;1,1,COUNTIF(QCI!$A$13:$A$24,ORÇAMENTO!E164)),OFFSET($D164,1,$C164,ROW($C$264)-ROW($C164)),0))</f>
        <v>0</v>
      </c>
      <c r="L164" s="139" t="str">
        <f t="shared" ca="1" si="60"/>
        <v/>
      </c>
      <c r="M164" s="140" t="s">
        <v>199</v>
      </c>
      <c r="N164" s="141" t="str">
        <f t="shared" ca="1" si="61"/>
        <v>Serviço</v>
      </c>
      <c r="O164" s="142" t="str">
        <f t="shared" ca="1" si="62"/>
        <v>-</v>
      </c>
      <c r="P164" s="143" t="s">
        <v>247</v>
      </c>
      <c r="Q164" s="144"/>
      <c r="R164" s="145" t="str">
        <f ca="1">IF($C164="S",REFERENCIA.Descricao,"(digite a descrição aqui)")</f>
        <v>(abra o arquivo 'Referência 11-2024.xlsm)</v>
      </c>
      <c r="S164" s="146" t="str">
        <f ca="1">REFERENCIA.Unidade</f>
        <v>-</v>
      </c>
      <c r="T164" s="147">
        <f ca="1">OFFSET(CÁLCULO!H$15,ROW($T164)-ROW(T$15),0)</f>
        <v>0</v>
      </c>
      <c r="U164" s="148"/>
      <c r="V164" s="149" t="s">
        <v>156</v>
      </c>
      <c r="W164" s="147">
        <f ca="1">IF($C164="S",ROUND(IF(TIPOORCAMENTO="Proposto",ORÇAMENTO.CustoUnitario*(1+$AH164),ORÇAMENTO.PrecoUnitarioLicitado),15-13*$AF$10),0)</f>
        <v>0</v>
      </c>
      <c r="X164" s="150">
        <f ca="1">IF($C164="S",IF(Import.TipoArredondamento&lt;&gt;"TransfereGOV",VTOTAL1,SUM(OFFSET(CÁLCULO!$AA$15,ROW($X164)-ROW($X$15),1):OFFSET(CÁLCULO!$AL$15,ROW($X164)-ROW($X$15),-1))),IF($C164=0,0,ROUND(SomaAgrup,15-13*$AF$11)))</f>
        <v>0</v>
      </c>
      <c r="Y164" s="151" t="s">
        <v>245</v>
      </c>
      <c r="Z164" t="str">
        <f t="shared" ca="1" si="63"/>
        <v/>
      </c>
      <c r="AA164" s="152">
        <f ca="1">IF($C164="S",IF($Z164="CP",$X164,IF($Z164="RA",(($X164)*QCI!$AA$3),0)),SomaAgrup)</f>
        <v>0</v>
      </c>
      <c r="AB164" s="153">
        <f t="shared" ca="1" si="64"/>
        <v>0</v>
      </c>
      <c r="AC164" s="154" t="str">
        <f ca="1">IF($N164="","",IF(ORÇAMENTO.Descricao="","DESCRIÇÃO",IF(AND($C164="S",ORÇAMENTO.Unidade=""),"UNIDADE",IF($X164&lt;0,"VALOR NEGATIVO",IF(OR(AND(TIPOORCAMENTO="Proposto",$AG164&lt;&gt;"",$AG164&gt;0,ORÇAMENTO.CustoUnitario&gt;$AG164),AND(TIPOORCAMENTO="LICITADO",ORÇAMENTO.PrecoUnitarioLicitado&gt;$AN164)),"ACIMA REF.","")))))</f>
        <v/>
      </c>
      <c r="AD164" s="100" t="str">
        <f ca="1">IF(C164&lt;=CRONO.NivelExibicao,MAX($AD$15:OFFSET(AD164,-1,0))+IF($C164&lt;&gt;1,1,MAX(1,COUNTIF(QCI!$A$13:$A$24,OFFSET($E164,-1,0)))),"")</f>
        <v/>
      </c>
      <c r="AE164" s="110" t="b">
        <f ca="1">IF(AND($C164="S",ORÇAMENTO.CodBarra&lt;&gt;""),IF(ORÇAMENTO.Fonte="",ORÇAMENTO.CodBarra,CONCATENATE(ORÇAMENTO.Fonte," ",ORÇAMENTO.CodBarra)))</f>
        <v>0</v>
      </c>
      <c r="AF164" s="155" t="str">
        <f ca="1">IF(ISERROR(INDIRECT(ORÇAMENTO.BancoRef)),"(abra o arquivo 'Referência "&amp;Excel_BuiltIn_Database&amp;".xlsm)",IF(OR($C164&lt;&gt;"S",ORÇAMENTO.CodBarra=""),"(Sem Código)",IF(ISERROR(MATCH($AE164,INDIRECT(ORÇAMENTO.BancoRef),0)),"(Código não identificado nas referências)",MATCH($AE164,INDIRECT(ORÇAMENTO.BancoRef),0))))</f>
        <v>(abra o arquivo 'Referência 11-2024.xlsm)</v>
      </c>
      <c r="AG164" s="574">
        <f ca="1">ROUND(IF(DESONERACAO="sim",REFERENCIA.Desonerado,REFERENCIA.NaoDesonerado),2)</f>
        <v>0</v>
      </c>
      <c r="AH164" s="575">
        <f t="shared" ca="1" si="65"/>
        <v>0.22</v>
      </c>
      <c r="AJ164" s="577"/>
      <c r="AL164" s="607"/>
      <c r="AM164" s="426">
        <f t="shared" ca="1" si="66"/>
        <v>0</v>
      </c>
      <c r="AN164" s="650">
        <f t="shared" ca="1" si="67"/>
        <v>0</v>
      </c>
    </row>
    <row r="165" spans="1:40" ht="13.8" hidden="1">
      <c r="A165" t="str">
        <f t="shared" si="51"/>
        <v>S</v>
      </c>
      <c r="B165">
        <f t="shared" ca="1" si="52"/>
        <v>2</v>
      </c>
      <c r="C165" t="str">
        <f t="shared" ca="1" si="53"/>
        <v>S</v>
      </c>
      <c r="D165">
        <f t="shared" ca="1" si="54"/>
        <v>0</v>
      </c>
      <c r="E165">
        <f ca="1">IF($C165=1,OFFSET(E165,-1,0)+MAX(1,COUNTIF(QCI!$A$13:$A$24,OFFSET(ORÇAMENTO!E165,-1,0))),OFFSET(E165,-1,0))</f>
        <v>1</v>
      </c>
      <c r="F165">
        <f t="shared" ca="1" si="55"/>
        <v>5</v>
      </c>
      <c r="G165">
        <f t="shared" ca="1" si="56"/>
        <v>0</v>
      </c>
      <c r="H165">
        <f t="shared" ca="1" si="57"/>
        <v>0</v>
      </c>
      <c r="I165">
        <f t="shared" ca="1" si="58"/>
        <v>2</v>
      </c>
      <c r="J165">
        <f t="shared" ca="1" si="59"/>
        <v>0</v>
      </c>
      <c r="K165">
        <f ca="1">IF(OR($C165="S",$C165=0),0,MATCH(OFFSET($D165,0,$C165)+IF($C165&lt;&gt;1,1,COUNTIF(QCI!$A$13:$A$24,ORÇAMENTO!E165)),OFFSET($D165,1,$C165,ROW($C$264)-ROW($C165)),0))</f>
        <v>0</v>
      </c>
      <c r="L165" s="139" t="str">
        <f t="shared" ca="1" si="60"/>
        <v/>
      </c>
      <c r="M165" s="140" t="s">
        <v>199</v>
      </c>
      <c r="N165" s="141" t="str">
        <f t="shared" ca="1" si="61"/>
        <v>Serviço</v>
      </c>
      <c r="O165" s="142" t="str">
        <f t="shared" ca="1" si="62"/>
        <v>-</v>
      </c>
      <c r="P165" s="143" t="s">
        <v>247</v>
      </c>
      <c r="Q165" s="144"/>
      <c r="R165" s="145" t="str">
        <f ca="1">IF($C165="S",REFERENCIA.Descricao,"(digite a descrição aqui)")</f>
        <v>(abra o arquivo 'Referência 11-2024.xlsm)</v>
      </c>
      <c r="S165" s="146" t="str">
        <f ca="1">REFERENCIA.Unidade</f>
        <v>-</v>
      </c>
      <c r="T165" s="147">
        <f ca="1">OFFSET(CÁLCULO!H$15,ROW($T165)-ROW(T$15),0)</f>
        <v>0</v>
      </c>
      <c r="U165" s="148"/>
      <c r="V165" s="149" t="s">
        <v>156</v>
      </c>
      <c r="W165" s="147">
        <f ca="1">IF($C165="S",ROUND(IF(TIPOORCAMENTO="Proposto",ORÇAMENTO.CustoUnitario*(1+$AH165),ORÇAMENTO.PrecoUnitarioLicitado),15-13*$AF$10),0)</f>
        <v>0</v>
      </c>
      <c r="X165" s="150">
        <f ca="1">IF($C165="S",IF(Import.TipoArredondamento&lt;&gt;"TransfereGOV",VTOTAL1,SUM(OFFSET(CÁLCULO!$AA$15,ROW($X165)-ROW($X$15),1):OFFSET(CÁLCULO!$AL$15,ROW($X165)-ROW($X$15),-1))),IF($C165=0,0,ROUND(SomaAgrup,15-13*$AF$11)))</f>
        <v>0</v>
      </c>
      <c r="Y165" s="151" t="s">
        <v>245</v>
      </c>
      <c r="Z165" t="str">
        <f t="shared" ca="1" si="63"/>
        <v/>
      </c>
      <c r="AA165" s="152">
        <f ca="1">IF($C165="S",IF($Z165="CP",$X165,IF($Z165="RA",(($X165)*QCI!$AA$3),0)),SomaAgrup)</f>
        <v>0</v>
      </c>
      <c r="AB165" s="153">
        <f t="shared" ca="1" si="64"/>
        <v>0</v>
      </c>
      <c r="AC165" s="154" t="str">
        <f ca="1">IF($N165="","",IF(ORÇAMENTO.Descricao="","DESCRIÇÃO",IF(AND($C165="S",ORÇAMENTO.Unidade=""),"UNIDADE",IF($X165&lt;0,"VALOR NEGATIVO",IF(OR(AND(TIPOORCAMENTO="Proposto",$AG165&lt;&gt;"",$AG165&gt;0,ORÇAMENTO.CustoUnitario&gt;$AG165),AND(TIPOORCAMENTO="LICITADO",ORÇAMENTO.PrecoUnitarioLicitado&gt;$AN165)),"ACIMA REF.","")))))</f>
        <v/>
      </c>
      <c r="AD165" s="100" t="str">
        <f ca="1">IF(C165&lt;=CRONO.NivelExibicao,MAX($AD$15:OFFSET(AD165,-1,0))+IF($C165&lt;&gt;1,1,MAX(1,COUNTIF(QCI!$A$13:$A$24,OFFSET($E165,-1,0)))),"")</f>
        <v/>
      </c>
      <c r="AE165" s="110" t="b">
        <f ca="1">IF(AND($C165="S",ORÇAMENTO.CodBarra&lt;&gt;""),IF(ORÇAMENTO.Fonte="",ORÇAMENTO.CodBarra,CONCATENATE(ORÇAMENTO.Fonte," ",ORÇAMENTO.CodBarra)))</f>
        <v>0</v>
      </c>
      <c r="AF165" s="155" t="str">
        <f ca="1">IF(ISERROR(INDIRECT(ORÇAMENTO.BancoRef)),"(abra o arquivo 'Referência "&amp;Excel_BuiltIn_Database&amp;".xlsm)",IF(OR($C165&lt;&gt;"S",ORÇAMENTO.CodBarra=""),"(Sem Código)",IF(ISERROR(MATCH($AE165,INDIRECT(ORÇAMENTO.BancoRef),0)),"(Código não identificado nas referências)",MATCH($AE165,INDIRECT(ORÇAMENTO.BancoRef),0))))</f>
        <v>(abra o arquivo 'Referência 11-2024.xlsm)</v>
      </c>
      <c r="AG165" s="574">
        <f ca="1">ROUND(IF(DESONERACAO="sim",REFERENCIA.Desonerado,REFERENCIA.NaoDesonerado),2)</f>
        <v>0</v>
      </c>
      <c r="AH165" s="575">
        <f t="shared" ca="1" si="65"/>
        <v>0.22</v>
      </c>
      <c r="AJ165" s="577"/>
      <c r="AL165" s="607"/>
      <c r="AM165" s="426">
        <f t="shared" ca="1" si="66"/>
        <v>0</v>
      </c>
      <c r="AN165" s="650">
        <f t="shared" ca="1" si="67"/>
        <v>0</v>
      </c>
    </row>
    <row r="166" spans="1:40" ht="13.8" hidden="1">
      <c r="A166" t="str">
        <f t="shared" si="51"/>
        <v>S</v>
      </c>
      <c r="B166">
        <f t="shared" ca="1" si="52"/>
        <v>2</v>
      </c>
      <c r="C166" t="str">
        <f t="shared" ca="1" si="53"/>
        <v>S</v>
      </c>
      <c r="D166">
        <f t="shared" ca="1" si="54"/>
        <v>0</v>
      </c>
      <c r="E166">
        <f ca="1">IF($C166=1,OFFSET(E166,-1,0)+MAX(1,COUNTIF(QCI!$A$13:$A$24,OFFSET(ORÇAMENTO!E166,-1,0))),OFFSET(E166,-1,0))</f>
        <v>1</v>
      </c>
      <c r="F166">
        <f t="shared" ca="1" si="55"/>
        <v>5</v>
      </c>
      <c r="G166">
        <f t="shared" ca="1" si="56"/>
        <v>0</v>
      </c>
      <c r="H166">
        <f t="shared" ca="1" si="57"/>
        <v>0</v>
      </c>
      <c r="I166">
        <f t="shared" ca="1" si="58"/>
        <v>2</v>
      </c>
      <c r="J166">
        <f t="shared" ca="1" si="59"/>
        <v>0</v>
      </c>
      <c r="K166">
        <f ca="1">IF(OR($C166="S",$C166=0),0,MATCH(OFFSET($D166,0,$C166)+IF($C166&lt;&gt;1,1,COUNTIF(QCI!$A$13:$A$24,ORÇAMENTO!E166)),OFFSET($D166,1,$C166,ROW($C$264)-ROW($C166)),0))</f>
        <v>0</v>
      </c>
      <c r="L166" s="139" t="str">
        <f t="shared" ca="1" si="60"/>
        <v/>
      </c>
      <c r="M166" s="140" t="s">
        <v>199</v>
      </c>
      <c r="N166" s="141" t="str">
        <f t="shared" ca="1" si="61"/>
        <v>Serviço</v>
      </c>
      <c r="O166" s="142" t="str">
        <f t="shared" ca="1" si="62"/>
        <v>-</v>
      </c>
      <c r="P166" s="143" t="s">
        <v>247</v>
      </c>
      <c r="Q166" s="144"/>
      <c r="R166" s="145" t="str">
        <f ca="1">IF($C166="S",REFERENCIA.Descricao,"(digite a descrição aqui)")</f>
        <v>(abra o arquivo 'Referência 11-2024.xlsm)</v>
      </c>
      <c r="S166" s="146" t="str">
        <f ca="1">REFERENCIA.Unidade</f>
        <v>-</v>
      </c>
      <c r="T166" s="147">
        <f ca="1">OFFSET(CÁLCULO!H$15,ROW($T166)-ROW(T$15),0)</f>
        <v>0</v>
      </c>
      <c r="U166" s="148"/>
      <c r="V166" s="149" t="s">
        <v>156</v>
      </c>
      <c r="W166" s="147">
        <f ca="1">IF($C166="S",ROUND(IF(TIPOORCAMENTO="Proposto",ORÇAMENTO.CustoUnitario*(1+$AH166),ORÇAMENTO.PrecoUnitarioLicitado),15-13*$AF$10),0)</f>
        <v>0</v>
      </c>
      <c r="X166" s="150">
        <f ca="1">IF($C166="S",IF(Import.TipoArredondamento&lt;&gt;"TransfereGOV",VTOTAL1,SUM(OFFSET(CÁLCULO!$AA$15,ROW($X166)-ROW($X$15),1):OFFSET(CÁLCULO!$AL$15,ROW($X166)-ROW($X$15),-1))),IF($C166=0,0,ROUND(SomaAgrup,15-13*$AF$11)))</f>
        <v>0</v>
      </c>
      <c r="Y166" s="151" t="s">
        <v>245</v>
      </c>
      <c r="Z166" t="str">
        <f t="shared" ca="1" si="63"/>
        <v/>
      </c>
      <c r="AA166" s="152">
        <f ca="1">IF($C166="S",IF($Z166="CP",$X166,IF($Z166="RA",(($X166)*QCI!$AA$3),0)),SomaAgrup)</f>
        <v>0</v>
      </c>
      <c r="AB166" s="153">
        <f t="shared" ca="1" si="64"/>
        <v>0</v>
      </c>
      <c r="AC166" s="154" t="str">
        <f ca="1">IF($N166="","",IF(ORÇAMENTO.Descricao="","DESCRIÇÃO",IF(AND($C166="S",ORÇAMENTO.Unidade=""),"UNIDADE",IF($X166&lt;0,"VALOR NEGATIVO",IF(OR(AND(TIPOORCAMENTO="Proposto",$AG166&lt;&gt;"",$AG166&gt;0,ORÇAMENTO.CustoUnitario&gt;$AG166),AND(TIPOORCAMENTO="LICITADO",ORÇAMENTO.PrecoUnitarioLicitado&gt;$AN166)),"ACIMA REF.","")))))</f>
        <v/>
      </c>
      <c r="AD166" s="100" t="str">
        <f ca="1">IF(C166&lt;=CRONO.NivelExibicao,MAX($AD$15:OFFSET(AD166,-1,0))+IF($C166&lt;&gt;1,1,MAX(1,COUNTIF(QCI!$A$13:$A$24,OFFSET($E166,-1,0)))),"")</f>
        <v/>
      </c>
      <c r="AE166" s="110" t="b">
        <f ca="1">IF(AND($C166="S",ORÇAMENTO.CodBarra&lt;&gt;""),IF(ORÇAMENTO.Fonte="",ORÇAMENTO.CodBarra,CONCATENATE(ORÇAMENTO.Fonte," ",ORÇAMENTO.CodBarra)))</f>
        <v>0</v>
      </c>
      <c r="AF166" s="155" t="str">
        <f ca="1">IF(ISERROR(INDIRECT(ORÇAMENTO.BancoRef)),"(abra o arquivo 'Referência "&amp;Excel_BuiltIn_Database&amp;".xlsm)",IF(OR($C166&lt;&gt;"S",ORÇAMENTO.CodBarra=""),"(Sem Código)",IF(ISERROR(MATCH($AE166,INDIRECT(ORÇAMENTO.BancoRef),0)),"(Código não identificado nas referências)",MATCH($AE166,INDIRECT(ORÇAMENTO.BancoRef),0))))</f>
        <v>(abra o arquivo 'Referência 11-2024.xlsm)</v>
      </c>
      <c r="AG166" s="574">
        <f ca="1">ROUND(IF(DESONERACAO="sim",REFERENCIA.Desonerado,REFERENCIA.NaoDesonerado),2)</f>
        <v>0</v>
      </c>
      <c r="AH166" s="575">
        <f t="shared" ca="1" si="65"/>
        <v>0.22</v>
      </c>
      <c r="AJ166" s="577"/>
      <c r="AL166" s="607"/>
      <c r="AM166" s="426">
        <f t="shared" ca="1" si="66"/>
        <v>0</v>
      </c>
      <c r="AN166" s="650">
        <f t="shared" ca="1" si="67"/>
        <v>0</v>
      </c>
    </row>
    <row r="167" spans="1:40" ht="13.8" hidden="1">
      <c r="A167" t="str">
        <f t="shared" si="51"/>
        <v>S</v>
      </c>
      <c r="B167">
        <f t="shared" ca="1" si="52"/>
        <v>2</v>
      </c>
      <c r="C167" t="str">
        <f t="shared" ca="1" si="53"/>
        <v>S</v>
      </c>
      <c r="D167">
        <f t="shared" ca="1" si="54"/>
        <v>0</v>
      </c>
      <c r="E167">
        <f ca="1">IF($C167=1,OFFSET(E167,-1,0)+MAX(1,COUNTIF(QCI!$A$13:$A$24,OFFSET(ORÇAMENTO!E167,-1,0))),OFFSET(E167,-1,0))</f>
        <v>1</v>
      </c>
      <c r="F167">
        <f t="shared" ca="1" si="55"/>
        <v>5</v>
      </c>
      <c r="G167">
        <f t="shared" ca="1" si="56"/>
        <v>0</v>
      </c>
      <c r="H167">
        <f t="shared" ca="1" si="57"/>
        <v>0</v>
      </c>
      <c r="I167">
        <f t="shared" ca="1" si="58"/>
        <v>2</v>
      </c>
      <c r="J167">
        <f t="shared" ca="1" si="59"/>
        <v>0</v>
      </c>
      <c r="K167">
        <f ca="1">IF(OR($C167="S",$C167=0),0,MATCH(OFFSET($D167,0,$C167)+IF($C167&lt;&gt;1,1,COUNTIF(QCI!$A$13:$A$24,ORÇAMENTO!E167)),OFFSET($D167,1,$C167,ROW($C$264)-ROW($C167)),0))</f>
        <v>0</v>
      </c>
      <c r="L167" s="139" t="str">
        <f t="shared" ca="1" si="60"/>
        <v/>
      </c>
      <c r="M167" s="140" t="s">
        <v>199</v>
      </c>
      <c r="N167" s="141" t="str">
        <f t="shared" ca="1" si="61"/>
        <v>Serviço</v>
      </c>
      <c r="O167" s="142" t="str">
        <f t="shared" ca="1" si="62"/>
        <v>-</v>
      </c>
      <c r="P167" s="143" t="s">
        <v>247</v>
      </c>
      <c r="Q167" s="144"/>
      <c r="R167" s="145" t="str">
        <f ca="1">IF($C167="S",REFERENCIA.Descricao,"(digite a descrição aqui)")</f>
        <v>(abra o arquivo 'Referência 11-2024.xlsm)</v>
      </c>
      <c r="S167" s="146" t="str">
        <f ca="1">REFERENCIA.Unidade</f>
        <v>-</v>
      </c>
      <c r="T167" s="147">
        <f ca="1">OFFSET(CÁLCULO!H$15,ROW($T167)-ROW(T$15),0)</f>
        <v>0</v>
      </c>
      <c r="U167" s="148"/>
      <c r="V167" s="149" t="s">
        <v>156</v>
      </c>
      <c r="W167" s="147">
        <f ca="1">IF($C167="S",ROUND(IF(TIPOORCAMENTO="Proposto",ORÇAMENTO.CustoUnitario*(1+$AH167),ORÇAMENTO.PrecoUnitarioLicitado),15-13*$AF$10),0)</f>
        <v>0</v>
      </c>
      <c r="X167" s="150">
        <f ca="1">IF($C167="S",IF(Import.TipoArredondamento&lt;&gt;"TransfereGOV",VTOTAL1,SUM(OFFSET(CÁLCULO!$AA$15,ROW($X167)-ROW($X$15),1):OFFSET(CÁLCULO!$AL$15,ROW($X167)-ROW($X$15),-1))),IF($C167=0,0,ROUND(SomaAgrup,15-13*$AF$11)))</f>
        <v>0</v>
      </c>
      <c r="Y167" s="151" t="s">
        <v>245</v>
      </c>
      <c r="Z167" t="str">
        <f t="shared" ca="1" si="63"/>
        <v/>
      </c>
      <c r="AA167" s="152">
        <f ca="1">IF($C167="S",IF($Z167="CP",$X167,IF($Z167="RA",(($X167)*QCI!$AA$3),0)),SomaAgrup)</f>
        <v>0</v>
      </c>
      <c r="AB167" s="153">
        <f t="shared" ca="1" si="64"/>
        <v>0</v>
      </c>
      <c r="AC167" s="154" t="str">
        <f ca="1">IF($N167="","",IF(ORÇAMENTO.Descricao="","DESCRIÇÃO",IF(AND($C167="S",ORÇAMENTO.Unidade=""),"UNIDADE",IF($X167&lt;0,"VALOR NEGATIVO",IF(OR(AND(TIPOORCAMENTO="Proposto",$AG167&lt;&gt;"",$AG167&gt;0,ORÇAMENTO.CustoUnitario&gt;$AG167),AND(TIPOORCAMENTO="LICITADO",ORÇAMENTO.PrecoUnitarioLicitado&gt;$AN167)),"ACIMA REF.","")))))</f>
        <v/>
      </c>
      <c r="AD167" s="100" t="str">
        <f ca="1">IF(C167&lt;=CRONO.NivelExibicao,MAX($AD$15:OFFSET(AD167,-1,0))+IF($C167&lt;&gt;1,1,MAX(1,COUNTIF(QCI!$A$13:$A$24,OFFSET($E167,-1,0)))),"")</f>
        <v/>
      </c>
      <c r="AE167" s="110" t="b">
        <f ca="1">IF(AND($C167="S",ORÇAMENTO.CodBarra&lt;&gt;""),IF(ORÇAMENTO.Fonte="",ORÇAMENTO.CodBarra,CONCATENATE(ORÇAMENTO.Fonte," ",ORÇAMENTO.CodBarra)))</f>
        <v>0</v>
      </c>
      <c r="AF167" s="155" t="str">
        <f ca="1">IF(ISERROR(INDIRECT(ORÇAMENTO.BancoRef)),"(abra o arquivo 'Referência "&amp;Excel_BuiltIn_Database&amp;".xlsm)",IF(OR($C167&lt;&gt;"S",ORÇAMENTO.CodBarra=""),"(Sem Código)",IF(ISERROR(MATCH($AE167,INDIRECT(ORÇAMENTO.BancoRef),0)),"(Código não identificado nas referências)",MATCH($AE167,INDIRECT(ORÇAMENTO.BancoRef),0))))</f>
        <v>(abra o arquivo 'Referência 11-2024.xlsm)</v>
      </c>
      <c r="AG167" s="574">
        <f ca="1">ROUND(IF(DESONERACAO="sim",REFERENCIA.Desonerado,REFERENCIA.NaoDesonerado),2)</f>
        <v>0</v>
      </c>
      <c r="AH167" s="575">
        <f t="shared" ca="1" si="65"/>
        <v>0.22</v>
      </c>
      <c r="AJ167" s="577"/>
      <c r="AL167" s="607"/>
      <c r="AM167" s="426">
        <f t="shared" ca="1" si="66"/>
        <v>0</v>
      </c>
      <c r="AN167" s="650">
        <f t="shared" ca="1" si="67"/>
        <v>0</v>
      </c>
    </row>
    <row r="168" spans="1:40" ht="13.8" hidden="1">
      <c r="A168" t="str">
        <f t="shared" si="51"/>
        <v>S</v>
      </c>
      <c r="B168">
        <f t="shared" ca="1" si="52"/>
        <v>2</v>
      </c>
      <c r="C168" t="str">
        <f t="shared" ca="1" si="53"/>
        <v>S</v>
      </c>
      <c r="D168">
        <f t="shared" ca="1" si="54"/>
        <v>0</v>
      </c>
      <c r="E168">
        <f ca="1">IF($C168=1,OFFSET(E168,-1,0)+MAX(1,COUNTIF(QCI!$A$13:$A$24,OFFSET(ORÇAMENTO!E168,-1,0))),OFFSET(E168,-1,0))</f>
        <v>1</v>
      </c>
      <c r="F168">
        <f t="shared" ca="1" si="55"/>
        <v>5</v>
      </c>
      <c r="G168">
        <f t="shared" ca="1" si="56"/>
        <v>0</v>
      </c>
      <c r="H168">
        <f t="shared" ca="1" si="57"/>
        <v>0</v>
      </c>
      <c r="I168">
        <f t="shared" ca="1" si="58"/>
        <v>2</v>
      </c>
      <c r="J168">
        <f t="shared" ca="1" si="59"/>
        <v>0</v>
      </c>
      <c r="K168">
        <f ca="1">IF(OR($C168="S",$C168=0),0,MATCH(OFFSET($D168,0,$C168)+IF($C168&lt;&gt;1,1,COUNTIF(QCI!$A$13:$A$24,ORÇAMENTO!E168)),OFFSET($D168,1,$C168,ROW($C$264)-ROW($C168)),0))</f>
        <v>0</v>
      </c>
      <c r="L168" s="139" t="str">
        <f t="shared" ca="1" si="60"/>
        <v/>
      </c>
      <c r="M168" s="140" t="s">
        <v>199</v>
      </c>
      <c r="N168" s="141" t="str">
        <f t="shared" ca="1" si="61"/>
        <v>Serviço</v>
      </c>
      <c r="O168" s="142" t="str">
        <f t="shared" ca="1" si="62"/>
        <v>-</v>
      </c>
      <c r="P168" s="143" t="s">
        <v>247</v>
      </c>
      <c r="Q168" s="144"/>
      <c r="R168" s="145" t="str">
        <f ca="1">IF($C168="S",REFERENCIA.Descricao,"(digite a descrição aqui)")</f>
        <v>(abra o arquivo 'Referência 11-2024.xlsm)</v>
      </c>
      <c r="S168" s="146" t="str">
        <f ca="1">REFERENCIA.Unidade</f>
        <v>-</v>
      </c>
      <c r="T168" s="147">
        <f ca="1">OFFSET(CÁLCULO!H$15,ROW($T168)-ROW(T$15),0)</f>
        <v>0</v>
      </c>
      <c r="U168" s="148"/>
      <c r="V168" s="149" t="s">
        <v>156</v>
      </c>
      <c r="W168" s="147">
        <f ca="1">IF($C168="S",ROUND(IF(TIPOORCAMENTO="Proposto",ORÇAMENTO.CustoUnitario*(1+$AH168),ORÇAMENTO.PrecoUnitarioLicitado),15-13*$AF$10),0)</f>
        <v>0</v>
      </c>
      <c r="X168" s="150">
        <f ca="1">IF($C168="S",IF(Import.TipoArredondamento&lt;&gt;"TransfereGOV",VTOTAL1,SUM(OFFSET(CÁLCULO!$AA$15,ROW($X168)-ROW($X$15),1):OFFSET(CÁLCULO!$AL$15,ROW($X168)-ROW($X$15),-1))),IF($C168=0,0,ROUND(SomaAgrup,15-13*$AF$11)))</f>
        <v>0</v>
      </c>
      <c r="Y168" s="151" t="s">
        <v>245</v>
      </c>
      <c r="Z168" t="str">
        <f t="shared" ca="1" si="63"/>
        <v/>
      </c>
      <c r="AA168" s="152">
        <f ca="1">IF($C168="S",IF($Z168="CP",$X168,IF($Z168="RA",(($X168)*QCI!$AA$3),0)),SomaAgrup)</f>
        <v>0</v>
      </c>
      <c r="AB168" s="153">
        <f t="shared" ca="1" si="64"/>
        <v>0</v>
      </c>
      <c r="AC168" s="154" t="str">
        <f ca="1">IF($N168="","",IF(ORÇAMENTO.Descricao="","DESCRIÇÃO",IF(AND($C168="S",ORÇAMENTO.Unidade=""),"UNIDADE",IF($X168&lt;0,"VALOR NEGATIVO",IF(OR(AND(TIPOORCAMENTO="Proposto",$AG168&lt;&gt;"",$AG168&gt;0,ORÇAMENTO.CustoUnitario&gt;$AG168),AND(TIPOORCAMENTO="LICITADO",ORÇAMENTO.PrecoUnitarioLicitado&gt;$AN168)),"ACIMA REF.","")))))</f>
        <v/>
      </c>
      <c r="AD168" s="100" t="str">
        <f ca="1">IF(C168&lt;=CRONO.NivelExibicao,MAX($AD$15:OFFSET(AD168,-1,0))+IF($C168&lt;&gt;1,1,MAX(1,COUNTIF(QCI!$A$13:$A$24,OFFSET($E168,-1,0)))),"")</f>
        <v/>
      </c>
      <c r="AE168" s="110" t="b">
        <f ca="1">IF(AND($C168="S",ORÇAMENTO.CodBarra&lt;&gt;""),IF(ORÇAMENTO.Fonte="",ORÇAMENTO.CodBarra,CONCATENATE(ORÇAMENTO.Fonte," ",ORÇAMENTO.CodBarra)))</f>
        <v>0</v>
      </c>
      <c r="AF168" s="155" t="str">
        <f ca="1">IF(ISERROR(INDIRECT(ORÇAMENTO.BancoRef)),"(abra o arquivo 'Referência "&amp;Excel_BuiltIn_Database&amp;".xlsm)",IF(OR($C168&lt;&gt;"S",ORÇAMENTO.CodBarra=""),"(Sem Código)",IF(ISERROR(MATCH($AE168,INDIRECT(ORÇAMENTO.BancoRef),0)),"(Código não identificado nas referências)",MATCH($AE168,INDIRECT(ORÇAMENTO.BancoRef),0))))</f>
        <v>(abra o arquivo 'Referência 11-2024.xlsm)</v>
      </c>
      <c r="AG168" s="574">
        <f ca="1">ROUND(IF(DESONERACAO="sim",REFERENCIA.Desonerado,REFERENCIA.NaoDesonerado),2)</f>
        <v>0</v>
      </c>
      <c r="AH168" s="575">
        <f t="shared" ca="1" si="65"/>
        <v>0.22</v>
      </c>
      <c r="AJ168" s="577"/>
      <c r="AL168" s="607"/>
      <c r="AM168" s="426">
        <f t="shared" ca="1" si="66"/>
        <v>0</v>
      </c>
      <c r="AN168" s="650">
        <f t="shared" ca="1" si="67"/>
        <v>0</v>
      </c>
    </row>
    <row r="169" spans="1:40" ht="13.8" hidden="1">
      <c r="A169" t="str">
        <f t="shared" si="51"/>
        <v>S</v>
      </c>
      <c r="B169">
        <f t="shared" ca="1" si="52"/>
        <v>2</v>
      </c>
      <c r="C169" t="str">
        <f t="shared" ca="1" si="53"/>
        <v>S</v>
      </c>
      <c r="D169">
        <f t="shared" ca="1" si="54"/>
        <v>0</v>
      </c>
      <c r="E169">
        <f ca="1">IF($C169=1,OFFSET(E169,-1,0)+MAX(1,COUNTIF(QCI!$A$13:$A$24,OFFSET(ORÇAMENTO!E169,-1,0))),OFFSET(E169,-1,0))</f>
        <v>1</v>
      </c>
      <c r="F169">
        <f t="shared" ca="1" si="55"/>
        <v>5</v>
      </c>
      <c r="G169">
        <f t="shared" ca="1" si="56"/>
        <v>0</v>
      </c>
      <c r="H169">
        <f t="shared" ca="1" si="57"/>
        <v>0</v>
      </c>
      <c r="I169">
        <f t="shared" ca="1" si="58"/>
        <v>2</v>
      </c>
      <c r="J169">
        <f t="shared" ca="1" si="59"/>
        <v>0</v>
      </c>
      <c r="K169">
        <f ca="1">IF(OR($C169="S",$C169=0),0,MATCH(OFFSET($D169,0,$C169)+IF($C169&lt;&gt;1,1,COUNTIF(QCI!$A$13:$A$24,ORÇAMENTO!E169)),OFFSET($D169,1,$C169,ROW($C$264)-ROW($C169)),0))</f>
        <v>0</v>
      </c>
      <c r="L169" s="139" t="str">
        <f t="shared" ca="1" si="60"/>
        <v/>
      </c>
      <c r="M169" s="140" t="s">
        <v>199</v>
      </c>
      <c r="N169" s="141" t="str">
        <f t="shared" ca="1" si="61"/>
        <v>Serviço</v>
      </c>
      <c r="O169" s="142" t="str">
        <f t="shared" ca="1" si="62"/>
        <v>-</v>
      </c>
      <c r="P169" s="143" t="s">
        <v>247</v>
      </c>
      <c r="Q169" s="144"/>
      <c r="R169" s="145" t="str">
        <f ca="1">IF($C169="S",REFERENCIA.Descricao,"(digite a descrição aqui)")</f>
        <v>(abra o arquivo 'Referência 11-2024.xlsm)</v>
      </c>
      <c r="S169" s="146" t="str">
        <f ca="1">REFERENCIA.Unidade</f>
        <v>-</v>
      </c>
      <c r="T169" s="147">
        <f ca="1">OFFSET(CÁLCULO!H$15,ROW($T169)-ROW(T$15),0)</f>
        <v>0</v>
      </c>
      <c r="U169" s="148"/>
      <c r="V169" s="149" t="s">
        <v>156</v>
      </c>
      <c r="W169" s="147">
        <f ca="1">IF($C169="S",ROUND(IF(TIPOORCAMENTO="Proposto",ORÇAMENTO.CustoUnitario*(1+$AH169),ORÇAMENTO.PrecoUnitarioLicitado),15-13*$AF$10),0)</f>
        <v>0</v>
      </c>
      <c r="X169" s="150">
        <f ca="1">IF($C169="S",IF(Import.TipoArredondamento&lt;&gt;"TransfereGOV",VTOTAL1,SUM(OFFSET(CÁLCULO!$AA$15,ROW($X169)-ROW($X$15),1):OFFSET(CÁLCULO!$AL$15,ROW($X169)-ROW($X$15),-1))),IF($C169=0,0,ROUND(SomaAgrup,15-13*$AF$11)))</f>
        <v>0</v>
      </c>
      <c r="Y169" s="151" t="s">
        <v>245</v>
      </c>
      <c r="Z169" t="str">
        <f t="shared" ca="1" si="63"/>
        <v/>
      </c>
      <c r="AA169" s="152">
        <f ca="1">IF($C169="S",IF($Z169="CP",$X169,IF($Z169="RA",(($X169)*QCI!$AA$3),0)),SomaAgrup)</f>
        <v>0</v>
      </c>
      <c r="AB169" s="153">
        <f t="shared" ca="1" si="64"/>
        <v>0</v>
      </c>
      <c r="AC169" s="154" t="str">
        <f ca="1">IF($N169="","",IF(ORÇAMENTO.Descricao="","DESCRIÇÃO",IF(AND($C169="S",ORÇAMENTO.Unidade=""),"UNIDADE",IF($X169&lt;0,"VALOR NEGATIVO",IF(OR(AND(TIPOORCAMENTO="Proposto",$AG169&lt;&gt;"",$AG169&gt;0,ORÇAMENTO.CustoUnitario&gt;$AG169),AND(TIPOORCAMENTO="LICITADO",ORÇAMENTO.PrecoUnitarioLicitado&gt;$AN169)),"ACIMA REF.","")))))</f>
        <v/>
      </c>
      <c r="AD169" s="100" t="str">
        <f ca="1">IF(C169&lt;=CRONO.NivelExibicao,MAX($AD$15:OFFSET(AD169,-1,0))+IF($C169&lt;&gt;1,1,MAX(1,COUNTIF(QCI!$A$13:$A$24,OFFSET($E169,-1,0)))),"")</f>
        <v/>
      </c>
      <c r="AE169" s="110" t="b">
        <f ca="1">IF(AND($C169="S",ORÇAMENTO.CodBarra&lt;&gt;""),IF(ORÇAMENTO.Fonte="",ORÇAMENTO.CodBarra,CONCATENATE(ORÇAMENTO.Fonte," ",ORÇAMENTO.CodBarra)))</f>
        <v>0</v>
      </c>
      <c r="AF169" s="155" t="str">
        <f ca="1">IF(ISERROR(INDIRECT(ORÇAMENTO.BancoRef)),"(abra o arquivo 'Referência "&amp;Excel_BuiltIn_Database&amp;".xlsm)",IF(OR($C169&lt;&gt;"S",ORÇAMENTO.CodBarra=""),"(Sem Código)",IF(ISERROR(MATCH($AE169,INDIRECT(ORÇAMENTO.BancoRef),0)),"(Código não identificado nas referências)",MATCH($AE169,INDIRECT(ORÇAMENTO.BancoRef),0))))</f>
        <v>(abra o arquivo 'Referência 11-2024.xlsm)</v>
      </c>
      <c r="AG169" s="574">
        <f ca="1">ROUND(IF(DESONERACAO="sim",REFERENCIA.Desonerado,REFERENCIA.NaoDesonerado),2)</f>
        <v>0</v>
      </c>
      <c r="AH169" s="575">
        <f t="shared" ca="1" si="65"/>
        <v>0.22</v>
      </c>
      <c r="AJ169" s="577"/>
      <c r="AL169" s="607"/>
      <c r="AM169" s="426">
        <f t="shared" ca="1" si="66"/>
        <v>0</v>
      </c>
      <c r="AN169" s="650">
        <f t="shared" ca="1" si="67"/>
        <v>0</v>
      </c>
    </row>
    <row r="170" spans="1:40" ht="13.8" hidden="1">
      <c r="A170" t="str">
        <f t="shared" si="51"/>
        <v>S</v>
      </c>
      <c r="B170">
        <f t="shared" ca="1" si="52"/>
        <v>2</v>
      </c>
      <c r="C170" t="str">
        <f t="shared" ca="1" si="53"/>
        <v>S</v>
      </c>
      <c r="D170">
        <f t="shared" ca="1" si="54"/>
        <v>0</v>
      </c>
      <c r="E170">
        <f ca="1">IF($C170=1,OFFSET(E170,-1,0)+MAX(1,COUNTIF(QCI!$A$13:$A$24,OFFSET(ORÇAMENTO!E170,-1,0))),OFFSET(E170,-1,0))</f>
        <v>1</v>
      </c>
      <c r="F170">
        <f t="shared" ca="1" si="55"/>
        <v>5</v>
      </c>
      <c r="G170">
        <f t="shared" ca="1" si="56"/>
        <v>0</v>
      </c>
      <c r="H170">
        <f t="shared" ca="1" si="57"/>
        <v>0</v>
      </c>
      <c r="I170">
        <f t="shared" ca="1" si="58"/>
        <v>2</v>
      </c>
      <c r="J170">
        <f t="shared" ca="1" si="59"/>
        <v>0</v>
      </c>
      <c r="K170">
        <f ca="1">IF(OR($C170="S",$C170=0),0,MATCH(OFFSET($D170,0,$C170)+IF($C170&lt;&gt;1,1,COUNTIF(QCI!$A$13:$A$24,ORÇAMENTO!E170)),OFFSET($D170,1,$C170,ROW($C$264)-ROW($C170)),0))</f>
        <v>0</v>
      </c>
      <c r="L170" s="139" t="str">
        <f t="shared" ca="1" si="60"/>
        <v/>
      </c>
      <c r="M170" s="140" t="s">
        <v>199</v>
      </c>
      <c r="N170" s="141" t="str">
        <f t="shared" ca="1" si="61"/>
        <v>Serviço</v>
      </c>
      <c r="O170" s="142" t="str">
        <f t="shared" ca="1" si="62"/>
        <v>-</v>
      </c>
      <c r="P170" s="143" t="s">
        <v>247</v>
      </c>
      <c r="Q170" s="144"/>
      <c r="R170" s="145" t="str">
        <f ca="1">IF($C170="S",REFERENCIA.Descricao,"(digite a descrição aqui)")</f>
        <v>(abra o arquivo 'Referência 11-2024.xlsm)</v>
      </c>
      <c r="S170" s="146" t="str">
        <f ca="1">REFERENCIA.Unidade</f>
        <v>-</v>
      </c>
      <c r="T170" s="147">
        <f ca="1">OFFSET(CÁLCULO!H$15,ROW($T170)-ROW(T$15),0)</f>
        <v>0</v>
      </c>
      <c r="U170" s="148"/>
      <c r="V170" s="149" t="s">
        <v>156</v>
      </c>
      <c r="W170" s="147">
        <f ca="1">IF($C170="S",ROUND(IF(TIPOORCAMENTO="Proposto",ORÇAMENTO.CustoUnitario*(1+$AH170),ORÇAMENTO.PrecoUnitarioLicitado),15-13*$AF$10),0)</f>
        <v>0</v>
      </c>
      <c r="X170" s="150">
        <f ca="1">IF($C170="S",IF(Import.TipoArredondamento&lt;&gt;"TransfereGOV",VTOTAL1,SUM(OFFSET(CÁLCULO!$AA$15,ROW($X170)-ROW($X$15),1):OFFSET(CÁLCULO!$AL$15,ROW($X170)-ROW($X$15),-1))),IF($C170=0,0,ROUND(SomaAgrup,15-13*$AF$11)))</f>
        <v>0</v>
      </c>
      <c r="Y170" s="151" t="s">
        <v>245</v>
      </c>
      <c r="Z170" t="str">
        <f t="shared" ca="1" si="63"/>
        <v/>
      </c>
      <c r="AA170" s="152">
        <f ca="1">IF($C170="S",IF($Z170="CP",$X170,IF($Z170="RA",(($X170)*QCI!$AA$3),0)),SomaAgrup)</f>
        <v>0</v>
      </c>
      <c r="AB170" s="153">
        <f t="shared" ca="1" si="64"/>
        <v>0</v>
      </c>
      <c r="AC170" s="154" t="str">
        <f ca="1">IF($N170="","",IF(ORÇAMENTO.Descricao="","DESCRIÇÃO",IF(AND($C170="S",ORÇAMENTO.Unidade=""),"UNIDADE",IF($X170&lt;0,"VALOR NEGATIVO",IF(OR(AND(TIPOORCAMENTO="Proposto",$AG170&lt;&gt;"",$AG170&gt;0,ORÇAMENTO.CustoUnitario&gt;$AG170),AND(TIPOORCAMENTO="LICITADO",ORÇAMENTO.PrecoUnitarioLicitado&gt;$AN170)),"ACIMA REF.","")))))</f>
        <v/>
      </c>
      <c r="AD170" s="100" t="str">
        <f ca="1">IF(C170&lt;=CRONO.NivelExibicao,MAX($AD$15:OFFSET(AD170,-1,0))+IF($C170&lt;&gt;1,1,MAX(1,COUNTIF(QCI!$A$13:$A$24,OFFSET($E170,-1,0)))),"")</f>
        <v/>
      </c>
      <c r="AE170" s="110" t="b">
        <f ca="1">IF(AND($C170="S",ORÇAMENTO.CodBarra&lt;&gt;""),IF(ORÇAMENTO.Fonte="",ORÇAMENTO.CodBarra,CONCATENATE(ORÇAMENTO.Fonte," ",ORÇAMENTO.CodBarra)))</f>
        <v>0</v>
      </c>
      <c r="AF170" s="155" t="str">
        <f ca="1">IF(ISERROR(INDIRECT(ORÇAMENTO.BancoRef)),"(abra o arquivo 'Referência "&amp;Excel_BuiltIn_Database&amp;".xlsm)",IF(OR($C170&lt;&gt;"S",ORÇAMENTO.CodBarra=""),"(Sem Código)",IF(ISERROR(MATCH($AE170,INDIRECT(ORÇAMENTO.BancoRef),0)),"(Código não identificado nas referências)",MATCH($AE170,INDIRECT(ORÇAMENTO.BancoRef),0))))</f>
        <v>(abra o arquivo 'Referência 11-2024.xlsm)</v>
      </c>
      <c r="AG170" s="574">
        <f ca="1">ROUND(IF(DESONERACAO="sim",REFERENCIA.Desonerado,REFERENCIA.NaoDesonerado),2)</f>
        <v>0</v>
      </c>
      <c r="AH170" s="575">
        <f t="shared" ca="1" si="65"/>
        <v>0.22</v>
      </c>
      <c r="AJ170" s="577"/>
      <c r="AL170" s="607"/>
      <c r="AM170" s="426">
        <f t="shared" ca="1" si="66"/>
        <v>0</v>
      </c>
      <c r="AN170" s="650">
        <f t="shared" ca="1" si="67"/>
        <v>0</v>
      </c>
    </row>
    <row r="171" spans="1:40" ht="13.8" hidden="1">
      <c r="A171" t="str">
        <f t="shared" si="51"/>
        <v>S</v>
      </c>
      <c r="B171">
        <f t="shared" ca="1" si="52"/>
        <v>2</v>
      </c>
      <c r="C171" t="str">
        <f t="shared" ca="1" si="53"/>
        <v>S</v>
      </c>
      <c r="D171">
        <f t="shared" ca="1" si="54"/>
        <v>0</v>
      </c>
      <c r="E171">
        <f ca="1">IF($C171=1,OFFSET(E171,-1,0)+MAX(1,COUNTIF(QCI!$A$13:$A$24,OFFSET(ORÇAMENTO!E171,-1,0))),OFFSET(E171,-1,0))</f>
        <v>1</v>
      </c>
      <c r="F171">
        <f t="shared" ca="1" si="55"/>
        <v>5</v>
      </c>
      <c r="G171">
        <f t="shared" ca="1" si="56"/>
        <v>0</v>
      </c>
      <c r="H171">
        <f t="shared" ca="1" si="57"/>
        <v>0</v>
      </c>
      <c r="I171">
        <f t="shared" ca="1" si="58"/>
        <v>2</v>
      </c>
      <c r="J171">
        <f t="shared" ca="1" si="59"/>
        <v>0</v>
      </c>
      <c r="K171">
        <f ca="1">IF(OR($C171="S",$C171=0),0,MATCH(OFFSET($D171,0,$C171)+IF($C171&lt;&gt;1,1,COUNTIF(QCI!$A$13:$A$24,ORÇAMENTO!E171)),OFFSET($D171,1,$C171,ROW($C$264)-ROW($C171)),0))</f>
        <v>0</v>
      </c>
      <c r="L171" s="139" t="str">
        <f t="shared" ca="1" si="60"/>
        <v/>
      </c>
      <c r="M171" s="140" t="s">
        <v>199</v>
      </c>
      <c r="N171" s="141" t="str">
        <f t="shared" ca="1" si="61"/>
        <v>Serviço</v>
      </c>
      <c r="O171" s="142" t="str">
        <f t="shared" ca="1" si="62"/>
        <v>-</v>
      </c>
      <c r="P171" s="143" t="s">
        <v>247</v>
      </c>
      <c r="Q171" s="144"/>
      <c r="R171" s="145" t="str">
        <f ca="1">IF($C171="S",REFERENCIA.Descricao,"(digite a descrição aqui)")</f>
        <v>(abra o arquivo 'Referência 11-2024.xlsm)</v>
      </c>
      <c r="S171" s="146" t="str">
        <f ca="1">REFERENCIA.Unidade</f>
        <v>-</v>
      </c>
      <c r="T171" s="147">
        <f ca="1">OFFSET(CÁLCULO!H$15,ROW($T171)-ROW(T$15),0)</f>
        <v>0</v>
      </c>
      <c r="U171" s="148"/>
      <c r="V171" s="149" t="s">
        <v>156</v>
      </c>
      <c r="W171" s="147">
        <f ca="1">IF($C171="S",ROUND(IF(TIPOORCAMENTO="Proposto",ORÇAMENTO.CustoUnitario*(1+$AH171),ORÇAMENTO.PrecoUnitarioLicitado),15-13*$AF$10),0)</f>
        <v>0</v>
      </c>
      <c r="X171" s="150">
        <f ca="1">IF($C171="S",IF(Import.TipoArredondamento&lt;&gt;"TransfereGOV",VTOTAL1,SUM(OFFSET(CÁLCULO!$AA$15,ROW($X171)-ROW($X$15),1):OFFSET(CÁLCULO!$AL$15,ROW($X171)-ROW($X$15),-1))),IF($C171=0,0,ROUND(SomaAgrup,15-13*$AF$11)))</f>
        <v>0</v>
      </c>
      <c r="Y171" s="151" t="s">
        <v>245</v>
      </c>
      <c r="Z171" t="str">
        <f t="shared" ca="1" si="63"/>
        <v/>
      </c>
      <c r="AA171" s="152">
        <f ca="1">IF($C171="S",IF($Z171="CP",$X171,IF($Z171="RA",(($X171)*QCI!$AA$3),0)),SomaAgrup)</f>
        <v>0</v>
      </c>
      <c r="AB171" s="153">
        <f t="shared" ca="1" si="64"/>
        <v>0</v>
      </c>
      <c r="AC171" s="154" t="str">
        <f ca="1">IF($N171="","",IF(ORÇAMENTO.Descricao="","DESCRIÇÃO",IF(AND($C171="S",ORÇAMENTO.Unidade=""),"UNIDADE",IF($X171&lt;0,"VALOR NEGATIVO",IF(OR(AND(TIPOORCAMENTO="Proposto",$AG171&lt;&gt;"",$AG171&gt;0,ORÇAMENTO.CustoUnitario&gt;$AG171),AND(TIPOORCAMENTO="LICITADO",ORÇAMENTO.PrecoUnitarioLicitado&gt;$AN171)),"ACIMA REF.","")))))</f>
        <v/>
      </c>
      <c r="AD171" s="100" t="str">
        <f ca="1">IF(C171&lt;=CRONO.NivelExibicao,MAX($AD$15:OFFSET(AD171,-1,0))+IF($C171&lt;&gt;1,1,MAX(1,COUNTIF(QCI!$A$13:$A$24,OFFSET($E171,-1,0)))),"")</f>
        <v/>
      </c>
      <c r="AE171" s="110" t="b">
        <f ca="1">IF(AND($C171="S",ORÇAMENTO.CodBarra&lt;&gt;""),IF(ORÇAMENTO.Fonte="",ORÇAMENTO.CodBarra,CONCATENATE(ORÇAMENTO.Fonte," ",ORÇAMENTO.CodBarra)))</f>
        <v>0</v>
      </c>
      <c r="AF171" s="155" t="str">
        <f ca="1">IF(ISERROR(INDIRECT(ORÇAMENTO.BancoRef)),"(abra o arquivo 'Referência "&amp;Excel_BuiltIn_Database&amp;".xlsm)",IF(OR($C171&lt;&gt;"S",ORÇAMENTO.CodBarra=""),"(Sem Código)",IF(ISERROR(MATCH($AE171,INDIRECT(ORÇAMENTO.BancoRef),0)),"(Código não identificado nas referências)",MATCH($AE171,INDIRECT(ORÇAMENTO.BancoRef),0))))</f>
        <v>(abra o arquivo 'Referência 11-2024.xlsm)</v>
      </c>
      <c r="AG171" s="574">
        <f ca="1">ROUND(IF(DESONERACAO="sim",REFERENCIA.Desonerado,REFERENCIA.NaoDesonerado),2)</f>
        <v>0</v>
      </c>
      <c r="AH171" s="575">
        <f t="shared" ca="1" si="65"/>
        <v>0.22</v>
      </c>
      <c r="AJ171" s="577"/>
      <c r="AL171" s="607"/>
      <c r="AM171" s="426">
        <f t="shared" ca="1" si="66"/>
        <v>0</v>
      </c>
      <c r="AN171" s="650">
        <f t="shared" ca="1" si="67"/>
        <v>0</v>
      </c>
    </row>
    <row r="172" spans="1:40" ht="13.8" hidden="1">
      <c r="A172" t="str">
        <f t="shared" si="51"/>
        <v>S</v>
      </c>
      <c r="B172">
        <f t="shared" ca="1" si="52"/>
        <v>2</v>
      </c>
      <c r="C172" t="str">
        <f t="shared" ca="1" si="53"/>
        <v>S</v>
      </c>
      <c r="D172">
        <f t="shared" ca="1" si="54"/>
        <v>0</v>
      </c>
      <c r="E172">
        <f ca="1">IF($C172=1,OFFSET(E172,-1,0)+MAX(1,COUNTIF(QCI!$A$13:$A$24,OFFSET(ORÇAMENTO!E172,-1,0))),OFFSET(E172,-1,0))</f>
        <v>1</v>
      </c>
      <c r="F172">
        <f t="shared" ca="1" si="55"/>
        <v>5</v>
      </c>
      <c r="G172">
        <f t="shared" ca="1" si="56"/>
        <v>0</v>
      </c>
      <c r="H172">
        <f t="shared" ca="1" si="57"/>
        <v>0</v>
      </c>
      <c r="I172">
        <f t="shared" ca="1" si="58"/>
        <v>2</v>
      </c>
      <c r="J172">
        <f t="shared" ca="1" si="59"/>
        <v>0</v>
      </c>
      <c r="K172">
        <f ca="1">IF(OR($C172="S",$C172=0),0,MATCH(OFFSET($D172,0,$C172)+IF($C172&lt;&gt;1,1,COUNTIF(QCI!$A$13:$A$24,ORÇAMENTO!E172)),OFFSET($D172,1,$C172,ROW($C$264)-ROW($C172)),0))</f>
        <v>0</v>
      </c>
      <c r="L172" s="139" t="str">
        <f t="shared" ca="1" si="60"/>
        <v/>
      </c>
      <c r="M172" s="140" t="s">
        <v>199</v>
      </c>
      <c r="N172" s="141" t="str">
        <f t="shared" ca="1" si="61"/>
        <v>Serviço</v>
      </c>
      <c r="O172" s="142" t="str">
        <f t="shared" ca="1" si="62"/>
        <v>-</v>
      </c>
      <c r="P172" s="143" t="s">
        <v>247</v>
      </c>
      <c r="Q172" s="144"/>
      <c r="R172" s="145" t="str">
        <f ca="1">IF($C172="S",REFERENCIA.Descricao,"(digite a descrição aqui)")</f>
        <v>(abra o arquivo 'Referência 11-2024.xlsm)</v>
      </c>
      <c r="S172" s="146" t="str">
        <f ca="1">REFERENCIA.Unidade</f>
        <v>-</v>
      </c>
      <c r="T172" s="147">
        <f ca="1">OFFSET(CÁLCULO!H$15,ROW($T172)-ROW(T$15),0)</f>
        <v>0</v>
      </c>
      <c r="U172" s="148"/>
      <c r="V172" s="149" t="s">
        <v>156</v>
      </c>
      <c r="W172" s="147">
        <f ca="1">IF($C172="S",ROUND(IF(TIPOORCAMENTO="Proposto",ORÇAMENTO.CustoUnitario*(1+$AH172),ORÇAMENTO.PrecoUnitarioLicitado),15-13*$AF$10),0)</f>
        <v>0</v>
      </c>
      <c r="X172" s="150">
        <f ca="1">IF($C172="S",IF(Import.TipoArredondamento&lt;&gt;"TransfereGOV",VTOTAL1,SUM(OFFSET(CÁLCULO!$AA$15,ROW($X172)-ROW($X$15),1):OFFSET(CÁLCULO!$AL$15,ROW($X172)-ROW($X$15),-1))),IF($C172=0,0,ROUND(SomaAgrup,15-13*$AF$11)))</f>
        <v>0</v>
      </c>
      <c r="Y172" s="151" t="s">
        <v>245</v>
      </c>
      <c r="Z172" t="str">
        <f t="shared" ca="1" si="63"/>
        <v/>
      </c>
      <c r="AA172" s="152">
        <f ca="1">IF($C172="S",IF($Z172="CP",$X172,IF($Z172="RA",(($X172)*QCI!$AA$3),0)),SomaAgrup)</f>
        <v>0</v>
      </c>
      <c r="AB172" s="153">
        <f t="shared" ca="1" si="64"/>
        <v>0</v>
      </c>
      <c r="AC172" s="154" t="str">
        <f ca="1">IF($N172="","",IF(ORÇAMENTO.Descricao="","DESCRIÇÃO",IF(AND($C172="S",ORÇAMENTO.Unidade=""),"UNIDADE",IF($X172&lt;0,"VALOR NEGATIVO",IF(OR(AND(TIPOORCAMENTO="Proposto",$AG172&lt;&gt;"",$AG172&gt;0,ORÇAMENTO.CustoUnitario&gt;$AG172),AND(TIPOORCAMENTO="LICITADO",ORÇAMENTO.PrecoUnitarioLicitado&gt;$AN172)),"ACIMA REF.","")))))</f>
        <v/>
      </c>
      <c r="AD172" s="100" t="str">
        <f ca="1">IF(C172&lt;=CRONO.NivelExibicao,MAX($AD$15:OFFSET(AD172,-1,0))+IF($C172&lt;&gt;1,1,MAX(1,COUNTIF(QCI!$A$13:$A$24,OFFSET($E172,-1,0)))),"")</f>
        <v/>
      </c>
      <c r="AE172" s="110" t="b">
        <f ca="1">IF(AND($C172="S",ORÇAMENTO.CodBarra&lt;&gt;""),IF(ORÇAMENTO.Fonte="",ORÇAMENTO.CodBarra,CONCATENATE(ORÇAMENTO.Fonte," ",ORÇAMENTO.CodBarra)))</f>
        <v>0</v>
      </c>
      <c r="AF172" s="155" t="str">
        <f ca="1">IF(ISERROR(INDIRECT(ORÇAMENTO.BancoRef)),"(abra o arquivo 'Referência "&amp;Excel_BuiltIn_Database&amp;".xlsm)",IF(OR($C172&lt;&gt;"S",ORÇAMENTO.CodBarra=""),"(Sem Código)",IF(ISERROR(MATCH($AE172,INDIRECT(ORÇAMENTO.BancoRef),0)),"(Código não identificado nas referências)",MATCH($AE172,INDIRECT(ORÇAMENTO.BancoRef),0))))</f>
        <v>(abra o arquivo 'Referência 11-2024.xlsm)</v>
      </c>
      <c r="AG172" s="574">
        <f ca="1">ROUND(IF(DESONERACAO="sim",REFERENCIA.Desonerado,REFERENCIA.NaoDesonerado),2)</f>
        <v>0</v>
      </c>
      <c r="AH172" s="575">
        <f t="shared" ca="1" si="65"/>
        <v>0.22</v>
      </c>
      <c r="AJ172" s="577"/>
      <c r="AL172" s="607"/>
      <c r="AM172" s="426">
        <f t="shared" ca="1" si="66"/>
        <v>0</v>
      </c>
      <c r="AN172" s="650">
        <f t="shared" ca="1" si="67"/>
        <v>0</v>
      </c>
    </row>
    <row r="173" spans="1:40" ht="13.8" hidden="1">
      <c r="A173" t="str">
        <f t="shared" si="51"/>
        <v>S</v>
      </c>
      <c r="B173">
        <f t="shared" ca="1" si="52"/>
        <v>2</v>
      </c>
      <c r="C173" t="str">
        <f t="shared" ca="1" si="53"/>
        <v>S</v>
      </c>
      <c r="D173">
        <f t="shared" ca="1" si="54"/>
        <v>0</v>
      </c>
      <c r="E173">
        <f ca="1">IF($C173=1,OFFSET(E173,-1,0)+MAX(1,COUNTIF(QCI!$A$13:$A$24,OFFSET(ORÇAMENTO!E173,-1,0))),OFFSET(E173,-1,0))</f>
        <v>1</v>
      </c>
      <c r="F173">
        <f t="shared" ca="1" si="55"/>
        <v>5</v>
      </c>
      <c r="G173">
        <f t="shared" ca="1" si="56"/>
        <v>0</v>
      </c>
      <c r="H173">
        <f t="shared" ca="1" si="57"/>
        <v>0</v>
      </c>
      <c r="I173">
        <f t="shared" ca="1" si="58"/>
        <v>2</v>
      </c>
      <c r="J173">
        <f t="shared" ca="1" si="59"/>
        <v>0</v>
      </c>
      <c r="K173">
        <f ca="1">IF(OR($C173="S",$C173=0),0,MATCH(OFFSET($D173,0,$C173)+IF($C173&lt;&gt;1,1,COUNTIF(QCI!$A$13:$A$24,ORÇAMENTO!E173)),OFFSET($D173,1,$C173,ROW($C$264)-ROW($C173)),0))</f>
        <v>0</v>
      </c>
      <c r="L173" s="139" t="str">
        <f t="shared" ca="1" si="60"/>
        <v/>
      </c>
      <c r="M173" s="140" t="s">
        <v>199</v>
      </c>
      <c r="N173" s="141" t="str">
        <f t="shared" ca="1" si="61"/>
        <v>Serviço</v>
      </c>
      <c r="O173" s="142" t="str">
        <f t="shared" ca="1" si="62"/>
        <v>-</v>
      </c>
      <c r="P173" s="143" t="s">
        <v>247</v>
      </c>
      <c r="Q173" s="144"/>
      <c r="R173" s="145" t="str">
        <f ca="1">IF($C173="S",REFERENCIA.Descricao,"(digite a descrição aqui)")</f>
        <v>(abra o arquivo 'Referência 11-2024.xlsm)</v>
      </c>
      <c r="S173" s="146" t="str">
        <f ca="1">REFERENCIA.Unidade</f>
        <v>-</v>
      </c>
      <c r="T173" s="147">
        <f ca="1">OFFSET(CÁLCULO!H$15,ROW($T173)-ROW(T$15),0)</f>
        <v>0</v>
      </c>
      <c r="U173" s="148"/>
      <c r="V173" s="149" t="s">
        <v>156</v>
      </c>
      <c r="W173" s="147">
        <f ca="1">IF($C173="S",ROUND(IF(TIPOORCAMENTO="Proposto",ORÇAMENTO.CustoUnitario*(1+$AH173),ORÇAMENTO.PrecoUnitarioLicitado),15-13*$AF$10),0)</f>
        <v>0</v>
      </c>
      <c r="X173" s="150">
        <f ca="1">IF($C173="S",IF(Import.TipoArredondamento&lt;&gt;"TransfereGOV",VTOTAL1,SUM(OFFSET(CÁLCULO!$AA$15,ROW($X173)-ROW($X$15),1):OFFSET(CÁLCULO!$AL$15,ROW($X173)-ROW($X$15),-1))),IF($C173=0,0,ROUND(SomaAgrup,15-13*$AF$11)))</f>
        <v>0</v>
      </c>
      <c r="Y173" s="151" t="s">
        <v>245</v>
      </c>
      <c r="Z173" t="str">
        <f t="shared" ca="1" si="63"/>
        <v/>
      </c>
      <c r="AA173" s="152">
        <f ca="1">IF($C173="S",IF($Z173="CP",$X173,IF($Z173="RA",(($X173)*QCI!$AA$3),0)),SomaAgrup)</f>
        <v>0</v>
      </c>
      <c r="AB173" s="153">
        <f t="shared" ca="1" si="64"/>
        <v>0</v>
      </c>
      <c r="AC173" s="154" t="str">
        <f ca="1">IF($N173="","",IF(ORÇAMENTO.Descricao="","DESCRIÇÃO",IF(AND($C173="S",ORÇAMENTO.Unidade=""),"UNIDADE",IF($X173&lt;0,"VALOR NEGATIVO",IF(OR(AND(TIPOORCAMENTO="Proposto",$AG173&lt;&gt;"",$AG173&gt;0,ORÇAMENTO.CustoUnitario&gt;$AG173),AND(TIPOORCAMENTO="LICITADO",ORÇAMENTO.PrecoUnitarioLicitado&gt;$AN173)),"ACIMA REF.","")))))</f>
        <v/>
      </c>
      <c r="AD173" s="100" t="str">
        <f ca="1">IF(C173&lt;=CRONO.NivelExibicao,MAX($AD$15:OFFSET(AD173,-1,0))+IF($C173&lt;&gt;1,1,MAX(1,COUNTIF(QCI!$A$13:$A$24,OFFSET($E173,-1,0)))),"")</f>
        <v/>
      </c>
      <c r="AE173" s="110" t="b">
        <f ca="1">IF(AND($C173="S",ORÇAMENTO.CodBarra&lt;&gt;""),IF(ORÇAMENTO.Fonte="",ORÇAMENTO.CodBarra,CONCATENATE(ORÇAMENTO.Fonte," ",ORÇAMENTO.CodBarra)))</f>
        <v>0</v>
      </c>
      <c r="AF173" s="155" t="str">
        <f ca="1">IF(ISERROR(INDIRECT(ORÇAMENTO.BancoRef)),"(abra o arquivo 'Referência "&amp;Excel_BuiltIn_Database&amp;".xlsm)",IF(OR($C173&lt;&gt;"S",ORÇAMENTO.CodBarra=""),"(Sem Código)",IF(ISERROR(MATCH($AE173,INDIRECT(ORÇAMENTO.BancoRef),0)),"(Código não identificado nas referências)",MATCH($AE173,INDIRECT(ORÇAMENTO.BancoRef),0))))</f>
        <v>(abra o arquivo 'Referência 11-2024.xlsm)</v>
      </c>
      <c r="AG173" s="574">
        <f ca="1">ROUND(IF(DESONERACAO="sim",REFERENCIA.Desonerado,REFERENCIA.NaoDesonerado),2)</f>
        <v>0</v>
      </c>
      <c r="AH173" s="575">
        <f t="shared" ca="1" si="65"/>
        <v>0.22</v>
      </c>
      <c r="AJ173" s="577"/>
      <c r="AL173" s="607"/>
      <c r="AM173" s="426">
        <f t="shared" ca="1" si="66"/>
        <v>0</v>
      </c>
      <c r="AN173" s="650">
        <f t="shared" ca="1" si="67"/>
        <v>0</v>
      </c>
    </row>
    <row r="174" spans="1:40" ht="13.8" hidden="1">
      <c r="A174" t="str">
        <f t="shared" si="51"/>
        <v>S</v>
      </c>
      <c r="B174">
        <f t="shared" ca="1" si="52"/>
        <v>2</v>
      </c>
      <c r="C174" t="str">
        <f t="shared" ca="1" si="53"/>
        <v>S</v>
      </c>
      <c r="D174">
        <f t="shared" ca="1" si="54"/>
        <v>0</v>
      </c>
      <c r="E174">
        <f ca="1">IF($C174=1,OFFSET(E174,-1,0)+MAX(1,COUNTIF(QCI!$A$13:$A$24,OFFSET(ORÇAMENTO!E174,-1,0))),OFFSET(E174,-1,0))</f>
        <v>1</v>
      </c>
      <c r="F174">
        <f t="shared" ca="1" si="55"/>
        <v>5</v>
      </c>
      <c r="G174">
        <f t="shared" ca="1" si="56"/>
        <v>0</v>
      </c>
      <c r="H174">
        <f t="shared" ca="1" si="57"/>
        <v>0</v>
      </c>
      <c r="I174">
        <f t="shared" ca="1" si="58"/>
        <v>2</v>
      </c>
      <c r="J174">
        <f t="shared" ca="1" si="59"/>
        <v>0</v>
      </c>
      <c r="K174">
        <f ca="1">IF(OR($C174="S",$C174=0),0,MATCH(OFFSET($D174,0,$C174)+IF($C174&lt;&gt;1,1,COUNTIF(QCI!$A$13:$A$24,ORÇAMENTO!E174)),OFFSET($D174,1,$C174,ROW($C$264)-ROW($C174)),0))</f>
        <v>0</v>
      </c>
      <c r="L174" s="139" t="str">
        <f t="shared" ca="1" si="60"/>
        <v/>
      </c>
      <c r="M174" s="140" t="s">
        <v>199</v>
      </c>
      <c r="N174" s="141" t="str">
        <f t="shared" ca="1" si="61"/>
        <v>Serviço</v>
      </c>
      <c r="O174" s="142" t="str">
        <f t="shared" ca="1" si="62"/>
        <v>-</v>
      </c>
      <c r="P174" s="143" t="s">
        <v>247</v>
      </c>
      <c r="Q174" s="144"/>
      <c r="R174" s="145" t="str">
        <f ca="1">IF($C174="S",REFERENCIA.Descricao,"(digite a descrição aqui)")</f>
        <v>(abra o arquivo 'Referência 11-2024.xlsm)</v>
      </c>
      <c r="S174" s="146" t="str">
        <f ca="1">REFERENCIA.Unidade</f>
        <v>-</v>
      </c>
      <c r="T174" s="147">
        <f ca="1">OFFSET(CÁLCULO!H$15,ROW($T174)-ROW(T$15),0)</f>
        <v>0</v>
      </c>
      <c r="U174" s="148"/>
      <c r="V174" s="149" t="s">
        <v>156</v>
      </c>
      <c r="W174" s="147">
        <f ca="1">IF($C174="S",ROUND(IF(TIPOORCAMENTO="Proposto",ORÇAMENTO.CustoUnitario*(1+$AH174),ORÇAMENTO.PrecoUnitarioLicitado),15-13*$AF$10),0)</f>
        <v>0</v>
      </c>
      <c r="X174" s="150">
        <f ca="1">IF($C174="S",IF(Import.TipoArredondamento&lt;&gt;"TransfereGOV",VTOTAL1,SUM(OFFSET(CÁLCULO!$AA$15,ROW($X174)-ROW($X$15),1):OFFSET(CÁLCULO!$AL$15,ROW($X174)-ROW($X$15),-1))),IF($C174=0,0,ROUND(SomaAgrup,15-13*$AF$11)))</f>
        <v>0</v>
      </c>
      <c r="Y174" s="151" t="s">
        <v>245</v>
      </c>
      <c r="Z174" t="str">
        <f t="shared" ca="1" si="63"/>
        <v/>
      </c>
      <c r="AA174" s="152">
        <f ca="1">IF($C174="S",IF($Z174="CP",$X174,IF($Z174="RA",(($X174)*QCI!$AA$3),0)),SomaAgrup)</f>
        <v>0</v>
      </c>
      <c r="AB174" s="153">
        <f t="shared" ca="1" si="64"/>
        <v>0</v>
      </c>
      <c r="AC174" s="154" t="str">
        <f ca="1">IF($N174="","",IF(ORÇAMENTO.Descricao="","DESCRIÇÃO",IF(AND($C174="S",ORÇAMENTO.Unidade=""),"UNIDADE",IF($X174&lt;0,"VALOR NEGATIVO",IF(OR(AND(TIPOORCAMENTO="Proposto",$AG174&lt;&gt;"",$AG174&gt;0,ORÇAMENTO.CustoUnitario&gt;$AG174),AND(TIPOORCAMENTO="LICITADO",ORÇAMENTO.PrecoUnitarioLicitado&gt;$AN174)),"ACIMA REF.","")))))</f>
        <v/>
      </c>
      <c r="AD174" s="100" t="str">
        <f ca="1">IF(C174&lt;=CRONO.NivelExibicao,MAX($AD$15:OFFSET(AD174,-1,0))+IF($C174&lt;&gt;1,1,MAX(1,COUNTIF(QCI!$A$13:$A$24,OFFSET($E174,-1,0)))),"")</f>
        <v/>
      </c>
      <c r="AE174" s="110" t="b">
        <f ca="1">IF(AND($C174="S",ORÇAMENTO.CodBarra&lt;&gt;""),IF(ORÇAMENTO.Fonte="",ORÇAMENTO.CodBarra,CONCATENATE(ORÇAMENTO.Fonte," ",ORÇAMENTO.CodBarra)))</f>
        <v>0</v>
      </c>
      <c r="AF174" s="155" t="str">
        <f ca="1">IF(ISERROR(INDIRECT(ORÇAMENTO.BancoRef)),"(abra o arquivo 'Referência "&amp;Excel_BuiltIn_Database&amp;".xlsm)",IF(OR($C174&lt;&gt;"S",ORÇAMENTO.CodBarra=""),"(Sem Código)",IF(ISERROR(MATCH($AE174,INDIRECT(ORÇAMENTO.BancoRef),0)),"(Código não identificado nas referências)",MATCH($AE174,INDIRECT(ORÇAMENTO.BancoRef),0))))</f>
        <v>(abra o arquivo 'Referência 11-2024.xlsm)</v>
      </c>
      <c r="AG174" s="574">
        <f ca="1">ROUND(IF(DESONERACAO="sim",REFERENCIA.Desonerado,REFERENCIA.NaoDesonerado),2)</f>
        <v>0</v>
      </c>
      <c r="AH174" s="575">
        <f t="shared" ca="1" si="65"/>
        <v>0.22</v>
      </c>
      <c r="AJ174" s="577"/>
      <c r="AL174" s="607"/>
      <c r="AM174" s="426">
        <f t="shared" ca="1" si="66"/>
        <v>0</v>
      </c>
      <c r="AN174" s="650">
        <f t="shared" ca="1" si="67"/>
        <v>0</v>
      </c>
    </row>
    <row r="175" spans="1:40" ht="13.8" hidden="1">
      <c r="A175" t="str">
        <f t="shared" si="51"/>
        <v>S</v>
      </c>
      <c r="B175">
        <f t="shared" ca="1" si="52"/>
        <v>2</v>
      </c>
      <c r="C175" t="str">
        <f t="shared" ca="1" si="53"/>
        <v>S</v>
      </c>
      <c r="D175">
        <f t="shared" ca="1" si="54"/>
        <v>0</v>
      </c>
      <c r="E175">
        <f ca="1">IF($C175=1,OFFSET(E175,-1,0)+MAX(1,COUNTIF(QCI!$A$13:$A$24,OFFSET(ORÇAMENTO!E175,-1,0))),OFFSET(E175,-1,0))</f>
        <v>1</v>
      </c>
      <c r="F175">
        <f t="shared" ca="1" si="55"/>
        <v>5</v>
      </c>
      <c r="G175">
        <f t="shared" ca="1" si="56"/>
        <v>0</v>
      </c>
      <c r="H175">
        <f t="shared" ca="1" si="57"/>
        <v>0</v>
      </c>
      <c r="I175">
        <f t="shared" ca="1" si="58"/>
        <v>2</v>
      </c>
      <c r="J175">
        <f t="shared" ca="1" si="59"/>
        <v>0</v>
      </c>
      <c r="K175">
        <f ca="1">IF(OR($C175="S",$C175=0),0,MATCH(OFFSET($D175,0,$C175)+IF($C175&lt;&gt;1,1,COUNTIF(QCI!$A$13:$A$24,ORÇAMENTO!E175)),OFFSET($D175,1,$C175,ROW($C$264)-ROW($C175)),0))</f>
        <v>0</v>
      </c>
      <c r="L175" s="139" t="str">
        <f t="shared" ca="1" si="60"/>
        <v/>
      </c>
      <c r="M175" s="140" t="s">
        <v>199</v>
      </c>
      <c r="N175" s="141" t="str">
        <f t="shared" ca="1" si="61"/>
        <v>Serviço</v>
      </c>
      <c r="O175" s="142" t="str">
        <f t="shared" ca="1" si="62"/>
        <v>-</v>
      </c>
      <c r="P175" s="143" t="s">
        <v>247</v>
      </c>
      <c r="Q175" s="144"/>
      <c r="R175" s="145" t="str">
        <f ca="1">IF($C175="S",REFERENCIA.Descricao,"(digite a descrição aqui)")</f>
        <v>(abra o arquivo 'Referência 11-2024.xlsm)</v>
      </c>
      <c r="S175" s="146" t="str">
        <f ca="1">REFERENCIA.Unidade</f>
        <v>-</v>
      </c>
      <c r="T175" s="147">
        <f ca="1">OFFSET(CÁLCULO!H$15,ROW($T175)-ROW(T$15),0)</f>
        <v>0</v>
      </c>
      <c r="U175" s="148"/>
      <c r="V175" s="149" t="s">
        <v>156</v>
      </c>
      <c r="W175" s="147">
        <f ca="1">IF($C175="S",ROUND(IF(TIPOORCAMENTO="Proposto",ORÇAMENTO.CustoUnitario*(1+$AH175),ORÇAMENTO.PrecoUnitarioLicitado),15-13*$AF$10),0)</f>
        <v>0</v>
      </c>
      <c r="X175" s="150">
        <f ca="1">IF($C175="S",IF(Import.TipoArredondamento&lt;&gt;"TransfereGOV",VTOTAL1,SUM(OFFSET(CÁLCULO!$AA$15,ROW($X175)-ROW($X$15),1):OFFSET(CÁLCULO!$AL$15,ROW($X175)-ROW($X$15),-1))),IF($C175=0,0,ROUND(SomaAgrup,15-13*$AF$11)))</f>
        <v>0</v>
      </c>
      <c r="Y175" s="151" t="s">
        <v>245</v>
      </c>
      <c r="Z175" t="str">
        <f t="shared" ca="1" si="63"/>
        <v/>
      </c>
      <c r="AA175" s="152">
        <f ca="1">IF($C175="S",IF($Z175="CP",$X175,IF($Z175="RA",(($X175)*QCI!$AA$3),0)),SomaAgrup)</f>
        <v>0</v>
      </c>
      <c r="AB175" s="153">
        <f t="shared" ca="1" si="64"/>
        <v>0</v>
      </c>
      <c r="AC175" s="154" t="str">
        <f ca="1">IF($N175="","",IF(ORÇAMENTO.Descricao="","DESCRIÇÃO",IF(AND($C175="S",ORÇAMENTO.Unidade=""),"UNIDADE",IF($X175&lt;0,"VALOR NEGATIVO",IF(OR(AND(TIPOORCAMENTO="Proposto",$AG175&lt;&gt;"",$AG175&gt;0,ORÇAMENTO.CustoUnitario&gt;$AG175),AND(TIPOORCAMENTO="LICITADO",ORÇAMENTO.PrecoUnitarioLicitado&gt;$AN175)),"ACIMA REF.","")))))</f>
        <v/>
      </c>
      <c r="AD175" s="100" t="str">
        <f ca="1">IF(C175&lt;=CRONO.NivelExibicao,MAX($AD$15:OFFSET(AD175,-1,0))+IF($C175&lt;&gt;1,1,MAX(1,COUNTIF(QCI!$A$13:$A$24,OFFSET($E175,-1,0)))),"")</f>
        <v/>
      </c>
      <c r="AE175" s="110" t="b">
        <f ca="1">IF(AND($C175="S",ORÇAMENTO.CodBarra&lt;&gt;""),IF(ORÇAMENTO.Fonte="",ORÇAMENTO.CodBarra,CONCATENATE(ORÇAMENTO.Fonte," ",ORÇAMENTO.CodBarra)))</f>
        <v>0</v>
      </c>
      <c r="AF175" s="155" t="str">
        <f ca="1">IF(ISERROR(INDIRECT(ORÇAMENTO.BancoRef)),"(abra o arquivo 'Referência "&amp;Excel_BuiltIn_Database&amp;".xlsm)",IF(OR($C175&lt;&gt;"S",ORÇAMENTO.CodBarra=""),"(Sem Código)",IF(ISERROR(MATCH($AE175,INDIRECT(ORÇAMENTO.BancoRef),0)),"(Código não identificado nas referências)",MATCH($AE175,INDIRECT(ORÇAMENTO.BancoRef),0))))</f>
        <v>(abra o arquivo 'Referência 11-2024.xlsm)</v>
      </c>
      <c r="AG175" s="574">
        <f ca="1">ROUND(IF(DESONERACAO="sim",REFERENCIA.Desonerado,REFERENCIA.NaoDesonerado),2)</f>
        <v>0</v>
      </c>
      <c r="AH175" s="575">
        <f t="shared" ca="1" si="65"/>
        <v>0.22</v>
      </c>
      <c r="AJ175" s="577"/>
      <c r="AL175" s="607"/>
      <c r="AM175" s="426">
        <f t="shared" ca="1" si="66"/>
        <v>0</v>
      </c>
      <c r="AN175" s="650">
        <f t="shared" ca="1" si="67"/>
        <v>0</v>
      </c>
    </row>
    <row r="176" spans="1:40" ht="13.8" hidden="1">
      <c r="A176" t="str">
        <f t="shared" si="51"/>
        <v>S</v>
      </c>
      <c r="B176">
        <f t="shared" ca="1" si="52"/>
        <v>2</v>
      </c>
      <c r="C176" t="str">
        <f t="shared" ca="1" si="53"/>
        <v>S</v>
      </c>
      <c r="D176">
        <f t="shared" ca="1" si="54"/>
        <v>0</v>
      </c>
      <c r="E176">
        <f ca="1">IF($C176=1,OFFSET(E176,-1,0)+MAX(1,COUNTIF(QCI!$A$13:$A$24,OFFSET(ORÇAMENTO!E176,-1,0))),OFFSET(E176,-1,0))</f>
        <v>1</v>
      </c>
      <c r="F176">
        <f t="shared" ca="1" si="55"/>
        <v>5</v>
      </c>
      <c r="G176">
        <f t="shared" ca="1" si="56"/>
        <v>0</v>
      </c>
      <c r="H176">
        <f t="shared" ca="1" si="57"/>
        <v>0</v>
      </c>
      <c r="I176">
        <f t="shared" ca="1" si="58"/>
        <v>2</v>
      </c>
      <c r="J176">
        <f t="shared" ca="1" si="59"/>
        <v>0</v>
      </c>
      <c r="K176">
        <f ca="1">IF(OR($C176="S",$C176=0),0,MATCH(OFFSET($D176,0,$C176)+IF($C176&lt;&gt;1,1,COUNTIF(QCI!$A$13:$A$24,ORÇAMENTO!E176)),OFFSET($D176,1,$C176,ROW($C$264)-ROW($C176)),0))</f>
        <v>0</v>
      </c>
      <c r="L176" s="139" t="str">
        <f t="shared" ca="1" si="60"/>
        <v/>
      </c>
      <c r="M176" s="140" t="s">
        <v>199</v>
      </c>
      <c r="N176" s="141" t="str">
        <f t="shared" ca="1" si="61"/>
        <v>Serviço</v>
      </c>
      <c r="O176" s="142" t="str">
        <f t="shared" ca="1" si="62"/>
        <v>-</v>
      </c>
      <c r="P176" s="143" t="s">
        <v>247</v>
      </c>
      <c r="Q176" s="144"/>
      <c r="R176" s="145" t="str">
        <f ca="1">IF($C176="S",REFERENCIA.Descricao,"(digite a descrição aqui)")</f>
        <v>(abra o arquivo 'Referência 11-2024.xlsm)</v>
      </c>
      <c r="S176" s="146" t="str">
        <f ca="1">REFERENCIA.Unidade</f>
        <v>-</v>
      </c>
      <c r="T176" s="147">
        <f ca="1">OFFSET(CÁLCULO!H$15,ROW($T176)-ROW(T$15),0)</f>
        <v>0</v>
      </c>
      <c r="U176" s="148"/>
      <c r="V176" s="149" t="s">
        <v>156</v>
      </c>
      <c r="W176" s="147">
        <f ca="1">IF($C176="S",ROUND(IF(TIPOORCAMENTO="Proposto",ORÇAMENTO.CustoUnitario*(1+$AH176),ORÇAMENTO.PrecoUnitarioLicitado),15-13*$AF$10),0)</f>
        <v>0</v>
      </c>
      <c r="X176" s="150">
        <f ca="1">IF($C176="S",IF(Import.TipoArredondamento&lt;&gt;"TransfereGOV",VTOTAL1,SUM(OFFSET(CÁLCULO!$AA$15,ROW($X176)-ROW($X$15),1):OFFSET(CÁLCULO!$AL$15,ROW($X176)-ROW($X$15),-1))),IF($C176=0,0,ROUND(SomaAgrup,15-13*$AF$11)))</f>
        <v>0</v>
      </c>
      <c r="Y176" s="151" t="s">
        <v>245</v>
      </c>
      <c r="Z176" t="str">
        <f t="shared" ca="1" si="63"/>
        <v/>
      </c>
      <c r="AA176" s="152">
        <f ca="1">IF($C176="S",IF($Z176="CP",$X176,IF($Z176="RA",(($X176)*QCI!$AA$3),0)),SomaAgrup)</f>
        <v>0</v>
      </c>
      <c r="AB176" s="153">
        <f t="shared" ca="1" si="64"/>
        <v>0</v>
      </c>
      <c r="AC176" s="154" t="str">
        <f ca="1">IF($N176="","",IF(ORÇAMENTO.Descricao="","DESCRIÇÃO",IF(AND($C176="S",ORÇAMENTO.Unidade=""),"UNIDADE",IF($X176&lt;0,"VALOR NEGATIVO",IF(OR(AND(TIPOORCAMENTO="Proposto",$AG176&lt;&gt;"",$AG176&gt;0,ORÇAMENTO.CustoUnitario&gt;$AG176),AND(TIPOORCAMENTO="LICITADO",ORÇAMENTO.PrecoUnitarioLicitado&gt;$AN176)),"ACIMA REF.","")))))</f>
        <v/>
      </c>
      <c r="AD176" s="100" t="str">
        <f ca="1">IF(C176&lt;=CRONO.NivelExibicao,MAX($AD$15:OFFSET(AD176,-1,0))+IF($C176&lt;&gt;1,1,MAX(1,COUNTIF(QCI!$A$13:$A$24,OFFSET($E176,-1,0)))),"")</f>
        <v/>
      </c>
      <c r="AE176" s="110" t="b">
        <f ca="1">IF(AND($C176="S",ORÇAMENTO.CodBarra&lt;&gt;""),IF(ORÇAMENTO.Fonte="",ORÇAMENTO.CodBarra,CONCATENATE(ORÇAMENTO.Fonte," ",ORÇAMENTO.CodBarra)))</f>
        <v>0</v>
      </c>
      <c r="AF176" s="155" t="str">
        <f ca="1">IF(ISERROR(INDIRECT(ORÇAMENTO.BancoRef)),"(abra o arquivo 'Referência "&amp;Excel_BuiltIn_Database&amp;".xlsm)",IF(OR($C176&lt;&gt;"S",ORÇAMENTO.CodBarra=""),"(Sem Código)",IF(ISERROR(MATCH($AE176,INDIRECT(ORÇAMENTO.BancoRef),0)),"(Código não identificado nas referências)",MATCH($AE176,INDIRECT(ORÇAMENTO.BancoRef),0))))</f>
        <v>(abra o arquivo 'Referência 11-2024.xlsm)</v>
      </c>
      <c r="AG176" s="574">
        <f ca="1">ROUND(IF(DESONERACAO="sim",REFERENCIA.Desonerado,REFERENCIA.NaoDesonerado),2)</f>
        <v>0</v>
      </c>
      <c r="AH176" s="575">
        <f t="shared" ca="1" si="65"/>
        <v>0.22</v>
      </c>
      <c r="AJ176" s="577"/>
      <c r="AL176" s="607"/>
      <c r="AM176" s="426">
        <f t="shared" ca="1" si="66"/>
        <v>0</v>
      </c>
      <c r="AN176" s="650">
        <f t="shared" ca="1" si="67"/>
        <v>0</v>
      </c>
    </row>
    <row r="177" spans="1:40" ht="13.8" hidden="1">
      <c r="A177" t="str">
        <f t="shared" si="51"/>
        <v>S</v>
      </c>
      <c r="B177">
        <f t="shared" ca="1" si="52"/>
        <v>2</v>
      </c>
      <c r="C177" t="str">
        <f t="shared" ca="1" si="53"/>
        <v>S</v>
      </c>
      <c r="D177">
        <f t="shared" ca="1" si="54"/>
        <v>0</v>
      </c>
      <c r="E177">
        <f ca="1">IF($C177=1,OFFSET(E177,-1,0)+MAX(1,COUNTIF(QCI!$A$13:$A$24,OFFSET(ORÇAMENTO!E177,-1,0))),OFFSET(E177,-1,0))</f>
        <v>1</v>
      </c>
      <c r="F177">
        <f t="shared" ca="1" si="55"/>
        <v>5</v>
      </c>
      <c r="G177">
        <f t="shared" ca="1" si="56"/>
        <v>0</v>
      </c>
      <c r="H177">
        <f t="shared" ca="1" si="57"/>
        <v>0</v>
      </c>
      <c r="I177">
        <f t="shared" ca="1" si="58"/>
        <v>2</v>
      </c>
      <c r="J177">
        <f t="shared" ca="1" si="59"/>
        <v>0</v>
      </c>
      <c r="K177">
        <f ca="1">IF(OR($C177="S",$C177=0),0,MATCH(OFFSET($D177,0,$C177)+IF($C177&lt;&gt;1,1,COUNTIF(QCI!$A$13:$A$24,ORÇAMENTO!E177)),OFFSET($D177,1,$C177,ROW($C$264)-ROW($C177)),0))</f>
        <v>0</v>
      </c>
      <c r="L177" s="139" t="str">
        <f t="shared" ca="1" si="60"/>
        <v/>
      </c>
      <c r="M177" s="140" t="s">
        <v>199</v>
      </c>
      <c r="N177" s="141" t="str">
        <f t="shared" ca="1" si="61"/>
        <v>Serviço</v>
      </c>
      <c r="O177" s="142" t="str">
        <f t="shared" ca="1" si="62"/>
        <v>-</v>
      </c>
      <c r="P177" s="143" t="s">
        <v>247</v>
      </c>
      <c r="Q177" s="144"/>
      <c r="R177" s="145" t="str">
        <f ca="1">IF($C177="S",REFERENCIA.Descricao,"(digite a descrição aqui)")</f>
        <v>(abra o arquivo 'Referência 11-2024.xlsm)</v>
      </c>
      <c r="S177" s="146" t="str">
        <f ca="1">REFERENCIA.Unidade</f>
        <v>-</v>
      </c>
      <c r="T177" s="147">
        <f ca="1">OFFSET(CÁLCULO!H$15,ROW($T177)-ROW(T$15),0)</f>
        <v>0</v>
      </c>
      <c r="U177" s="148"/>
      <c r="V177" s="149" t="s">
        <v>156</v>
      </c>
      <c r="W177" s="147">
        <f ca="1">IF($C177="S",ROUND(IF(TIPOORCAMENTO="Proposto",ORÇAMENTO.CustoUnitario*(1+$AH177),ORÇAMENTO.PrecoUnitarioLicitado),15-13*$AF$10),0)</f>
        <v>0</v>
      </c>
      <c r="X177" s="150">
        <f ca="1">IF($C177="S",IF(Import.TipoArredondamento&lt;&gt;"TransfereGOV",VTOTAL1,SUM(OFFSET(CÁLCULO!$AA$15,ROW($X177)-ROW($X$15),1):OFFSET(CÁLCULO!$AL$15,ROW($X177)-ROW($X$15),-1))),IF($C177=0,0,ROUND(SomaAgrup,15-13*$AF$11)))</f>
        <v>0</v>
      </c>
      <c r="Y177" s="151" t="s">
        <v>245</v>
      </c>
      <c r="Z177" t="str">
        <f t="shared" ca="1" si="63"/>
        <v/>
      </c>
      <c r="AA177" s="152">
        <f ca="1">IF($C177="S",IF($Z177="CP",$X177,IF($Z177="RA",(($X177)*QCI!$AA$3),0)),SomaAgrup)</f>
        <v>0</v>
      </c>
      <c r="AB177" s="153">
        <f t="shared" ca="1" si="64"/>
        <v>0</v>
      </c>
      <c r="AC177" s="154" t="str">
        <f ca="1">IF($N177="","",IF(ORÇAMENTO.Descricao="","DESCRIÇÃO",IF(AND($C177="S",ORÇAMENTO.Unidade=""),"UNIDADE",IF($X177&lt;0,"VALOR NEGATIVO",IF(OR(AND(TIPOORCAMENTO="Proposto",$AG177&lt;&gt;"",$AG177&gt;0,ORÇAMENTO.CustoUnitario&gt;$AG177),AND(TIPOORCAMENTO="LICITADO",ORÇAMENTO.PrecoUnitarioLicitado&gt;$AN177)),"ACIMA REF.","")))))</f>
        <v/>
      </c>
      <c r="AD177" s="100" t="str">
        <f ca="1">IF(C177&lt;=CRONO.NivelExibicao,MAX($AD$15:OFFSET(AD177,-1,0))+IF($C177&lt;&gt;1,1,MAX(1,COUNTIF(QCI!$A$13:$A$24,OFFSET($E177,-1,0)))),"")</f>
        <v/>
      </c>
      <c r="AE177" s="110" t="b">
        <f ca="1">IF(AND($C177="S",ORÇAMENTO.CodBarra&lt;&gt;""),IF(ORÇAMENTO.Fonte="",ORÇAMENTO.CodBarra,CONCATENATE(ORÇAMENTO.Fonte," ",ORÇAMENTO.CodBarra)))</f>
        <v>0</v>
      </c>
      <c r="AF177" s="155" t="str">
        <f ca="1">IF(ISERROR(INDIRECT(ORÇAMENTO.BancoRef)),"(abra o arquivo 'Referência "&amp;Excel_BuiltIn_Database&amp;".xlsm)",IF(OR($C177&lt;&gt;"S",ORÇAMENTO.CodBarra=""),"(Sem Código)",IF(ISERROR(MATCH($AE177,INDIRECT(ORÇAMENTO.BancoRef),0)),"(Código não identificado nas referências)",MATCH($AE177,INDIRECT(ORÇAMENTO.BancoRef),0))))</f>
        <v>(abra o arquivo 'Referência 11-2024.xlsm)</v>
      </c>
      <c r="AG177" s="574">
        <f ca="1">ROUND(IF(DESONERACAO="sim",REFERENCIA.Desonerado,REFERENCIA.NaoDesonerado),2)</f>
        <v>0</v>
      </c>
      <c r="AH177" s="575">
        <f t="shared" ca="1" si="65"/>
        <v>0.22</v>
      </c>
      <c r="AJ177" s="577"/>
      <c r="AL177" s="607"/>
      <c r="AM177" s="426">
        <f t="shared" ca="1" si="66"/>
        <v>0</v>
      </c>
      <c r="AN177" s="650">
        <f t="shared" ca="1" si="67"/>
        <v>0</v>
      </c>
    </row>
    <row r="178" spans="1:40" ht="13.8" hidden="1">
      <c r="A178" t="str">
        <f t="shared" si="51"/>
        <v>S</v>
      </c>
      <c r="B178">
        <f t="shared" ca="1" si="52"/>
        <v>2</v>
      </c>
      <c r="C178" t="str">
        <f t="shared" ca="1" si="53"/>
        <v>S</v>
      </c>
      <c r="D178">
        <f t="shared" ca="1" si="54"/>
        <v>0</v>
      </c>
      <c r="E178">
        <f ca="1">IF($C178=1,OFFSET(E178,-1,0)+MAX(1,COUNTIF(QCI!$A$13:$A$24,OFFSET(ORÇAMENTO!E178,-1,0))),OFFSET(E178,-1,0))</f>
        <v>1</v>
      </c>
      <c r="F178">
        <f t="shared" ca="1" si="55"/>
        <v>5</v>
      </c>
      <c r="G178">
        <f t="shared" ca="1" si="56"/>
        <v>0</v>
      </c>
      <c r="H178">
        <f t="shared" ca="1" si="57"/>
        <v>0</v>
      </c>
      <c r="I178">
        <f t="shared" ca="1" si="58"/>
        <v>2</v>
      </c>
      <c r="J178">
        <f t="shared" ca="1" si="59"/>
        <v>0</v>
      </c>
      <c r="K178">
        <f ca="1">IF(OR($C178="S",$C178=0),0,MATCH(OFFSET($D178,0,$C178)+IF($C178&lt;&gt;1,1,COUNTIF(QCI!$A$13:$A$24,ORÇAMENTO!E178)),OFFSET($D178,1,$C178,ROW($C$264)-ROW($C178)),0))</f>
        <v>0</v>
      </c>
      <c r="L178" s="139" t="str">
        <f t="shared" ca="1" si="60"/>
        <v/>
      </c>
      <c r="M178" s="140" t="s">
        <v>199</v>
      </c>
      <c r="N178" s="141" t="str">
        <f t="shared" ca="1" si="61"/>
        <v>Serviço</v>
      </c>
      <c r="O178" s="142" t="str">
        <f t="shared" ca="1" si="62"/>
        <v>-</v>
      </c>
      <c r="P178" s="143" t="s">
        <v>247</v>
      </c>
      <c r="Q178" s="144"/>
      <c r="R178" s="145" t="str">
        <f ca="1">IF($C178="S",REFERENCIA.Descricao,"(digite a descrição aqui)")</f>
        <v>(abra o arquivo 'Referência 11-2024.xlsm)</v>
      </c>
      <c r="S178" s="146" t="str">
        <f ca="1">REFERENCIA.Unidade</f>
        <v>-</v>
      </c>
      <c r="T178" s="147">
        <f ca="1">OFFSET(CÁLCULO!H$15,ROW($T178)-ROW(T$15),0)</f>
        <v>0</v>
      </c>
      <c r="U178" s="148"/>
      <c r="V178" s="149" t="s">
        <v>156</v>
      </c>
      <c r="W178" s="147">
        <f ca="1">IF($C178="S",ROUND(IF(TIPOORCAMENTO="Proposto",ORÇAMENTO.CustoUnitario*(1+$AH178),ORÇAMENTO.PrecoUnitarioLicitado),15-13*$AF$10),0)</f>
        <v>0</v>
      </c>
      <c r="X178" s="150">
        <f ca="1">IF($C178="S",IF(Import.TipoArredondamento&lt;&gt;"TransfereGOV",VTOTAL1,SUM(OFFSET(CÁLCULO!$AA$15,ROW($X178)-ROW($X$15),1):OFFSET(CÁLCULO!$AL$15,ROW($X178)-ROW($X$15),-1))),IF($C178=0,0,ROUND(SomaAgrup,15-13*$AF$11)))</f>
        <v>0</v>
      </c>
      <c r="Y178" s="151" t="s">
        <v>245</v>
      </c>
      <c r="Z178" t="str">
        <f t="shared" ca="1" si="63"/>
        <v/>
      </c>
      <c r="AA178" s="152">
        <f ca="1">IF($C178="S",IF($Z178="CP",$X178,IF($Z178="RA",(($X178)*QCI!$AA$3),0)),SomaAgrup)</f>
        <v>0</v>
      </c>
      <c r="AB178" s="153">
        <f t="shared" ca="1" si="64"/>
        <v>0</v>
      </c>
      <c r="AC178" s="154" t="str">
        <f ca="1">IF($N178="","",IF(ORÇAMENTO.Descricao="","DESCRIÇÃO",IF(AND($C178="S",ORÇAMENTO.Unidade=""),"UNIDADE",IF($X178&lt;0,"VALOR NEGATIVO",IF(OR(AND(TIPOORCAMENTO="Proposto",$AG178&lt;&gt;"",$AG178&gt;0,ORÇAMENTO.CustoUnitario&gt;$AG178),AND(TIPOORCAMENTO="LICITADO",ORÇAMENTO.PrecoUnitarioLicitado&gt;$AN178)),"ACIMA REF.","")))))</f>
        <v/>
      </c>
      <c r="AD178" s="100" t="str">
        <f ca="1">IF(C178&lt;=CRONO.NivelExibicao,MAX($AD$15:OFFSET(AD178,-1,0))+IF($C178&lt;&gt;1,1,MAX(1,COUNTIF(QCI!$A$13:$A$24,OFFSET($E178,-1,0)))),"")</f>
        <v/>
      </c>
      <c r="AE178" s="110" t="b">
        <f ca="1">IF(AND($C178="S",ORÇAMENTO.CodBarra&lt;&gt;""),IF(ORÇAMENTO.Fonte="",ORÇAMENTO.CodBarra,CONCATENATE(ORÇAMENTO.Fonte," ",ORÇAMENTO.CodBarra)))</f>
        <v>0</v>
      </c>
      <c r="AF178" s="155" t="str">
        <f ca="1">IF(ISERROR(INDIRECT(ORÇAMENTO.BancoRef)),"(abra o arquivo 'Referência "&amp;Excel_BuiltIn_Database&amp;".xlsm)",IF(OR($C178&lt;&gt;"S",ORÇAMENTO.CodBarra=""),"(Sem Código)",IF(ISERROR(MATCH($AE178,INDIRECT(ORÇAMENTO.BancoRef),0)),"(Código não identificado nas referências)",MATCH($AE178,INDIRECT(ORÇAMENTO.BancoRef),0))))</f>
        <v>(abra o arquivo 'Referência 11-2024.xlsm)</v>
      </c>
      <c r="AG178" s="574">
        <f ca="1">ROUND(IF(DESONERACAO="sim",REFERENCIA.Desonerado,REFERENCIA.NaoDesonerado),2)</f>
        <v>0</v>
      </c>
      <c r="AH178" s="575">
        <f t="shared" ca="1" si="65"/>
        <v>0.22</v>
      </c>
      <c r="AJ178" s="577"/>
      <c r="AL178" s="607"/>
      <c r="AM178" s="426">
        <f t="shared" ca="1" si="66"/>
        <v>0</v>
      </c>
      <c r="AN178" s="650">
        <f t="shared" ca="1" si="67"/>
        <v>0</v>
      </c>
    </row>
    <row r="179" spans="1:40" ht="13.8" hidden="1">
      <c r="A179" t="str">
        <f t="shared" si="51"/>
        <v>S</v>
      </c>
      <c r="B179">
        <f t="shared" ca="1" si="52"/>
        <v>2</v>
      </c>
      <c r="C179" t="str">
        <f t="shared" ca="1" si="53"/>
        <v>S</v>
      </c>
      <c r="D179">
        <f t="shared" ca="1" si="54"/>
        <v>0</v>
      </c>
      <c r="E179">
        <f ca="1">IF($C179=1,OFFSET(E179,-1,0)+MAX(1,COUNTIF(QCI!$A$13:$A$24,OFFSET(ORÇAMENTO!E179,-1,0))),OFFSET(E179,-1,0))</f>
        <v>1</v>
      </c>
      <c r="F179">
        <f t="shared" ca="1" si="55"/>
        <v>5</v>
      </c>
      <c r="G179">
        <f t="shared" ca="1" si="56"/>
        <v>0</v>
      </c>
      <c r="H179">
        <f t="shared" ca="1" si="57"/>
        <v>0</v>
      </c>
      <c r="I179">
        <f t="shared" ca="1" si="58"/>
        <v>2</v>
      </c>
      <c r="J179">
        <f t="shared" ca="1" si="59"/>
        <v>0</v>
      </c>
      <c r="K179">
        <f ca="1">IF(OR($C179="S",$C179=0),0,MATCH(OFFSET($D179,0,$C179)+IF($C179&lt;&gt;1,1,COUNTIF(QCI!$A$13:$A$24,ORÇAMENTO!E179)),OFFSET($D179,1,$C179,ROW($C$264)-ROW($C179)),0))</f>
        <v>0</v>
      </c>
      <c r="L179" s="139" t="str">
        <f t="shared" ca="1" si="60"/>
        <v/>
      </c>
      <c r="M179" s="140" t="s">
        <v>199</v>
      </c>
      <c r="N179" s="141" t="str">
        <f t="shared" ca="1" si="61"/>
        <v>Serviço</v>
      </c>
      <c r="O179" s="142" t="str">
        <f t="shared" ca="1" si="62"/>
        <v>-</v>
      </c>
      <c r="P179" s="143" t="s">
        <v>247</v>
      </c>
      <c r="Q179" s="144"/>
      <c r="R179" s="145" t="str">
        <f ca="1">IF($C179="S",REFERENCIA.Descricao,"(digite a descrição aqui)")</f>
        <v>(abra o arquivo 'Referência 11-2024.xlsm)</v>
      </c>
      <c r="S179" s="146" t="str">
        <f ca="1">REFERENCIA.Unidade</f>
        <v>-</v>
      </c>
      <c r="T179" s="147">
        <f ca="1">OFFSET(CÁLCULO!H$15,ROW($T179)-ROW(T$15),0)</f>
        <v>0</v>
      </c>
      <c r="U179" s="148"/>
      <c r="V179" s="149" t="s">
        <v>156</v>
      </c>
      <c r="W179" s="147">
        <f ca="1">IF($C179="S",ROUND(IF(TIPOORCAMENTO="Proposto",ORÇAMENTO.CustoUnitario*(1+$AH179),ORÇAMENTO.PrecoUnitarioLicitado),15-13*$AF$10),0)</f>
        <v>0</v>
      </c>
      <c r="X179" s="150">
        <f ca="1">IF($C179="S",IF(Import.TipoArredondamento&lt;&gt;"TransfereGOV",VTOTAL1,SUM(OFFSET(CÁLCULO!$AA$15,ROW($X179)-ROW($X$15),1):OFFSET(CÁLCULO!$AL$15,ROW($X179)-ROW($X$15),-1))),IF($C179=0,0,ROUND(SomaAgrup,15-13*$AF$11)))</f>
        <v>0</v>
      </c>
      <c r="Y179" s="151" t="s">
        <v>245</v>
      </c>
      <c r="Z179" t="str">
        <f t="shared" ca="1" si="63"/>
        <v/>
      </c>
      <c r="AA179" s="152">
        <f ca="1">IF($C179="S",IF($Z179="CP",$X179,IF($Z179="RA",(($X179)*QCI!$AA$3),0)),SomaAgrup)</f>
        <v>0</v>
      </c>
      <c r="AB179" s="153">
        <f t="shared" ca="1" si="64"/>
        <v>0</v>
      </c>
      <c r="AC179" s="154" t="str">
        <f ca="1">IF($N179="","",IF(ORÇAMENTO.Descricao="","DESCRIÇÃO",IF(AND($C179="S",ORÇAMENTO.Unidade=""),"UNIDADE",IF($X179&lt;0,"VALOR NEGATIVO",IF(OR(AND(TIPOORCAMENTO="Proposto",$AG179&lt;&gt;"",$AG179&gt;0,ORÇAMENTO.CustoUnitario&gt;$AG179),AND(TIPOORCAMENTO="LICITADO",ORÇAMENTO.PrecoUnitarioLicitado&gt;$AN179)),"ACIMA REF.","")))))</f>
        <v/>
      </c>
      <c r="AD179" s="100" t="str">
        <f ca="1">IF(C179&lt;=CRONO.NivelExibicao,MAX($AD$15:OFFSET(AD179,-1,0))+IF($C179&lt;&gt;1,1,MAX(1,COUNTIF(QCI!$A$13:$A$24,OFFSET($E179,-1,0)))),"")</f>
        <v/>
      </c>
      <c r="AE179" s="110" t="b">
        <f ca="1">IF(AND($C179="S",ORÇAMENTO.CodBarra&lt;&gt;""),IF(ORÇAMENTO.Fonte="",ORÇAMENTO.CodBarra,CONCATENATE(ORÇAMENTO.Fonte," ",ORÇAMENTO.CodBarra)))</f>
        <v>0</v>
      </c>
      <c r="AF179" s="155" t="str">
        <f ca="1">IF(ISERROR(INDIRECT(ORÇAMENTO.BancoRef)),"(abra o arquivo 'Referência "&amp;Excel_BuiltIn_Database&amp;".xlsm)",IF(OR($C179&lt;&gt;"S",ORÇAMENTO.CodBarra=""),"(Sem Código)",IF(ISERROR(MATCH($AE179,INDIRECT(ORÇAMENTO.BancoRef),0)),"(Código não identificado nas referências)",MATCH($AE179,INDIRECT(ORÇAMENTO.BancoRef),0))))</f>
        <v>(abra o arquivo 'Referência 11-2024.xlsm)</v>
      </c>
      <c r="AG179" s="574">
        <f ca="1">ROUND(IF(DESONERACAO="sim",REFERENCIA.Desonerado,REFERENCIA.NaoDesonerado),2)</f>
        <v>0</v>
      </c>
      <c r="AH179" s="575">
        <f t="shared" ca="1" si="65"/>
        <v>0.22</v>
      </c>
      <c r="AJ179" s="577"/>
      <c r="AL179" s="607"/>
      <c r="AM179" s="426">
        <f t="shared" ca="1" si="66"/>
        <v>0</v>
      </c>
      <c r="AN179" s="650">
        <f t="shared" ca="1" si="67"/>
        <v>0</v>
      </c>
    </row>
    <row r="180" spans="1:40" ht="13.8" hidden="1">
      <c r="A180" t="str">
        <f t="shared" si="51"/>
        <v>S</v>
      </c>
      <c r="B180">
        <f t="shared" ca="1" si="52"/>
        <v>2</v>
      </c>
      <c r="C180" t="str">
        <f t="shared" ca="1" si="53"/>
        <v>S</v>
      </c>
      <c r="D180">
        <f t="shared" ca="1" si="54"/>
        <v>0</v>
      </c>
      <c r="E180">
        <f ca="1">IF($C180=1,OFFSET(E180,-1,0)+MAX(1,COUNTIF(QCI!$A$13:$A$24,OFFSET(ORÇAMENTO!E180,-1,0))),OFFSET(E180,-1,0))</f>
        <v>1</v>
      </c>
      <c r="F180">
        <f t="shared" ca="1" si="55"/>
        <v>5</v>
      </c>
      <c r="G180">
        <f t="shared" ca="1" si="56"/>
        <v>0</v>
      </c>
      <c r="H180">
        <f t="shared" ca="1" si="57"/>
        <v>0</v>
      </c>
      <c r="I180">
        <f t="shared" ca="1" si="58"/>
        <v>2</v>
      </c>
      <c r="J180">
        <f t="shared" ca="1" si="59"/>
        <v>0</v>
      </c>
      <c r="K180">
        <f ca="1">IF(OR($C180="S",$C180=0),0,MATCH(OFFSET($D180,0,$C180)+IF($C180&lt;&gt;1,1,COUNTIF(QCI!$A$13:$A$24,ORÇAMENTO!E180)),OFFSET($D180,1,$C180,ROW($C$264)-ROW($C180)),0))</f>
        <v>0</v>
      </c>
      <c r="L180" s="139" t="str">
        <f t="shared" ca="1" si="60"/>
        <v/>
      </c>
      <c r="M180" s="140" t="s">
        <v>199</v>
      </c>
      <c r="N180" s="141" t="str">
        <f t="shared" ca="1" si="61"/>
        <v>Serviço</v>
      </c>
      <c r="O180" s="142" t="str">
        <f t="shared" ca="1" si="62"/>
        <v>-</v>
      </c>
      <c r="P180" s="143" t="s">
        <v>247</v>
      </c>
      <c r="Q180" s="144"/>
      <c r="R180" s="145" t="str">
        <f ca="1">IF($C180="S",REFERENCIA.Descricao,"(digite a descrição aqui)")</f>
        <v>(abra o arquivo 'Referência 11-2024.xlsm)</v>
      </c>
      <c r="S180" s="146" t="str">
        <f ca="1">REFERENCIA.Unidade</f>
        <v>-</v>
      </c>
      <c r="T180" s="147">
        <f ca="1">OFFSET(CÁLCULO!H$15,ROW($T180)-ROW(T$15),0)</f>
        <v>0</v>
      </c>
      <c r="U180" s="148"/>
      <c r="V180" s="149" t="s">
        <v>156</v>
      </c>
      <c r="W180" s="147">
        <f ca="1">IF($C180="S",ROUND(IF(TIPOORCAMENTO="Proposto",ORÇAMENTO.CustoUnitario*(1+$AH180),ORÇAMENTO.PrecoUnitarioLicitado),15-13*$AF$10),0)</f>
        <v>0</v>
      </c>
      <c r="X180" s="150">
        <f ca="1">IF($C180="S",IF(Import.TipoArredondamento&lt;&gt;"TransfereGOV",VTOTAL1,SUM(OFFSET(CÁLCULO!$AA$15,ROW($X180)-ROW($X$15),1):OFFSET(CÁLCULO!$AL$15,ROW($X180)-ROW($X$15),-1))),IF($C180=0,0,ROUND(SomaAgrup,15-13*$AF$11)))</f>
        <v>0</v>
      </c>
      <c r="Y180" s="151" t="s">
        <v>245</v>
      </c>
      <c r="Z180" t="str">
        <f t="shared" ca="1" si="63"/>
        <v/>
      </c>
      <c r="AA180" s="152">
        <f ca="1">IF($C180="S",IF($Z180="CP",$X180,IF($Z180="RA",(($X180)*QCI!$AA$3),0)),SomaAgrup)</f>
        <v>0</v>
      </c>
      <c r="AB180" s="153">
        <f t="shared" ca="1" si="64"/>
        <v>0</v>
      </c>
      <c r="AC180" s="154" t="str">
        <f ca="1">IF($N180="","",IF(ORÇAMENTO.Descricao="","DESCRIÇÃO",IF(AND($C180="S",ORÇAMENTO.Unidade=""),"UNIDADE",IF($X180&lt;0,"VALOR NEGATIVO",IF(OR(AND(TIPOORCAMENTO="Proposto",$AG180&lt;&gt;"",$AG180&gt;0,ORÇAMENTO.CustoUnitario&gt;$AG180),AND(TIPOORCAMENTO="LICITADO",ORÇAMENTO.PrecoUnitarioLicitado&gt;$AN180)),"ACIMA REF.","")))))</f>
        <v/>
      </c>
      <c r="AD180" s="100" t="str">
        <f ca="1">IF(C180&lt;=CRONO.NivelExibicao,MAX($AD$15:OFFSET(AD180,-1,0))+IF($C180&lt;&gt;1,1,MAX(1,COUNTIF(QCI!$A$13:$A$24,OFFSET($E180,-1,0)))),"")</f>
        <v/>
      </c>
      <c r="AE180" s="110" t="b">
        <f ca="1">IF(AND($C180="S",ORÇAMENTO.CodBarra&lt;&gt;""),IF(ORÇAMENTO.Fonte="",ORÇAMENTO.CodBarra,CONCATENATE(ORÇAMENTO.Fonte," ",ORÇAMENTO.CodBarra)))</f>
        <v>0</v>
      </c>
      <c r="AF180" s="155" t="str">
        <f ca="1">IF(ISERROR(INDIRECT(ORÇAMENTO.BancoRef)),"(abra o arquivo 'Referência "&amp;Excel_BuiltIn_Database&amp;".xlsm)",IF(OR($C180&lt;&gt;"S",ORÇAMENTO.CodBarra=""),"(Sem Código)",IF(ISERROR(MATCH($AE180,INDIRECT(ORÇAMENTO.BancoRef),0)),"(Código não identificado nas referências)",MATCH($AE180,INDIRECT(ORÇAMENTO.BancoRef),0))))</f>
        <v>(abra o arquivo 'Referência 11-2024.xlsm)</v>
      </c>
      <c r="AG180" s="574">
        <f ca="1">ROUND(IF(DESONERACAO="sim",REFERENCIA.Desonerado,REFERENCIA.NaoDesonerado),2)</f>
        <v>0</v>
      </c>
      <c r="AH180" s="575">
        <f t="shared" ca="1" si="65"/>
        <v>0.22</v>
      </c>
      <c r="AJ180" s="577"/>
      <c r="AL180" s="607"/>
      <c r="AM180" s="426">
        <f t="shared" ca="1" si="66"/>
        <v>0</v>
      </c>
      <c r="AN180" s="650">
        <f t="shared" ca="1" si="67"/>
        <v>0</v>
      </c>
    </row>
    <row r="181" spans="1:40" ht="13.8" hidden="1">
      <c r="A181" t="str">
        <f t="shared" si="51"/>
        <v>S</v>
      </c>
      <c r="B181">
        <f t="shared" ca="1" si="52"/>
        <v>2</v>
      </c>
      <c r="C181" t="str">
        <f t="shared" ca="1" si="53"/>
        <v>S</v>
      </c>
      <c r="D181">
        <f t="shared" ca="1" si="54"/>
        <v>0</v>
      </c>
      <c r="E181">
        <f ca="1">IF($C181=1,OFFSET(E181,-1,0)+MAX(1,COUNTIF(QCI!$A$13:$A$24,OFFSET(ORÇAMENTO!E181,-1,0))),OFFSET(E181,-1,0))</f>
        <v>1</v>
      </c>
      <c r="F181">
        <f t="shared" ca="1" si="55"/>
        <v>5</v>
      </c>
      <c r="G181">
        <f t="shared" ca="1" si="56"/>
        <v>0</v>
      </c>
      <c r="H181">
        <f t="shared" ca="1" si="57"/>
        <v>0</v>
      </c>
      <c r="I181">
        <f t="shared" ca="1" si="58"/>
        <v>2</v>
      </c>
      <c r="J181">
        <f t="shared" ca="1" si="59"/>
        <v>0</v>
      </c>
      <c r="K181">
        <f ca="1">IF(OR($C181="S",$C181=0),0,MATCH(OFFSET($D181,0,$C181)+IF($C181&lt;&gt;1,1,COUNTIF(QCI!$A$13:$A$24,ORÇAMENTO!E181)),OFFSET($D181,1,$C181,ROW($C$264)-ROW($C181)),0))</f>
        <v>0</v>
      </c>
      <c r="L181" s="139" t="str">
        <f t="shared" ca="1" si="60"/>
        <v/>
      </c>
      <c r="M181" s="140" t="s">
        <v>199</v>
      </c>
      <c r="N181" s="141" t="str">
        <f t="shared" ca="1" si="61"/>
        <v>Serviço</v>
      </c>
      <c r="O181" s="142" t="str">
        <f t="shared" ca="1" si="62"/>
        <v>-</v>
      </c>
      <c r="P181" s="143" t="s">
        <v>247</v>
      </c>
      <c r="Q181" s="144"/>
      <c r="R181" s="145" t="str">
        <f ca="1">IF($C181="S",REFERENCIA.Descricao,"(digite a descrição aqui)")</f>
        <v>(abra o arquivo 'Referência 11-2024.xlsm)</v>
      </c>
      <c r="S181" s="146" t="str">
        <f ca="1">REFERENCIA.Unidade</f>
        <v>-</v>
      </c>
      <c r="T181" s="147">
        <f ca="1">OFFSET(CÁLCULO!H$15,ROW($T181)-ROW(T$15),0)</f>
        <v>0</v>
      </c>
      <c r="U181" s="148"/>
      <c r="V181" s="149" t="s">
        <v>156</v>
      </c>
      <c r="W181" s="147">
        <f ca="1">IF($C181="S",ROUND(IF(TIPOORCAMENTO="Proposto",ORÇAMENTO.CustoUnitario*(1+$AH181),ORÇAMENTO.PrecoUnitarioLicitado),15-13*$AF$10),0)</f>
        <v>0</v>
      </c>
      <c r="X181" s="150">
        <f ca="1">IF($C181="S",IF(Import.TipoArredondamento&lt;&gt;"TransfereGOV",VTOTAL1,SUM(OFFSET(CÁLCULO!$AA$15,ROW($X181)-ROW($X$15),1):OFFSET(CÁLCULO!$AL$15,ROW($X181)-ROW($X$15),-1))),IF($C181=0,0,ROUND(SomaAgrup,15-13*$AF$11)))</f>
        <v>0</v>
      </c>
      <c r="Y181" s="151" t="s">
        <v>245</v>
      </c>
      <c r="Z181" t="str">
        <f t="shared" ca="1" si="63"/>
        <v/>
      </c>
      <c r="AA181" s="152">
        <f ca="1">IF($C181="S",IF($Z181="CP",$X181,IF($Z181="RA",(($X181)*QCI!$AA$3),0)),SomaAgrup)</f>
        <v>0</v>
      </c>
      <c r="AB181" s="153">
        <f t="shared" ca="1" si="64"/>
        <v>0</v>
      </c>
      <c r="AC181" s="154" t="str">
        <f ca="1">IF($N181="","",IF(ORÇAMENTO.Descricao="","DESCRIÇÃO",IF(AND($C181="S",ORÇAMENTO.Unidade=""),"UNIDADE",IF($X181&lt;0,"VALOR NEGATIVO",IF(OR(AND(TIPOORCAMENTO="Proposto",$AG181&lt;&gt;"",$AG181&gt;0,ORÇAMENTO.CustoUnitario&gt;$AG181),AND(TIPOORCAMENTO="LICITADO",ORÇAMENTO.PrecoUnitarioLicitado&gt;$AN181)),"ACIMA REF.","")))))</f>
        <v/>
      </c>
      <c r="AD181" s="100" t="str">
        <f ca="1">IF(C181&lt;=CRONO.NivelExibicao,MAX($AD$15:OFFSET(AD181,-1,0))+IF($C181&lt;&gt;1,1,MAX(1,COUNTIF(QCI!$A$13:$A$24,OFFSET($E181,-1,0)))),"")</f>
        <v/>
      </c>
      <c r="AE181" s="110" t="b">
        <f ca="1">IF(AND($C181="S",ORÇAMENTO.CodBarra&lt;&gt;""),IF(ORÇAMENTO.Fonte="",ORÇAMENTO.CodBarra,CONCATENATE(ORÇAMENTO.Fonte," ",ORÇAMENTO.CodBarra)))</f>
        <v>0</v>
      </c>
      <c r="AF181" s="155" t="str">
        <f ca="1">IF(ISERROR(INDIRECT(ORÇAMENTO.BancoRef)),"(abra o arquivo 'Referência "&amp;Excel_BuiltIn_Database&amp;".xlsm)",IF(OR($C181&lt;&gt;"S",ORÇAMENTO.CodBarra=""),"(Sem Código)",IF(ISERROR(MATCH($AE181,INDIRECT(ORÇAMENTO.BancoRef),0)),"(Código não identificado nas referências)",MATCH($AE181,INDIRECT(ORÇAMENTO.BancoRef),0))))</f>
        <v>(abra o arquivo 'Referência 11-2024.xlsm)</v>
      </c>
      <c r="AG181" s="574">
        <f ca="1">ROUND(IF(DESONERACAO="sim",REFERENCIA.Desonerado,REFERENCIA.NaoDesonerado),2)</f>
        <v>0</v>
      </c>
      <c r="AH181" s="575">
        <f t="shared" ca="1" si="65"/>
        <v>0.22</v>
      </c>
      <c r="AJ181" s="577"/>
      <c r="AL181" s="607"/>
      <c r="AM181" s="426">
        <f t="shared" ca="1" si="66"/>
        <v>0</v>
      </c>
      <c r="AN181" s="650">
        <f t="shared" ca="1" si="67"/>
        <v>0</v>
      </c>
    </row>
    <row r="182" spans="1:40" ht="13.8" hidden="1">
      <c r="A182" t="str">
        <f t="shared" si="51"/>
        <v>S</v>
      </c>
      <c r="B182">
        <f t="shared" ca="1" si="52"/>
        <v>2</v>
      </c>
      <c r="C182" t="str">
        <f t="shared" ca="1" si="53"/>
        <v>S</v>
      </c>
      <c r="D182">
        <f t="shared" ca="1" si="54"/>
        <v>0</v>
      </c>
      <c r="E182">
        <f ca="1">IF($C182=1,OFFSET(E182,-1,0)+MAX(1,COUNTIF(QCI!$A$13:$A$24,OFFSET(ORÇAMENTO!E182,-1,0))),OFFSET(E182,-1,0))</f>
        <v>1</v>
      </c>
      <c r="F182">
        <f t="shared" ca="1" si="55"/>
        <v>5</v>
      </c>
      <c r="G182">
        <f t="shared" ca="1" si="56"/>
        <v>0</v>
      </c>
      <c r="H182">
        <f t="shared" ca="1" si="57"/>
        <v>0</v>
      </c>
      <c r="I182">
        <f t="shared" ca="1" si="58"/>
        <v>2</v>
      </c>
      <c r="J182">
        <f t="shared" ca="1" si="59"/>
        <v>0</v>
      </c>
      <c r="K182">
        <f ca="1">IF(OR($C182="S",$C182=0),0,MATCH(OFFSET($D182,0,$C182)+IF($C182&lt;&gt;1,1,COUNTIF(QCI!$A$13:$A$24,ORÇAMENTO!E182)),OFFSET($D182,1,$C182,ROW($C$264)-ROW($C182)),0))</f>
        <v>0</v>
      </c>
      <c r="L182" s="139" t="str">
        <f t="shared" ca="1" si="60"/>
        <v/>
      </c>
      <c r="M182" s="140" t="s">
        <v>199</v>
      </c>
      <c r="N182" s="141" t="str">
        <f t="shared" ca="1" si="61"/>
        <v>Serviço</v>
      </c>
      <c r="O182" s="142" t="str">
        <f t="shared" ca="1" si="62"/>
        <v>-</v>
      </c>
      <c r="P182" s="143" t="s">
        <v>247</v>
      </c>
      <c r="Q182" s="144"/>
      <c r="R182" s="145" t="str">
        <f ca="1">IF($C182="S",REFERENCIA.Descricao,"(digite a descrição aqui)")</f>
        <v>(abra o arquivo 'Referência 11-2024.xlsm)</v>
      </c>
      <c r="S182" s="146" t="str">
        <f ca="1">REFERENCIA.Unidade</f>
        <v>-</v>
      </c>
      <c r="T182" s="147">
        <f ca="1">OFFSET(CÁLCULO!H$15,ROW($T182)-ROW(T$15),0)</f>
        <v>0</v>
      </c>
      <c r="U182" s="148"/>
      <c r="V182" s="149" t="s">
        <v>156</v>
      </c>
      <c r="W182" s="147">
        <f ca="1">IF($C182="S",ROUND(IF(TIPOORCAMENTO="Proposto",ORÇAMENTO.CustoUnitario*(1+$AH182),ORÇAMENTO.PrecoUnitarioLicitado),15-13*$AF$10),0)</f>
        <v>0</v>
      </c>
      <c r="X182" s="150">
        <f ca="1">IF($C182="S",IF(Import.TipoArredondamento&lt;&gt;"TransfereGOV",VTOTAL1,SUM(OFFSET(CÁLCULO!$AA$15,ROW($X182)-ROW($X$15),1):OFFSET(CÁLCULO!$AL$15,ROW($X182)-ROW($X$15),-1))),IF($C182=0,0,ROUND(SomaAgrup,15-13*$AF$11)))</f>
        <v>0</v>
      </c>
      <c r="Y182" s="151" t="s">
        <v>245</v>
      </c>
      <c r="Z182" t="str">
        <f t="shared" ca="1" si="63"/>
        <v/>
      </c>
      <c r="AA182" s="152">
        <f ca="1">IF($C182="S",IF($Z182="CP",$X182,IF($Z182="RA",(($X182)*QCI!$AA$3),0)),SomaAgrup)</f>
        <v>0</v>
      </c>
      <c r="AB182" s="153">
        <f t="shared" ca="1" si="64"/>
        <v>0</v>
      </c>
      <c r="AC182" s="154" t="str">
        <f ca="1">IF($N182="","",IF(ORÇAMENTO.Descricao="","DESCRIÇÃO",IF(AND($C182="S",ORÇAMENTO.Unidade=""),"UNIDADE",IF($X182&lt;0,"VALOR NEGATIVO",IF(OR(AND(TIPOORCAMENTO="Proposto",$AG182&lt;&gt;"",$AG182&gt;0,ORÇAMENTO.CustoUnitario&gt;$AG182),AND(TIPOORCAMENTO="LICITADO",ORÇAMENTO.PrecoUnitarioLicitado&gt;$AN182)),"ACIMA REF.","")))))</f>
        <v/>
      </c>
      <c r="AD182" s="100" t="str">
        <f ca="1">IF(C182&lt;=CRONO.NivelExibicao,MAX($AD$15:OFFSET(AD182,-1,0))+IF($C182&lt;&gt;1,1,MAX(1,COUNTIF(QCI!$A$13:$A$24,OFFSET($E182,-1,0)))),"")</f>
        <v/>
      </c>
      <c r="AE182" s="110" t="b">
        <f ca="1">IF(AND($C182="S",ORÇAMENTO.CodBarra&lt;&gt;""),IF(ORÇAMENTO.Fonte="",ORÇAMENTO.CodBarra,CONCATENATE(ORÇAMENTO.Fonte," ",ORÇAMENTO.CodBarra)))</f>
        <v>0</v>
      </c>
      <c r="AF182" s="155" t="str">
        <f ca="1">IF(ISERROR(INDIRECT(ORÇAMENTO.BancoRef)),"(abra o arquivo 'Referência "&amp;Excel_BuiltIn_Database&amp;".xlsm)",IF(OR($C182&lt;&gt;"S",ORÇAMENTO.CodBarra=""),"(Sem Código)",IF(ISERROR(MATCH($AE182,INDIRECT(ORÇAMENTO.BancoRef),0)),"(Código não identificado nas referências)",MATCH($AE182,INDIRECT(ORÇAMENTO.BancoRef),0))))</f>
        <v>(abra o arquivo 'Referência 11-2024.xlsm)</v>
      </c>
      <c r="AG182" s="574">
        <f ca="1">ROUND(IF(DESONERACAO="sim",REFERENCIA.Desonerado,REFERENCIA.NaoDesonerado),2)</f>
        <v>0</v>
      </c>
      <c r="AH182" s="575">
        <f t="shared" ca="1" si="65"/>
        <v>0.22</v>
      </c>
      <c r="AJ182" s="577"/>
      <c r="AL182" s="607"/>
      <c r="AM182" s="426">
        <f t="shared" ca="1" si="66"/>
        <v>0</v>
      </c>
      <c r="AN182" s="650">
        <f t="shared" ca="1" si="67"/>
        <v>0</v>
      </c>
    </row>
    <row r="183" spans="1:40" ht="13.8" hidden="1">
      <c r="A183" t="str">
        <f t="shared" si="51"/>
        <v>S</v>
      </c>
      <c r="B183">
        <f t="shared" ca="1" si="52"/>
        <v>2</v>
      </c>
      <c r="C183" t="str">
        <f t="shared" ca="1" si="53"/>
        <v>S</v>
      </c>
      <c r="D183">
        <f t="shared" ca="1" si="54"/>
        <v>0</v>
      </c>
      <c r="E183">
        <f ca="1">IF($C183=1,OFFSET(E183,-1,0)+MAX(1,COUNTIF(QCI!$A$13:$A$24,OFFSET(ORÇAMENTO!E183,-1,0))),OFFSET(E183,-1,0))</f>
        <v>1</v>
      </c>
      <c r="F183">
        <f t="shared" ca="1" si="55"/>
        <v>5</v>
      </c>
      <c r="G183">
        <f t="shared" ca="1" si="56"/>
        <v>0</v>
      </c>
      <c r="H183">
        <f t="shared" ca="1" si="57"/>
        <v>0</v>
      </c>
      <c r="I183">
        <f t="shared" ca="1" si="58"/>
        <v>2</v>
      </c>
      <c r="J183">
        <f t="shared" ca="1" si="59"/>
        <v>0</v>
      </c>
      <c r="K183">
        <f ca="1">IF(OR($C183="S",$C183=0),0,MATCH(OFFSET($D183,0,$C183)+IF($C183&lt;&gt;1,1,COUNTIF(QCI!$A$13:$A$24,ORÇAMENTO!E183)),OFFSET($D183,1,$C183,ROW($C$264)-ROW($C183)),0))</f>
        <v>0</v>
      </c>
      <c r="L183" s="139" t="str">
        <f t="shared" ca="1" si="60"/>
        <v/>
      </c>
      <c r="M183" s="140" t="s">
        <v>199</v>
      </c>
      <c r="N183" s="141" t="str">
        <f t="shared" ca="1" si="61"/>
        <v>Serviço</v>
      </c>
      <c r="O183" s="142" t="str">
        <f t="shared" ca="1" si="62"/>
        <v>-</v>
      </c>
      <c r="P183" s="143" t="s">
        <v>247</v>
      </c>
      <c r="Q183" s="144"/>
      <c r="R183" s="145" t="str">
        <f ca="1">IF($C183="S",REFERENCIA.Descricao,"(digite a descrição aqui)")</f>
        <v>(abra o arquivo 'Referência 11-2024.xlsm)</v>
      </c>
      <c r="S183" s="146" t="str">
        <f ca="1">REFERENCIA.Unidade</f>
        <v>-</v>
      </c>
      <c r="T183" s="147">
        <f ca="1">OFFSET(CÁLCULO!H$15,ROW($T183)-ROW(T$15),0)</f>
        <v>0</v>
      </c>
      <c r="U183" s="148"/>
      <c r="V183" s="149" t="s">
        <v>156</v>
      </c>
      <c r="W183" s="147">
        <f ca="1">IF($C183="S",ROUND(IF(TIPOORCAMENTO="Proposto",ORÇAMENTO.CustoUnitario*(1+$AH183),ORÇAMENTO.PrecoUnitarioLicitado),15-13*$AF$10),0)</f>
        <v>0</v>
      </c>
      <c r="X183" s="150">
        <f ca="1">IF($C183="S",IF(Import.TipoArredondamento&lt;&gt;"TransfereGOV",VTOTAL1,SUM(OFFSET(CÁLCULO!$AA$15,ROW($X183)-ROW($X$15),1):OFFSET(CÁLCULO!$AL$15,ROW($X183)-ROW($X$15),-1))),IF($C183=0,0,ROUND(SomaAgrup,15-13*$AF$11)))</f>
        <v>0</v>
      </c>
      <c r="Y183" s="151" t="s">
        <v>245</v>
      </c>
      <c r="Z183" t="str">
        <f t="shared" ca="1" si="63"/>
        <v/>
      </c>
      <c r="AA183" s="152">
        <f ca="1">IF($C183="S",IF($Z183="CP",$X183,IF($Z183="RA",(($X183)*QCI!$AA$3),0)),SomaAgrup)</f>
        <v>0</v>
      </c>
      <c r="AB183" s="153">
        <f t="shared" ca="1" si="64"/>
        <v>0</v>
      </c>
      <c r="AC183" s="154" t="str">
        <f ca="1">IF($N183="","",IF(ORÇAMENTO.Descricao="","DESCRIÇÃO",IF(AND($C183="S",ORÇAMENTO.Unidade=""),"UNIDADE",IF($X183&lt;0,"VALOR NEGATIVO",IF(OR(AND(TIPOORCAMENTO="Proposto",$AG183&lt;&gt;"",$AG183&gt;0,ORÇAMENTO.CustoUnitario&gt;$AG183),AND(TIPOORCAMENTO="LICITADO",ORÇAMENTO.PrecoUnitarioLicitado&gt;$AN183)),"ACIMA REF.","")))))</f>
        <v/>
      </c>
      <c r="AD183" s="100" t="str">
        <f ca="1">IF(C183&lt;=CRONO.NivelExibicao,MAX($AD$15:OFFSET(AD183,-1,0))+IF($C183&lt;&gt;1,1,MAX(1,COUNTIF(QCI!$A$13:$A$24,OFFSET($E183,-1,0)))),"")</f>
        <v/>
      </c>
      <c r="AE183" s="110" t="b">
        <f ca="1">IF(AND($C183="S",ORÇAMENTO.CodBarra&lt;&gt;""),IF(ORÇAMENTO.Fonte="",ORÇAMENTO.CodBarra,CONCATENATE(ORÇAMENTO.Fonte," ",ORÇAMENTO.CodBarra)))</f>
        <v>0</v>
      </c>
      <c r="AF183" s="155" t="str">
        <f ca="1">IF(ISERROR(INDIRECT(ORÇAMENTO.BancoRef)),"(abra o arquivo 'Referência "&amp;Excel_BuiltIn_Database&amp;".xlsm)",IF(OR($C183&lt;&gt;"S",ORÇAMENTO.CodBarra=""),"(Sem Código)",IF(ISERROR(MATCH($AE183,INDIRECT(ORÇAMENTO.BancoRef),0)),"(Código não identificado nas referências)",MATCH($AE183,INDIRECT(ORÇAMENTO.BancoRef),0))))</f>
        <v>(abra o arquivo 'Referência 11-2024.xlsm)</v>
      </c>
      <c r="AG183" s="574">
        <f ca="1">ROUND(IF(DESONERACAO="sim",REFERENCIA.Desonerado,REFERENCIA.NaoDesonerado),2)</f>
        <v>0</v>
      </c>
      <c r="AH183" s="575">
        <f t="shared" ca="1" si="65"/>
        <v>0.22</v>
      </c>
      <c r="AJ183" s="577"/>
      <c r="AL183" s="607"/>
      <c r="AM183" s="426">
        <f t="shared" ca="1" si="66"/>
        <v>0</v>
      </c>
      <c r="AN183" s="650">
        <f t="shared" ca="1" si="67"/>
        <v>0</v>
      </c>
    </row>
    <row r="184" spans="1:40" ht="13.8" hidden="1">
      <c r="A184" t="str">
        <f t="shared" si="51"/>
        <v>S</v>
      </c>
      <c r="B184">
        <f t="shared" ca="1" si="52"/>
        <v>2</v>
      </c>
      <c r="C184" t="str">
        <f t="shared" ca="1" si="53"/>
        <v>S</v>
      </c>
      <c r="D184">
        <f t="shared" ca="1" si="54"/>
        <v>0</v>
      </c>
      <c r="E184">
        <f ca="1">IF($C184=1,OFFSET(E184,-1,0)+MAX(1,COUNTIF(QCI!$A$13:$A$24,OFFSET(ORÇAMENTO!E184,-1,0))),OFFSET(E184,-1,0))</f>
        <v>1</v>
      </c>
      <c r="F184">
        <f t="shared" ca="1" si="55"/>
        <v>5</v>
      </c>
      <c r="G184">
        <f t="shared" ca="1" si="56"/>
        <v>0</v>
      </c>
      <c r="H184">
        <f t="shared" ca="1" si="57"/>
        <v>0</v>
      </c>
      <c r="I184">
        <f t="shared" ca="1" si="58"/>
        <v>2</v>
      </c>
      <c r="J184">
        <f t="shared" ca="1" si="59"/>
        <v>0</v>
      </c>
      <c r="K184">
        <f ca="1">IF(OR($C184="S",$C184=0),0,MATCH(OFFSET($D184,0,$C184)+IF($C184&lt;&gt;1,1,COUNTIF(QCI!$A$13:$A$24,ORÇAMENTO!E184)),OFFSET($D184,1,$C184,ROW($C$264)-ROW($C184)),0))</f>
        <v>0</v>
      </c>
      <c r="L184" s="139" t="str">
        <f t="shared" ca="1" si="60"/>
        <v/>
      </c>
      <c r="M184" s="140" t="s">
        <v>199</v>
      </c>
      <c r="N184" s="141" t="str">
        <f t="shared" ca="1" si="61"/>
        <v>Serviço</v>
      </c>
      <c r="O184" s="142" t="str">
        <f t="shared" ca="1" si="62"/>
        <v>-</v>
      </c>
      <c r="P184" s="143" t="s">
        <v>247</v>
      </c>
      <c r="Q184" s="144"/>
      <c r="R184" s="145" t="str">
        <f ca="1">IF($C184="S",REFERENCIA.Descricao,"(digite a descrição aqui)")</f>
        <v>(abra o arquivo 'Referência 11-2024.xlsm)</v>
      </c>
      <c r="S184" s="146" t="str">
        <f ca="1">REFERENCIA.Unidade</f>
        <v>-</v>
      </c>
      <c r="T184" s="147">
        <f ca="1">OFFSET(CÁLCULO!H$15,ROW($T184)-ROW(T$15),0)</f>
        <v>0</v>
      </c>
      <c r="U184" s="148"/>
      <c r="V184" s="149" t="s">
        <v>156</v>
      </c>
      <c r="W184" s="147">
        <f ca="1">IF($C184="S",ROUND(IF(TIPOORCAMENTO="Proposto",ORÇAMENTO.CustoUnitario*(1+$AH184),ORÇAMENTO.PrecoUnitarioLicitado),15-13*$AF$10),0)</f>
        <v>0</v>
      </c>
      <c r="X184" s="150">
        <f ca="1">IF($C184="S",IF(Import.TipoArredondamento&lt;&gt;"TransfereGOV",VTOTAL1,SUM(OFFSET(CÁLCULO!$AA$15,ROW($X184)-ROW($X$15),1):OFFSET(CÁLCULO!$AL$15,ROW($X184)-ROW($X$15),-1))),IF($C184=0,0,ROUND(SomaAgrup,15-13*$AF$11)))</f>
        <v>0</v>
      </c>
      <c r="Y184" s="151" t="s">
        <v>245</v>
      </c>
      <c r="Z184" t="str">
        <f t="shared" ca="1" si="63"/>
        <v/>
      </c>
      <c r="AA184" s="152">
        <f ca="1">IF($C184="S",IF($Z184="CP",$X184,IF($Z184="RA",(($X184)*QCI!$AA$3),0)),SomaAgrup)</f>
        <v>0</v>
      </c>
      <c r="AB184" s="153">
        <f t="shared" ca="1" si="64"/>
        <v>0</v>
      </c>
      <c r="AC184" s="154" t="str">
        <f ca="1">IF($N184="","",IF(ORÇAMENTO.Descricao="","DESCRIÇÃO",IF(AND($C184="S",ORÇAMENTO.Unidade=""),"UNIDADE",IF($X184&lt;0,"VALOR NEGATIVO",IF(OR(AND(TIPOORCAMENTO="Proposto",$AG184&lt;&gt;"",$AG184&gt;0,ORÇAMENTO.CustoUnitario&gt;$AG184),AND(TIPOORCAMENTO="LICITADO",ORÇAMENTO.PrecoUnitarioLicitado&gt;$AN184)),"ACIMA REF.","")))))</f>
        <v/>
      </c>
      <c r="AD184" s="100" t="str">
        <f ca="1">IF(C184&lt;=CRONO.NivelExibicao,MAX($AD$15:OFFSET(AD184,-1,0))+IF($C184&lt;&gt;1,1,MAX(1,COUNTIF(QCI!$A$13:$A$24,OFFSET($E184,-1,0)))),"")</f>
        <v/>
      </c>
      <c r="AE184" s="110" t="b">
        <f ca="1">IF(AND($C184="S",ORÇAMENTO.CodBarra&lt;&gt;""),IF(ORÇAMENTO.Fonte="",ORÇAMENTO.CodBarra,CONCATENATE(ORÇAMENTO.Fonte," ",ORÇAMENTO.CodBarra)))</f>
        <v>0</v>
      </c>
      <c r="AF184" s="155" t="str">
        <f ca="1">IF(ISERROR(INDIRECT(ORÇAMENTO.BancoRef)),"(abra o arquivo 'Referência "&amp;Excel_BuiltIn_Database&amp;".xlsm)",IF(OR($C184&lt;&gt;"S",ORÇAMENTO.CodBarra=""),"(Sem Código)",IF(ISERROR(MATCH($AE184,INDIRECT(ORÇAMENTO.BancoRef),0)),"(Código não identificado nas referências)",MATCH($AE184,INDIRECT(ORÇAMENTO.BancoRef),0))))</f>
        <v>(abra o arquivo 'Referência 11-2024.xlsm)</v>
      </c>
      <c r="AG184" s="574">
        <f ca="1">ROUND(IF(DESONERACAO="sim",REFERENCIA.Desonerado,REFERENCIA.NaoDesonerado),2)</f>
        <v>0</v>
      </c>
      <c r="AH184" s="575">
        <f t="shared" ca="1" si="65"/>
        <v>0.22</v>
      </c>
      <c r="AJ184" s="577"/>
      <c r="AL184" s="607"/>
      <c r="AM184" s="426">
        <f t="shared" ca="1" si="66"/>
        <v>0</v>
      </c>
      <c r="AN184" s="650">
        <f t="shared" ca="1" si="67"/>
        <v>0</v>
      </c>
    </row>
    <row r="185" spans="1:40" ht="13.8" hidden="1">
      <c r="A185" t="str">
        <f t="shared" si="51"/>
        <v>S</v>
      </c>
      <c r="B185">
        <f t="shared" ca="1" si="52"/>
        <v>2</v>
      </c>
      <c r="C185" t="str">
        <f t="shared" ca="1" si="53"/>
        <v>S</v>
      </c>
      <c r="D185">
        <f t="shared" ca="1" si="54"/>
        <v>0</v>
      </c>
      <c r="E185">
        <f ca="1">IF($C185=1,OFFSET(E185,-1,0)+MAX(1,COUNTIF(QCI!$A$13:$A$24,OFFSET(ORÇAMENTO!E185,-1,0))),OFFSET(E185,-1,0))</f>
        <v>1</v>
      </c>
      <c r="F185">
        <f t="shared" ca="1" si="55"/>
        <v>5</v>
      </c>
      <c r="G185">
        <f t="shared" ca="1" si="56"/>
        <v>0</v>
      </c>
      <c r="H185">
        <f t="shared" ca="1" si="57"/>
        <v>0</v>
      </c>
      <c r="I185">
        <f t="shared" ca="1" si="58"/>
        <v>2</v>
      </c>
      <c r="J185">
        <f t="shared" ca="1" si="59"/>
        <v>0</v>
      </c>
      <c r="K185">
        <f ca="1">IF(OR($C185="S",$C185=0),0,MATCH(OFFSET($D185,0,$C185)+IF($C185&lt;&gt;1,1,COUNTIF(QCI!$A$13:$A$24,ORÇAMENTO!E185)),OFFSET($D185,1,$C185,ROW($C$264)-ROW($C185)),0))</f>
        <v>0</v>
      </c>
      <c r="L185" s="139" t="str">
        <f t="shared" ca="1" si="60"/>
        <v/>
      </c>
      <c r="M185" s="140" t="s">
        <v>199</v>
      </c>
      <c r="N185" s="141" t="str">
        <f t="shared" ca="1" si="61"/>
        <v>Serviço</v>
      </c>
      <c r="O185" s="142" t="str">
        <f t="shared" ca="1" si="62"/>
        <v>-</v>
      </c>
      <c r="P185" s="143" t="s">
        <v>247</v>
      </c>
      <c r="Q185" s="144"/>
      <c r="R185" s="145" t="str">
        <f ca="1">IF($C185="S",REFERENCIA.Descricao,"(digite a descrição aqui)")</f>
        <v>(abra o arquivo 'Referência 11-2024.xlsm)</v>
      </c>
      <c r="S185" s="146" t="str">
        <f ca="1">REFERENCIA.Unidade</f>
        <v>-</v>
      </c>
      <c r="T185" s="147">
        <f ca="1">OFFSET(CÁLCULO!H$15,ROW($T185)-ROW(T$15),0)</f>
        <v>0</v>
      </c>
      <c r="U185" s="148"/>
      <c r="V185" s="149" t="s">
        <v>156</v>
      </c>
      <c r="W185" s="147">
        <f ca="1">IF($C185="S",ROUND(IF(TIPOORCAMENTO="Proposto",ORÇAMENTO.CustoUnitario*(1+$AH185),ORÇAMENTO.PrecoUnitarioLicitado),15-13*$AF$10),0)</f>
        <v>0</v>
      </c>
      <c r="X185" s="150">
        <f ca="1">IF($C185="S",IF(Import.TipoArredondamento&lt;&gt;"TransfereGOV",VTOTAL1,SUM(OFFSET(CÁLCULO!$AA$15,ROW($X185)-ROW($X$15),1):OFFSET(CÁLCULO!$AL$15,ROW($X185)-ROW($X$15),-1))),IF($C185=0,0,ROUND(SomaAgrup,15-13*$AF$11)))</f>
        <v>0</v>
      </c>
      <c r="Y185" s="151" t="s">
        <v>245</v>
      </c>
      <c r="Z185" t="str">
        <f t="shared" ca="1" si="63"/>
        <v/>
      </c>
      <c r="AA185" s="152">
        <f ca="1">IF($C185="S",IF($Z185="CP",$X185,IF($Z185="RA",(($X185)*QCI!$AA$3),0)),SomaAgrup)</f>
        <v>0</v>
      </c>
      <c r="AB185" s="153">
        <f t="shared" ca="1" si="64"/>
        <v>0</v>
      </c>
      <c r="AC185" s="154" t="str">
        <f ca="1">IF($N185="","",IF(ORÇAMENTO.Descricao="","DESCRIÇÃO",IF(AND($C185="S",ORÇAMENTO.Unidade=""),"UNIDADE",IF($X185&lt;0,"VALOR NEGATIVO",IF(OR(AND(TIPOORCAMENTO="Proposto",$AG185&lt;&gt;"",$AG185&gt;0,ORÇAMENTO.CustoUnitario&gt;$AG185),AND(TIPOORCAMENTO="LICITADO",ORÇAMENTO.PrecoUnitarioLicitado&gt;$AN185)),"ACIMA REF.","")))))</f>
        <v/>
      </c>
      <c r="AD185" s="100" t="str">
        <f ca="1">IF(C185&lt;=CRONO.NivelExibicao,MAX($AD$15:OFFSET(AD185,-1,0))+IF($C185&lt;&gt;1,1,MAX(1,COUNTIF(QCI!$A$13:$A$24,OFFSET($E185,-1,0)))),"")</f>
        <v/>
      </c>
      <c r="AE185" s="110" t="b">
        <f ca="1">IF(AND($C185="S",ORÇAMENTO.CodBarra&lt;&gt;""),IF(ORÇAMENTO.Fonte="",ORÇAMENTO.CodBarra,CONCATENATE(ORÇAMENTO.Fonte," ",ORÇAMENTO.CodBarra)))</f>
        <v>0</v>
      </c>
      <c r="AF185" s="155" t="str">
        <f ca="1">IF(ISERROR(INDIRECT(ORÇAMENTO.BancoRef)),"(abra o arquivo 'Referência "&amp;Excel_BuiltIn_Database&amp;".xlsm)",IF(OR($C185&lt;&gt;"S",ORÇAMENTO.CodBarra=""),"(Sem Código)",IF(ISERROR(MATCH($AE185,INDIRECT(ORÇAMENTO.BancoRef),0)),"(Código não identificado nas referências)",MATCH($AE185,INDIRECT(ORÇAMENTO.BancoRef),0))))</f>
        <v>(abra o arquivo 'Referência 11-2024.xlsm)</v>
      </c>
      <c r="AG185" s="574">
        <f ca="1">ROUND(IF(DESONERACAO="sim",REFERENCIA.Desonerado,REFERENCIA.NaoDesonerado),2)</f>
        <v>0</v>
      </c>
      <c r="AH185" s="575">
        <f t="shared" ca="1" si="65"/>
        <v>0.22</v>
      </c>
      <c r="AJ185" s="577"/>
      <c r="AL185" s="607"/>
      <c r="AM185" s="426">
        <f t="shared" ca="1" si="66"/>
        <v>0</v>
      </c>
      <c r="AN185" s="650">
        <f t="shared" ca="1" si="67"/>
        <v>0</v>
      </c>
    </row>
    <row r="186" spans="1:40" ht="13.8" hidden="1">
      <c r="A186" t="str">
        <f t="shared" si="51"/>
        <v>S</v>
      </c>
      <c r="B186">
        <f t="shared" ca="1" si="52"/>
        <v>2</v>
      </c>
      <c r="C186" t="str">
        <f t="shared" ca="1" si="53"/>
        <v>S</v>
      </c>
      <c r="D186">
        <f t="shared" ca="1" si="54"/>
        <v>0</v>
      </c>
      <c r="E186">
        <f ca="1">IF($C186=1,OFFSET(E186,-1,0)+MAX(1,COUNTIF(QCI!$A$13:$A$24,OFFSET(ORÇAMENTO!E186,-1,0))),OFFSET(E186,-1,0))</f>
        <v>1</v>
      </c>
      <c r="F186">
        <f t="shared" ca="1" si="55"/>
        <v>5</v>
      </c>
      <c r="G186">
        <f t="shared" ca="1" si="56"/>
        <v>0</v>
      </c>
      <c r="H186">
        <f t="shared" ca="1" si="57"/>
        <v>0</v>
      </c>
      <c r="I186">
        <f t="shared" ca="1" si="58"/>
        <v>2</v>
      </c>
      <c r="J186">
        <f t="shared" ca="1" si="59"/>
        <v>0</v>
      </c>
      <c r="K186">
        <f ca="1">IF(OR($C186="S",$C186=0),0,MATCH(OFFSET($D186,0,$C186)+IF($C186&lt;&gt;1,1,COUNTIF(QCI!$A$13:$A$24,ORÇAMENTO!E186)),OFFSET($D186,1,$C186,ROW($C$264)-ROW($C186)),0))</f>
        <v>0</v>
      </c>
      <c r="L186" s="139" t="str">
        <f t="shared" ca="1" si="60"/>
        <v/>
      </c>
      <c r="M186" s="140" t="s">
        <v>199</v>
      </c>
      <c r="N186" s="141" t="str">
        <f t="shared" ca="1" si="61"/>
        <v>Serviço</v>
      </c>
      <c r="O186" s="142" t="str">
        <f t="shared" ca="1" si="62"/>
        <v>-</v>
      </c>
      <c r="P186" s="143" t="s">
        <v>247</v>
      </c>
      <c r="Q186" s="144"/>
      <c r="R186" s="145" t="str">
        <f ca="1">IF($C186="S",REFERENCIA.Descricao,"(digite a descrição aqui)")</f>
        <v>(abra o arquivo 'Referência 11-2024.xlsm)</v>
      </c>
      <c r="S186" s="146" t="str">
        <f ca="1">REFERENCIA.Unidade</f>
        <v>-</v>
      </c>
      <c r="T186" s="147">
        <f ca="1">OFFSET(CÁLCULO!H$15,ROW($T186)-ROW(T$15),0)</f>
        <v>0</v>
      </c>
      <c r="U186" s="148"/>
      <c r="V186" s="149" t="s">
        <v>156</v>
      </c>
      <c r="W186" s="147">
        <f ca="1">IF($C186="S",ROUND(IF(TIPOORCAMENTO="Proposto",ORÇAMENTO.CustoUnitario*(1+$AH186),ORÇAMENTO.PrecoUnitarioLicitado),15-13*$AF$10),0)</f>
        <v>0</v>
      </c>
      <c r="X186" s="150">
        <f ca="1">IF($C186="S",IF(Import.TipoArredondamento&lt;&gt;"TransfereGOV",VTOTAL1,SUM(OFFSET(CÁLCULO!$AA$15,ROW($X186)-ROW($X$15),1):OFFSET(CÁLCULO!$AL$15,ROW($X186)-ROW($X$15),-1))),IF($C186=0,0,ROUND(SomaAgrup,15-13*$AF$11)))</f>
        <v>0</v>
      </c>
      <c r="Y186" s="151" t="s">
        <v>245</v>
      </c>
      <c r="Z186" t="str">
        <f t="shared" ca="1" si="63"/>
        <v/>
      </c>
      <c r="AA186" s="152">
        <f ca="1">IF($C186="S",IF($Z186="CP",$X186,IF($Z186="RA",(($X186)*QCI!$AA$3),0)),SomaAgrup)</f>
        <v>0</v>
      </c>
      <c r="AB186" s="153">
        <f t="shared" ca="1" si="64"/>
        <v>0</v>
      </c>
      <c r="AC186" s="154" t="str">
        <f ca="1">IF($N186="","",IF(ORÇAMENTO.Descricao="","DESCRIÇÃO",IF(AND($C186="S",ORÇAMENTO.Unidade=""),"UNIDADE",IF($X186&lt;0,"VALOR NEGATIVO",IF(OR(AND(TIPOORCAMENTO="Proposto",$AG186&lt;&gt;"",$AG186&gt;0,ORÇAMENTO.CustoUnitario&gt;$AG186),AND(TIPOORCAMENTO="LICITADO",ORÇAMENTO.PrecoUnitarioLicitado&gt;$AN186)),"ACIMA REF.","")))))</f>
        <v/>
      </c>
      <c r="AD186" s="100" t="str">
        <f ca="1">IF(C186&lt;=CRONO.NivelExibicao,MAX($AD$15:OFFSET(AD186,-1,0))+IF($C186&lt;&gt;1,1,MAX(1,COUNTIF(QCI!$A$13:$A$24,OFFSET($E186,-1,0)))),"")</f>
        <v/>
      </c>
      <c r="AE186" s="110" t="b">
        <f ca="1">IF(AND($C186="S",ORÇAMENTO.CodBarra&lt;&gt;""),IF(ORÇAMENTO.Fonte="",ORÇAMENTO.CodBarra,CONCATENATE(ORÇAMENTO.Fonte," ",ORÇAMENTO.CodBarra)))</f>
        <v>0</v>
      </c>
      <c r="AF186" s="155" t="str">
        <f ca="1">IF(ISERROR(INDIRECT(ORÇAMENTO.BancoRef)),"(abra o arquivo 'Referência "&amp;Excel_BuiltIn_Database&amp;".xlsm)",IF(OR($C186&lt;&gt;"S",ORÇAMENTO.CodBarra=""),"(Sem Código)",IF(ISERROR(MATCH($AE186,INDIRECT(ORÇAMENTO.BancoRef),0)),"(Código não identificado nas referências)",MATCH($AE186,INDIRECT(ORÇAMENTO.BancoRef),0))))</f>
        <v>(abra o arquivo 'Referência 11-2024.xlsm)</v>
      </c>
      <c r="AG186" s="574">
        <f ca="1">ROUND(IF(DESONERACAO="sim",REFERENCIA.Desonerado,REFERENCIA.NaoDesonerado),2)</f>
        <v>0</v>
      </c>
      <c r="AH186" s="575">
        <f t="shared" ca="1" si="65"/>
        <v>0.22</v>
      </c>
      <c r="AJ186" s="577"/>
      <c r="AL186" s="607"/>
      <c r="AM186" s="426">
        <f t="shared" ca="1" si="66"/>
        <v>0</v>
      </c>
      <c r="AN186" s="650">
        <f t="shared" ca="1" si="67"/>
        <v>0</v>
      </c>
    </row>
    <row r="187" spans="1:40" ht="13.8" hidden="1">
      <c r="A187" t="str">
        <f t="shared" si="51"/>
        <v>S</v>
      </c>
      <c r="B187">
        <f t="shared" ca="1" si="52"/>
        <v>2</v>
      </c>
      <c r="C187" t="str">
        <f t="shared" ca="1" si="53"/>
        <v>S</v>
      </c>
      <c r="D187">
        <f t="shared" ca="1" si="54"/>
        <v>0</v>
      </c>
      <c r="E187">
        <f ca="1">IF($C187=1,OFFSET(E187,-1,0)+MAX(1,COUNTIF(QCI!$A$13:$A$24,OFFSET(ORÇAMENTO!E187,-1,0))),OFFSET(E187,-1,0))</f>
        <v>1</v>
      </c>
      <c r="F187">
        <f t="shared" ca="1" si="55"/>
        <v>5</v>
      </c>
      <c r="G187">
        <f t="shared" ca="1" si="56"/>
        <v>0</v>
      </c>
      <c r="H187">
        <f t="shared" ca="1" si="57"/>
        <v>0</v>
      </c>
      <c r="I187">
        <f t="shared" ca="1" si="58"/>
        <v>2</v>
      </c>
      <c r="J187">
        <f t="shared" ca="1" si="59"/>
        <v>0</v>
      </c>
      <c r="K187">
        <f ca="1">IF(OR($C187="S",$C187=0),0,MATCH(OFFSET($D187,0,$C187)+IF($C187&lt;&gt;1,1,COUNTIF(QCI!$A$13:$A$24,ORÇAMENTO!E187)),OFFSET($D187,1,$C187,ROW($C$264)-ROW($C187)),0))</f>
        <v>0</v>
      </c>
      <c r="L187" s="139" t="str">
        <f t="shared" ca="1" si="60"/>
        <v/>
      </c>
      <c r="M187" s="140" t="s">
        <v>199</v>
      </c>
      <c r="N187" s="141" t="str">
        <f t="shared" ca="1" si="61"/>
        <v>Serviço</v>
      </c>
      <c r="O187" s="142" t="str">
        <f t="shared" ca="1" si="62"/>
        <v>-</v>
      </c>
      <c r="P187" s="143" t="s">
        <v>247</v>
      </c>
      <c r="Q187" s="144"/>
      <c r="R187" s="145" t="str">
        <f ca="1">IF($C187="S",REFERENCIA.Descricao,"(digite a descrição aqui)")</f>
        <v>(abra o arquivo 'Referência 11-2024.xlsm)</v>
      </c>
      <c r="S187" s="146" t="str">
        <f ca="1">REFERENCIA.Unidade</f>
        <v>-</v>
      </c>
      <c r="T187" s="147">
        <f ca="1">OFFSET(CÁLCULO!H$15,ROW($T187)-ROW(T$15),0)</f>
        <v>0</v>
      </c>
      <c r="U187" s="148"/>
      <c r="V187" s="149" t="s">
        <v>156</v>
      </c>
      <c r="W187" s="147">
        <f ca="1">IF($C187="S",ROUND(IF(TIPOORCAMENTO="Proposto",ORÇAMENTO.CustoUnitario*(1+$AH187),ORÇAMENTO.PrecoUnitarioLicitado),15-13*$AF$10),0)</f>
        <v>0</v>
      </c>
      <c r="X187" s="150">
        <f ca="1">IF($C187="S",IF(Import.TipoArredondamento&lt;&gt;"TransfereGOV",VTOTAL1,SUM(OFFSET(CÁLCULO!$AA$15,ROW($X187)-ROW($X$15),1):OFFSET(CÁLCULO!$AL$15,ROW($X187)-ROW($X$15),-1))),IF($C187=0,0,ROUND(SomaAgrup,15-13*$AF$11)))</f>
        <v>0</v>
      </c>
      <c r="Y187" s="151" t="s">
        <v>245</v>
      </c>
      <c r="Z187" t="str">
        <f t="shared" ca="1" si="63"/>
        <v/>
      </c>
      <c r="AA187" s="152">
        <f ca="1">IF($C187="S",IF($Z187="CP",$X187,IF($Z187="RA",(($X187)*QCI!$AA$3),0)),SomaAgrup)</f>
        <v>0</v>
      </c>
      <c r="AB187" s="153">
        <f t="shared" ca="1" si="64"/>
        <v>0</v>
      </c>
      <c r="AC187" s="154" t="str">
        <f ca="1">IF($N187="","",IF(ORÇAMENTO.Descricao="","DESCRIÇÃO",IF(AND($C187="S",ORÇAMENTO.Unidade=""),"UNIDADE",IF($X187&lt;0,"VALOR NEGATIVO",IF(OR(AND(TIPOORCAMENTO="Proposto",$AG187&lt;&gt;"",$AG187&gt;0,ORÇAMENTO.CustoUnitario&gt;$AG187),AND(TIPOORCAMENTO="LICITADO",ORÇAMENTO.PrecoUnitarioLicitado&gt;$AN187)),"ACIMA REF.","")))))</f>
        <v/>
      </c>
      <c r="AD187" s="100" t="str">
        <f ca="1">IF(C187&lt;=CRONO.NivelExibicao,MAX($AD$15:OFFSET(AD187,-1,0))+IF($C187&lt;&gt;1,1,MAX(1,COUNTIF(QCI!$A$13:$A$24,OFFSET($E187,-1,0)))),"")</f>
        <v/>
      </c>
      <c r="AE187" s="110" t="b">
        <f ca="1">IF(AND($C187="S",ORÇAMENTO.CodBarra&lt;&gt;""),IF(ORÇAMENTO.Fonte="",ORÇAMENTO.CodBarra,CONCATENATE(ORÇAMENTO.Fonte," ",ORÇAMENTO.CodBarra)))</f>
        <v>0</v>
      </c>
      <c r="AF187" s="155" t="str">
        <f ca="1">IF(ISERROR(INDIRECT(ORÇAMENTO.BancoRef)),"(abra o arquivo 'Referência "&amp;Excel_BuiltIn_Database&amp;".xlsm)",IF(OR($C187&lt;&gt;"S",ORÇAMENTO.CodBarra=""),"(Sem Código)",IF(ISERROR(MATCH($AE187,INDIRECT(ORÇAMENTO.BancoRef),0)),"(Código não identificado nas referências)",MATCH($AE187,INDIRECT(ORÇAMENTO.BancoRef),0))))</f>
        <v>(abra o arquivo 'Referência 11-2024.xlsm)</v>
      </c>
      <c r="AG187" s="574">
        <f ca="1">ROUND(IF(DESONERACAO="sim",REFERENCIA.Desonerado,REFERENCIA.NaoDesonerado),2)</f>
        <v>0</v>
      </c>
      <c r="AH187" s="575">
        <f t="shared" ca="1" si="65"/>
        <v>0.22</v>
      </c>
      <c r="AJ187" s="577"/>
      <c r="AL187" s="607"/>
      <c r="AM187" s="426">
        <f t="shared" ca="1" si="66"/>
        <v>0</v>
      </c>
      <c r="AN187" s="650">
        <f t="shared" ca="1" si="67"/>
        <v>0</v>
      </c>
    </row>
    <row r="188" spans="1:40" ht="13.8" hidden="1">
      <c r="A188" t="str">
        <f t="shared" si="51"/>
        <v>S</v>
      </c>
      <c r="B188">
        <f t="shared" ca="1" si="52"/>
        <v>2</v>
      </c>
      <c r="C188" t="str">
        <f t="shared" ca="1" si="53"/>
        <v>S</v>
      </c>
      <c r="D188">
        <f t="shared" ca="1" si="54"/>
        <v>0</v>
      </c>
      <c r="E188">
        <f ca="1">IF($C188=1,OFFSET(E188,-1,0)+MAX(1,COUNTIF(QCI!$A$13:$A$24,OFFSET(ORÇAMENTO!E188,-1,0))),OFFSET(E188,-1,0))</f>
        <v>1</v>
      </c>
      <c r="F188">
        <f t="shared" ca="1" si="55"/>
        <v>5</v>
      </c>
      <c r="G188">
        <f t="shared" ca="1" si="56"/>
        <v>0</v>
      </c>
      <c r="H188">
        <f t="shared" ca="1" si="57"/>
        <v>0</v>
      </c>
      <c r="I188">
        <f t="shared" ca="1" si="58"/>
        <v>2</v>
      </c>
      <c r="J188">
        <f t="shared" ca="1" si="59"/>
        <v>0</v>
      </c>
      <c r="K188">
        <f ca="1">IF(OR($C188="S",$C188=0),0,MATCH(OFFSET($D188,0,$C188)+IF($C188&lt;&gt;1,1,COUNTIF(QCI!$A$13:$A$24,ORÇAMENTO!E188)),OFFSET($D188,1,$C188,ROW($C$264)-ROW($C188)),0))</f>
        <v>0</v>
      </c>
      <c r="L188" s="139" t="str">
        <f t="shared" ca="1" si="60"/>
        <v/>
      </c>
      <c r="M188" s="140" t="s">
        <v>199</v>
      </c>
      <c r="N188" s="141" t="str">
        <f t="shared" ca="1" si="61"/>
        <v>Serviço</v>
      </c>
      <c r="O188" s="142" t="str">
        <f t="shared" ca="1" si="62"/>
        <v>-</v>
      </c>
      <c r="P188" s="143" t="s">
        <v>247</v>
      </c>
      <c r="Q188" s="144"/>
      <c r="R188" s="145" t="str">
        <f ca="1">IF($C188="S",REFERENCIA.Descricao,"(digite a descrição aqui)")</f>
        <v>(abra o arquivo 'Referência 11-2024.xlsm)</v>
      </c>
      <c r="S188" s="146" t="str">
        <f ca="1">REFERENCIA.Unidade</f>
        <v>-</v>
      </c>
      <c r="T188" s="147">
        <f ca="1">OFFSET(CÁLCULO!H$15,ROW($T188)-ROW(T$15),0)</f>
        <v>0</v>
      </c>
      <c r="U188" s="148"/>
      <c r="V188" s="149" t="s">
        <v>156</v>
      </c>
      <c r="W188" s="147">
        <f ca="1">IF($C188="S",ROUND(IF(TIPOORCAMENTO="Proposto",ORÇAMENTO.CustoUnitario*(1+$AH188),ORÇAMENTO.PrecoUnitarioLicitado),15-13*$AF$10),0)</f>
        <v>0</v>
      </c>
      <c r="X188" s="150">
        <f ca="1">IF($C188="S",IF(Import.TipoArredondamento&lt;&gt;"TransfereGOV",VTOTAL1,SUM(OFFSET(CÁLCULO!$AA$15,ROW($X188)-ROW($X$15),1):OFFSET(CÁLCULO!$AL$15,ROW($X188)-ROW($X$15),-1))),IF($C188=0,0,ROUND(SomaAgrup,15-13*$AF$11)))</f>
        <v>0</v>
      </c>
      <c r="Y188" s="151" t="s">
        <v>245</v>
      </c>
      <c r="Z188" t="str">
        <f t="shared" ca="1" si="63"/>
        <v/>
      </c>
      <c r="AA188" s="152">
        <f ca="1">IF($C188="S",IF($Z188="CP",$X188,IF($Z188="RA",(($X188)*QCI!$AA$3),0)),SomaAgrup)</f>
        <v>0</v>
      </c>
      <c r="AB188" s="153">
        <f t="shared" ca="1" si="64"/>
        <v>0</v>
      </c>
      <c r="AC188" s="154" t="str">
        <f ca="1">IF($N188="","",IF(ORÇAMENTO.Descricao="","DESCRIÇÃO",IF(AND($C188="S",ORÇAMENTO.Unidade=""),"UNIDADE",IF($X188&lt;0,"VALOR NEGATIVO",IF(OR(AND(TIPOORCAMENTO="Proposto",$AG188&lt;&gt;"",$AG188&gt;0,ORÇAMENTO.CustoUnitario&gt;$AG188),AND(TIPOORCAMENTO="LICITADO",ORÇAMENTO.PrecoUnitarioLicitado&gt;$AN188)),"ACIMA REF.","")))))</f>
        <v/>
      </c>
      <c r="AD188" s="100" t="str">
        <f ca="1">IF(C188&lt;=CRONO.NivelExibicao,MAX($AD$15:OFFSET(AD188,-1,0))+IF($C188&lt;&gt;1,1,MAX(1,COUNTIF(QCI!$A$13:$A$24,OFFSET($E188,-1,0)))),"")</f>
        <v/>
      </c>
      <c r="AE188" s="110" t="b">
        <f ca="1">IF(AND($C188="S",ORÇAMENTO.CodBarra&lt;&gt;""),IF(ORÇAMENTO.Fonte="",ORÇAMENTO.CodBarra,CONCATENATE(ORÇAMENTO.Fonte," ",ORÇAMENTO.CodBarra)))</f>
        <v>0</v>
      </c>
      <c r="AF188" s="155" t="str">
        <f ca="1">IF(ISERROR(INDIRECT(ORÇAMENTO.BancoRef)),"(abra o arquivo 'Referência "&amp;Excel_BuiltIn_Database&amp;".xlsm)",IF(OR($C188&lt;&gt;"S",ORÇAMENTO.CodBarra=""),"(Sem Código)",IF(ISERROR(MATCH($AE188,INDIRECT(ORÇAMENTO.BancoRef),0)),"(Código não identificado nas referências)",MATCH($AE188,INDIRECT(ORÇAMENTO.BancoRef),0))))</f>
        <v>(abra o arquivo 'Referência 11-2024.xlsm)</v>
      </c>
      <c r="AG188" s="574">
        <f ca="1">ROUND(IF(DESONERACAO="sim",REFERENCIA.Desonerado,REFERENCIA.NaoDesonerado),2)</f>
        <v>0</v>
      </c>
      <c r="AH188" s="575">
        <f t="shared" ca="1" si="65"/>
        <v>0.22</v>
      </c>
      <c r="AJ188" s="577"/>
      <c r="AL188" s="607"/>
      <c r="AM188" s="426">
        <f t="shared" ca="1" si="66"/>
        <v>0</v>
      </c>
      <c r="AN188" s="650">
        <f t="shared" ca="1" si="67"/>
        <v>0</v>
      </c>
    </row>
    <row r="189" spans="1:40" ht="13.8" hidden="1">
      <c r="A189" t="str">
        <f t="shared" si="51"/>
        <v>S</v>
      </c>
      <c r="B189">
        <f t="shared" ca="1" si="52"/>
        <v>2</v>
      </c>
      <c r="C189" t="str">
        <f t="shared" ca="1" si="53"/>
        <v>S</v>
      </c>
      <c r="D189">
        <f t="shared" ca="1" si="54"/>
        <v>0</v>
      </c>
      <c r="E189">
        <f ca="1">IF($C189=1,OFFSET(E189,-1,0)+MAX(1,COUNTIF(QCI!$A$13:$A$24,OFFSET(ORÇAMENTO!E189,-1,0))),OFFSET(E189,-1,0))</f>
        <v>1</v>
      </c>
      <c r="F189">
        <f t="shared" ca="1" si="55"/>
        <v>5</v>
      </c>
      <c r="G189">
        <f t="shared" ca="1" si="56"/>
        <v>0</v>
      </c>
      <c r="H189">
        <f t="shared" ca="1" si="57"/>
        <v>0</v>
      </c>
      <c r="I189">
        <f t="shared" ca="1" si="58"/>
        <v>2</v>
      </c>
      <c r="J189">
        <f t="shared" ca="1" si="59"/>
        <v>0</v>
      </c>
      <c r="K189">
        <f ca="1">IF(OR($C189="S",$C189=0),0,MATCH(OFFSET($D189,0,$C189)+IF($C189&lt;&gt;1,1,COUNTIF(QCI!$A$13:$A$24,ORÇAMENTO!E189)),OFFSET($D189,1,$C189,ROW($C$264)-ROW($C189)),0))</f>
        <v>0</v>
      </c>
      <c r="L189" s="139" t="str">
        <f t="shared" ca="1" si="60"/>
        <v/>
      </c>
      <c r="M189" s="140" t="s">
        <v>199</v>
      </c>
      <c r="N189" s="141" t="str">
        <f t="shared" ca="1" si="61"/>
        <v>Serviço</v>
      </c>
      <c r="O189" s="142" t="str">
        <f t="shared" ca="1" si="62"/>
        <v>-</v>
      </c>
      <c r="P189" s="143" t="s">
        <v>247</v>
      </c>
      <c r="Q189" s="144"/>
      <c r="R189" s="145" t="str">
        <f ca="1">IF($C189="S",REFERENCIA.Descricao,"(digite a descrição aqui)")</f>
        <v>(abra o arquivo 'Referência 11-2024.xlsm)</v>
      </c>
      <c r="S189" s="146" t="str">
        <f ca="1">REFERENCIA.Unidade</f>
        <v>-</v>
      </c>
      <c r="T189" s="147">
        <f ca="1">OFFSET(CÁLCULO!H$15,ROW($T189)-ROW(T$15),0)</f>
        <v>0</v>
      </c>
      <c r="U189" s="148"/>
      <c r="V189" s="149" t="s">
        <v>156</v>
      </c>
      <c r="W189" s="147">
        <f ca="1">IF($C189="S",ROUND(IF(TIPOORCAMENTO="Proposto",ORÇAMENTO.CustoUnitario*(1+$AH189),ORÇAMENTO.PrecoUnitarioLicitado),15-13*$AF$10),0)</f>
        <v>0</v>
      </c>
      <c r="X189" s="150">
        <f ca="1">IF($C189="S",IF(Import.TipoArredondamento&lt;&gt;"TransfereGOV",VTOTAL1,SUM(OFFSET(CÁLCULO!$AA$15,ROW($X189)-ROW($X$15),1):OFFSET(CÁLCULO!$AL$15,ROW($X189)-ROW($X$15),-1))),IF($C189=0,0,ROUND(SomaAgrup,15-13*$AF$11)))</f>
        <v>0</v>
      </c>
      <c r="Y189" s="151" t="s">
        <v>245</v>
      </c>
      <c r="Z189" t="str">
        <f t="shared" ca="1" si="63"/>
        <v/>
      </c>
      <c r="AA189" s="152">
        <f ca="1">IF($C189="S",IF($Z189="CP",$X189,IF($Z189="RA",(($X189)*QCI!$AA$3),0)),SomaAgrup)</f>
        <v>0</v>
      </c>
      <c r="AB189" s="153">
        <f t="shared" ca="1" si="64"/>
        <v>0</v>
      </c>
      <c r="AC189" s="154" t="str">
        <f ca="1">IF($N189="","",IF(ORÇAMENTO.Descricao="","DESCRIÇÃO",IF(AND($C189="S",ORÇAMENTO.Unidade=""),"UNIDADE",IF($X189&lt;0,"VALOR NEGATIVO",IF(OR(AND(TIPOORCAMENTO="Proposto",$AG189&lt;&gt;"",$AG189&gt;0,ORÇAMENTO.CustoUnitario&gt;$AG189),AND(TIPOORCAMENTO="LICITADO",ORÇAMENTO.PrecoUnitarioLicitado&gt;$AN189)),"ACIMA REF.","")))))</f>
        <v/>
      </c>
      <c r="AD189" s="100" t="str">
        <f ca="1">IF(C189&lt;=CRONO.NivelExibicao,MAX($AD$15:OFFSET(AD189,-1,0))+IF($C189&lt;&gt;1,1,MAX(1,COUNTIF(QCI!$A$13:$A$24,OFFSET($E189,-1,0)))),"")</f>
        <v/>
      </c>
      <c r="AE189" s="110" t="b">
        <f ca="1">IF(AND($C189="S",ORÇAMENTO.CodBarra&lt;&gt;""),IF(ORÇAMENTO.Fonte="",ORÇAMENTO.CodBarra,CONCATENATE(ORÇAMENTO.Fonte," ",ORÇAMENTO.CodBarra)))</f>
        <v>0</v>
      </c>
      <c r="AF189" s="155" t="str">
        <f ca="1">IF(ISERROR(INDIRECT(ORÇAMENTO.BancoRef)),"(abra o arquivo 'Referência "&amp;Excel_BuiltIn_Database&amp;".xlsm)",IF(OR($C189&lt;&gt;"S",ORÇAMENTO.CodBarra=""),"(Sem Código)",IF(ISERROR(MATCH($AE189,INDIRECT(ORÇAMENTO.BancoRef),0)),"(Código não identificado nas referências)",MATCH($AE189,INDIRECT(ORÇAMENTO.BancoRef),0))))</f>
        <v>(abra o arquivo 'Referência 11-2024.xlsm)</v>
      </c>
      <c r="AG189" s="574">
        <f ca="1">ROUND(IF(DESONERACAO="sim",REFERENCIA.Desonerado,REFERENCIA.NaoDesonerado),2)</f>
        <v>0</v>
      </c>
      <c r="AH189" s="575">
        <f t="shared" ca="1" si="65"/>
        <v>0.22</v>
      </c>
      <c r="AJ189" s="577"/>
      <c r="AL189" s="607"/>
      <c r="AM189" s="426">
        <f t="shared" ca="1" si="66"/>
        <v>0</v>
      </c>
      <c r="AN189" s="650">
        <f t="shared" ca="1" si="67"/>
        <v>0</v>
      </c>
    </row>
    <row r="190" spans="1:40" ht="13.8" hidden="1">
      <c r="A190" t="str">
        <f t="shared" si="51"/>
        <v>S</v>
      </c>
      <c r="B190">
        <f t="shared" ca="1" si="52"/>
        <v>2</v>
      </c>
      <c r="C190" t="str">
        <f t="shared" ca="1" si="53"/>
        <v>S</v>
      </c>
      <c r="D190">
        <f t="shared" ca="1" si="54"/>
        <v>0</v>
      </c>
      <c r="E190">
        <f ca="1">IF($C190=1,OFFSET(E190,-1,0)+MAX(1,COUNTIF(QCI!$A$13:$A$24,OFFSET(ORÇAMENTO!E190,-1,0))),OFFSET(E190,-1,0))</f>
        <v>1</v>
      </c>
      <c r="F190">
        <f t="shared" ca="1" si="55"/>
        <v>5</v>
      </c>
      <c r="G190">
        <f t="shared" ca="1" si="56"/>
        <v>0</v>
      </c>
      <c r="H190">
        <f t="shared" ca="1" si="57"/>
        <v>0</v>
      </c>
      <c r="I190">
        <f t="shared" ca="1" si="58"/>
        <v>2</v>
      </c>
      <c r="J190">
        <f t="shared" ca="1" si="59"/>
        <v>0</v>
      </c>
      <c r="K190">
        <f ca="1">IF(OR($C190="S",$C190=0),0,MATCH(OFFSET($D190,0,$C190)+IF($C190&lt;&gt;1,1,COUNTIF(QCI!$A$13:$A$24,ORÇAMENTO!E190)),OFFSET($D190,1,$C190,ROW($C$264)-ROW($C190)),0))</f>
        <v>0</v>
      </c>
      <c r="L190" s="139" t="str">
        <f t="shared" ca="1" si="60"/>
        <v/>
      </c>
      <c r="M190" s="140" t="s">
        <v>199</v>
      </c>
      <c r="N190" s="141" t="str">
        <f t="shared" ca="1" si="61"/>
        <v>Serviço</v>
      </c>
      <c r="O190" s="142" t="str">
        <f t="shared" ca="1" si="62"/>
        <v>-</v>
      </c>
      <c r="P190" s="143" t="s">
        <v>247</v>
      </c>
      <c r="Q190" s="144"/>
      <c r="R190" s="145" t="str">
        <f ca="1">IF($C190="S",REFERENCIA.Descricao,"(digite a descrição aqui)")</f>
        <v>(abra o arquivo 'Referência 11-2024.xlsm)</v>
      </c>
      <c r="S190" s="146" t="str">
        <f ca="1">REFERENCIA.Unidade</f>
        <v>-</v>
      </c>
      <c r="T190" s="147">
        <f ca="1">OFFSET(CÁLCULO!H$15,ROW($T190)-ROW(T$15),0)</f>
        <v>0</v>
      </c>
      <c r="U190" s="148"/>
      <c r="V190" s="149" t="s">
        <v>156</v>
      </c>
      <c r="W190" s="147">
        <f ca="1">IF($C190="S",ROUND(IF(TIPOORCAMENTO="Proposto",ORÇAMENTO.CustoUnitario*(1+$AH190),ORÇAMENTO.PrecoUnitarioLicitado),15-13*$AF$10),0)</f>
        <v>0</v>
      </c>
      <c r="X190" s="150">
        <f ca="1">IF($C190="S",IF(Import.TipoArredondamento&lt;&gt;"TransfereGOV",VTOTAL1,SUM(OFFSET(CÁLCULO!$AA$15,ROW($X190)-ROW($X$15),1):OFFSET(CÁLCULO!$AL$15,ROW($X190)-ROW($X$15),-1))),IF($C190=0,0,ROUND(SomaAgrup,15-13*$AF$11)))</f>
        <v>0</v>
      </c>
      <c r="Y190" s="151" t="s">
        <v>245</v>
      </c>
      <c r="Z190" t="str">
        <f t="shared" ca="1" si="63"/>
        <v/>
      </c>
      <c r="AA190" s="152">
        <f ca="1">IF($C190="S",IF($Z190="CP",$X190,IF($Z190="RA",(($X190)*QCI!$AA$3),0)),SomaAgrup)</f>
        <v>0</v>
      </c>
      <c r="AB190" s="153">
        <f t="shared" ca="1" si="64"/>
        <v>0</v>
      </c>
      <c r="AC190" s="154" t="str">
        <f ca="1">IF($N190="","",IF(ORÇAMENTO.Descricao="","DESCRIÇÃO",IF(AND($C190="S",ORÇAMENTO.Unidade=""),"UNIDADE",IF($X190&lt;0,"VALOR NEGATIVO",IF(OR(AND(TIPOORCAMENTO="Proposto",$AG190&lt;&gt;"",$AG190&gt;0,ORÇAMENTO.CustoUnitario&gt;$AG190),AND(TIPOORCAMENTO="LICITADO",ORÇAMENTO.PrecoUnitarioLicitado&gt;$AN190)),"ACIMA REF.","")))))</f>
        <v/>
      </c>
      <c r="AD190" s="100" t="str">
        <f ca="1">IF(C190&lt;=CRONO.NivelExibicao,MAX($AD$15:OFFSET(AD190,-1,0))+IF($C190&lt;&gt;1,1,MAX(1,COUNTIF(QCI!$A$13:$A$24,OFFSET($E190,-1,0)))),"")</f>
        <v/>
      </c>
      <c r="AE190" s="110" t="b">
        <f ca="1">IF(AND($C190="S",ORÇAMENTO.CodBarra&lt;&gt;""),IF(ORÇAMENTO.Fonte="",ORÇAMENTO.CodBarra,CONCATENATE(ORÇAMENTO.Fonte," ",ORÇAMENTO.CodBarra)))</f>
        <v>0</v>
      </c>
      <c r="AF190" s="155" t="str">
        <f ca="1">IF(ISERROR(INDIRECT(ORÇAMENTO.BancoRef)),"(abra o arquivo 'Referência "&amp;Excel_BuiltIn_Database&amp;".xlsm)",IF(OR($C190&lt;&gt;"S",ORÇAMENTO.CodBarra=""),"(Sem Código)",IF(ISERROR(MATCH($AE190,INDIRECT(ORÇAMENTO.BancoRef),0)),"(Código não identificado nas referências)",MATCH($AE190,INDIRECT(ORÇAMENTO.BancoRef),0))))</f>
        <v>(abra o arquivo 'Referência 11-2024.xlsm)</v>
      </c>
      <c r="AG190" s="574">
        <f ca="1">ROUND(IF(DESONERACAO="sim",REFERENCIA.Desonerado,REFERENCIA.NaoDesonerado),2)</f>
        <v>0</v>
      </c>
      <c r="AH190" s="575">
        <f t="shared" ca="1" si="65"/>
        <v>0.22</v>
      </c>
      <c r="AJ190" s="577"/>
      <c r="AL190" s="607"/>
      <c r="AM190" s="426">
        <f t="shared" ca="1" si="66"/>
        <v>0</v>
      </c>
      <c r="AN190" s="650">
        <f t="shared" ca="1" si="67"/>
        <v>0</v>
      </c>
    </row>
    <row r="191" spans="1:40" ht="13.8" hidden="1">
      <c r="A191" t="str">
        <f t="shared" si="51"/>
        <v>S</v>
      </c>
      <c r="B191">
        <f t="shared" ca="1" si="52"/>
        <v>2</v>
      </c>
      <c r="C191" t="str">
        <f t="shared" ca="1" si="53"/>
        <v>S</v>
      </c>
      <c r="D191">
        <f t="shared" ca="1" si="54"/>
        <v>0</v>
      </c>
      <c r="E191">
        <f ca="1">IF($C191=1,OFFSET(E191,-1,0)+MAX(1,COUNTIF(QCI!$A$13:$A$24,OFFSET(ORÇAMENTO!E191,-1,0))),OFFSET(E191,-1,0))</f>
        <v>1</v>
      </c>
      <c r="F191">
        <f t="shared" ca="1" si="55"/>
        <v>5</v>
      </c>
      <c r="G191">
        <f t="shared" ca="1" si="56"/>
        <v>0</v>
      </c>
      <c r="H191">
        <f t="shared" ca="1" si="57"/>
        <v>0</v>
      </c>
      <c r="I191">
        <f t="shared" ca="1" si="58"/>
        <v>2</v>
      </c>
      <c r="J191">
        <f t="shared" ca="1" si="59"/>
        <v>0</v>
      </c>
      <c r="K191">
        <f ca="1">IF(OR($C191="S",$C191=0),0,MATCH(OFFSET($D191,0,$C191)+IF($C191&lt;&gt;1,1,COUNTIF(QCI!$A$13:$A$24,ORÇAMENTO!E191)),OFFSET($D191,1,$C191,ROW($C$264)-ROW($C191)),0))</f>
        <v>0</v>
      </c>
      <c r="L191" s="139" t="str">
        <f t="shared" ca="1" si="60"/>
        <v/>
      </c>
      <c r="M191" s="140" t="s">
        <v>199</v>
      </c>
      <c r="N191" s="141" t="str">
        <f t="shared" ca="1" si="61"/>
        <v>Serviço</v>
      </c>
      <c r="O191" s="142" t="str">
        <f t="shared" ca="1" si="62"/>
        <v>-</v>
      </c>
      <c r="P191" s="143" t="s">
        <v>247</v>
      </c>
      <c r="Q191" s="144"/>
      <c r="R191" s="145" t="str">
        <f ca="1">IF($C191="S",REFERENCIA.Descricao,"(digite a descrição aqui)")</f>
        <v>(abra o arquivo 'Referência 11-2024.xlsm)</v>
      </c>
      <c r="S191" s="146" t="str">
        <f ca="1">REFERENCIA.Unidade</f>
        <v>-</v>
      </c>
      <c r="T191" s="147">
        <f ca="1">OFFSET(CÁLCULO!H$15,ROW($T191)-ROW(T$15),0)</f>
        <v>0</v>
      </c>
      <c r="U191" s="148"/>
      <c r="V191" s="149" t="s">
        <v>156</v>
      </c>
      <c r="W191" s="147">
        <f ca="1">IF($C191="S",ROUND(IF(TIPOORCAMENTO="Proposto",ORÇAMENTO.CustoUnitario*(1+$AH191),ORÇAMENTO.PrecoUnitarioLicitado),15-13*$AF$10),0)</f>
        <v>0</v>
      </c>
      <c r="X191" s="150">
        <f ca="1">IF($C191="S",IF(Import.TipoArredondamento&lt;&gt;"TransfereGOV",VTOTAL1,SUM(OFFSET(CÁLCULO!$AA$15,ROW($X191)-ROW($X$15),1):OFFSET(CÁLCULO!$AL$15,ROW($X191)-ROW($X$15),-1))),IF($C191=0,0,ROUND(SomaAgrup,15-13*$AF$11)))</f>
        <v>0</v>
      </c>
      <c r="Y191" s="151" t="s">
        <v>245</v>
      </c>
      <c r="Z191" t="str">
        <f t="shared" ca="1" si="63"/>
        <v/>
      </c>
      <c r="AA191" s="152">
        <f ca="1">IF($C191="S",IF($Z191="CP",$X191,IF($Z191="RA",(($X191)*QCI!$AA$3),0)),SomaAgrup)</f>
        <v>0</v>
      </c>
      <c r="AB191" s="153">
        <f t="shared" ca="1" si="64"/>
        <v>0</v>
      </c>
      <c r="AC191" s="154" t="str">
        <f ca="1">IF($N191="","",IF(ORÇAMENTO.Descricao="","DESCRIÇÃO",IF(AND($C191="S",ORÇAMENTO.Unidade=""),"UNIDADE",IF($X191&lt;0,"VALOR NEGATIVO",IF(OR(AND(TIPOORCAMENTO="Proposto",$AG191&lt;&gt;"",$AG191&gt;0,ORÇAMENTO.CustoUnitario&gt;$AG191),AND(TIPOORCAMENTO="LICITADO",ORÇAMENTO.PrecoUnitarioLicitado&gt;$AN191)),"ACIMA REF.","")))))</f>
        <v/>
      </c>
      <c r="AD191" s="100" t="str">
        <f ca="1">IF(C191&lt;=CRONO.NivelExibicao,MAX($AD$15:OFFSET(AD191,-1,0))+IF($C191&lt;&gt;1,1,MAX(1,COUNTIF(QCI!$A$13:$A$24,OFFSET($E191,-1,0)))),"")</f>
        <v/>
      </c>
      <c r="AE191" s="110" t="b">
        <f ca="1">IF(AND($C191="S",ORÇAMENTO.CodBarra&lt;&gt;""),IF(ORÇAMENTO.Fonte="",ORÇAMENTO.CodBarra,CONCATENATE(ORÇAMENTO.Fonte," ",ORÇAMENTO.CodBarra)))</f>
        <v>0</v>
      </c>
      <c r="AF191" s="155" t="str">
        <f ca="1">IF(ISERROR(INDIRECT(ORÇAMENTO.BancoRef)),"(abra o arquivo 'Referência "&amp;Excel_BuiltIn_Database&amp;".xlsm)",IF(OR($C191&lt;&gt;"S",ORÇAMENTO.CodBarra=""),"(Sem Código)",IF(ISERROR(MATCH($AE191,INDIRECT(ORÇAMENTO.BancoRef),0)),"(Código não identificado nas referências)",MATCH($AE191,INDIRECT(ORÇAMENTO.BancoRef),0))))</f>
        <v>(abra o arquivo 'Referência 11-2024.xlsm)</v>
      </c>
      <c r="AG191" s="574">
        <f ca="1">ROUND(IF(DESONERACAO="sim",REFERENCIA.Desonerado,REFERENCIA.NaoDesonerado),2)</f>
        <v>0</v>
      </c>
      <c r="AH191" s="575">
        <f t="shared" ca="1" si="65"/>
        <v>0.22</v>
      </c>
      <c r="AJ191" s="577"/>
      <c r="AL191" s="607"/>
      <c r="AM191" s="426">
        <f t="shared" ca="1" si="66"/>
        <v>0</v>
      </c>
      <c r="AN191" s="650">
        <f t="shared" ca="1" si="67"/>
        <v>0</v>
      </c>
    </row>
    <row r="192" spans="1:40" ht="13.8" hidden="1">
      <c r="A192" t="str">
        <f t="shared" si="51"/>
        <v>S</v>
      </c>
      <c r="B192">
        <f t="shared" ca="1" si="52"/>
        <v>2</v>
      </c>
      <c r="C192" t="str">
        <f t="shared" ca="1" si="53"/>
        <v>S</v>
      </c>
      <c r="D192">
        <f t="shared" ca="1" si="54"/>
        <v>0</v>
      </c>
      <c r="E192">
        <f ca="1">IF($C192=1,OFFSET(E192,-1,0)+MAX(1,COUNTIF(QCI!$A$13:$A$24,OFFSET(ORÇAMENTO!E192,-1,0))),OFFSET(E192,-1,0))</f>
        <v>1</v>
      </c>
      <c r="F192">
        <f t="shared" ca="1" si="55"/>
        <v>5</v>
      </c>
      <c r="G192">
        <f t="shared" ca="1" si="56"/>
        <v>0</v>
      </c>
      <c r="H192">
        <f t="shared" ca="1" si="57"/>
        <v>0</v>
      </c>
      <c r="I192">
        <f t="shared" ca="1" si="58"/>
        <v>2</v>
      </c>
      <c r="J192">
        <f t="shared" ca="1" si="59"/>
        <v>0</v>
      </c>
      <c r="K192">
        <f ca="1">IF(OR($C192="S",$C192=0),0,MATCH(OFFSET($D192,0,$C192)+IF($C192&lt;&gt;1,1,COUNTIF(QCI!$A$13:$A$24,ORÇAMENTO!E192)),OFFSET($D192,1,$C192,ROW($C$264)-ROW($C192)),0))</f>
        <v>0</v>
      </c>
      <c r="L192" s="139" t="str">
        <f t="shared" ca="1" si="60"/>
        <v/>
      </c>
      <c r="M192" s="140" t="s">
        <v>199</v>
      </c>
      <c r="N192" s="141" t="str">
        <f t="shared" ca="1" si="61"/>
        <v>Serviço</v>
      </c>
      <c r="O192" s="142" t="str">
        <f t="shared" ca="1" si="62"/>
        <v>-</v>
      </c>
      <c r="P192" s="143" t="s">
        <v>247</v>
      </c>
      <c r="Q192" s="144"/>
      <c r="R192" s="145" t="str">
        <f ca="1">IF($C192="S",REFERENCIA.Descricao,"(digite a descrição aqui)")</f>
        <v>(abra o arquivo 'Referência 11-2024.xlsm)</v>
      </c>
      <c r="S192" s="146" t="str">
        <f ca="1">REFERENCIA.Unidade</f>
        <v>-</v>
      </c>
      <c r="T192" s="147">
        <f ca="1">OFFSET(CÁLCULO!H$15,ROW($T192)-ROW(T$15),0)</f>
        <v>0</v>
      </c>
      <c r="U192" s="148"/>
      <c r="V192" s="149" t="s">
        <v>156</v>
      </c>
      <c r="W192" s="147">
        <f ca="1">IF($C192="S",ROUND(IF(TIPOORCAMENTO="Proposto",ORÇAMENTO.CustoUnitario*(1+$AH192),ORÇAMENTO.PrecoUnitarioLicitado),15-13*$AF$10),0)</f>
        <v>0</v>
      </c>
      <c r="X192" s="150">
        <f ca="1">IF($C192="S",IF(Import.TipoArredondamento&lt;&gt;"TransfereGOV",VTOTAL1,SUM(OFFSET(CÁLCULO!$AA$15,ROW($X192)-ROW($X$15),1):OFFSET(CÁLCULO!$AL$15,ROW($X192)-ROW($X$15),-1))),IF($C192=0,0,ROUND(SomaAgrup,15-13*$AF$11)))</f>
        <v>0</v>
      </c>
      <c r="Y192" s="151" t="s">
        <v>245</v>
      </c>
      <c r="Z192" t="str">
        <f t="shared" ca="1" si="63"/>
        <v/>
      </c>
      <c r="AA192" s="152">
        <f ca="1">IF($C192="S",IF($Z192="CP",$X192,IF($Z192="RA",(($X192)*QCI!$AA$3),0)),SomaAgrup)</f>
        <v>0</v>
      </c>
      <c r="AB192" s="153">
        <f t="shared" ca="1" si="64"/>
        <v>0</v>
      </c>
      <c r="AC192" s="154" t="str">
        <f ca="1">IF($N192="","",IF(ORÇAMENTO.Descricao="","DESCRIÇÃO",IF(AND($C192="S",ORÇAMENTO.Unidade=""),"UNIDADE",IF($X192&lt;0,"VALOR NEGATIVO",IF(OR(AND(TIPOORCAMENTO="Proposto",$AG192&lt;&gt;"",$AG192&gt;0,ORÇAMENTO.CustoUnitario&gt;$AG192),AND(TIPOORCAMENTO="LICITADO",ORÇAMENTO.PrecoUnitarioLicitado&gt;$AN192)),"ACIMA REF.","")))))</f>
        <v/>
      </c>
      <c r="AD192" s="100" t="str">
        <f ca="1">IF(C192&lt;=CRONO.NivelExibicao,MAX($AD$15:OFFSET(AD192,-1,0))+IF($C192&lt;&gt;1,1,MAX(1,COUNTIF(QCI!$A$13:$A$24,OFFSET($E192,-1,0)))),"")</f>
        <v/>
      </c>
      <c r="AE192" s="110" t="b">
        <f ca="1">IF(AND($C192="S",ORÇAMENTO.CodBarra&lt;&gt;""),IF(ORÇAMENTO.Fonte="",ORÇAMENTO.CodBarra,CONCATENATE(ORÇAMENTO.Fonte," ",ORÇAMENTO.CodBarra)))</f>
        <v>0</v>
      </c>
      <c r="AF192" s="155" t="str">
        <f ca="1">IF(ISERROR(INDIRECT(ORÇAMENTO.BancoRef)),"(abra o arquivo 'Referência "&amp;Excel_BuiltIn_Database&amp;".xlsm)",IF(OR($C192&lt;&gt;"S",ORÇAMENTO.CodBarra=""),"(Sem Código)",IF(ISERROR(MATCH($AE192,INDIRECT(ORÇAMENTO.BancoRef),0)),"(Código não identificado nas referências)",MATCH($AE192,INDIRECT(ORÇAMENTO.BancoRef),0))))</f>
        <v>(abra o arquivo 'Referência 11-2024.xlsm)</v>
      </c>
      <c r="AG192" s="574">
        <f ca="1">ROUND(IF(DESONERACAO="sim",REFERENCIA.Desonerado,REFERENCIA.NaoDesonerado),2)</f>
        <v>0</v>
      </c>
      <c r="AH192" s="575">
        <f t="shared" ca="1" si="65"/>
        <v>0.22</v>
      </c>
      <c r="AJ192" s="577"/>
      <c r="AL192" s="607"/>
      <c r="AM192" s="426">
        <f t="shared" ca="1" si="66"/>
        <v>0</v>
      </c>
      <c r="AN192" s="650">
        <f t="shared" ca="1" si="67"/>
        <v>0</v>
      </c>
    </row>
    <row r="193" spans="1:40" ht="13.8" hidden="1">
      <c r="A193" t="str">
        <f t="shared" si="51"/>
        <v>S</v>
      </c>
      <c r="B193">
        <f t="shared" ca="1" si="52"/>
        <v>2</v>
      </c>
      <c r="C193" t="str">
        <f t="shared" ca="1" si="53"/>
        <v>S</v>
      </c>
      <c r="D193">
        <f t="shared" ca="1" si="54"/>
        <v>0</v>
      </c>
      <c r="E193">
        <f ca="1">IF($C193=1,OFFSET(E193,-1,0)+MAX(1,COUNTIF(QCI!$A$13:$A$24,OFFSET(ORÇAMENTO!E193,-1,0))),OFFSET(E193,-1,0))</f>
        <v>1</v>
      </c>
      <c r="F193">
        <f t="shared" ca="1" si="55"/>
        <v>5</v>
      </c>
      <c r="G193">
        <f t="shared" ca="1" si="56"/>
        <v>0</v>
      </c>
      <c r="H193">
        <f t="shared" ca="1" si="57"/>
        <v>0</v>
      </c>
      <c r="I193">
        <f t="shared" ca="1" si="58"/>
        <v>2</v>
      </c>
      <c r="J193">
        <f t="shared" ca="1" si="59"/>
        <v>0</v>
      </c>
      <c r="K193">
        <f ca="1">IF(OR($C193="S",$C193=0),0,MATCH(OFFSET($D193,0,$C193)+IF($C193&lt;&gt;1,1,COUNTIF(QCI!$A$13:$A$24,ORÇAMENTO!E193)),OFFSET($D193,1,$C193,ROW($C$264)-ROW($C193)),0))</f>
        <v>0</v>
      </c>
      <c r="L193" s="139" t="str">
        <f t="shared" ca="1" si="60"/>
        <v/>
      </c>
      <c r="M193" s="140" t="s">
        <v>199</v>
      </c>
      <c r="N193" s="141" t="str">
        <f t="shared" ca="1" si="61"/>
        <v>Serviço</v>
      </c>
      <c r="O193" s="142" t="str">
        <f t="shared" ca="1" si="62"/>
        <v>-</v>
      </c>
      <c r="P193" s="143" t="s">
        <v>247</v>
      </c>
      <c r="Q193" s="144"/>
      <c r="R193" s="145" t="str">
        <f ca="1">IF($C193="S",REFERENCIA.Descricao,"(digite a descrição aqui)")</f>
        <v>(abra o arquivo 'Referência 11-2024.xlsm)</v>
      </c>
      <c r="S193" s="146" t="str">
        <f ca="1">REFERENCIA.Unidade</f>
        <v>-</v>
      </c>
      <c r="T193" s="147">
        <f ca="1">OFFSET(CÁLCULO!H$15,ROW($T193)-ROW(T$15),0)</f>
        <v>0</v>
      </c>
      <c r="U193" s="148"/>
      <c r="V193" s="149" t="s">
        <v>156</v>
      </c>
      <c r="W193" s="147">
        <f ca="1">IF($C193="S",ROUND(IF(TIPOORCAMENTO="Proposto",ORÇAMENTO.CustoUnitario*(1+$AH193),ORÇAMENTO.PrecoUnitarioLicitado),15-13*$AF$10),0)</f>
        <v>0</v>
      </c>
      <c r="X193" s="150">
        <f ca="1">IF($C193="S",IF(Import.TipoArredondamento&lt;&gt;"TransfereGOV",VTOTAL1,SUM(OFFSET(CÁLCULO!$AA$15,ROW($X193)-ROW($X$15),1):OFFSET(CÁLCULO!$AL$15,ROW($X193)-ROW($X$15),-1))),IF($C193=0,0,ROUND(SomaAgrup,15-13*$AF$11)))</f>
        <v>0</v>
      </c>
      <c r="Y193" s="151" t="s">
        <v>245</v>
      </c>
      <c r="Z193" t="str">
        <f t="shared" ca="1" si="63"/>
        <v/>
      </c>
      <c r="AA193" s="152">
        <f ca="1">IF($C193="S",IF($Z193="CP",$X193,IF($Z193="RA",(($X193)*QCI!$AA$3),0)),SomaAgrup)</f>
        <v>0</v>
      </c>
      <c r="AB193" s="153">
        <f t="shared" ca="1" si="64"/>
        <v>0</v>
      </c>
      <c r="AC193" s="154" t="str">
        <f ca="1">IF($N193="","",IF(ORÇAMENTO.Descricao="","DESCRIÇÃO",IF(AND($C193="S",ORÇAMENTO.Unidade=""),"UNIDADE",IF($X193&lt;0,"VALOR NEGATIVO",IF(OR(AND(TIPOORCAMENTO="Proposto",$AG193&lt;&gt;"",$AG193&gt;0,ORÇAMENTO.CustoUnitario&gt;$AG193),AND(TIPOORCAMENTO="LICITADO",ORÇAMENTO.PrecoUnitarioLicitado&gt;$AN193)),"ACIMA REF.","")))))</f>
        <v/>
      </c>
      <c r="AD193" s="100" t="str">
        <f ca="1">IF(C193&lt;=CRONO.NivelExibicao,MAX($AD$15:OFFSET(AD193,-1,0))+IF($C193&lt;&gt;1,1,MAX(1,COUNTIF(QCI!$A$13:$A$24,OFFSET($E193,-1,0)))),"")</f>
        <v/>
      </c>
      <c r="AE193" s="110" t="b">
        <f ca="1">IF(AND($C193="S",ORÇAMENTO.CodBarra&lt;&gt;""),IF(ORÇAMENTO.Fonte="",ORÇAMENTO.CodBarra,CONCATENATE(ORÇAMENTO.Fonte," ",ORÇAMENTO.CodBarra)))</f>
        <v>0</v>
      </c>
      <c r="AF193" s="155" t="str">
        <f ca="1">IF(ISERROR(INDIRECT(ORÇAMENTO.BancoRef)),"(abra o arquivo 'Referência "&amp;Excel_BuiltIn_Database&amp;".xlsm)",IF(OR($C193&lt;&gt;"S",ORÇAMENTO.CodBarra=""),"(Sem Código)",IF(ISERROR(MATCH($AE193,INDIRECT(ORÇAMENTO.BancoRef),0)),"(Código não identificado nas referências)",MATCH($AE193,INDIRECT(ORÇAMENTO.BancoRef),0))))</f>
        <v>(abra o arquivo 'Referência 11-2024.xlsm)</v>
      </c>
      <c r="AG193" s="574">
        <f ca="1">ROUND(IF(DESONERACAO="sim",REFERENCIA.Desonerado,REFERENCIA.NaoDesonerado),2)</f>
        <v>0</v>
      </c>
      <c r="AH193" s="575">
        <f t="shared" ca="1" si="65"/>
        <v>0.22</v>
      </c>
      <c r="AJ193" s="577"/>
      <c r="AL193" s="607"/>
      <c r="AM193" s="426">
        <f t="shared" ca="1" si="66"/>
        <v>0</v>
      </c>
      <c r="AN193" s="650">
        <f t="shared" ca="1" si="67"/>
        <v>0</v>
      </c>
    </row>
    <row r="194" spans="1:40" ht="13.8" hidden="1">
      <c r="A194" t="str">
        <f t="shared" si="51"/>
        <v>S</v>
      </c>
      <c r="B194">
        <f t="shared" ca="1" si="52"/>
        <v>2</v>
      </c>
      <c r="C194" t="str">
        <f t="shared" ca="1" si="53"/>
        <v>S</v>
      </c>
      <c r="D194">
        <f t="shared" ca="1" si="54"/>
        <v>0</v>
      </c>
      <c r="E194">
        <f ca="1">IF($C194=1,OFFSET(E194,-1,0)+MAX(1,COUNTIF(QCI!$A$13:$A$24,OFFSET(ORÇAMENTO!E194,-1,0))),OFFSET(E194,-1,0))</f>
        <v>1</v>
      </c>
      <c r="F194">
        <f t="shared" ca="1" si="55"/>
        <v>5</v>
      </c>
      <c r="G194">
        <f t="shared" ca="1" si="56"/>
        <v>0</v>
      </c>
      <c r="H194">
        <f t="shared" ca="1" si="57"/>
        <v>0</v>
      </c>
      <c r="I194">
        <f t="shared" ca="1" si="58"/>
        <v>2</v>
      </c>
      <c r="J194">
        <f t="shared" ca="1" si="59"/>
        <v>0</v>
      </c>
      <c r="K194">
        <f ca="1">IF(OR($C194="S",$C194=0),0,MATCH(OFFSET($D194,0,$C194)+IF($C194&lt;&gt;1,1,COUNTIF(QCI!$A$13:$A$24,ORÇAMENTO!E194)),OFFSET($D194,1,$C194,ROW($C$264)-ROW($C194)),0))</f>
        <v>0</v>
      </c>
      <c r="L194" s="139" t="str">
        <f t="shared" ca="1" si="60"/>
        <v/>
      </c>
      <c r="M194" s="140" t="s">
        <v>199</v>
      </c>
      <c r="N194" s="141" t="str">
        <f t="shared" ca="1" si="61"/>
        <v>Serviço</v>
      </c>
      <c r="O194" s="142" t="str">
        <f t="shared" ca="1" si="62"/>
        <v>-</v>
      </c>
      <c r="P194" s="143" t="s">
        <v>247</v>
      </c>
      <c r="Q194" s="144"/>
      <c r="R194" s="145" t="str">
        <f ca="1">IF($C194="S",REFERENCIA.Descricao,"(digite a descrição aqui)")</f>
        <v>(abra o arquivo 'Referência 11-2024.xlsm)</v>
      </c>
      <c r="S194" s="146" t="str">
        <f ca="1">REFERENCIA.Unidade</f>
        <v>-</v>
      </c>
      <c r="T194" s="147">
        <f ca="1">OFFSET(CÁLCULO!H$15,ROW($T194)-ROW(T$15),0)</f>
        <v>0</v>
      </c>
      <c r="U194" s="148"/>
      <c r="V194" s="149" t="s">
        <v>156</v>
      </c>
      <c r="W194" s="147">
        <f ca="1">IF($C194="S",ROUND(IF(TIPOORCAMENTO="Proposto",ORÇAMENTO.CustoUnitario*(1+$AH194),ORÇAMENTO.PrecoUnitarioLicitado),15-13*$AF$10),0)</f>
        <v>0</v>
      </c>
      <c r="X194" s="150">
        <f ca="1">IF($C194="S",IF(Import.TipoArredondamento&lt;&gt;"TransfereGOV",VTOTAL1,SUM(OFFSET(CÁLCULO!$AA$15,ROW($X194)-ROW($X$15),1):OFFSET(CÁLCULO!$AL$15,ROW($X194)-ROW($X$15),-1))),IF($C194=0,0,ROUND(SomaAgrup,15-13*$AF$11)))</f>
        <v>0</v>
      </c>
      <c r="Y194" s="151" t="s">
        <v>245</v>
      </c>
      <c r="Z194" t="str">
        <f t="shared" ca="1" si="63"/>
        <v/>
      </c>
      <c r="AA194" s="152">
        <f ca="1">IF($C194="S",IF($Z194="CP",$X194,IF($Z194="RA",(($X194)*QCI!$AA$3),0)),SomaAgrup)</f>
        <v>0</v>
      </c>
      <c r="AB194" s="153">
        <f t="shared" ca="1" si="64"/>
        <v>0</v>
      </c>
      <c r="AC194" s="154" t="str">
        <f ca="1">IF($N194="","",IF(ORÇAMENTO.Descricao="","DESCRIÇÃO",IF(AND($C194="S",ORÇAMENTO.Unidade=""),"UNIDADE",IF($X194&lt;0,"VALOR NEGATIVO",IF(OR(AND(TIPOORCAMENTO="Proposto",$AG194&lt;&gt;"",$AG194&gt;0,ORÇAMENTO.CustoUnitario&gt;$AG194),AND(TIPOORCAMENTO="LICITADO",ORÇAMENTO.PrecoUnitarioLicitado&gt;$AN194)),"ACIMA REF.","")))))</f>
        <v/>
      </c>
      <c r="AD194" s="100" t="str">
        <f ca="1">IF(C194&lt;=CRONO.NivelExibicao,MAX($AD$15:OFFSET(AD194,-1,0))+IF($C194&lt;&gt;1,1,MAX(1,COUNTIF(QCI!$A$13:$A$24,OFFSET($E194,-1,0)))),"")</f>
        <v/>
      </c>
      <c r="AE194" s="110" t="b">
        <f ca="1">IF(AND($C194="S",ORÇAMENTO.CodBarra&lt;&gt;""),IF(ORÇAMENTO.Fonte="",ORÇAMENTO.CodBarra,CONCATENATE(ORÇAMENTO.Fonte," ",ORÇAMENTO.CodBarra)))</f>
        <v>0</v>
      </c>
      <c r="AF194" s="155" t="str">
        <f ca="1">IF(ISERROR(INDIRECT(ORÇAMENTO.BancoRef)),"(abra o arquivo 'Referência "&amp;Excel_BuiltIn_Database&amp;".xlsm)",IF(OR($C194&lt;&gt;"S",ORÇAMENTO.CodBarra=""),"(Sem Código)",IF(ISERROR(MATCH($AE194,INDIRECT(ORÇAMENTO.BancoRef),0)),"(Código não identificado nas referências)",MATCH($AE194,INDIRECT(ORÇAMENTO.BancoRef),0))))</f>
        <v>(abra o arquivo 'Referência 11-2024.xlsm)</v>
      </c>
      <c r="AG194" s="574">
        <f ca="1">ROUND(IF(DESONERACAO="sim",REFERENCIA.Desonerado,REFERENCIA.NaoDesonerado),2)</f>
        <v>0</v>
      </c>
      <c r="AH194" s="575">
        <f t="shared" ca="1" si="65"/>
        <v>0.22</v>
      </c>
      <c r="AJ194" s="577"/>
      <c r="AL194" s="607"/>
      <c r="AM194" s="426">
        <f t="shared" ca="1" si="66"/>
        <v>0</v>
      </c>
      <c r="AN194" s="650">
        <f t="shared" ca="1" si="67"/>
        <v>0</v>
      </c>
    </row>
    <row r="195" spans="1:40" ht="13.8" hidden="1">
      <c r="A195" t="str">
        <f t="shared" si="51"/>
        <v>S</v>
      </c>
      <c r="B195">
        <f t="shared" ca="1" si="52"/>
        <v>2</v>
      </c>
      <c r="C195" t="str">
        <f t="shared" ca="1" si="53"/>
        <v>S</v>
      </c>
      <c r="D195">
        <f t="shared" ca="1" si="54"/>
        <v>0</v>
      </c>
      <c r="E195">
        <f ca="1">IF($C195=1,OFFSET(E195,-1,0)+MAX(1,COUNTIF(QCI!$A$13:$A$24,OFFSET(ORÇAMENTO!E195,-1,0))),OFFSET(E195,-1,0))</f>
        <v>1</v>
      </c>
      <c r="F195">
        <f t="shared" ca="1" si="55"/>
        <v>5</v>
      </c>
      <c r="G195">
        <f t="shared" ca="1" si="56"/>
        <v>0</v>
      </c>
      <c r="H195">
        <f t="shared" ca="1" si="57"/>
        <v>0</v>
      </c>
      <c r="I195">
        <f t="shared" ca="1" si="58"/>
        <v>2</v>
      </c>
      <c r="J195">
        <f t="shared" ca="1" si="59"/>
        <v>0</v>
      </c>
      <c r="K195">
        <f ca="1">IF(OR($C195="S",$C195=0),0,MATCH(OFFSET($D195,0,$C195)+IF($C195&lt;&gt;1,1,COUNTIF(QCI!$A$13:$A$24,ORÇAMENTO!E195)),OFFSET($D195,1,$C195,ROW($C$264)-ROW($C195)),0))</f>
        <v>0</v>
      </c>
      <c r="L195" s="139" t="str">
        <f t="shared" ca="1" si="60"/>
        <v/>
      </c>
      <c r="M195" s="140" t="s">
        <v>199</v>
      </c>
      <c r="N195" s="141" t="str">
        <f t="shared" ca="1" si="61"/>
        <v>Serviço</v>
      </c>
      <c r="O195" s="142" t="str">
        <f t="shared" ca="1" si="62"/>
        <v>-</v>
      </c>
      <c r="P195" s="143" t="s">
        <v>247</v>
      </c>
      <c r="Q195" s="144"/>
      <c r="R195" s="145" t="str">
        <f ca="1">IF($C195="S",REFERENCIA.Descricao,"(digite a descrição aqui)")</f>
        <v>(abra o arquivo 'Referência 11-2024.xlsm)</v>
      </c>
      <c r="S195" s="146" t="str">
        <f ca="1">REFERENCIA.Unidade</f>
        <v>-</v>
      </c>
      <c r="T195" s="147">
        <f ca="1">OFFSET(CÁLCULO!H$15,ROW($T195)-ROW(T$15),0)</f>
        <v>0</v>
      </c>
      <c r="U195" s="148"/>
      <c r="V195" s="149" t="s">
        <v>156</v>
      </c>
      <c r="W195" s="147">
        <f ca="1">IF($C195="S",ROUND(IF(TIPOORCAMENTO="Proposto",ORÇAMENTO.CustoUnitario*(1+$AH195),ORÇAMENTO.PrecoUnitarioLicitado),15-13*$AF$10),0)</f>
        <v>0</v>
      </c>
      <c r="X195" s="150">
        <f ca="1">IF($C195="S",IF(Import.TipoArredondamento&lt;&gt;"TransfereGOV",VTOTAL1,SUM(OFFSET(CÁLCULO!$AA$15,ROW($X195)-ROW($X$15),1):OFFSET(CÁLCULO!$AL$15,ROW($X195)-ROW($X$15),-1))),IF($C195=0,0,ROUND(SomaAgrup,15-13*$AF$11)))</f>
        <v>0</v>
      </c>
      <c r="Y195" s="151" t="s">
        <v>245</v>
      </c>
      <c r="Z195" t="str">
        <f t="shared" ca="1" si="63"/>
        <v/>
      </c>
      <c r="AA195" s="152">
        <f ca="1">IF($C195="S",IF($Z195="CP",$X195,IF($Z195="RA",(($X195)*QCI!$AA$3),0)),SomaAgrup)</f>
        <v>0</v>
      </c>
      <c r="AB195" s="153">
        <f t="shared" ca="1" si="64"/>
        <v>0</v>
      </c>
      <c r="AC195" s="154" t="str">
        <f ca="1">IF($N195="","",IF(ORÇAMENTO.Descricao="","DESCRIÇÃO",IF(AND($C195="S",ORÇAMENTO.Unidade=""),"UNIDADE",IF($X195&lt;0,"VALOR NEGATIVO",IF(OR(AND(TIPOORCAMENTO="Proposto",$AG195&lt;&gt;"",$AG195&gt;0,ORÇAMENTO.CustoUnitario&gt;$AG195),AND(TIPOORCAMENTO="LICITADO",ORÇAMENTO.PrecoUnitarioLicitado&gt;$AN195)),"ACIMA REF.","")))))</f>
        <v/>
      </c>
      <c r="AD195" s="100" t="str">
        <f ca="1">IF(C195&lt;=CRONO.NivelExibicao,MAX($AD$15:OFFSET(AD195,-1,0))+IF($C195&lt;&gt;1,1,MAX(1,COUNTIF(QCI!$A$13:$A$24,OFFSET($E195,-1,0)))),"")</f>
        <v/>
      </c>
      <c r="AE195" s="110" t="b">
        <f ca="1">IF(AND($C195="S",ORÇAMENTO.CodBarra&lt;&gt;""),IF(ORÇAMENTO.Fonte="",ORÇAMENTO.CodBarra,CONCATENATE(ORÇAMENTO.Fonte," ",ORÇAMENTO.CodBarra)))</f>
        <v>0</v>
      </c>
      <c r="AF195" s="155" t="str">
        <f ca="1">IF(ISERROR(INDIRECT(ORÇAMENTO.BancoRef)),"(abra o arquivo 'Referência "&amp;Excel_BuiltIn_Database&amp;".xlsm)",IF(OR($C195&lt;&gt;"S",ORÇAMENTO.CodBarra=""),"(Sem Código)",IF(ISERROR(MATCH($AE195,INDIRECT(ORÇAMENTO.BancoRef),0)),"(Código não identificado nas referências)",MATCH($AE195,INDIRECT(ORÇAMENTO.BancoRef),0))))</f>
        <v>(abra o arquivo 'Referência 11-2024.xlsm)</v>
      </c>
      <c r="AG195" s="574">
        <f ca="1">ROUND(IF(DESONERACAO="sim",REFERENCIA.Desonerado,REFERENCIA.NaoDesonerado),2)</f>
        <v>0</v>
      </c>
      <c r="AH195" s="575">
        <f t="shared" ca="1" si="65"/>
        <v>0.22</v>
      </c>
      <c r="AJ195" s="577"/>
      <c r="AL195" s="607"/>
      <c r="AM195" s="426">
        <f t="shared" ca="1" si="66"/>
        <v>0</v>
      </c>
      <c r="AN195" s="650">
        <f t="shared" ca="1" si="67"/>
        <v>0</v>
      </c>
    </row>
    <row r="196" spans="1:40" ht="13.8" hidden="1">
      <c r="A196" t="str">
        <f t="shared" si="51"/>
        <v>S</v>
      </c>
      <c r="B196">
        <f t="shared" ca="1" si="52"/>
        <v>2</v>
      </c>
      <c r="C196" t="str">
        <f t="shared" ca="1" si="53"/>
        <v>S</v>
      </c>
      <c r="D196">
        <f t="shared" ca="1" si="54"/>
        <v>0</v>
      </c>
      <c r="E196">
        <f ca="1">IF($C196=1,OFFSET(E196,-1,0)+MAX(1,COUNTIF(QCI!$A$13:$A$24,OFFSET(ORÇAMENTO!E196,-1,0))),OFFSET(E196,-1,0))</f>
        <v>1</v>
      </c>
      <c r="F196">
        <f t="shared" ca="1" si="55"/>
        <v>5</v>
      </c>
      <c r="G196">
        <f t="shared" ca="1" si="56"/>
        <v>0</v>
      </c>
      <c r="H196">
        <f t="shared" ca="1" si="57"/>
        <v>0</v>
      </c>
      <c r="I196">
        <f t="shared" ca="1" si="58"/>
        <v>2</v>
      </c>
      <c r="J196">
        <f t="shared" ca="1" si="59"/>
        <v>0</v>
      </c>
      <c r="K196">
        <f ca="1">IF(OR($C196="S",$C196=0),0,MATCH(OFFSET($D196,0,$C196)+IF($C196&lt;&gt;1,1,COUNTIF(QCI!$A$13:$A$24,ORÇAMENTO!E196)),OFFSET($D196,1,$C196,ROW($C$264)-ROW($C196)),0))</f>
        <v>0</v>
      </c>
      <c r="L196" s="139" t="str">
        <f t="shared" ca="1" si="60"/>
        <v/>
      </c>
      <c r="M196" s="140" t="s">
        <v>199</v>
      </c>
      <c r="N196" s="141" t="str">
        <f t="shared" ca="1" si="61"/>
        <v>Serviço</v>
      </c>
      <c r="O196" s="142" t="str">
        <f t="shared" ca="1" si="62"/>
        <v>-</v>
      </c>
      <c r="P196" s="143" t="s">
        <v>247</v>
      </c>
      <c r="Q196" s="144"/>
      <c r="R196" s="145" t="str">
        <f ca="1">IF($C196="S",REFERENCIA.Descricao,"(digite a descrição aqui)")</f>
        <v>(abra o arquivo 'Referência 11-2024.xlsm)</v>
      </c>
      <c r="S196" s="146" t="str">
        <f ca="1">REFERENCIA.Unidade</f>
        <v>-</v>
      </c>
      <c r="T196" s="147">
        <f ca="1">OFFSET(CÁLCULO!H$15,ROW($T196)-ROW(T$15),0)</f>
        <v>0</v>
      </c>
      <c r="U196" s="148"/>
      <c r="V196" s="149" t="s">
        <v>156</v>
      </c>
      <c r="W196" s="147">
        <f ca="1">IF($C196="S",ROUND(IF(TIPOORCAMENTO="Proposto",ORÇAMENTO.CustoUnitario*(1+$AH196),ORÇAMENTO.PrecoUnitarioLicitado),15-13*$AF$10),0)</f>
        <v>0</v>
      </c>
      <c r="X196" s="150">
        <f ca="1">IF($C196="S",IF(Import.TipoArredondamento&lt;&gt;"TransfereGOV",VTOTAL1,SUM(OFFSET(CÁLCULO!$AA$15,ROW($X196)-ROW($X$15),1):OFFSET(CÁLCULO!$AL$15,ROW($X196)-ROW($X$15),-1))),IF($C196=0,0,ROUND(SomaAgrup,15-13*$AF$11)))</f>
        <v>0</v>
      </c>
      <c r="Y196" s="151" t="s">
        <v>245</v>
      </c>
      <c r="Z196" t="str">
        <f t="shared" ca="1" si="63"/>
        <v/>
      </c>
      <c r="AA196" s="152">
        <f ca="1">IF($C196="S",IF($Z196="CP",$X196,IF($Z196="RA",(($X196)*QCI!$AA$3),0)),SomaAgrup)</f>
        <v>0</v>
      </c>
      <c r="AB196" s="153">
        <f t="shared" ca="1" si="64"/>
        <v>0</v>
      </c>
      <c r="AC196" s="154" t="str">
        <f ca="1">IF($N196="","",IF(ORÇAMENTO.Descricao="","DESCRIÇÃO",IF(AND($C196="S",ORÇAMENTO.Unidade=""),"UNIDADE",IF($X196&lt;0,"VALOR NEGATIVO",IF(OR(AND(TIPOORCAMENTO="Proposto",$AG196&lt;&gt;"",$AG196&gt;0,ORÇAMENTO.CustoUnitario&gt;$AG196),AND(TIPOORCAMENTO="LICITADO",ORÇAMENTO.PrecoUnitarioLicitado&gt;$AN196)),"ACIMA REF.","")))))</f>
        <v/>
      </c>
      <c r="AD196" s="100" t="str">
        <f ca="1">IF(C196&lt;=CRONO.NivelExibicao,MAX($AD$15:OFFSET(AD196,-1,0))+IF($C196&lt;&gt;1,1,MAX(1,COUNTIF(QCI!$A$13:$A$24,OFFSET($E196,-1,0)))),"")</f>
        <v/>
      </c>
      <c r="AE196" s="110" t="b">
        <f ca="1">IF(AND($C196="S",ORÇAMENTO.CodBarra&lt;&gt;""),IF(ORÇAMENTO.Fonte="",ORÇAMENTO.CodBarra,CONCATENATE(ORÇAMENTO.Fonte," ",ORÇAMENTO.CodBarra)))</f>
        <v>0</v>
      </c>
      <c r="AF196" s="155" t="str">
        <f ca="1">IF(ISERROR(INDIRECT(ORÇAMENTO.BancoRef)),"(abra o arquivo 'Referência "&amp;Excel_BuiltIn_Database&amp;".xlsm)",IF(OR($C196&lt;&gt;"S",ORÇAMENTO.CodBarra=""),"(Sem Código)",IF(ISERROR(MATCH($AE196,INDIRECT(ORÇAMENTO.BancoRef),0)),"(Código não identificado nas referências)",MATCH($AE196,INDIRECT(ORÇAMENTO.BancoRef),0))))</f>
        <v>(abra o arquivo 'Referência 11-2024.xlsm)</v>
      </c>
      <c r="AG196" s="574">
        <f ca="1">ROUND(IF(DESONERACAO="sim",REFERENCIA.Desonerado,REFERENCIA.NaoDesonerado),2)</f>
        <v>0</v>
      </c>
      <c r="AH196" s="575">
        <f t="shared" ca="1" si="65"/>
        <v>0.22</v>
      </c>
      <c r="AJ196" s="577"/>
      <c r="AL196" s="607"/>
      <c r="AM196" s="426">
        <f t="shared" ca="1" si="66"/>
        <v>0</v>
      </c>
      <c r="AN196" s="650">
        <f t="shared" ca="1" si="67"/>
        <v>0</v>
      </c>
    </row>
    <row r="197" spans="1:40" ht="13.8" hidden="1">
      <c r="A197" t="str">
        <f t="shared" si="51"/>
        <v>S</v>
      </c>
      <c r="B197">
        <f t="shared" ca="1" si="52"/>
        <v>2</v>
      </c>
      <c r="C197" t="str">
        <f t="shared" ca="1" si="53"/>
        <v>S</v>
      </c>
      <c r="D197">
        <f t="shared" ca="1" si="54"/>
        <v>0</v>
      </c>
      <c r="E197">
        <f ca="1">IF($C197=1,OFFSET(E197,-1,0)+MAX(1,COUNTIF(QCI!$A$13:$A$24,OFFSET(ORÇAMENTO!E197,-1,0))),OFFSET(E197,-1,0))</f>
        <v>1</v>
      </c>
      <c r="F197">
        <f t="shared" ca="1" si="55"/>
        <v>5</v>
      </c>
      <c r="G197">
        <f t="shared" ca="1" si="56"/>
        <v>0</v>
      </c>
      <c r="H197">
        <f t="shared" ca="1" si="57"/>
        <v>0</v>
      </c>
      <c r="I197">
        <f t="shared" ca="1" si="58"/>
        <v>2</v>
      </c>
      <c r="J197">
        <f t="shared" ca="1" si="59"/>
        <v>0</v>
      </c>
      <c r="K197">
        <f ca="1">IF(OR($C197="S",$C197=0),0,MATCH(OFFSET($D197,0,$C197)+IF($C197&lt;&gt;1,1,COUNTIF(QCI!$A$13:$A$24,ORÇAMENTO!E197)),OFFSET($D197,1,$C197,ROW($C$264)-ROW($C197)),0))</f>
        <v>0</v>
      </c>
      <c r="L197" s="139" t="str">
        <f t="shared" ca="1" si="60"/>
        <v/>
      </c>
      <c r="M197" s="140" t="s">
        <v>199</v>
      </c>
      <c r="N197" s="141" t="str">
        <f t="shared" ca="1" si="61"/>
        <v>Serviço</v>
      </c>
      <c r="O197" s="142" t="str">
        <f t="shared" ca="1" si="62"/>
        <v>-</v>
      </c>
      <c r="P197" s="143" t="s">
        <v>247</v>
      </c>
      <c r="Q197" s="144"/>
      <c r="R197" s="145" t="str">
        <f ca="1">IF($C197="S",REFERENCIA.Descricao,"(digite a descrição aqui)")</f>
        <v>(abra o arquivo 'Referência 11-2024.xlsm)</v>
      </c>
      <c r="S197" s="146" t="str">
        <f ca="1">REFERENCIA.Unidade</f>
        <v>-</v>
      </c>
      <c r="T197" s="147">
        <f ca="1">OFFSET(CÁLCULO!H$15,ROW($T197)-ROW(T$15),0)</f>
        <v>0</v>
      </c>
      <c r="U197" s="148"/>
      <c r="V197" s="149" t="s">
        <v>156</v>
      </c>
      <c r="W197" s="147">
        <f ca="1">IF($C197="S",ROUND(IF(TIPOORCAMENTO="Proposto",ORÇAMENTO.CustoUnitario*(1+$AH197),ORÇAMENTO.PrecoUnitarioLicitado),15-13*$AF$10),0)</f>
        <v>0</v>
      </c>
      <c r="X197" s="150">
        <f ca="1">IF($C197="S",IF(Import.TipoArredondamento&lt;&gt;"TransfereGOV",VTOTAL1,SUM(OFFSET(CÁLCULO!$AA$15,ROW($X197)-ROW($X$15),1):OFFSET(CÁLCULO!$AL$15,ROW($X197)-ROW($X$15),-1))),IF($C197=0,0,ROUND(SomaAgrup,15-13*$AF$11)))</f>
        <v>0</v>
      </c>
      <c r="Y197" s="151" t="s">
        <v>245</v>
      </c>
      <c r="Z197" t="str">
        <f t="shared" ca="1" si="63"/>
        <v/>
      </c>
      <c r="AA197" s="152">
        <f ca="1">IF($C197="S",IF($Z197="CP",$X197,IF($Z197="RA",(($X197)*QCI!$AA$3),0)),SomaAgrup)</f>
        <v>0</v>
      </c>
      <c r="AB197" s="153">
        <f t="shared" ca="1" si="64"/>
        <v>0</v>
      </c>
      <c r="AC197" s="154" t="str">
        <f ca="1">IF($N197="","",IF(ORÇAMENTO.Descricao="","DESCRIÇÃO",IF(AND($C197="S",ORÇAMENTO.Unidade=""),"UNIDADE",IF($X197&lt;0,"VALOR NEGATIVO",IF(OR(AND(TIPOORCAMENTO="Proposto",$AG197&lt;&gt;"",$AG197&gt;0,ORÇAMENTO.CustoUnitario&gt;$AG197),AND(TIPOORCAMENTO="LICITADO",ORÇAMENTO.PrecoUnitarioLicitado&gt;$AN197)),"ACIMA REF.","")))))</f>
        <v/>
      </c>
      <c r="AD197" s="100" t="str">
        <f ca="1">IF(C197&lt;=CRONO.NivelExibicao,MAX($AD$15:OFFSET(AD197,-1,0))+IF($C197&lt;&gt;1,1,MAX(1,COUNTIF(QCI!$A$13:$A$24,OFFSET($E197,-1,0)))),"")</f>
        <v/>
      </c>
      <c r="AE197" s="110" t="b">
        <f ca="1">IF(AND($C197="S",ORÇAMENTO.CodBarra&lt;&gt;""),IF(ORÇAMENTO.Fonte="",ORÇAMENTO.CodBarra,CONCATENATE(ORÇAMENTO.Fonte," ",ORÇAMENTO.CodBarra)))</f>
        <v>0</v>
      </c>
      <c r="AF197" s="155" t="str">
        <f ca="1">IF(ISERROR(INDIRECT(ORÇAMENTO.BancoRef)),"(abra o arquivo 'Referência "&amp;Excel_BuiltIn_Database&amp;".xlsm)",IF(OR($C197&lt;&gt;"S",ORÇAMENTO.CodBarra=""),"(Sem Código)",IF(ISERROR(MATCH($AE197,INDIRECT(ORÇAMENTO.BancoRef),0)),"(Código não identificado nas referências)",MATCH($AE197,INDIRECT(ORÇAMENTO.BancoRef),0))))</f>
        <v>(abra o arquivo 'Referência 11-2024.xlsm)</v>
      </c>
      <c r="AG197" s="574">
        <f ca="1">ROUND(IF(DESONERACAO="sim",REFERENCIA.Desonerado,REFERENCIA.NaoDesonerado),2)</f>
        <v>0</v>
      </c>
      <c r="AH197" s="575">
        <f t="shared" ca="1" si="65"/>
        <v>0.22</v>
      </c>
      <c r="AJ197" s="577"/>
      <c r="AL197" s="607"/>
      <c r="AM197" s="426">
        <f t="shared" ca="1" si="66"/>
        <v>0</v>
      </c>
      <c r="AN197" s="650">
        <f t="shared" ca="1" si="67"/>
        <v>0</v>
      </c>
    </row>
    <row r="198" spans="1:40" ht="13.8" hidden="1">
      <c r="A198" t="str">
        <f t="shared" si="51"/>
        <v>S</v>
      </c>
      <c r="B198">
        <f t="shared" ca="1" si="52"/>
        <v>2</v>
      </c>
      <c r="C198" t="str">
        <f t="shared" ca="1" si="53"/>
        <v>S</v>
      </c>
      <c r="D198">
        <f t="shared" ca="1" si="54"/>
        <v>0</v>
      </c>
      <c r="E198">
        <f ca="1">IF($C198=1,OFFSET(E198,-1,0)+MAX(1,COUNTIF(QCI!$A$13:$A$24,OFFSET(ORÇAMENTO!E198,-1,0))),OFFSET(E198,-1,0))</f>
        <v>1</v>
      </c>
      <c r="F198">
        <f t="shared" ca="1" si="55"/>
        <v>5</v>
      </c>
      <c r="G198">
        <f t="shared" ca="1" si="56"/>
        <v>0</v>
      </c>
      <c r="H198">
        <f t="shared" ca="1" si="57"/>
        <v>0</v>
      </c>
      <c r="I198">
        <f t="shared" ca="1" si="58"/>
        <v>2</v>
      </c>
      <c r="J198">
        <f t="shared" ca="1" si="59"/>
        <v>0</v>
      </c>
      <c r="K198">
        <f ca="1">IF(OR($C198="S",$C198=0),0,MATCH(OFFSET($D198,0,$C198)+IF($C198&lt;&gt;1,1,COUNTIF(QCI!$A$13:$A$24,ORÇAMENTO!E198)),OFFSET($D198,1,$C198,ROW($C$264)-ROW($C198)),0))</f>
        <v>0</v>
      </c>
      <c r="L198" s="139" t="str">
        <f t="shared" ca="1" si="60"/>
        <v/>
      </c>
      <c r="M198" s="140" t="s">
        <v>199</v>
      </c>
      <c r="N198" s="141" t="str">
        <f t="shared" ca="1" si="61"/>
        <v>Serviço</v>
      </c>
      <c r="O198" s="142" t="str">
        <f t="shared" ca="1" si="62"/>
        <v>-</v>
      </c>
      <c r="P198" s="143" t="s">
        <v>247</v>
      </c>
      <c r="Q198" s="144"/>
      <c r="R198" s="145" t="str">
        <f ca="1">IF($C198="S",REFERENCIA.Descricao,"(digite a descrição aqui)")</f>
        <v>(abra o arquivo 'Referência 11-2024.xlsm)</v>
      </c>
      <c r="S198" s="146" t="str">
        <f ca="1">REFERENCIA.Unidade</f>
        <v>-</v>
      </c>
      <c r="T198" s="147">
        <f ca="1">OFFSET(CÁLCULO!H$15,ROW($T198)-ROW(T$15),0)</f>
        <v>0</v>
      </c>
      <c r="U198" s="148"/>
      <c r="V198" s="149" t="s">
        <v>156</v>
      </c>
      <c r="W198" s="147">
        <f ca="1">IF($C198="S",ROUND(IF(TIPOORCAMENTO="Proposto",ORÇAMENTO.CustoUnitario*(1+$AH198),ORÇAMENTO.PrecoUnitarioLicitado),15-13*$AF$10),0)</f>
        <v>0</v>
      </c>
      <c r="X198" s="150">
        <f ca="1">IF($C198="S",IF(Import.TipoArredondamento&lt;&gt;"TransfereGOV",VTOTAL1,SUM(OFFSET(CÁLCULO!$AA$15,ROW($X198)-ROW($X$15),1):OFFSET(CÁLCULO!$AL$15,ROW($X198)-ROW($X$15),-1))),IF($C198=0,0,ROUND(SomaAgrup,15-13*$AF$11)))</f>
        <v>0</v>
      </c>
      <c r="Y198" s="151" t="s">
        <v>245</v>
      </c>
      <c r="Z198" t="str">
        <f t="shared" ca="1" si="63"/>
        <v/>
      </c>
      <c r="AA198" s="152">
        <f ca="1">IF($C198="S",IF($Z198="CP",$X198,IF($Z198="RA",(($X198)*QCI!$AA$3),0)),SomaAgrup)</f>
        <v>0</v>
      </c>
      <c r="AB198" s="153">
        <f t="shared" ca="1" si="64"/>
        <v>0</v>
      </c>
      <c r="AC198" s="154" t="str">
        <f ca="1">IF($N198="","",IF(ORÇAMENTO.Descricao="","DESCRIÇÃO",IF(AND($C198="S",ORÇAMENTO.Unidade=""),"UNIDADE",IF($X198&lt;0,"VALOR NEGATIVO",IF(OR(AND(TIPOORCAMENTO="Proposto",$AG198&lt;&gt;"",$AG198&gt;0,ORÇAMENTO.CustoUnitario&gt;$AG198),AND(TIPOORCAMENTO="LICITADO",ORÇAMENTO.PrecoUnitarioLicitado&gt;$AN198)),"ACIMA REF.","")))))</f>
        <v/>
      </c>
      <c r="AD198" s="100" t="str">
        <f ca="1">IF(C198&lt;=CRONO.NivelExibicao,MAX($AD$15:OFFSET(AD198,-1,0))+IF($C198&lt;&gt;1,1,MAX(1,COUNTIF(QCI!$A$13:$A$24,OFFSET($E198,-1,0)))),"")</f>
        <v/>
      </c>
      <c r="AE198" s="110" t="b">
        <f ca="1">IF(AND($C198="S",ORÇAMENTO.CodBarra&lt;&gt;""),IF(ORÇAMENTO.Fonte="",ORÇAMENTO.CodBarra,CONCATENATE(ORÇAMENTO.Fonte," ",ORÇAMENTO.CodBarra)))</f>
        <v>0</v>
      </c>
      <c r="AF198" s="155" t="str">
        <f ca="1">IF(ISERROR(INDIRECT(ORÇAMENTO.BancoRef)),"(abra o arquivo 'Referência "&amp;Excel_BuiltIn_Database&amp;".xlsm)",IF(OR($C198&lt;&gt;"S",ORÇAMENTO.CodBarra=""),"(Sem Código)",IF(ISERROR(MATCH($AE198,INDIRECT(ORÇAMENTO.BancoRef),0)),"(Código não identificado nas referências)",MATCH($AE198,INDIRECT(ORÇAMENTO.BancoRef),0))))</f>
        <v>(abra o arquivo 'Referência 11-2024.xlsm)</v>
      </c>
      <c r="AG198" s="574">
        <f ca="1">ROUND(IF(DESONERACAO="sim",REFERENCIA.Desonerado,REFERENCIA.NaoDesonerado),2)</f>
        <v>0</v>
      </c>
      <c r="AH198" s="575">
        <f t="shared" ca="1" si="65"/>
        <v>0.22</v>
      </c>
      <c r="AJ198" s="577"/>
      <c r="AL198" s="607"/>
      <c r="AM198" s="426">
        <f t="shared" ca="1" si="66"/>
        <v>0</v>
      </c>
      <c r="AN198" s="650">
        <f t="shared" ca="1" si="67"/>
        <v>0</v>
      </c>
    </row>
    <row r="199" spans="1:40" ht="13.8" hidden="1">
      <c r="A199" t="str">
        <f t="shared" si="51"/>
        <v>S</v>
      </c>
      <c r="B199">
        <f t="shared" ca="1" si="52"/>
        <v>2</v>
      </c>
      <c r="C199" t="str">
        <f t="shared" ca="1" si="53"/>
        <v>S</v>
      </c>
      <c r="D199">
        <f t="shared" ca="1" si="54"/>
        <v>0</v>
      </c>
      <c r="E199">
        <f ca="1">IF($C199=1,OFFSET(E199,-1,0)+MAX(1,COUNTIF(QCI!$A$13:$A$24,OFFSET(ORÇAMENTO!E199,-1,0))),OFFSET(E199,-1,0))</f>
        <v>1</v>
      </c>
      <c r="F199">
        <f t="shared" ca="1" si="55"/>
        <v>5</v>
      </c>
      <c r="G199">
        <f t="shared" ca="1" si="56"/>
        <v>0</v>
      </c>
      <c r="H199">
        <f t="shared" ca="1" si="57"/>
        <v>0</v>
      </c>
      <c r="I199">
        <f t="shared" ca="1" si="58"/>
        <v>2</v>
      </c>
      <c r="J199">
        <f t="shared" ca="1" si="59"/>
        <v>0</v>
      </c>
      <c r="K199">
        <f ca="1">IF(OR($C199="S",$C199=0),0,MATCH(OFFSET($D199,0,$C199)+IF($C199&lt;&gt;1,1,COUNTIF(QCI!$A$13:$A$24,ORÇAMENTO!E199)),OFFSET($D199,1,$C199,ROW($C$264)-ROW($C199)),0))</f>
        <v>0</v>
      </c>
      <c r="L199" s="139" t="str">
        <f t="shared" ca="1" si="60"/>
        <v/>
      </c>
      <c r="M199" s="140" t="s">
        <v>199</v>
      </c>
      <c r="N199" s="141" t="str">
        <f t="shared" ca="1" si="61"/>
        <v>Serviço</v>
      </c>
      <c r="O199" s="142" t="str">
        <f t="shared" ca="1" si="62"/>
        <v>-</v>
      </c>
      <c r="P199" s="143" t="s">
        <v>247</v>
      </c>
      <c r="Q199" s="144"/>
      <c r="R199" s="145" t="str">
        <f ca="1">IF($C199="S",REFERENCIA.Descricao,"(digite a descrição aqui)")</f>
        <v>(abra o arquivo 'Referência 11-2024.xlsm)</v>
      </c>
      <c r="S199" s="146" t="str">
        <f ca="1">REFERENCIA.Unidade</f>
        <v>-</v>
      </c>
      <c r="T199" s="147">
        <f ca="1">OFFSET(CÁLCULO!H$15,ROW($T199)-ROW(T$15),0)</f>
        <v>0</v>
      </c>
      <c r="U199" s="148"/>
      <c r="V199" s="149" t="s">
        <v>156</v>
      </c>
      <c r="W199" s="147">
        <f ca="1">IF($C199="S",ROUND(IF(TIPOORCAMENTO="Proposto",ORÇAMENTO.CustoUnitario*(1+$AH199),ORÇAMENTO.PrecoUnitarioLicitado),15-13*$AF$10),0)</f>
        <v>0</v>
      </c>
      <c r="X199" s="150">
        <f ca="1">IF($C199="S",IF(Import.TipoArredondamento&lt;&gt;"TransfereGOV",VTOTAL1,SUM(OFFSET(CÁLCULO!$AA$15,ROW($X199)-ROW($X$15),1):OFFSET(CÁLCULO!$AL$15,ROW($X199)-ROW($X$15),-1))),IF($C199=0,0,ROUND(SomaAgrup,15-13*$AF$11)))</f>
        <v>0</v>
      </c>
      <c r="Y199" s="151" t="s">
        <v>245</v>
      </c>
      <c r="Z199" t="str">
        <f t="shared" ca="1" si="63"/>
        <v/>
      </c>
      <c r="AA199" s="152">
        <f ca="1">IF($C199="S",IF($Z199="CP",$X199,IF($Z199="RA",(($X199)*QCI!$AA$3),0)),SomaAgrup)</f>
        <v>0</v>
      </c>
      <c r="AB199" s="153">
        <f t="shared" ca="1" si="64"/>
        <v>0</v>
      </c>
      <c r="AC199" s="154" t="str">
        <f ca="1">IF($N199="","",IF(ORÇAMENTO.Descricao="","DESCRIÇÃO",IF(AND($C199="S",ORÇAMENTO.Unidade=""),"UNIDADE",IF($X199&lt;0,"VALOR NEGATIVO",IF(OR(AND(TIPOORCAMENTO="Proposto",$AG199&lt;&gt;"",$AG199&gt;0,ORÇAMENTO.CustoUnitario&gt;$AG199),AND(TIPOORCAMENTO="LICITADO",ORÇAMENTO.PrecoUnitarioLicitado&gt;$AN199)),"ACIMA REF.","")))))</f>
        <v/>
      </c>
      <c r="AD199" s="100" t="str">
        <f ca="1">IF(C199&lt;=CRONO.NivelExibicao,MAX($AD$15:OFFSET(AD199,-1,0))+IF($C199&lt;&gt;1,1,MAX(1,COUNTIF(QCI!$A$13:$A$24,OFFSET($E199,-1,0)))),"")</f>
        <v/>
      </c>
      <c r="AE199" s="110" t="b">
        <f ca="1">IF(AND($C199="S",ORÇAMENTO.CodBarra&lt;&gt;""),IF(ORÇAMENTO.Fonte="",ORÇAMENTO.CodBarra,CONCATENATE(ORÇAMENTO.Fonte," ",ORÇAMENTO.CodBarra)))</f>
        <v>0</v>
      </c>
      <c r="AF199" s="155" t="str">
        <f ca="1">IF(ISERROR(INDIRECT(ORÇAMENTO.BancoRef)),"(abra o arquivo 'Referência "&amp;Excel_BuiltIn_Database&amp;".xlsm)",IF(OR($C199&lt;&gt;"S",ORÇAMENTO.CodBarra=""),"(Sem Código)",IF(ISERROR(MATCH($AE199,INDIRECT(ORÇAMENTO.BancoRef),0)),"(Código não identificado nas referências)",MATCH($AE199,INDIRECT(ORÇAMENTO.BancoRef),0))))</f>
        <v>(abra o arquivo 'Referência 11-2024.xlsm)</v>
      </c>
      <c r="AG199" s="574">
        <f ca="1">ROUND(IF(DESONERACAO="sim",REFERENCIA.Desonerado,REFERENCIA.NaoDesonerado),2)</f>
        <v>0</v>
      </c>
      <c r="AH199" s="575">
        <f t="shared" ca="1" si="65"/>
        <v>0.22</v>
      </c>
      <c r="AJ199" s="577"/>
      <c r="AL199" s="607"/>
      <c r="AM199" s="426">
        <f t="shared" ca="1" si="66"/>
        <v>0</v>
      </c>
      <c r="AN199" s="650">
        <f t="shared" ca="1" si="67"/>
        <v>0</v>
      </c>
    </row>
    <row r="200" spans="1:40" ht="13.8" hidden="1">
      <c r="A200" t="str">
        <f t="shared" si="51"/>
        <v>S</v>
      </c>
      <c r="B200">
        <f t="shared" ca="1" si="52"/>
        <v>2</v>
      </c>
      <c r="C200" t="str">
        <f t="shared" ca="1" si="53"/>
        <v>S</v>
      </c>
      <c r="D200">
        <f t="shared" ca="1" si="54"/>
        <v>0</v>
      </c>
      <c r="E200">
        <f ca="1">IF($C200=1,OFFSET(E200,-1,0)+MAX(1,COUNTIF(QCI!$A$13:$A$24,OFFSET(ORÇAMENTO!E200,-1,0))),OFFSET(E200,-1,0))</f>
        <v>1</v>
      </c>
      <c r="F200">
        <f t="shared" ca="1" si="55"/>
        <v>5</v>
      </c>
      <c r="G200">
        <f t="shared" ca="1" si="56"/>
        <v>0</v>
      </c>
      <c r="H200">
        <f t="shared" ca="1" si="57"/>
        <v>0</v>
      </c>
      <c r="I200">
        <f t="shared" ca="1" si="58"/>
        <v>2</v>
      </c>
      <c r="J200">
        <f t="shared" ca="1" si="59"/>
        <v>0</v>
      </c>
      <c r="K200">
        <f ca="1">IF(OR($C200="S",$C200=0),0,MATCH(OFFSET($D200,0,$C200)+IF($C200&lt;&gt;1,1,COUNTIF(QCI!$A$13:$A$24,ORÇAMENTO!E200)),OFFSET($D200,1,$C200,ROW($C$264)-ROW($C200)),0))</f>
        <v>0</v>
      </c>
      <c r="L200" s="139" t="str">
        <f t="shared" ca="1" si="60"/>
        <v/>
      </c>
      <c r="M200" s="140" t="s">
        <v>199</v>
      </c>
      <c r="N200" s="141" t="str">
        <f t="shared" ca="1" si="61"/>
        <v>Serviço</v>
      </c>
      <c r="O200" s="142" t="str">
        <f t="shared" ca="1" si="62"/>
        <v>-</v>
      </c>
      <c r="P200" s="143" t="s">
        <v>247</v>
      </c>
      <c r="Q200" s="144"/>
      <c r="R200" s="145" t="str">
        <f ca="1">IF($C200="S",REFERENCIA.Descricao,"(digite a descrição aqui)")</f>
        <v>(abra o arquivo 'Referência 11-2024.xlsm)</v>
      </c>
      <c r="S200" s="146" t="str">
        <f ca="1">REFERENCIA.Unidade</f>
        <v>-</v>
      </c>
      <c r="T200" s="147">
        <f ca="1">OFFSET(CÁLCULO!H$15,ROW($T200)-ROW(T$15),0)</f>
        <v>0</v>
      </c>
      <c r="U200" s="148"/>
      <c r="V200" s="149" t="s">
        <v>156</v>
      </c>
      <c r="W200" s="147">
        <f ca="1">IF($C200="S",ROUND(IF(TIPOORCAMENTO="Proposto",ORÇAMENTO.CustoUnitario*(1+$AH200),ORÇAMENTO.PrecoUnitarioLicitado),15-13*$AF$10),0)</f>
        <v>0</v>
      </c>
      <c r="X200" s="150">
        <f ca="1">IF($C200="S",IF(Import.TipoArredondamento&lt;&gt;"TransfereGOV",VTOTAL1,SUM(OFFSET(CÁLCULO!$AA$15,ROW($X200)-ROW($X$15),1):OFFSET(CÁLCULO!$AL$15,ROW($X200)-ROW($X$15),-1))),IF($C200=0,0,ROUND(SomaAgrup,15-13*$AF$11)))</f>
        <v>0</v>
      </c>
      <c r="Y200" s="151" t="s">
        <v>245</v>
      </c>
      <c r="Z200" t="str">
        <f t="shared" ca="1" si="63"/>
        <v/>
      </c>
      <c r="AA200" s="152">
        <f ca="1">IF($C200="S",IF($Z200="CP",$X200,IF($Z200="RA",(($X200)*QCI!$AA$3),0)),SomaAgrup)</f>
        <v>0</v>
      </c>
      <c r="AB200" s="153">
        <f t="shared" ca="1" si="64"/>
        <v>0</v>
      </c>
      <c r="AC200" s="154" t="str">
        <f ca="1">IF($N200="","",IF(ORÇAMENTO.Descricao="","DESCRIÇÃO",IF(AND($C200="S",ORÇAMENTO.Unidade=""),"UNIDADE",IF($X200&lt;0,"VALOR NEGATIVO",IF(OR(AND(TIPOORCAMENTO="Proposto",$AG200&lt;&gt;"",$AG200&gt;0,ORÇAMENTO.CustoUnitario&gt;$AG200),AND(TIPOORCAMENTO="LICITADO",ORÇAMENTO.PrecoUnitarioLicitado&gt;$AN200)),"ACIMA REF.","")))))</f>
        <v/>
      </c>
      <c r="AD200" s="100" t="str">
        <f ca="1">IF(C200&lt;=CRONO.NivelExibicao,MAX($AD$15:OFFSET(AD200,-1,0))+IF($C200&lt;&gt;1,1,MAX(1,COUNTIF(QCI!$A$13:$A$24,OFFSET($E200,-1,0)))),"")</f>
        <v/>
      </c>
      <c r="AE200" s="110" t="b">
        <f ca="1">IF(AND($C200="S",ORÇAMENTO.CodBarra&lt;&gt;""),IF(ORÇAMENTO.Fonte="",ORÇAMENTO.CodBarra,CONCATENATE(ORÇAMENTO.Fonte," ",ORÇAMENTO.CodBarra)))</f>
        <v>0</v>
      </c>
      <c r="AF200" s="155" t="str">
        <f ca="1">IF(ISERROR(INDIRECT(ORÇAMENTO.BancoRef)),"(abra o arquivo 'Referência "&amp;Excel_BuiltIn_Database&amp;".xlsm)",IF(OR($C200&lt;&gt;"S",ORÇAMENTO.CodBarra=""),"(Sem Código)",IF(ISERROR(MATCH($AE200,INDIRECT(ORÇAMENTO.BancoRef),0)),"(Código não identificado nas referências)",MATCH($AE200,INDIRECT(ORÇAMENTO.BancoRef),0))))</f>
        <v>(abra o arquivo 'Referência 11-2024.xlsm)</v>
      </c>
      <c r="AG200" s="574">
        <f ca="1">ROUND(IF(DESONERACAO="sim",REFERENCIA.Desonerado,REFERENCIA.NaoDesonerado),2)</f>
        <v>0</v>
      </c>
      <c r="AH200" s="575">
        <f t="shared" ca="1" si="65"/>
        <v>0.22</v>
      </c>
      <c r="AJ200" s="577"/>
      <c r="AL200" s="607"/>
      <c r="AM200" s="426">
        <f t="shared" ca="1" si="66"/>
        <v>0</v>
      </c>
      <c r="AN200" s="650">
        <f t="shared" ca="1" si="67"/>
        <v>0</v>
      </c>
    </row>
    <row r="201" spans="1:40" ht="13.8" hidden="1">
      <c r="A201" t="str">
        <f t="shared" si="51"/>
        <v>S</v>
      </c>
      <c r="B201">
        <f t="shared" ca="1" si="52"/>
        <v>2</v>
      </c>
      <c r="C201" t="str">
        <f t="shared" ca="1" si="53"/>
        <v>S</v>
      </c>
      <c r="D201">
        <f t="shared" ca="1" si="54"/>
        <v>0</v>
      </c>
      <c r="E201">
        <f ca="1">IF($C201=1,OFFSET(E201,-1,0)+MAX(1,COUNTIF(QCI!$A$13:$A$24,OFFSET(ORÇAMENTO!E201,-1,0))),OFFSET(E201,-1,0))</f>
        <v>1</v>
      </c>
      <c r="F201">
        <f t="shared" ca="1" si="55"/>
        <v>5</v>
      </c>
      <c r="G201">
        <f t="shared" ca="1" si="56"/>
        <v>0</v>
      </c>
      <c r="H201">
        <f t="shared" ca="1" si="57"/>
        <v>0</v>
      </c>
      <c r="I201">
        <f t="shared" ca="1" si="58"/>
        <v>2</v>
      </c>
      <c r="J201">
        <f t="shared" ca="1" si="59"/>
        <v>0</v>
      </c>
      <c r="K201">
        <f ca="1">IF(OR($C201="S",$C201=0),0,MATCH(OFFSET($D201,0,$C201)+IF($C201&lt;&gt;1,1,COUNTIF(QCI!$A$13:$A$24,ORÇAMENTO!E201)),OFFSET($D201,1,$C201,ROW($C$264)-ROW($C201)),0))</f>
        <v>0</v>
      </c>
      <c r="L201" s="139" t="str">
        <f t="shared" ca="1" si="60"/>
        <v/>
      </c>
      <c r="M201" s="140" t="s">
        <v>199</v>
      </c>
      <c r="N201" s="141" t="str">
        <f t="shared" ca="1" si="61"/>
        <v>Serviço</v>
      </c>
      <c r="O201" s="142" t="str">
        <f t="shared" ca="1" si="62"/>
        <v>-</v>
      </c>
      <c r="P201" s="143" t="s">
        <v>247</v>
      </c>
      <c r="Q201" s="144"/>
      <c r="R201" s="145" t="str">
        <f ca="1">IF($C201="S",REFERENCIA.Descricao,"(digite a descrição aqui)")</f>
        <v>(abra o arquivo 'Referência 11-2024.xlsm)</v>
      </c>
      <c r="S201" s="146" t="str">
        <f ca="1">REFERENCIA.Unidade</f>
        <v>-</v>
      </c>
      <c r="T201" s="147">
        <f ca="1">OFFSET(CÁLCULO!H$15,ROW($T201)-ROW(T$15),0)</f>
        <v>0</v>
      </c>
      <c r="U201" s="148"/>
      <c r="V201" s="149" t="s">
        <v>156</v>
      </c>
      <c r="W201" s="147">
        <f ca="1">IF($C201="S",ROUND(IF(TIPOORCAMENTO="Proposto",ORÇAMENTO.CustoUnitario*(1+$AH201),ORÇAMENTO.PrecoUnitarioLicitado),15-13*$AF$10),0)</f>
        <v>0</v>
      </c>
      <c r="X201" s="150">
        <f ca="1">IF($C201="S",IF(Import.TipoArredondamento&lt;&gt;"TransfereGOV",VTOTAL1,SUM(OFFSET(CÁLCULO!$AA$15,ROW($X201)-ROW($X$15),1):OFFSET(CÁLCULO!$AL$15,ROW($X201)-ROW($X$15),-1))),IF($C201=0,0,ROUND(SomaAgrup,15-13*$AF$11)))</f>
        <v>0</v>
      </c>
      <c r="Y201" s="151" t="s">
        <v>245</v>
      </c>
      <c r="Z201" t="str">
        <f t="shared" ca="1" si="63"/>
        <v/>
      </c>
      <c r="AA201" s="152">
        <f ca="1">IF($C201="S",IF($Z201="CP",$X201,IF($Z201="RA",(($X201)*QCI!$AA$3),0)),SomaAgrup)</f>
        <v>0</v>
      </c>
      <c r="AB201" s="153">
        <f t="shared" ca="1" si="64"/>
        <v>0</v>
      </c>
      <c r="AC201" s="154" t="str">
        <f ca="1">IF($N201="","",IF(ORÇAMENTO.Descricao="","DESCRIÇÃO",IF(AND($C201="S",ORÇAMENTO.Unidade=""),"UNIDADE",IF($X201&lt;0,"VALOR NEGATIVO",IF(OR(AND(TIPOORCAMENTO="Proposto",$AG201&lt;&gt;"",$AG201&gt;0,ORÇAMENTO.CustoUnitario&gt;$AG201),AND(TIPOORCAMENTO="LICITADO",ORÇAMENTO.PrecoUnitarioLicitado&gt;$AN201)),"ACIMA REF.","")))))</f>
        <v/>
      </c>
      <c r="AD201" s="100" t="str">
        <f ca="1">IF(C201&lt;=CRONO.NivelExibicao,MAX($AD$15:OFFSET(AD201,-1,0))+IF($C201&lt;&gt;1,1,MAX(1,COUNTIF(QCI!$A$13:$A$24,OFFSET($E201,-1,0)))),"")</f>
        <v/>
      </c>
      <c r="AE201" s="110" t="b">
        <f ca="1">IF(AND($C201="S",ORÇAMENTO.CodBarra&lt;&gt;""),IF(ORÇAMENTO.Fonte="",ORÇAMENTO.CodBarra,CONCATENATE(ORÇAMENTO.Fonte," ",ORÇAMENTO.CodBarra)))</f>
        <v>0</v>
      </c>
      <c r="AF201" s="155" t="str">
        <f ca="1">IF(ISERROR(INDIRECT(ORÇAMENTO.BancoRef)),"(abra o arquivo 'Referência "&amp;Excel_BuiltIn_Database&amp;".xlsm)",IF(OR($C201&lt;&gt;"S",ORÇAMENTO.CodBarra=""),"(Sem Código)",IF(ISERROR(MATCH($AE201,INDIRECT(ORÇAMENTO.BancoRef),0)),"(Código não identificado nas referências)",MATCH($AE201,INDIRECT(ORÇAMENTO.BancoRef),0))))</f>
        <v>(abra o arquivo 'Referência 11-2024.xlsm)</v>
      </c>
      <c r="AG201" s="574">
        <f ca="1">ROUND(IF(DESONERACAO="sim",REFERENCIA.Desonerado,REFERENCIA.NaoDesonerado),2)</f>
        <v>0</v>
      </c>
      <c r="AH201" s="575">
        <f t="shared" ca="1" si="65"/>
        <v>0.22</v>
      </c>
      <c r="AJ201" s="577"/>
      <c r="AL201" s="607"/>
      <c r="AM201" s="426">
        <f t="shared" ca="1" si="66"/>
        <v>0</v>
      </c>
      <c r="AN201" s="650">
        <f t="shared" ca="1" si="67"/>
        <v>0</v>
      </c>
    </row>
    <row r="202" spans="1:40" ht="13.8" hidden="1">
      <c r="A202" t="str">
        <f t="shared" si="51"/>
        <v>S</v>
      </c>
      <c r="B202">
        <f t="shared" ca="1" si="52"/>
        <v>2</v>
      </c>
      <c r="C202" t="str">
        <f t="shared" ca="1" si="53"/>
        <v>S</v>
      </c>
      <c r="D202">
        <f t="shared" ca="1" si="54"/>
        <v>0</v>
      </c>
      <c r="E202">
        <f ca="1">IF($C202=1,OFFSET(E202,-1,0)+MAX(1,COUNTIF(QCI!$A$13:$A$24,OFFSET(ORÇAMENTO!E202,-1,0))),OFFSET(E202,-1,0))</f>
        <v>1</v>
      </c>
      <c r="F202">
        <f t="shared" ca="1" si="55"/>
        <v>5</v>
      </c>
      <c r="G202">
        <f t="shared" ca="1" si="56"/>
        <v>0</v>
      </c>
      <c r="H202">
        <f t="shared" ca="1" si="57"/>
        <v>0</v>
      </c>
      <c r="I202">
        <f t="shared" ca="1" si="58"/>
        <v>2</v>
      </c>
      <c r="J202">
        <f t="shared" ca="1" si="59"/>
        <v>0</v>
      </c>
      <c r="K202">
        <f ca="1">IF(OR($C202="S",$C202=0),0,MATCH(OFFSET($D202,0,$C202)+IF($C202&lt;&gt;1,1,COUNTIF(QCI!$A$13:$A$24,ORÇAMENTO!E202)),OFFSET($D202,1,$C202,ROW($C$264)-ROW($C202)),0))</f>
        <v>0</v>
      </c>
      <c r="L202" s="139" t="str">
        <f t="shared" ca="1" si="60"/>
        <v/>
      </c>
      <c r="M202" s="140" t="s">
        <v>199</v>
      </c>
      <c r="N202" s="141" t="str">
        <f t="shared" ca="1" si="61"/>
        <v>Serviço</v>
      </c>
      <c r="O202" s="142" t="str">
        <f t="shared" ca="1" si="62"/>
        <v>-</v>
      </c>
      <c r="P202" s="143" t="s">
        <v>247</v>
      </c>
      <c r="Q202" s="144"/>
      <c r="R202" s="145" t="str">
        <f ca="1">IF($C202="S",REFERENCIA.Descricao,"(digite a descrição aqui)")</f>
        <v>(abra o arquivo 'Referência 11-2024.xlsm)</v>
      </c>
      <c r="S202" s="146" t="str">
        <f ca="1">REFERENCIA.Unidade</f>
        <v>-</v>
      </c>
      <c r="T202" s="147">
        <f ca="1">OFFSET(CÁLCULO!H$15,ROW($T202)-ROW(T$15),0)</f>
        <v>0</v>
      </c>
      <c r="U202" s="148"/>
      <c r="V202" s="149" t="s">
        <v>156</v>
      </c>
      <c r="W202" s="147">
        <f ca="1">IF($C202="S",ROUND(IF(TIPOORCAMENTO="Proposto",ORÇAMENTO.CustoUnitario*(1+$AH202),ORÇAMENTO.PrecoUnitarioLicitado),15-13*$AF$10),0)</f>
        <v>0</v>
      </c>
      <c r="X202" s="150">
        <f ca="1">IF($C202="S",IF(Import.TipoArredondamento&lt;&gt;"TransfereGOV",VTOTAL1,SUM(OFFSET(CÁLCULO!$AA$15,ROW($X202)-ROW($X$15),1):OFFSET(CÁLCULO!$AL$15,ROW($X202)-ROW($X$15),-1))),IF($C202=0,0,ROUND(SomaAgrup,15-13*$AF$11)))</f>
        <v>0</v>
      </c>
      <c r="Y202" s="151" t="s">
        <v>245</v>
      </c>
      <c r="Z202" t="str">
        <f t="shared" ca="1" si="63"/>
        <v/>
      </c>
      <c r="AA202" s="152">
        <f ca="1">IF($C202="S",IF($Z202="CP",$X202,IF($Z202="RA",(($X202)*QCI!$AA$3),0)),SomaAgrup)</f>
        <v>0</v>
      </c>
      <c r="AB202" s="153">
        <f t="shared" ca="1" si="64"/>
        <v>0</v>
      </c>
      <c r="AC202" s="154" t="str">
        <f ca="1">IF($N202="","",IF(ORÇAMENTO.Descricao="","DESCRIÇÃO",IF(AND($C202="S",ORÇAMENTO.Unidade=""),"UNIDADE",IF($X202&lt;0,"VALOR NEGATIVO",IF(OR(AND(TIPOORCAMENTO="Proposto",$AG202&lt;&gt;"",$AG202&gt;0,ORÇAMENTO.CustoUnitario&gt;$AG202),AND(TIPOORCAMENTO="LICITADO",ORÇAMENTO.PrecoUnitarioLicitado&gt;$AN202)),"ACIMA REF.","")))))</f>
        <v/>
      </c>
      <c r="AD202" s="100" t="str">
        <f ca="1">IF(C202&lt;=CRONO.NivelExibicao,MAX($AD$15:OFFSET(AD202,-1,0))+IF($C202&lt;&gt;1,1,MAX(1,COUNTIF(QCI!$A$13:$A$24,OFFSET($E202,-1,0)))),"")</f>
        <v/>
      </c>
      <c r="AE202" s="110" t="b">
        <f ca="1">IF(AND($C202="S",ORÇAMENTO.CodBarra&lt;&gt;""),IF(ORÇAMENTO.Fonte="",ORÇAMENTO.CodBarra,CONCATENATE(ORÇAMENTO.Fonte," ",ORÇAMENTO.CodBarra)))</f>
        <v>0</v>
      </c>
      <c r="AF202" s="155" t="str">
        <f ca="1">IF(ISERROR(INDIRECT(ORÇAMENTO.BancoRef)),"(abra o arquivo 'Referência "&amp;Excel_BuiltIn_Database&amp;".xlsm)",IF(OR($C202&lt;&gt;"S",ORÇAMENTO.CodBarra=""),"(Sem Código)",IF(ISERROR(MATCH($AE202,INDIRECT(ORÇAMENTO.BancoRef),0)),"(Código não identificado nas referências)",MATCH($AE202,INDIRECT(ORÇAMENTO.BancoRef),0))))</f>
        <v>(abra o arquivo 'Referência 11-2024.xlsm)</v>
      </c>
      <c r="AG202" s="574">
        <f ca="1">ROUND(IF(DESONERACAO="sim",REFERENCIA.Desonerado,REFERENCIA.NaoDesonerado),2)</f>
        <v>0</v>
      </c>
      <c r="AH202" s="575">
        <f t="shared" ca="1" si="65"/>
        <v>0.22</v>
      </c>
      <c r="AJ202" s="577"/>
      <c r="AL202" s="607"/>
      <c r="AM202" s="426">
        <f t="shared" ca="1" si="66"/>
        <v>0</v>
      </c>
      <c r="AN202" s="650">
        <f t="shared" ca="1" si="67"/>
        <v>0</v>
      </c>
    </row>
    <row r="203" spans="1:40" ht="13.8" hidden="1">
      <c r="A203" t="str">
        <f t="shared" si="51"/>
        <v>S</v>
      </c>
      <c r="B203">
        <f t="shared" ca="1" si="52"/>
        <v>2</v>
      </c>
      <c r="C203" t="str">
        <f t="shared" ca="1" si="53"/>
        <v>S</v>
      </c>
      <c r="D203">
        <f t="shared" ca="1" si="54"/>
        <v>0</v>
      </c>
      <c r="E203">
        <f ca="1">IF($C203=1,OFFSET(E203,-1,0)+MAX(1,COUNTIF(QCI!$A$13:$A$24,OFFSET(ORÇAMENTO!E203,-1,0))),OFFSET(E203,-1,0))</f>
        <v>1</v>
      </c>
      <c r="F203">
        <f t="shared" ca="1" si="55"/>
        <v>5</v>
      </c>
      <c r="G203">
        <f t="shared" ca="1" si="56"/>
        <v>0</v>
      </c>
      <c r="H203">
        <f t="shared" ca="1" si="57"/>
        <v>0</v>
      </c>
      <c r="I203">
        <f t="shared" ca="1" si="58"/>
        <v>2</v>
      </c>
      <c r="J203">
        <f t="shared" ca="1" si="59"/>
        <v>0</v>
      </c>
      <c r="K203">
        <f ca="1">IF(OR($C203="S",$C203=0),0,MATCH(OFFSET($D203,0,$C203)+IF($C203&lt;&gt;1,1,COUNTIF(QCI!$A$13:$A$24,ORÇAMENTO!E203)),OFFSET($D203,1,$C203,ROW($C$264)-ROW($C203)),0))</f>
        <v>0</v>
      </c>
      <c r="L203" s="139" t="str">
        <f t="shared" ca="1" si="60"/>
        <v/>
      </c>
      <c r="M203" s="140" t="s">
        <v>199</v>
      </c>
      <c r="N203" s="141" t="str">
        <f t="shared" ca="1" si="61"/>
        <v>Serviço</v>
      </c>
      <c r="O203" s="142" t="str">
        <f t="shared" ca="1" si="62"/>
        <v>-</v>
      </c>
      <c r="P203" s="143" t="s">
        <v>247</v>
      </c>
      <c r="Q203" s="144"/>
      <c r="R203" s="145" t="str">
        <f ca="1">IF($C203="S",REFERENCIA.Descricao,"(digite a descrição aqui)")</f>
        <v>(abra o arquivo 'Referência 11-2024.xlsm)</v>
      </c>
      <c r="S203" s="146" t="str">
        <f ca="1">REFERENCIA.Unidade</f>
        <v>-</v>
      </c>
      <c r="T203" s="147">
        <f ca="1">OFFSET(CÁLCULO!H$15,ROW($T203)-ROW(T$15),0)</f>
        <v>0</v>
      </c>
      <c r="U203" s="148"/>
      <c r="V203" s="149" t="s">
        <v>156</v>
      </c>
      <c r="W203" s="147">
        <f ca="1">IF($C203="S",ROUND(IF(TIPOORCAMENTO="Proposto",ORÇAMENTO.CustoUnitario*(1+$AH203),ORÇAMENTO.PrecoUnitarioLicitado),15-13*$AF$10),0)</f>
        <v>0</v>
      </c>
      <c r="X203" s="150">
        <f ca="1">IF($C203="S",IF(Import.TipoArredondamento&lt;&gt;"TransfereGOV",VTOTAL1,SUM(OFFSET(CÁLCULO!$AA$15,ROW($X203)-ROW($X$15),1):OFFSET(CÁLCULO!$AL$15,ROW($X203)-ROW($X$15),-1))),IF($C203=0,0,ROUND(SomaAgrup,15-13*$AF$11)))</f>
        <v>0</v>
      </c>
      <c r="Y203" s="151" t="s">
        <v>245</v>
      </c>
      <c r="Z203" t="str">
        <f t="shared" ca="1" si="63"/>
        <v/>
      </c>
      <c r="AA203" s="152">
        <f ca="1">IF($C203="S",IF($Z203="CP",$X203,IF($Z203="RA",(($X203)*QCI!$AA$3),0)),SomaAgrup)</f>
        <v>0</v>
      </c>
      <c r="AB203" s="153">
        <f t="shared" ca="1" si="64"/>
        <v>0</v>
      </c>
      <c r="AC203" s="154" t="str">
        <f ca="1">IF($N203="","",IF(ORÇAMENTO.Descricao="","DESCRIÇÃO",IF(AND($C203="S",ORÇAMENTO.Unidade=""),"UNIDADE",IF($X203&lt;0,"VALOR NEGATIVO",IF(OR(AND(TIPOORCAMENTO="Proposto",$AG203&lt;&gt;"",$AG203&gt;0,ORÇAMENTO.CustoUnitario&gt;$AG203),AND(TIPOORCAMENTO="LICITADO",ORÇAMENTO.PrecoUnitarioLicitado&gt;$AN203)),"ACIMA REF.","")))))</f>
        <v/>
      </c>
      <c r="AD203" s="100" t="str">
        <f ca="1">IF(C203&lt;=CRONO.NivelExibicao,MAX($AD$15:OFFSET(AD203,-1,0))+IF($C203&lt;&gt;1,1,MAX(1,COUNTIF(QCI!$A$13:$A$24,OFFSET($E203,-1,0)))),"")</f>
        <v/>
      </c>
      <c r="AE203" s="110" t="b">
        <f ca="1">IF(AND($C203="S",ORÇAMENTO.CodBarra&lt;&gt;""),IF(ORÇAMENTO.Fonte="",ORÇAMENTO.CodBarra,CONCATENATE(ORÇAMENTO.Fonte," ",ORÇAMENTO.CodBarra)))</f>
        <v>0</v>
      </c>
      <c r="AF203" s="155" t="str">
        <f ca="1">IF(ISERROR(INDIRECT(ORÇAMENTO.BancoRef)),"(abra o arquivo 'Referência "&amp;Excel_BuiltIn_Database&amp;".xlsm)",IF(OR($C203&lt;&gt;"S",ORÇAMENTO.CodBarra=""),"(Sem Código)",IF(ISERROR(MATCH($AE203,INDIRECT(ORÇAMENTO.BancoRef),0)),"(Código não identificado nas referências)",MATCH($AE203,INDIRECT(ORÇAMENTO.BancoRef),0))))</f>
        <v>(abra o arquivo 'Referência 11-2024.xlsm)</v>
      </c>
      <c r="AG203" s="574">
        <f ca="1">ROUND(IF(DESONERACAO="sim",REFERENCIA.Desonerado,REFERENCIA.NaoDesonerado),2)</f>
        <v>0</v>
      </c>
      <c r="AH203" s="575">
        <f t="shared" ca="1" si="65"/>
        <v>0.22</v>
      </c>
      <c r="AJ203" s="577"/>
      <c r="AL203" s="607"/>
      <c r="AM203" s="426">
        <f t="shared" ca="1" si="66"/>
        <v>0</v>
      </c>
      <c r="AN203" s="650">
        <f t="shared" ca="1" si="67"/>
        <v>0</v>
      </c>
    </row>
    <row r="204" spans="1:40" ht="13.8" hidden="1">
      <c r="A204" t="str">
        <f t="shared" si="51"/>
        <v>S</v>
      </c>
      <c r="B204">
        <f t="shared" ca="1" si="52"/>
        <v>2</v>
      </c>
      <c r="C204" t="str">
        <f t="shared" ca="1" si="53"/>
        <v>S</v>
      </c>
      <c r="D204">
        <f t="shared" ca="1" si="54"/>
        <v>0</v>
      </c>
      <c r="E204">
        <f ca="1">IF($C204=1,OFFSET(E204,-1,0)+MAX(1,COUNTIF(QCI!$A$13:$A$24,OFFSET(ORÇAMENTO!E204,-1,0))),OFFSET(E204,-1,0))</f>
        <v>1</v>
      </c>
      <c r="F204">
        <f t="shared" ca="1" si="55"/>
        <v>5</v>
      </c>
      <c r="G204">
        <f t="shared" ca="1" si="56"/>
        <v>0</v>
      </c>
      <c r="H204">
        <f t="shared" ca="1" si="57"/>
        <v>0</v>
      </c>
      <c r="I204">
        <f t="shared" ca="1" si="58"/>
        <v>2</v>
      </c>
      <c r="J204">
        <f t="shared" ca="1" si="59"/>
        <v>0</v>
      </c>
      <c r="K204">
        <f ca="1">IF(OR($C204="S",$C204=0),0,MATCH(OFFSET($D204,0,$C204)+IF($C204&lt;&gt;1,1,COUNTIF(QCI!$A$13:$A$24,ORÇAMENTO!E204)),OFFSET($D204,1,$C204,ROW($C$264)-ROW($C204)),0))</f>
        <v>0</v>
      </c>
      <c r="L204" s="139" t="str">
        <f t="shared" ca="1" si="60"/>
        <v/>
      </c>
      <c r="M204" s="140" t="s">
        <v>199</v>
      </c>
      <c r="N204" s="141" t="str">
        <f t="shared" ca="1" si="61"/>
        <v>Serviço</v>
      </c>
      <c r="O204" s="142" t="str">
        <f t="shared" ca="1" si="62"/>
        <v>-</v>
      </c>
      <c r="P204" s="143" t="s">
        <v>247</v>
      </c>
      <c r="Q204" s="144"/>
      <c r="R204" s="145" t="str">
        <f ca="1">IF($C204="S",REFERENCIA.Descricao,"(digite a descrição aqui)")</f>
        <v>(abra o arquivo 'Referência 11-2024.xlsm)</v>
      </c>
      <c r="S204" s="146" t="str">
        <f ca="1">REFERENCIA.Unidade</f>
        <v>-</v>
      </c>
      <c r="T204" s="147">
        <f ca="1">OFFSET(CÁLCULO!H$15,ROW($T204)-ROW(T$15),0)</f>
        <v>0</v>
      </c>
      <c r="U204" s="148"/>
      <c r="V204" s="149" t="s">
        <v>156</v>
      </c>
      <c r="W204" s="147">
        <f ca="1">IF($C204="S",ROUND(IF(TIPOORCAMENTO="Proposto",ORÇAMENTO.CustoUnitario*(1+$AH204),ORÇAMENTO.PrecoUnitarioLicitado),15-13*$AF$10),0)</f>
        <v>0</v>
      </c>
      <c r="X204" s="150">
        <f ca="1">IF($C204="S",IF(Import.TipoArredondamento&lt;&gt;"TransfereGOV",VTOTAL1,SUM(OFFSET(CÁLCULO!$AA$15,ROW($X204)-ROW($X$15),1):OFFSET(CÁLCULO!$AL$15,ROW($X204)-ROW($X$15),-1))),IF($C204=0,0,ROUND(SomaAgrup,15-13*$AF$11)))</f>
        <v>0</v>
      </c>
      <c r="Y204" s="151" t="s">
        <v>245</v>
      </c>
      <c r="Z204" t="str">
        <f t="shared" ca="1" si="63"/>
        <v/>
      </c>
      <c r="AA204" s="152">
        <f ca="1">IF($C204="S",IF($Z204="CP",$X204,IF($Z204="RA",(($X204)*QCI!$AA$3),0)),SomaAgrup)</f>
        <v>0</v>
      </c>
      <c r="AB204" s="153">
        <f t="shared" ca="1" si="64"/>
        <v>0</v>
      </c>
      <c r="AC204" s="154" t="str">
        <f ca="1">IF($N204="","",IF(ORÇAMENTO.Descricao="","DESCRIÇÃO",IF(AND($C204="S",ORÇAMENTO.Unidade=""),"UNIDADE",IF($X204&lt;0,"VALOR NEGATIVO",IF(OR(AND(TIPOORCAMENTO="Proposto",$AG204&lt;&gt;"",$AG204&gt;0,ORÇAMENTO.CustoUnitario&gt;$AG204),AND(TIPOORCAMENTO="LICITADO",ORÇAMENTO.PrecoUnitarioLicitado&gt;$AN204)),"ACIMA REF.","")))))</f>
        <v/>
      </c>
      <c r="AD204" s="100" t="str">
        <f ca="1">IF(C204&lt;=CRONO.NivelExibicao,MAX($AD$15:OFFSET(AD204,-1,0))+IF($C204&lt;&gt;1,1,MAX(1,COUNTIF(QCI!$A$13:$A$24,OFFSET($E204,-1,0)))),"")</f>
        <v/>
      </c>
      <c r="AE204" s="110" t="b">
        <f ca="1">IF(AND($C204="S",ORÇAMENTO.CodBarra&lt;&gt;""),IF(ORÇAMENTO.Fonte="",ORÇAMENTO.CodBarra,CONCATENATE(ORÇAMENTO.Fonte," ",ORÇAMENTO.CodBarra)))</f>
        <v>0</v>
      </c>
      <c r="AF204" s="155" t="str">
        <f ca="1">IF(ISERROR(INDIRECT(ORÇAMENTO.BancoRef)),"(abra o arquivo 'Referência "&amp;Excel_BuiltIn_Database&amp;".xlsm)",IF(OR($C204&lt;&gt;"S",ORÇAMENTO.CodBarra=""),"(Sem Código)",IF(ISERROR(MATCH($AE204,INDIRECT(ORÇAMENTO.BancoRef),0)),"(Código não identificado nas referências)",MATCH($AE204,INDIRECT(ORÇAMENTO.BancoRef),0))))</f>
        <v>(abra o arquivo 'Referência 11-2024.xlsm)</v>
      </c>
      <c r="AG204" s="574">
        <f ca="1">ROUND(IF(DESONERACAO="sim",REFERENCIA.Desonerado,REFERENCIA.NaoDesonerado),2)</f>
        <v>0</v>
      </c>
      <c r="AH204" s="575">
        <f t="shared" ca="1" si="65"/>
        <v>0.22</v>
      </c>
      <c r="AJ204" s="577"/>
      <c r="AL204" s="607"/>
      <c r="AM204" s="426">
        <f t="shared" ca="1" si="66"/>
        <v>0</v>
      </c>
      <c r="AN204" s="650">
        <f t="shared" ca="1" si="67"/>
        <v>0</v>
      </c>
    </row>
    <row r="205" spans="1:40" ht="13.8" hidden="1">
      <c r="A205" t="str">
        <f t="shared" si="51"/>
        <v>S</v>
      </c>
      <c r="B205">
        <f t="shared" ca="1" si="52"/>
        <v>2</v>
      </c>
      <c r="C205" t="str">
        <f t="shared" ca="1" si="53"/>
        <v>S</v>
      </c>
      <c r="D205">
        <f t="shared" ca="1" si="54"/>
        <v>0</v>
      </c>
      <c r="E205">
        <f ca="1">IF($C205=1,OFFSET(E205,-1,0)+MAX(1,COUNTIF(QCI!$A$13:$A$24,OFFSET(ORÇAMENTO!E205,-1,0))),OFFSET(E205,-1,0))</f>
        <v>1</v>
      </c>
      <c r="F205">
        <f t="shared" ca="1" si="55"/>
        <v>5</v>
      </c>
      <c r="G205">
        <f t="shared" ca="1" si="56"/>
        <v>0</v>
      </c>
      <c r="H205">
        <f t="shared" ca="1" si="57"/>
        <v>0</v>
      </c>
      <c r="I205">
        <f t="shared" ca="1" si="58"/>
        <v>2</v>
      </c>
      <c r="J205">
        <f t="shared" ca="1" si="59"/>
        <v>0</v>
      </c>
      <c r="K205">
        <f ca="1">IF(OR($C205="S",$C205=0),0,MATCH(OFFSET($D205,0,$C205)+IF($C205&lt;&gt;1,1,COUNTIF(QCI!$A$13:$A$24,ORÇAMENTO!E205)),OFFSET($D205,1,$C205,ROW($C$264)-ROW($C205)),0))</f>
        <v>0</v>
      </c>
      <c r="L205" s="139" t="str">
        <f t="shared" ca="1" si="60"/>
        <v/>
      </c>
      <c r="M205" s="140" t="s">
        <v>199</v>
      </c>
      <c r="N205" s="141" t="str">
        <f t="shared" ca="1" si="61"/>
        <v>Serviço</v>
      </c>
      <c r="O205" s="142" t="str">
        <f t="shared" ca="1" si="62"/>
        <v>-</v>
      </c>
      <c r="P205" s="143" t="s">
        <v>247</v>
      </c>
      <c r="Q205" s="144"/>
      <c r="R205" s="145" t="str">
        <f ca="1">IF($C205="S",REFERENCIA.Descricao,"(digite a descrição aqui)")</f>
        <v>(abra o arquivo 'Referência 11-2024.xlsm)</v>
      </c>
      <c r="S205" s="146" t="str">
        <f ca="1">REFERENCIA.Unidade</f>
        <v>-</v>
      </c>
      <c r="T205" s="147">
        <f ca="1">OFFSET(CÁLCULO!H$15,ROW($T205)-ROW(T$15),0)</f>
        <v>0</v>
      </c>
      <c r="U205" s="148"/>
      <c r="V205" s="149" t="s">
        <v>156</v>
      </c>
      <c r="W205" s="147">
        <f ca="1">IF($C205="S",ROUND(IF(TIPOORCAMENTO="Proposto",ORÇAMENTO.CustoUnitario*(1+$AH205),ORÇAMENTO.PrecoUnitarioLicitado),15-13*$AF$10),0)</f>
        <v>0</v>
      </c>
      <c r="X205" s="150">
        <f ca="1">IF($C205="S",IF(Import.TipoArredondamento&lt;&gt;"TransfereGOV",VTOTAL1,SUM(OFFSET(CÁLCULO!$AA$15,ROW($X205)-ROW($X$15),1):OFFSET(CÁLCULO!$AL$15,ROW($X205)-ROW($X$15),-1))),IF($C205=0,0,ROUND(SomaAgrup,15-13*$AF$11)))</f>
        <v>0</v>
      </c>
      <c r="Y205" s="151" t="s">
        <v>245</v>
      </c>
      <c r="Z205" t="str">
        <f t="shared" ca="1" si="63"/>
        <v/>
      </c>
      <c r="AA205" s="152">
        <f ca="1">IF($C205="S",IF($Z205="CP",$X205,IF($Z205="RA",(($X205)*QCI!$AA$3),0)),SomaAgrup)</f>
        <v>0</v>
      </c>
      <c r="AB205" s="153">
        <f t="shared" ca="1" si="64"/>
        <v>0</v>
      </c>
      <c r="AC205" s="154" t="str">
        <f ca="1">IF($N205="","",IF(ORÇAMENTO.Descricao="","DESCRIÇÃO",IF(AND($C205="S",ORÇAMENTO.Unidade=""),"UNIDADE",IF($X205&lt;0,"VALOR NEGATIVO",IF(OR(AND(TIPOORCAMENTO="Proposto",$AG205&lt;&gt;"",$AG205&gt;0,ORÇAMENTO.CustoUnitario&gt;$AG205),AND(TIPOORCAMENTO="LICITADO",ORÇAMENTO.PrecoUnitarioLicitado&gt;$AN205)),"ACIMA REF.","")))))</f>
        <v/>
      </c>
      <c r="AD205" s="100" t="str">
        <f ca="1">IF(C205&lt;=CRONO.NivelExibicao,MAX($AD$15:OFFSET(AD205,-1,0))+IF($C205&lt;&gt;1,1,MAX(1,COUNTIF(QCI!$A$13:$A$24,OFFSET($E205,-1,0)))),"")</f>
        <v/>
      </c>
      <c r="AE205" s="110" t="b">
        <f ca="1">IF(AND($C205="S",ORÇAMENTO.CodBarra&lt;&gt;""),IF(ORÇAMENTO.Fonte="",ORÇAMENTO.CodBarra,CONCATENATE(ORÇAMENTO.Fonte," ",ORÇAMENTO.CodBarra)))</f>
        <v>0</v>
      </c>
      <c r="AF205" s="155" t="str">
        <f ca="1">IF(ISERROR(INDIRECT(ORÇAMENTO.BancoRef)),"(abra o arquivo 'Referência "&amp;Excel_BuiltIn_Database&amp;".xlsm)",IF(OR($C205&lt;&gt;"S",ORÇAMENTO.CodBarra=""),"(Sem Código)",IF(ISERROR(MATCH($AE205,INDIRECT(ORÇAMENTO.BancoRef),0)),"(Código não identificado nas referências)",MATCH($AE205,INDIRECT(ORÇAMENTO.BancoRef),0))))</f>
        <v>(abra o arquivo 'Referência 11-2024.xlsm)</v>
      </c>
      <c r="AG205" s="574">
        <f ca="1">ROUND(IF(DESONERACAO="sim",REFERENCIA.Desonerado,REFERENCIA.NaoDesonerado),2)</f>
        <v>0</v>
      </c>
      <c r="AH205" s="575">
        <f t="shared" ca="1" si="65"/>
        <v>0.22</v>
      </c>
      <c r="AJ205" s="577"/>
      <c r="AL205" s="607"/>
      <c r="AM205" s="426">
        <f t="shared" ca="1" si="66"/>
        <v>0</v>
      </c>
      <c r="AN205" s="650">
        <f t="shared" ca="1" si="67"/>
        <v>0</v>
      </c>
    </row>
    <row r="206" spans="1:40" ht="13.8" hidden="1">
      <c r="A206" t="str">
        <f t="shared" ref="A206:A263" si="68">CHOOSE(1+LOG(1+2*(ORÇAMENTO.Nivel="Meta")+4*(ORÇAMENTO.Nivel="Nível 2")+8*(ORÇAMENTO.Nivel="Nível 3")+16*(ORÇAMENTO.Nivel="Nível 4")+32*(ORÇAMENTO.Nivel="Serviço"),2),0,1,2,3,4,"S")</f>
        <v>S</v>
      </c>
      <c r="B206">
        <f t="shared" ref="B206:B263" ca="1" si="69">IF(OR(C206="s",C206=0),OFFSET(B206,-1,0),C206)</f>
        <v>2</v>
      </c>
      <c r="C206" t="str">
        <f t="shared" ref="C206:C263" ca="1" si="70">IF(OFFSET(C206,-1,0)="L",1,IF(OFFSET(C206,-1,0)=1,2,IF(OR(A206="s",A206=0),"S",IF(AND(OFFSET(C206,-1,0)=2,A206=4),3,IF(AND(OR(OFFSET(C206,-1,0)="s",OFFSET(C206,-1,0)=0),A206&lt;&gt;"s",A206&gt;OFFSET(B206,-1,0)),OFFSET(B206,-1,0),A206)))))</f>
        <v>S</v>
      </c>
      <c r="D206">
        <f t="shared" ref="D206:D263" ca="1" si="71">IF(OR(C206="S",C206=0),0,IF(ISERROR(K206),J206,SMALL(J206:K206,1)))</f>
        <v>0</v>
      </c>
      <c r="E206">
        <f ca="1">IF($C206=1,OFFSET(E206,-1,0)+MAX(1,COUNTIF(QCI!$A$13:$A$24,OFFSET(ORÇAMENTO!E206,-1,0))),OFFSET(E206,-1,0))</f>
        <v>1</v>
      </c>
      <c r="F206">
        <f t="shared" ref="F206:F263" ca="1" si="72">IF($C206=1,0,IF($C206=2,OFFSET(F206,-1,0)+1,OFFSET(F206,-1,0)))</f>
        <v>5</v>
      </c>
      <c r="G206">
        <f t="shared" ref="G206:G263" ca="1" si="73">IF(AND($C206&lt;=2,$C206&lt;&gt;0),0,IF($C206=3,OFFSET(G206,-1,0)+1,OFFSET(G206,-1,0)))</f>
        <v>0</v>
      </c>
      <c r="H206">
        <f t="shared" ref="H206:H263" ca="1" si="74">IF(AND($C206&lt;=3,$C206&lt;&gt;0),0,IF($C206=4,OFFSET(H206,-1,0)+1,OFFSET(H206,-1,0)))</f>
        <v>0</v>
      </c>
      <c r="I206">
        <f t="shared" ref="I206:I263" ca="1" si="75">IF(AND($C206&lt;=4,$C206&lt;&gt;0),0,IF(AND($C206="S",$X206&gt;0),OFFSET(I206,-1,0)+1,OFFSET(I206,-1,0)))</f>
        <v>2</v>
      </c>
      <c r="J206">
        <f t="shared" ref="J206:J263" ca="1" si="76">IF(OR($C206="S",$C206=0),0,MATCH(0,OFFSET($D206,1,$C206,ROW($C$264)-ROW($C206)),0))</f>
        <v>0</v>
      </c>
      <c r="K206">
        <f ca="1">IF(OR($C206="S",$C206=0),0,MATCH(OFFSET($D206,0,$C206)+IF($C206&lt;&gt;1,1,COUNTIF(QCI!$A$13:$A$24,ORÇAMENTO!E206)),OFFSET($D206,1,$C206,ROW($C$264)-ROW($C206)),0))</f>
        <v>0</v>
      </c>
      <c r="L206" s="139" t="str">
        <f t="shared" ref="L206:L263" ca="1" si="77">IF(OR($X206&gt;0,$C206=1,$C206=2,$C206=3,$C206=4),"F","")</f>
        <v/>
      </c>
      <c r="M206" s="140" t="s">
        <v>199</v>
      </c>
      <c r="N206" s="141" t="str">
        <f t="shared" ref="N206:N263" ca="1" si="78">CHOOSE(1+LOG(1+2*(C206=1)+4*(C206=2)+8*(C206=3)+16*(C206=4)+32*(C206="S"),2),"","Meta","Nível 2","Nível 3","Nível 4","Serviço")</f>
        <v>Serviço</v>
      </c>
      <c r="O206" s="142" t="str">
        <f t="shared" ref="O206:O263" ca="1" si="79">IF(OR($C206=0,$L206=""),"-",CONCATENATE(E206&amp;".",IF(AND($A$5&gt;=2,$C206&gt;=2),F206&amp;".",""),IF(AND($A$5&gt;=3,$C206&gt;=3),G206&amp;".",""),IF(AND($A$5&gt;=4,$C206&gt;=4),H206&amp;".",""),IF($C206="S",I206&amp;".","")))</f>
        <v>-</v>
      </c>
      <c r="P206" s="143" t="s">
        <v>247</v>
      </c>
      <c r="Q206" s="144"/>
      <c r="R206" s="145" t="str">
        <f ca="1">IF($C206="S",REFERENCIA.Descricao,"(digite a descrição aqui)")</f>
        <v>(abra o arquivo 'Referência 11-2024.xlsm)</v>
      </c>
      <c r="S206" s="146" t="str">
        <f ca="1">REFERENCIA.Unidade</f>
        <v>-</v>
      </c>
      <c r="T206" s="147">
        <f ca="1">OFFSET(CÁLCULO!H$15,ROW($T206)-ROW(T$15),0)</f>
        <v>0</v>
      </c>
      <c r="U206" s="148"/>
      <c r="V206" s="149" t="s">
        <v>156</v>
      </c>
      <c r="W206" s="147">
        <f ca="1">IF($C206="S",ROUND(IF(TIPOORCAMENTO="Proposto",ORÇAMENTO.CustoUnitario*(1+$AH206),ORÇAMENTO.PrecoUnitarioLicitado),15-13*$AF$10),0)</f>
        <v>0</v>
      </c>
      <c r="X206" s="150">
        <f ca="1">IF($C206="S",IF(Import.TipoArredondamento&lt;&gt;"TransfereGOV",VTOTAL1,SUM(OFFSET(CÁLCULO!$AA$15,ROW($X206)-ROW($X$15),1):OFFSET(CÁLCULO!$AL$15,ROW($X206)-ROW($X$15),-1))),IF($C206=0,0,ROUND(SomaAgrup,15-13*$AF$11)))</f>
        <v>0</v>
      </c>
      <c r="Y206" s="151" t="s">
        <v>245</v>
      </c>
      <c r="Z206" t="str">
        <f t="shared" ref="Z206:Z263" ca="1" si="80">IF(AND($C206="S",$X206&gt;0),IF(ISBLANK($Y206),"RA",LEFT($Y206,2)),"")</f>
        <v/>
      </c>
      <c r="AA206" s="152">
        <f ca="1">IF($C206="S",IF($Z206="CP",$X206,IF($Z206="RA",(($X206)*QCI!$AA$3),0)),SomaAgrup)</f>
        <v>0</v>
      </c>
      <c r="AB206" s="153">
        <f t="shared" ref="AB206:AB263" ca="1" si="81">IF($C206="S",IF($Z206="OU",ROUND($X206,2),0),SomaAgrup)</f>
        <v>0</v>
      </c>
      <c r="AC206" s="154" t="str">
        <f ca="1">IF($N206="","",IF(ORÇAMENTO.Descricao="","DESCRIÇÃO",IF(AND($C206="S",ORÇAMENTO.Unidade=""),"UNIDADE",IF($X206&lt;0,"VALOR NEGATIVO",IF(OR(AND(TIPOORCAMENTO="Proposto",$AG206&lt;&gt;"",$AG206&gt;0,ORÇAMENTO.CustoUnitario&gt;$AG206),AND(TIPOORCAMENTO="LICITADO",ORÇAMENTO.PrecoUnitarioLicitado&gt;$AN206)),"ACIMA REF.","")))))</f>
        <v/>
      </c>
      <c r="AD206" s="100" t="str">
        <f ca="1">IF(C206&lt;=CRONO.NivelExibicao,MAX($AD$15:OFFSET(AD206,-1,0))+IF($C206&lt;&gt;1,1,MAX(1,COUNTIF(QCI!$A$13:$A$24,OFFSET($E206,-1,0)))),"")</f>
        <v/>
      </c>
      <c r="AE206" s="110" t="b">
        <f ca="1">IF(AND($C206="S",ORÇAMENTO.CodBarra&lt;&gt;""),IF(ORÇAMENTO.Fonte="",ORÇAMENTO.CodBarra,CONCATENATE(ORÇAMENTO.Fonte," ",ORÇAMENTO.CodBarra)))</f>
        <v>0</v>
      </c>
      <c r="AF206" s="155" t="str">
        <f ca="1">IF(ISERROR(INDIRECT(ORÇAMENTO.BancoRef)),"(abra o arquivo 'Referência "&amp;Excel_BuiltIn_Database&amp;".xlsm)",IF(OR($C206&lt;&gt;"S",ORÇAMENTO.CodBarra=""),"(Sem Código)",IF(ISERROR(MATCH($AE206,INDIRECT(ORÇAMENTO.BancoRef),0)),"(Código não identificado nas referências)",MATCH($AE206,INDIRECT(ORÇAMENTO.BancoRef),0))))</f>
        <v>(abra o arquivo 'Referência 11-2024.xlsm)</v>
      </c>
      <c r="AG206" s="574">
        <f ca="1">ROUND(IF(DESONERACAO="sim",REFERENCIA.Desonerado,REFERENCIA.NaoDesonerado),2)</f>
        <v>0</v>
      </c>
      <c r="AH206" s="575">
        <f t="shared" ref="AH206:AH263" ca="1" si="82">ROUND(IF(ISNUMBER(ORÇAMENTO.OpcaoBDI),ORÇAMENTO.OpcaoBDI,IF(LEFT(ORÇAMENTO.OpcaoBDI,3)="BDI",HLOOKUP(ORÇAMENTO.OpcaoBDI,$F$4:$H$5,2,FALSE),0)),15-11*$AF$9)</f>
        <v>0.22</v>
      </c>
      <c r="AJ206" s="577"/>
      <c r="AL206" s="607"/>
      <c r="AM206" s="426">
        <f t="shared" ref="AM206:AM263" ca="1" si="83">$X206</f>
        <v>0</v>
      </c>
      <c r="AN206" s="650">
        <f t="shared" ref="AN206:AN263" ca="1" si="84">ROUND(ORÇAMENTO.CustoUnitario*(1+$AH206),2)</f>
        <v>0</v>
      </c>
    </row>
    <row r="207" spans="1:40" ht="13.8" hidden="1">
      <c r="A207" t="str">
        <f t="shared" si="68"/>
        <v>S</v>
      </c>
      <c r="B207">
        <f t="shared" ca="1" si="69"/>
        <v>2</v>
      </c>
      <c r="C207" t="str">
        <f t="shared" ca="1" si="70"/>
        <v>S</v>
      </c>
      <c r="D207">
        <f t="shared" ca="1" si="71"/>
        <v>0</v>
      </c>
      <c r="E207">
        <f ca="1">IF($C207=1,OFFSET(E207,-1,0)+MAX(1,COUNTIF(QCI!$A$13:$A$24,OFFSET(ORÇAMENTO!E207,-1,0))),OFFSET(E207,-1,0))</f>
        <v>1</v>
      </c>
      <c r="F207">
        <f t="shared" ca="1" si="72"/>
        <v>5</v>
      </c>
      <c r="G207">
        <f t="shared" ca="1" si="73"/>
        <v>0</v>
      </c>
      <c r="H207">
        <f t="shared" ca="1" si="74"/>
        <v>0</v>
      </c>
      <c r="I207">
        <f t="shared" ca="1" si="75"/>
        <v>2</v>
      </c>
      <c r="J207">
        <f t="shared" ca="1" si="76"/>
        <v>0</v>
      </c>
      <c r="K207">
        <f ca="1">IF(OR($C207="S",$C207=0),0,MATCH(OFFSET($D207,0,$C207)+IF($C207&lt;&gt;1,1,COUNTIF(QCI!$A$13:$A$24,ORÇAMENTO!E207)),OFFSET($D207,1,$C207,ROW($C$264)-ROW($C207)),0))</f>
        <v>0</v>
      </c>
      <c r="L207" s="139" t="str">
        <f t="shared" ca="1" si="77"/>
        <v/>
      </c>
      <c r="M207" s="140" t="s">
        <v>199</v>
      </c>
      <c r="N207" s="141" t="str">
        <f t="shared" ca="1" si="78"/>
        <v>Serviço</v>
      </c>
      <c r="O207" s="142" t="str">
        <f t="shared" ca="1" si="79"/>
        <v>-</v>
      </c>
      <c r="P207" s="143" t="s">
        <v>247</v>
      </c>
      <c r="Q207" s="144"/>
      <c r="R207" s="145" t="str">
        <f ca="1">IF($C207="S",REFERENCIA.Descricao,"(digite a descrição aqui)")</f>
        <v>(abra o arquivo 'Referência 11-2024.xlsm)</v>
      </c>
      <c r="S207" s="146" t="str">
        <f ca="1">REFERENCIA.Unidade</f>
        <v>-</v>
      </c>
      <c r="T207" s="147">
        <f ca="1">OFFSET(CÁLCULO!H$15,ROW($T207)-ROW(T$15),0)</f>
        <v>0</v>
      </c>
      <c r="U207" s="148"/>
      <c r="V207" s="149" t="s">
        <v>156</v>
      </c>
      <c r="W207" s="147">
        <f ca="1">IF($C207="S",ROUND(IF(TIPOORCAMENTO="Proposto",ORÇAMENTO.CustoUnitario*(1+$AH207),ORÇAMENTO.PrecoUnitarioLicitado),15-13*$AF$10),0)</f>
        <v>0</v>
      </c>
      <c r="X207" s="150">
        <f ca="1">IF($C207="S",IF(Import.TipoArredondamento&lt;&gt;"TransfereGOV",VTOTAL1,SUM(OFFSET(CÁLCULO!$AA$15,ROW($X207)-ROW($X$15),1):OFFSET(CÁLCULO!$AL$15,ROW($X207)-ROW($X$15),-1))),IF($C207=0,0,ROUND(SomaAgrup,15-13*$AF$11)))</f>
        <v>0</v>
      </c>
      <c r="Y207" s="151" t="s">
        <v>245</v>
      </c>
      <c r="Z207" t="str">
        <f t="shared" ca="1" si="80"/>
        <v/>
      </c>
      <c r="AA207" s="152">
        <f ca="1">IF($C207="S",IF($Z207="CP",$X207,IF($Z207="RA",(($X207)*QCI!$AA$3),0)),SomaAgrup)</f>
        <v>0</v>
      </c>
      <c r="AB207" s="153">
        <f t="shared" ca="1" si="81"/>
        <v>0</v>
      </c>
      <c r="AC207" s="154" t="str">
        <f ca="1">IF($N207="","",IF(ORÇAMENTO.Descricao="","DESCRIÇÃO",IF(AND($C207="S",ORÇAMENTO.Unidade=""),"UNIDADE",IF($X207&lt;0,"VALOR NEGATIVO",IF(OR(AND(TIPOORCAMENTO="Proposto",$AG207&lt;&gt;"",$AG207&gt;0,ORÇAMENTO.CustoUnitario&gt;$AG207),AND(TIPOORCAMENTO="LICITADO",ORÇAMENTO.PrecoUnitarioLicitado&gt;$AN207)),"ACIMA REF.","")))))</f>
        <v/>
      </c>
      <c r="AD207" s="100" t="str">
        <f ca="1">IF(C207&lt;=CRONO.NivelExibicao,MAX($AD$15:OFFSET(AD207,-1,0))+IF($C207&lt;&gt;1,1,MAX(1,COUNTIF(QCI!$A$13:$A$24,OFFSET($E207,-1,0)))),"")</f>
        <v/>
      </c>
      <c r="AE207" s="110" t="b">
        <f ca="1">IF(AND($C207="S",ORÇAMENTO.CodBarra&lt;&gt;""),IF(ORÇAMENTO.Fonte="",ORÇAMENTO.CodBarra,CONCATENATE(ORÇAMENTO.Fonte," ",ORÇAMENTO.CodBarra)))</f>
        <v>0</v>
      </c>
      <c r="AF207" s="155" t="str">
        <f ca="1">IF(ISERROR(INDIRECT(ORÇAMENTO.BancoRef)),"(abra o arquivo 'Referência "&amp;Excel_BuiltIn_Database&amp;".xlsm)",IF(OR($C207&lt;&gt;"S",ORÇAMENTO.CodBarra=""),"(Sem Código)",IF(ISERROR(MATCH($AE207,INDIRECT(ORÇAMENTO.BancoRef),0)),"(Código não identificado nas referências)",MATCH($AE207,INDIRECT(ORÇAMENTO.BancoRef),0))))</f>
        <v>(abra o arquivo 'Referência 11-2024.xlsm)</v>
      </c>
      <c r="AG207" s="574">
        <f ca="1">ROUND(IF(DESONERACAO="sim",REFERENCIA.Desonerado,REFERENCIA.NaoDesonerado),2)</f>
        <v>0</v>
      </c>
      <c r="AH207" s="575">
        <f t="shared" ca="1" si="82"/>
        <v>0.22</v>
      </c>
      <c r="AJ207" s="577"/>
      <c r="AL207" s="607"/>
      <c r="AM207" s="426">
        <f t="shared" ca="1" si="83"/>
        <v>0</v>
      </c>
      <c r="AN207" s="650">
        <f t="shared" ca="1" si="84"/>
        <v>0</v>
      </c>
    </row>
    <row r="208" spans="1:40" ht="13.8" hidden="1">
      <c r="A208" t="str">
        <f t="shared" si="68"/>
        <v>S</v>
      </c>
      <c r="B208">
        <f t="shared" ca="1" si="69"/>
        <v>2</v>
      </c>
      <c r="C208" t="str">
        <f t="shared" ca="1" si="70"/>
        <v>S</v>
      </c>
      <c r="D208">
        <f t="shared" ca="1" si="71"/>
        <v>0</v>
      </c>
      <c r="E208">
        <f ca="1">IF($C208=1,OFFSET(E208,-1,0)+MAX(1,COUNTIF(QCI!$A$13:$A$24,OFFSET(ORÇAMENTO!E208,-1,0))),OFFSET(E208,-1,0))</f>
        <v>1</v>
      </c>
      <c r="F208">
        <f t="shared" ca="1" si="72"/>
        <v>5</v>
      </c>
      <c r="G208">
        <f t="shared" ca="1" si="73"/>
        <v>0</v>
      </c>
      <c r="H208">
        <f t="shared" ca="1" si="74"/>
        <v>0</v>
      </c>
      <c r="I208">
        <f t="shared" ca="1" si="75"/>
        <v>2</v>
      </c>
      <c r="J208">
        <f t="shared" ca="1" si="76"/>
        <v>0</v>
      </c>
      <c r="K208">
        <f ca="1">IF(OR($C208="S",$C208=0),0,MATCH(OFFSET($D208,0,$C208)+IF($C208&lt;&gt;1,1,COUNTIF(QCI!$A$13:$A$24,ORÇAMENTO!E208)),OFFSET($D208,1,$C208,ROW($C$264)-ROW($C208)),0))</f>
        <v>0</v>
      </c>
      <c r="L208" s="139" t="str">
        <f t="shared" ca="1" si="77"/>
        <v/>
      </c>
      <c r="M208" s="140" t="s">
        <v>199</v>
      </c>
      <c r="N208" s="141" t="str">
        <f t="shared" ca="1" si="78"/>
        <v>Serviço</v>
      </c>
      <c r="O208" s="142" t="str">
        <f t="shared" ca="1" si="79"/>
        <v>-</v>
      </c>
      <c r="P208" s="143" t="s">
        <v>247</v>
      </c>
      <c r="Q208" s="144"/>
      <c r="R208" s="145" t="str">
        <f ca="1">IF($C208="S",REFERENCIA.Descricao,"(digite a descrição aqui)")</f>
        <v>(abra o arquivo 'Referência 11-2024.xlsm)</v>
      </c>
      <c r="S208" s="146" t="str">
        <f ca="1">REFERENCIA.Unidade</f>
        <v>-</v>
      </c>
      <c r="T208" s="147">
        <f ca="1">OFFSET(CÁLCULO!H$15,ROW($T208)-ROW(T$15),0)</f>
        <v>0</v>
      </c>
      <c r="U208" s="148"/>
      <c r="V208" s="149" t="s">
        <v>156</v>
      </c>
      <c r="W208" s="147">
        <f ca="1">IF($C208="S",ROUND(IF(TIPOORCAMENTO="Proposto",ORÇAMENTO.CustoUnitario*(1+$AH208),ORÇAMENTO.PrecoUnitarioLicitado),15-13*$AF$10),0)</f>
        <v>0</v>
      </c>
      <c r="X208" s="150">
        <f ca="1">IF($C208="S",IF(Import.TipoArredondamento&lt;&gt;"TransfereGOV",VTOTAL1,SUM(OFFSET(CÁLCULO!$AA$15,ROW($X208)-ROW($X$15),1):OFFSET(CÁLCULO!$AL$15,ROW($X208)-ROW($X$15),-1))),IF($C208=0,0,ROUND(SomaAgrup,15-13*$AF$11)))</f>
        <v>0</v>
      </c>
      <c r="Y208" s="151" t="s">
        <v>245</v>
      </c>
      <c r="Z208" t="str">
        <f t="shared" ca="1" si="80"/>
        <v/>
      </c>
      <c r="AA208" s="152">
        <f ca="1">IF($C208="S",IF($Z208="CP",$X208,IF($Z208="RA",(($X208)*QCI!$AA$3),0)),SomaAgrup)</f>
        <v>0</v>
      </c>
      <c r="AB208" s="153">
        <f t="shared" ca="1" si="81"/>
        <v>0</v>
      </c>
      <c r="AC208" s="154" t="str">
        <f ca="1">IF($N208="","",IF(ORÇAMENTO.Descricao="","DESCRIÇÃO",IF(AND($C208="S",ORÇAMENTO.Unidade=""),"UNIDADE",IF($X208&lt;0,"VALOR NEGATIVO",IF(OR(AND(TIPOORCAMENTO="Proposto",$AG208&lt;&gt;"",$AG208&gt;0,ORÇAMENTO.CustoUnitario&gt;$AG208),AND(TIPOORCAMENTO="LICITADO",ORÇAMENTO.PrecoUnitarioLicitado&gt;$AN208)),"ACIMA REF.","")))))</f>
        <v/>
      </c>
      <c r="AD208" s="100" t="str">
        <f ca="1">IF(C208&lt;=CRONO.NivelExibicao,MAX($AD$15:OFFSET(AD208,-1,0))+IF($C208&lt;&gt;1,1,MAX(1,COUNTIF(QCI!$A$13:$A$24,OFFSET($E208,-1,0)))),"")</f>
        <v/>
      </c>
      <c r="AE208" s="110" t="b">
        <f ca="1">IF(AND($C208="S",ORÇAMENTO.CodBarra&lt;&gt;""),IF(ORÇAMENTO.Fonte="",ORÇAMENTO.CodBarra,CONCATENATE(ORÇAMENTO.Fonte," ",ORÇAMENTO.CodBarra)))</f>
        <v>0</v>
      </c>
      <c r="AF208" s="155" t="str">
        <f ca="1">IF(ISERROR(INDIRECT(ORÇAMENTO.BancoRef)),"(abra o arquivo 'Referência "&amp;Excel_BuiltIn_Database&amp;".xlsm)",IF(OR($C208&lt;&gt;"S",ORÇAMENTO.CodBarra=""),"(Sem Código)",IF(ISERROR(MATCH($AE208,INDIRECT(ORÇAMENTO.BancoRef),0)),"(Código não identificado nas referências)",MATCH($AE208,INDIRECT(ORÇAMENTO.BancoRef),0))))</f>
        <v>(abra o arquivo 'Referência 11-2024.xlsm)</v>
      </c>
      <c r="AG208" s="574">
        <f ca="1">ROUND(IF(DESONERACAO="sim",REFERENCIA.Desonerado,REFERENCIA.NaoDesonerado),2)</f>
        <v>0</v>
      </c>
      <c r="AH208" s="575">
        <f t="shared" ca="1" si="82"/>
        <v>0.22</v>
      </c>
      <c r="AJ208" s="577"/>
      <c r="AL208" s="607"/>
      <c r="AM208" s="426">
        <f t="shared" ca="1" si="83"/>
        <v>0</v>
      </c>
      <c r="AN208" s="650">
        <f t="shared" ca="1" si="84"/>
        <v>0</v>
      </c>
    </row>
    <row r="209" spans="1:40" ht="13.8" hidden="1">
      <c r="A209" t="str">
        <f t="shared" si="68"/>
        <v>S</v>
      </c>
      <c r="B209">
        <f t="shared" ca="1" si="69"/>
        <v>2</v>
      </c>
      <c r="C209" t="str">
        <f t="shared" ca="1" si="70"/>
        <v>S</v>
      </c>
      <c r="D209">
        <f t="shared" ca="1" si="71"/>
        <v>0</v>
      </c>
      <c r="E209">
        <f ca="1">IF($C209=1,OFFSET(E209,-1,0)+MAX(1,COUNTIF(QCI!$A$13:$A$24,OFFSET(ORÇAMENTO!E209,-1,0))),OFFSET(E209,-1,0))</f>
        <v>1</v>
      </c>
      <c r="F209">
        <f t="shared" ca="1" si="72"/>
        <v>5</v>
      </c>
      <c r="G209">
        <f t="shared" ca="1" si="73"/>
        <v>0</v>
      </c>
      <c r="H209">
        <f t="shared" ca="1" si="74"/>
        <v>0</v>
      </c>
      <c r="I209">
        <f t="shared" ca="1" si="75"/>
        <v>2</v>
      </c>
      <c r="J209">
        <f t="shared" ca="1" si="76"/>
        <v>0</v>
      </c>
      <c r="K209">
        <f ca="1">IF(OR($C209="S",$C209=0),0,MATCH(OFFSET($D209,0,$C209)+IF($C209&lt;&gt;1,1,COUNTIF(QCI!$A$13:$A$24,ORÇAMENTO!E209)),OFFSET($D209,1,$C209,ROW($C$264)-ROW($C209)),0))</f>
        <v>0</v>
      </c>
      <c r="L209" s="139" t="str">
        <f t="shared" ca="1" si="77"/>
        <v/>
      </c>
      <c r="M209" s="140" t="s">
        <v>199</v>
      </c>
      <c r="N209" s="141" t="str">
        <f t="shared" ca="1" si="78"/>
        <v>Serviço</v>
      </c>
      <c r="O209" s="142" t="str">
        <f t="shared" ca="1" si="79"/>
        <v>-</v>
      </c>
      <c r="P209" s="143" t="s">
        <v>247</v>
      </c>
      <c r="Q209" s="144"/>
      <c r="R209" s="145" t="str">
        <f ca="1">IF($C209="S",REFERENCIA.Descricao,"(digite a descrição aqui)")</f>
        <v>(abra o arquivo 'Referência 11-2024.xlsm)</v>
      </c>
      <c r="S209" s="146" t="str">
        <f ca="1">REFERENCIA.Unidade</f>
        <v>-</v>
      </c>
      <c r="T209" s="147">
        <f ca="1">OFFSET(CÁLCULO!H$15,ROW($T209)-ROW(T$15),0)</f>
        <v>0</v>
      </c>
      <c r="U209" s="148"/>
      <c r="V209" s="149" t="s">
        <v>156</v>
      </c>
      <c r="W209" s="147">
        <f ca="1">IF($C209="S",ROUND(IF(TIPOORCAMENTO="Proposto",ORÇAMENTO.CustoUnitario*(1+$AH209),ORÇAMENTO.PrecoUnitarioLicitado),15-13*$AF$10),0)</f>
        <v>0</v>
      </c>
      <c r="X209" s="150">
        <f ca="1">IF($C209="S",IF(Import.TipoArredondamento&lt;&gt;"TransfereGOV",VTOTAL1,SUM(OFFSET(CÁLCULO!$AA$15,ROW($X209)-ROW($X$15),1):OFFSET(CÁLCULO!$AL$15,ROW($X209)-ROW($X$15),-1))),IF($C209=0,0,ROUND(SomaAgrup,15-13*$AF$11)))</f>
        <v>0</v>
      </c>
      <c r="Y209" s="151" t="s">
        <v>245</v>
      </c>
      <c r="Z209" t="str">
        <f t="shared" ca="1" si="80"/>
        <v/>
      </c>
      <c r="AA209" s="152">
        <f ca="1">IF($C209="S",IF($Z209="CP",$X209,IF($Z209="RA",(($X209)*QCI!$AA$3),0)),SomaAgrup)</f>
        <v>0</v>
      </c>
      <c r="AB209" s="153">
        <f t="shared" ca="1" si="81"/>
        <v>0</v>
      </c>
      <c r="AC209" s="154" t="str">
        <f ca="1">IF($N209="","",IF(ORÇAMENTO.Descricao="","DESCRIÇÃO",IF(AND($C209="S",ORÇAMENTO.Unidade=""),"UNIDADE",IF($X209&lt;0,"VALOR NEGATIVO",IF(OR(AND(TIPOORCAMENTO="Proposto",$AG209&lt;&gt;"",$AG209&gt;0,ORÇAMENTO.CustoUnitario&gt;$AG209),AND(TIPOORCAMENTO="LICITADO",ORÇAMENTO.PrecoUnitarioLicitado&gt;$AN209)),"ACIMA REF.","")))))</f>
        <v/>
      </c>
      <c r="AD209" s="100" t="str">
        <f ca="1">IF(C209&lt;=CRONO.NivelExibicao,MAX($AD$15:OFFSET(AD209,-1,0))+IF($C209&lt;&gt;1,1,MAX(1,COUNTIF(QCI!$A$13:$A$24,OFFSET($E209,-1,0)))),"")</f>
        <v/>
      </c>
      <c r="AE209" s="110" t="b">
        <f ca="1">IF(AND($C209="S",ORÇAMENTO.CodBarra&lt;&gt;""),IF(ORÇAMENTO.Fonte="",ORÇAMENTO.CodBarra,CONCATENATE(ORÇAMENTO.Fonte," ",ORÇAMENTO.CodBarra)))</f>
        <v>0</v>
      </c>
      <c r="AF209" s="155" t="str">
        <f ca="1">IF(ISERROR(INDIRECT(ORÇAMENTO.BancoRef)),"(abra o arquivo 'Referência "&amp;Excel_BuiltIn_Database&amp;".xlsm)",IF(OR($C209&lt;&gt;"S",ORÇAMENTO.CodBarra=""),"(Sem Código)",IF(ISERROR(MATCH($AE209,INDIRECT(ORÇAMENTO.BancoRef),0)),"(Código não identificado nas referências)",MATCH($AE209,INDIRECT(ORÇAMENTO.BancoRef),0))))</f>
        <v>(abra o arquivo 'Referência 11-2024.xlsm)</v>
      </c>
      <c r="AG209" s="574">
        <f ca="1">ROUND(IF(DESONERACAO="sim",REFERENCIA.Desonerado,REFERENCIA.NaoDesonerado),2)</f>
        <v>0</v>
      </c>
      <c r="AH209" s="575">
        <f t="shared" ca="1" si="82"/>
        <v>0.22</v>
      </c>
      <c r="AJ209" s="577"/>
      <c r="AL209" s="607"/>
      <c r="AM209" s="426">
        <f t="shared" ca="1" si="83"/>
        <v>0</v>
      </c>
      <c r="AN209" s="650">
        <f t="shared" ca="1" si="84"/>
        <v>0</v>
      </c>
    </row>
    <row r="210" spans="1:40" ht="13.8" hidden="1">
      <c r="A210" t="str">
        <f t="shared" si="68"/>
        <v>S</v>
      </c>
      <c r="B210">
        <f t="shared" ca="1" si="69"/>
        <v>2</v>
      </c>
      <c r="C210" t="str">
        <f t="shared" ca="1" si="70"/>
        <v>S</v>
      </c>
      <c r="D210">
        <f t="shared" ca="1" si="71"/>
        <v>0</v>
      </c>
      <c r="E210">
        <f ca="1">IF($C210=1,OFFSET(E210,-1,0)+MAX(1,COUNTIF(QCI!$A$13:$A$24,OFFSET(ORÇAMENTO!E210,-1,0))),OFFSET(E210,-1,0))</f>
        <v>1</v>
      </c>
      <c r="F210">
        <f t="shared" ca="1" si="72"/>
        <v>5</v>
      </c>
      <c r="G210">
        <f t="shared" ca="1" si="73"/>
        <v>0</v>
      </c>
      <c r="H210">
        <f t="shared" ca="1" si="74"/>
        <v>0</v>
      </c>
      <c r="I210">
        <f t="shared" ca="1" si="75"/>
        <v>2</v>
      </c>
      <c r="J210">
        <f t="shared" ca="1" si="76"/>
        <v>0</v>
      </c>
      <c r="K210">
        <f ca="1">IF(OR($C210="S",$C210=0),0,MATCH(OFFSET($D210,0,$C210)+IF($C210&lt;&gt;1,1,COUNTIF(QCI!$A$13:$A$24,ORÇAMENTO!E210)),OFFSET($D210,1,$C210,ROW($C$264)-ROW($C210)),0))</f>
        <v>0</v>
      </c>
      <c r="L210" s="139" t="str">
        <f t="shared" ca="1" si="77"/>
        <v/>
      </c>
      <c r="M210" s="140" t="s">
        <v>199</v>
      </c>
      <c r="N210" s="141" t="str">
        <f t="shared" ca="1" si="78"/>
        <v>Serviço</v>
      </c>
      <c r="O210" s="142" t="str">
        <f t="shared" ca="1" si="79"/>
        <v>-</v>
      </c>
      <c r="P210" s="143" t="s">
        <v>247</v>
      </c>
      <c r="Q210" s="144"/>
      <c r="R210" s="145" t="str">
        <f ca="1">IF($C210="S",REFERENCIA.Descricao,"(digite a descrição aqui)")</f>
        <v>(abra o arquivo 'Referência 11-2024.xlsm)</v>
      </c>
      <c r="S210" s="146" t="str">
        <f ca="1">REFERENCIA.Unidade</f>
        <v>-</v>
      </c>
      <c r="T210" s="147">
        <f ca="1">OFFSET(CÁLCULO!H$15,ROW($T210)-ROW(T$15),0)</f>
        <v>0</v>
      </c>
      <c r="U210" s="148"/>
      <c r="V210" s="149" t="s">
        <v>156</v>
      </c>
      <c r="W210" s="147">
        <f ca="1">IF($C210="S",ROUND(IF(TIPOORCAMENTO="Proposto",ORÇAMENTO.CustoUnitario*(1+$AH210),ORÇAMENTO.PrecoUnitarioLicitado),15-13*$AF$10),0)</f>
        <v>0</v>
      </c>
      <c r="X210" s="150">
        <f ca="1">IF($C210="S",IF(Import.TipoArredondamento&lt;&gt;"TransfereGOV",VTOTAL1,SUM(OFFSET(CÁLCULO!$AA$15,ROW($X210)-ROW($X$15),1):OFFSET(CÁLCULO!$AL$15,ROW($X210)-ROW($X$15),-1))),IF($C210=0,0,ROUND(SomaAgrup,15-13*$AF$11)))</f>
        <v>0</v>
      </c>
      <c r="Y210" s="151" t="s">
        <v>245</v>
      </c>
      <c r="Z210" t="str">
        <f t="shared" ca="1" si="80"/>
        <v/>
      </c>
      <c r="AA210" s="152">
        <f ca="1">IF($C210="S",IF($Z210="CP",$X210,IF($Z210="RA",(($X210)*QCI!$AA$3),0)),SomaAgrup)</f>
        <v>0</v>
      </c>
      <c r="AB210" s="153">
        <f t="shared" ca="1" si="81"/>
        <v>0</v>
      </c>
      <c r="AC210" s="154" t="str">
        <f ca="1">IF($N210="","",IF(ORÇAMENTO.Descricao="","DESCRIÇÃO",IF(AND($C210="S",ORÇAMENTO.Unidade=""),"UNIDADE",IF($X210&lt;0,"VALOR NEGATIVO",IF(OR(AND(TIPOORCAMENTO="Proposto",$AG210&lt;&gt;"",$AG210&gt;0,ORÇAMENTO.CustoUnitario&gt;$AG210),AND(TIPOORCAMENTO="LICITADO",ORÇAMENTO.PrecoUnitarioLicitado&gt;$AN210)),"ACIMA REF.","")))))</f>
        <v/>
      </c>
      <c r="AD210" s="100" t="str">
        <f ca="1">IF(C210&lt;=CRONO.NivelExibicao,MAX($AD$15:OFFSET(AD210,-1,0))+IF($C210&lt;&gt;1,1,MAX(1,COUNTIF(QCI!$A$13:$A$24,OFFSET($E210,-1,0)))),"")</f>
        <v/>
      </c>
      <c r="AE210" s="110" t="b">
        <f ca="1">IF(AND($C210="S",ORÇAMENTO.CodBarra&lt;&gt;""),IF(ORÇAMENTO.Fonte="",ORÇAMENTO.CodBarra,CONCATENATE(ORÇAMENTO.Fonte," ",ORÇAMENTO.CodBarra)))</f>
        <v>0</v>
      </c>
      <c r="AF210" s="155" t="str">
        <f ca="1">IF(ISERROR(INDIRECT(ORÇAMENTO.BancoRef)),"(abra o arquivo 'Referência "&amp;Excel_BuiltIn_Database&amp;".xlsm)",IF(OR($C210&lt;&gt;"S",ORÇAMENTO.CodBarra=""),"(Sem Código)",IF(ISERROR(MATCH($AE210,INDIRECT(ORÇAMENTO.BancoRef),0)),"(Código não identificado nas referências)",MATCH($AE210,INDIRECT(ORÇAMENTO.BancoRef),0))))</f>
        <v>(abra o arquivo 'Referência 11-2024.xlsm)</v>
      </c>
      <c r="AG210" s="574">
        <f ca="1">ROUND(IF(DESONERACAO="sim",REFERENCIA.Desonerado,REFERENCIA.NaoDesonerado),2)</f>
        <v>0</v>
      </c>
      <c r="AH210" s="575">
        <f t="shared" ca="1" si="82"/>
        <v>0.22</v>
      </c>
      <c r="AJ210" s="577"/>
      <c r="AL210" s="607"/>
      <c r="AM210" s="426">
        <f t="shared" ca="1" si="83"/>
        <v>0</v>
      </c>
      <c r="AN210" s="650">
        <f t="shared" ca="1" si="84"/>
        <v>0</v>
      </c>
    </row>
    <row r="211" spans="1:40" ht="13.8" hidden="1">
      <c r="A211" t="str">
        <f t="shared" si="68"/>
        <v>S</v>
      </c>
      <c r="B211">
        <f t="shared" ca="1" si="69"/>
        <v>2</v>
      </c>
      <c r="C211" t="str">
        <f t="shared" ca="1" si="70"/>
        <v>S</v>
      </c>
      <c r="D211">
        <f t="shared" ca="1" si="71"/>
        <v>0</v>
      </c>
      <c r="E211">
        <f ca="1">IF($C211=1,OFFSET(E211,-1,0)+MAX(1,COUNTIF(QCI!$A$13:$A$24,OFFSET(ORÇAMENTO!E211,-1,0))),OFFSET(E211,-1,0))</f>
        <v>1</v>
      </c>
      <c r="F211">
        <f t="shared" ca="1" si="72"/>
        <v>5</v>
      </c>
      <c r="G211">
        <f t="shared" ca="1" si="73"/>
        <v>0</v>
      </c>
      <c r="H211">
        <f t="shared" ca="1" si="74"/>
        <v>0</v>
      </c>
      <c r="I211">
        <f t="shared" ca="1" si="75"/>
        <v>2</v>
      </c>
      <c r="J211">
        <f t="shared" ca="1" si="76"/>
        <v>0</v>
      </c>
      <c r="K211">
        <f ca="1">IF(OR($C211="S",$C211=0),0,MATCH(OFFSET($D211,0,$C211)+IF($C211&lt;&gt;1,1,COUNTIF(QCI!$A$13:$A$24,ORÇAMENTO!E211)),OFFSET($D211,1,$C211,ROW($C$264)-ROW($C211)),0))</f>
        <v>0</v>
      </c>
      <c r="L211" s="139" t="str">
        <f t="shared" ca="1" si="77"/>
        <v/>
      </c>
      <c r="M211" s="140" t="s">
        <v>199</v>
      </c>
      <c r="N211" s="141" t="str">
        <f t="shared" ca="1" si="78"/>
        <v>Serviço</v>
      </c>
      <c r="O211" s="142" t="str">
        <f t="shared" ca="1" si="79"/>
        <v>-</v>
      </c>
      <c r="P211" s="143" t="s">
        <v>247</v>
      </c>
      <c r="Q211" s="144"/>
      <c r="R211" s="145" t="str">
        <f ca="1">IF($C211="S",REFERENCIA.Descricao,"(digite a descrição aqui)")</f>
        <v>(abra o arquivo 'Referência 11-2024.xlsm)</v>
      </c>
      <c r="S211" s="146" t="str">
        <f ca="1">REFERENCIA.Unidade</f>
        <v>-</v>
      </c>
      <c r="T211" s="147">
        <f ca="1">OFFSET(CÁLCULO!H$15,ROW($T211)-ROW(T$15),0)</f>
        <v>0</v>
      </c>
      <c r="U211" s="148"/>
      <c r="V211" s="149" t="s">
        <v>156</v>
      </c>
      <c r="W211" s="147">
        <f ca="1">IF($C211="S",ROUND(IF(TIPOORCAMENTO="Proposto",ORÇAMENTO.CustoUnitario*(1+$AH211),ORÇAMENTO.PrecoUnitarioLicitado),15-13*$AF$10),0)</f>
        <v>0</v>
      </c>
      <c r="X211" s="150">
        <f ca="1">IF($C211="S",IF(Import.TipoArredondamento&lt;&gt;"TransfereGOV",VTOTAL1,SUM(OFFSET(CÁLCULO!$AA$15,ROW($X211)-ROW($X$15),1):OFFSET(CÁLCULO!$AL$15,ROW($X211)-ROW($X$15),-1))),IF($C211=0,0,ROUND(SomaAgrup,15-13*$AF$11)))</f>
        <v>0</v>
      </c>
      <c r="Y211" s="151" t="s">
        <v>245</v>
      </c>
      <c r="Z211" t="str">
        <f t="shared" ca="1" si="80"/>
        <v/>
      </c>
      <c r="AA211" s="152">
        <f ca="1">IF($C211="S",IF($Z211="CP",$X211,IF($Z211="RA",(($X211)*QCI!$AA$3),0)),SomaAgrup)</f>
        <v>0</v>
      </c>
      <c r="AB211" s="153">
        <f t="shared" ca="1" si="81"/>
        <v>0</v>
      </c>
      <c r="AC211" s="154" t="str">
        <f ca="1">IF($N211="","",IF(ORÇAMENTO.Descricao="","DESCRIÇÃO",IF(AND($C211="S",ORÇAMENTO.Unidade=""),"UNIDADE",IF($X211&lt;0,"VALOR NEGATIVO",IF(OR(AND(TIPOORCAMENTO="Proposto",$AG211&lt;&gt;"",$AG211&gt;0,ORÇAMENTO.CustoUnitario&gt;$AG211),AND(TIPOORCAMENTO="LICITADO",ORÇAMENTO.PrecoUnitarioLicitado&gt;$AN211)),"ACIMA REF.","")))))</f>
        <v/>
      </c>
      <c r="AD211" s="100" t="str">
        <f ca="1">IF(C211&lt;=CRONO.NivelExibicao,MAX($AD$15:OFFSET(AD211,-1,0))+IF($C211&lt;&gt;1,1,MAX(1,COUNTIF(QCI!$A$13:$A$24,OFFSET($E211,-1,0)))),"")</f>
        <v/>
      </c>
      <c r="AE211" s="110" t="b">
        <f ca="1">IF(AND($C211="S",ORÇAMENTO.CodBarra&lt;&gt;""),IF(ORÇAMENTO.Fonte="",ORÇAMENTO.CodBarra,CONCATENATE(ORÇAMENTO.Fonte," ",ORÇAMENTO.CodBarra)))</f>
        <v>0</v>
      </c>
      <c r="AF211" s="155" t="str">
        <f ca="1">IF(ISERROR(INDIRECT(ORÇAMENTO.BancoRef)),"(abra o arquivo 'Referência "&amp;Excel_BuiltIn_Database&amp;".xlsm)",IF(OR($C211&lt;&gt;"S",ORÇAMENTO.CodBarra=""),"(Sem Código)",IF(ISERROR(MATCH($AE211,INDIRECT(ORÇAMENTO.BancoRef),0)),"(Código não identificado nas referências)",MATCH($AE211,INDIRECT(ORÇAMENTO.BancoRef),0))))</f>
        <v>(abra o arquivo 'Referência 11-2024.xlsm)</v>
      </c>
      <c r="AG211" s="574">
        <f ca="1">ROUND(IF(DESONERACAO="sim",REFERENCIA.Desonerado,REFERENCIA.NaoDesonerado),2)</f>
        <v>0</v>
      </c>
      <c r="AH211" s="575">
        <f t="shared" ca="1" si="82"/>
        <v>0.22</v>
      </c>
      <c r="AJ211" s="577"/>
      <c r="AL211" s="607"/>
      <c r="AM211" s="426">
        <f t="shared" ca="1" si="83"/>
        <v>0</v>
      </c>
      <c r="AN211" s="650">
        <f t="shared" ca="1" si="84"/>
        <v>0</v>
      </c>
    </row>
    <row r="212" spans="1:40" ht="13.8" hidden="1">
      <c r="A212" t="str">
        <f t="shared" si="68"/>
        <v>S</v>
      </c>
      <c r="B212">
        <f t="shared" ca="1" si="69"/>
        <v>2</v>
      </c>
      <c r="C212" t="str">
        <f t="shared" ca="1" si="70"/>
        <v>S</v>
      </c>
      <c r="D212">
        <f t="shared" ca="1" si="71"/>
        <v>0</v>
      </c>
      <c r="E212">
        <f ca="1">IF($C212=1,OFFSET(E212,-1,0)+MAX(1,COUNTIF(QCI!$A$13:$A$24,OFFSET(ORÇAMENTO!E212,-1,0))),OFFSET(E212,-1,0))</f>
        <v>1</v>
      </c>
      <c r="F212">
        <f t="shared" ca="1" si="72"/>
        <v>5</v>
      </c>
      <c r="G212">
        <f t="shared" ca="1" si="73"/>
        <v>0</v>
      </c>
      <c r="H212">
        <f t="shared" ca="1" si="74"/>
        <v>0</v>
      </c>
      <c r="I212">
        <f t="shared" ca="1" si="75"/>
        <v>2</v>
      </c>
      <c r="J212">
        <f t="shared" ca="1" si="76"/>
        <v>0</v>
      </c>
      <c r="K212">
        <f ca="1">IF(OR($C212="S",$C212=0),0,MATCH(OFFSET($D212,0,$C212)+IF($C212&lt;&gt;1,1,COUNTIF(QCI!$A$13:$A$24,ORÇAMENTO!E212)),OFFSET($D212,1,$C212,ROW($C$264)-ROW($C212)),0))</f>
        <v>0</v>
      </c>
      <c r="L212" s="139" t="str">
        <f t="shared" ca="1" si="77"/>
        <v/>
      </c>
      <c r="M212" s="140" t="s">
        <v>199</v>
      </c>
      <c r="N212" s="141" t="str">
        <f t="shared" ca="1" si="78"/>
        <v>Serviço</v>
      </c>
      <c r="O212" s="142" t="str">
        <f t="shared" ca="1" si="79"/>
        <v>-</v>
      </c>
      <c r="P212" s="143" t="s">
        <v>247</v>
      </c>
      <c r="Q212" s="144"/>
      <c r="R212" s="145" t="str">
        <f ca="1">IF($C212="S",REFERENCIA.Descricao,"(digite a descrição aqui)")</f>
        <v>(abra o arquivo 'Referência 11-2024.xlsm)</v>
      </c>
      <c r="S212" s="146" t="str">
        <f ca="1">REFERENCIA.Unidade</f>
        <v>-</v>
      </c>
      <c r="T212" s="147">
        <f ca="1">OFFSET(CÁLCULO!H$15,ROW($T212)-ROW(T$15),0)</f>
        <v>0</v>
      </c>
      <c r="U212" s="148"/>
      <c r="V212" s="149" t="s">
        <v>156</v>
      </c>
      <c r="W212" s="147">
        <f ca="1">IF($C212="S",ROUND(IF(TIPOORCAMENTO="Proposto",ORÇAMENTO.CustoUnitario*(1+$AH212),ORÇAMENTO.PrecoUnitarioLicitado),15-13*$AF$10),0)</f>
        <v>0</v>
      </c>
      <c r="X212" s="150">
        <f ca="1">IF($C212="S",IF(Import.TipoArredondamento&lt;&gt;"TransfereGOV",VTOTAL1,SUM(OFFSET(CÁLCULO!$AA$15,ROW($X212)-ROW($X$15),1):OFFSET(CÁLCULO!$AL$15,ROW($X212)-ROW($X$15),-1))),IF($C212=0,0,ROUND(SomaAgrup,15-13*$AF$11)))</f>
        <v>0</v>
      </c>
      <c r="Y212" s="151" t="s">
        <v>245</v>
      </c>
      <c r="Z212" t="str">
        <f t="shared" ca="1" si="80"/>
        <v/>
      </c>
      <c r="AA212" s="152">
        <f ca="1">IF($C212="S",IF($Z212="CP",$X212,IF($Z212="RA",(($X212)*QCI!$AA$3),0)),SomaAgrup)</f>
        <v>0</v>
      </c>
      <c r="AB212" s="153">
        <f t="shared" ca="1" si="81"/>
        <v>0</v>
      </c>
      <c r="AC212" s="154" t="str">
        <f ca="1">IF($N212="","",IF(ORÇAMENTO.Descricao="","DESCRIÇÃO",IF(AND($C212="S",ORÇAMENTO.Unidade=""),"UNIDADE",IF($X212&lt;0,"VALOR NEGATIVO",IF(OR(AND(TIPOORCAMENTO="Proposto",$AG212&lt;&gt;"",$AG212&gt;0,ORÇAMENTO.CustoUnitario&gt;$AG212),AND(TIPOORCAMENTO="LICITADO",ORÇAMENTO.PrecoUnitarioLicitado&gt;$AN212)),"ACIMA REF.","")))))</f>
        <v/>
      </c>
      <c r="AD212" s="100" t="str">
        <f ca="1">IF(C212&lt;=CRONO.NivelExibicao,MAX($AD$15:OFFSET(AD212,-1,0))+IF($C212&lt;&gt;1,1,MAX(1,COUNTIF(QCI!$A$13:$A$24,OFFSET($E212,-1,0)))),"")</f>
        <v/>
      </c>
      <c r="AE212" s="110" t="b">
        <f ca="1">IF(AND($C212="S",ORÇAMENTO.CodBarra&lt;&gt;""),IF(ORÇAMENTO.Fonte="",ORÇAMENTO.CodBarra,CONCATENATE(ORÇAMENTO.Fonte," ",ORÇAMENTO.CodBarra)))</f>
        <v>0</v>
      </c>
      <c r="AF212" s="155" t="str">
        <f ca="1">IF(ISERROR(INDIRECT(ORÇAMENTO.BancoRef)),"(abra o arquivo 'Referência "&amp;Excel_BuiltIn_Database&amp;".xlsm)",IF(OR($C212&lt;&gt;"S",ORÇAMENTO.CodBarra=""),"(Sem Código)",IF(ISERROR(MATCH($AE212,INDIRECT(ORÇAMENTO.BancoRef),0)),"(Código não identificado nas referências)",MATCH($AE212,INDIRECT(ORÇAMENTO.BancoRef),0))))</f>
        <v>(abra o arquivo 'Referência 11-2024.xlsm)</v>
      </c>
      <c r="AG212" s="574">
        <f ca="1">ROUND(IF(DESONERACAO="sim",REFERENCIA.Desonerado,REFERENCIA.NaoDesonerado),2)</f>
        <v>0</v>
      </c>
      <c r="AH212" s="575">
        <f t="shared" ca="1" si="82"/>
        <v>0.22</v>
      </c>
      <c r="AJ212" s="577"/>
      <c r="AL212" s="607"/>
      <c r="AM212" s="426">
        <f t="shared" ca="1" si="83"/>
        <v>0</v>
      </c>
      <c r="AN212" s="650">
        <f t="shared" ca="1" si="84"/>
        <v>0</v>
      </c>
    </row>
    <row r="213" spans="1:40" ht="13.8" hidden="1">
      <c r="A213" t="str">
        <f t="shared" si="68"/>
        <v>S</v>
      </c>
      <c r="B213">
        <f t="shared" ca="1" si="69"/>
        <v>2</v>
      </c>
      <c r="C213" t="str">
        <f t="shared" ca="1" si="70"/>
        <v>S</v>
      </c>
      <c r="D213">
        <f t="shared" ca="1" si="71"/>
        <v>0</v>
      </c>
      <c r="E213">
        <f ca="1">IF($C213=1,OFFSET(E213,-1,0)+MAX(1,COUNTIF(QCI!$A$13:$A$24,OFFSET(ORÇAMENTO!E213,-1,0))),OFFSET(E213,-1,0))</f>
        <v>1</v>
      </c>
      <c r="F213">
        <f t="shared" ca="1" si="72"/>
        <v>5</v>
      </c>
      <c r="G213">
        <f t="shared" ca="1" si="73"/>
        <v>0</v>
      </c>
      <c r="H213">
        <f t="shared" ca="1" si="74"/>
        <v>0</v>
      </c>
      <c r="I213">
        <f t="shared" ca="1" si="75"/>
        <v>2</v>
      </c>
      <c r="J213">
        <f t="shared" ca="1" si="76"/>
        <v>0</v>
      </c>
      <c r="K213">
        <f ca="1">IF(OR($C213="S",$C213=0),0,MATCH(OFFSET($D213,0,$C213)+IF($C213&lt;&gt;1,1,COUNTIF(QCI!$A$13:$A$24,ORÇAMENTO!E213)),OFFSET($D213,1,$C213,ROW($C$264)-ROW($C213)),0))</f>
        <v>0</v>
      </c>
      <c r="L213" s="139" t="str">
        <f t="shared" ca="1" si="77"/>
        <v/>
      </c>
      <c r="M213" s="140" t="s">
        <v>199</v>
      </c>
      <c r="N213" s="141" t="str">
        <f t="shared" ca="1" si="78"/>
        <v>Serviço</v>
      </c>
      <c r="O213" s="142" t="str">
        <f t="shared" ca="1" si="79"/>
        <v>-</v>
      </c>
      <c r="P213" s="143" t="s">
        <v>247</v>
      </c>
      <c r="Q213" s="144"/>
      <c r="R213" s="145" t="str">
        <f ca="1">IF($C213="S",REFERENCIA.Descricao,"(digite a descrição aqui)")</f>
        <v>(abra o arquivo 'Referência 11-2024.xlsm)</v>
      </c>
      <c r="S213" s="146" t="str">
        <f ca="1">REFERENCIA.Unidade</f>
        <v>-</v>
      </c>
      <c r="T213" s="147">
        <f ca="1">OFFSET(CÁLCULO!H$15,ROW($T213)-ROW(T$15),0)</f>
        <v>0</v>
      </c>
      <c r="U213" s="148"/>
      <c r="V213" s="149" t="s">
        <v>156</v>
      </c>
      <c r="W213" s="147">
        <f ca="1">IF($C213="S",ROUND(IF(TIPOORCAMENTO="Proposto",ORÇAMENTO.CustoUnitario*(1+$AH213),ORÇAMENTO.PrecoUnitarioLicitado),15-13*$AF$10),0)</f>
        <v>0</v>
      </c>
      <c r="X213" s="150">
        <f ca="1">IF($C213="S",IF(Import.TipoArredondamento&lt;&gt;"TransfereGOV",VTOTAL1,SUM(OFFSET(CÁLCULO!$AA$15,ROW($X213)-ROW($X$15),1):OFFSET(CÁLCULO!$AL$15,ROW($X213)-ROW($X$15),-1))),IF($C213=0,0,ROUND(SomaAgrup,15-13*$AF$11)))</f>
        <v>0</v>
      </c>
      <c r="Y213" s="151" t="s">
        <v>245</v>
      </c>
      <c r="Z213" t="str">
        <f t="shared" ca="1" si="80"/>
        <v/>
      </c>
      <c r="AA213" s="152">
        <f ca="1">IF($C213="S",IF($Z213="CP",$X213,IF($Z213="RA",(($X213)*QCI!$AA$3),0)),SomaAgrup)</f>
        <v>0</v>
      </c>
      <c r="AB213" s="153">
        <f t="shared" ca="1" si="81"/>
        <v>0</v>
      </c>
      <c r="AC213" s="154" t="str">
        <f ca="1">IF($N213="","",IF(ORÇAMENTO.Descricao="","DESCRIÇÃO",IF(AND($C213="S",ORÇAMENTO.Unidade=""),"UNIDADE",IF($X213&lt;0,"VALOR NEGATIVO",IF(OR(AND(TIPOORCAMENTO="Proposto",$AG213&lt;&gt;"",$AG213&gt;0,ORÇAMENTO.CustoUnitario&gt;$AG213),AND(TIPOORCAMENTO="LICITADO",ORÇAMENTO.PrecoUnitarioLicitado&gt;$AN213)),"ACIMA REF.","")))))</f>
        <v/>
      </c>
      <c r="AD213" s="100" t="str">
        <f ca="1">IF(C213&lt;=CRONO.NivelExibicao,MAX($AD$15:OFFSET(AD213,-1,0))+IF($C213&lt;&gt;1,1,MAX(1,COUNTIF(QCI!$A$13:$A$24,OFFSET($E213,-1,0)))),"")</f>
        <v/>
      </c>
      <c r="AE213" s="110" t="b">
        <f ca="1">IF(AND($C213="S",ORÇAMENTO.CodBarra&lt;&gt;""),IF(ORÇAMENTO.Fonte="",ORÇAMENTO.CodBarra,CONCATENATE(ORÇAMENTO.Fonte," ",ORÇAMENTO.CodBarra)))</f>
        <v>0</v>
      </c>
      <c r="AF213" s="155" t="str">
        <f ca="1">IF(ISERROR(INDIRECT(ORÇAMENTO.BancoRef)),"(abra o arquivo 'Referência "&amp;Excel_BuiltIn_Database&amp;".xlsm)",IF(OR($C213&lt;&gt;"S",ORÇAMENTO.CodBarra=""),"(Sem Código)",IF(ISERROR(MATCH($AE213,INDIRECT(ORÇAMENTO.BancoRef),0)),"(Código não identificado nas referências)",MATCH($AE213,INDIRECT(ORÇAMENTO.BancoRef),0))))</f>
        <v>(abra o arquivo 'Referência 11-2024.xlsm)</v>
      </c>
      <c r="AG213" s="574">
        <f ca="1">ROUND(IF(DESONERACAO="sim",REFERENCIA.Desonerado,REFERENCIA.NaoDesonerado),2)</f>
        <v>0</v>
      </c>
      <c r="AH213" s="575">
        <f t="shared" ca="1" si="82"/>
        <v>0.22</v>
      </c>
      <c r="AJ213" s="577"/>
      <c r="AL213" s="607"/>
      <c r="AM213" s="426">
        <f t="shared" ca="1" si="83"/>
        <v>0</v>
      </c>
      <c r="AN213" s="650">
        <f t="shared" ca="1" si="84"/>
        <v>0</v>
      </c>
    </row>
    <row r="214" spans="1:40" ht="13.8" hidden="1">
      <c r="A214" t="str">
        <f t="shared" si="68"/>
        <v>S</v>
      </c>
      <c r="B214">
        <f t="shared" ca="1" si="69"/>
        <v>2</v>
      </c>
      <c r="C214" t="str">
        <f t="shared" ca="1" si="70"/>
        <v>S</v>
      </c>
      <c r="D214">
        <f t="shared" ca="1" si="71"/>
        <v>0</v>
      </c>
      <c r="E214">
        <f ca="1">IF($C214=1,OFFSET(E214,-1,0)+MAX(1,COUNTIF(QCI!$A$13:$A$24,OFFSET(ORÇAMENTO!E214,-1,0))),OFFSET(E214,-1,0))</f>
        <v>1</v>
      </c>
      <c r="F214">
        <f t="shared" ca="1" si="72"/>
        <v>5</v>
      </c>
      <c r="G214">
        <f t="shared" ca="1" si="73"/>
        <v>0</v>
      </c>
      <c r="H214">
        <f t="shared" ca="1" si="74"/>
        <v>0</v>
      </c>
      <c r="I214">
        <f t="shared" ca="1" si="75"/>
        <v>2</v>
      </c>
      <c r="J214">
        <f t="shared" ca="1" si="76"/>
        <v>0</v>
      </c>
      <c r="K214">
        <f ca="1">IF(OR($C214="S",$C214=0),0,MATCH(OFFSET($D214,0,$C214)+IF($C214&lt;&gt;1,1,COUNTIF(QCI!$A$13:$A$24,ORÇAMENTO!E214)),OFFSET($D214,1,$C214,ROW($C$264)-ROW($C214)),0))</f>
        <v>0</v>
      </c>
      <c r="L214" s="139" t="str">
        <f t="shared" ca="1" si="77"/>
        <v/>
      </c>
      <c r="M214" s="140" t="s">
        <v>199</v>
      </c>
      <c r="N214" s="141" t="str">
        <f t="shared" ca="1" si="78"/>
        <v>Serviço</v>
      </c>
      <c r="O214" s="142" t="str">
        <f t="shared" ca="1" si="79"/>
        <v>-</v>
      </c>
      <c r="P214" s="143" t="s">
        <v>247</v>
      </c>
      <c r="Q214" s="144"/>
      <c r="R214" s="145" t="str">
        <f ca="1">IF($C214="S",REFERENCIA.Descricao,"(digite a descrição aqui)")</f>
        <v>(abra o arquivo 'Referência 11-2024.xlsm)</v>
      </c>
      <c r="S214" s="146" t="str">
        <f ca="1">REFERENCIA.Unidade</f>
        <v>-</v>
      </c>
      <c r="T214" s="147">
        <f ca="1">OFFSET(CÁLCULO!H$15,ROW($T214)-ROW(T$15),0)</f>
        <v>0</v>
      </c>
      <c r="U214" s="148"/>
      <c r="V214" s="149" t="s">
        <v>156</v>
      </c>
      <c r="W214" s="147">
        <f ca="1">IF($C214="S",ROUND(IF(TIPOORCAMENTO="Proposto",ORÇAMENTO.CustoUnitario*(1+$AH214),ORÇAMENTO.PrecoUnitarioLicitado),15-13*$AF$10),0)</f>
        <v>0</v>
      </c>
      <c r="X214" s="150">
        <f ca="1">IF($C214="S",IF(Import.TipoArredondamento&lt;&gt;"TransfereGOV",VTOTAL1,SUM(OFFSET(CÁLCULO!$AA$15,ROW($X214)-ROW($X$15),1):OFFSET(CÁLCULO!$AL$15,ROW($X214)-ROW($X$15),-1))),IF($C214=0,0,ROUND(SomaAgrup,15-13*$AF$11)))</f>
        <v>0</v>
      </c>
      <c r="Y214" s="151" t="s">
        <v>245</v>
      </c>
      <c r="Z214" t="str">
        <f t="shared" ca="1" si="80"/>
        <v/>
      </c>
      <c r="AA214" s="152">
        <f ca="1">IF($C214="S",IF($Z214="CP",$X214,IF($Z214="RA",(($X214)*QCI!$AA$3),0)),SomaAgrup)</f>
        <v>0</v>
      </c>
      <c r="AB214" s="153">
        <f t="shared" ca="1" si="81"/>
        <v>0</v>
      </c>
      <c r="AC214" s="154" t="str">
        <f ca="1">IF($N214="","",IF(ORÇAMENTO.Descricao="","DESCRIÇÃO",IF(AND($C214="S",ORÇAMENTO.Unidade=""),"UNIDADE",IF($X214&lt;0,"VALOR NEGATIVO",IF(OR(AND(TIPOORCAMENTO="Proposto",$AG214&lt;&gt;"",$AG214&gt;0,ORÇAMENTO.CustoUnitario&gt;$AG214),AND(TIPOORCAMENTO="LICITADO",ORÇAMENTO.PrecoUnitarioLicitado&gt;$AN214)),"ACIMA REF.","")))))</f>
        <v/>
      </c>
      <c r="AD214" s="100" t="str">
        <f ca="1">IF(C214&lt;=CRONO.NivelExibicao,MAX($AD$15:OFFSET(AD214,-1,0))+IF($C214&lt;&gt;1,1,MAX(1,COUNTIF(QCI!$A$13:$A$24,OFFSET($E214,-1,0)))),"")</f>
        <v/>
      </c>
      <c r="AE214" s="110" t="b">
        <f ca="1">IF(AND($C214="S",ORÇAMENTO.CodBarra&lt;&gt;""),IF(ORÇAMENTO.Fonte="",ORÇAMENTO.CodBarra,CONCATENATE(ORÇAMENTO.Fonte," ",ORÇAMENTO.CodBarra)))</f>
        <v>0</v>
      </c>
      <c r="AF214" s="155" t="str">
        <f ca="1">IF(ISERROR(INDIRECT(ORÇAMENTO.BancoRef)),"(abra o arquivo 'Referência "&amp;Excel_BuiltIn_Database&amp;".xlsm)",IF(OR($C214&lt;&gt;"S",ORÇAMENTO.CodBarra=""),"(Sem Código)",IF(ISERROR(MATCH($AE214,INDIRECT(ORÇAMENTO.BancoRef),0)),"(Código não identificado nas referências)",MATCH($AE214,INDIRECT(ORÇAMENTO.BancoRef),0))))</f>
        <v>(abra o arquivo 'Referência 11-2024.xlsm)</v>
      </c>
      <c r="AG214" s="574">
        <f ca="1">ROUND(IF(DESONERACAO="sim",REFERENCIA.Desonerado,REFERENCIA.NaoDesonerado),2)</f>
        <v>0</v>
      </c>
      <c r="AH214" s="575">
        <f t="shared" ca="1" si="82"/>
        <v>0.22</v>
      </c>
      <c r="AJ214" s="577"/>
      <c r="AL214" s="607"/>
      <c r="AM214" s="426">
        <f t="shared" ca="1" si="83"/>
        <v>0</v>
      </c>
      <c r="AN214" s="650">
        <f t="shared" ca="1" si="84"/>
        <v>0</v>
      </c>
    </row>
    <row r="215" spans="1:40" ht="13.8" hidden="1">
      <c r="A215" t="str">
        <f t="shared" si="68"/>
        <v>S</v>
      </c>
      <c r="B215">
        <f t="shared" ca="1" si="69"/>
        <v>2</v>
      </c>
      <c r="C215" t="str">
        <f t="shared" ca="1" si="70"/>
        <v>S</v>
      </c>
      <c r="D215">
        <f t="shared" ca="1" si="71"/>
        <v>0</v>
      </c>
      <c r="E215">
        <f ca="1">IF($C215=1,OFFSET(E215,-1,0)+MAX(1,COUNTIF(QCI!$A$13:$A$24,OFFSET(ORÇAMENTO!E215,-1,0))),OFFSET(E215,-1,0))</f>
        <v>1</v>
      </c>
      <c r="F215">
        <f t="shared" ca="1" si="72"/>
        <v>5</v>
      </c>
      <c r="G215">
        <f t="shared" ca="1" si="73"/>
        <v>0</v>
      </c>
      <c r="H215">
        <f t="shared" ca="1" si="74"/>
        <v>0</v>
      </c>
      <c r="I215">
        <f t="shared" ca="1" si="75"/>
        <v>2</v>
      </c>
      <c r="J215">
        <f t="shared" ca="1" si="76"/>
        <v>0</v>
      </c>
      <c r="K215">
        <f ca="1">IF(OR($C215="S",$C215=0),0,MATCH(OFFSET($D215,0,$C215)+IF($C215&lt;&gt;1,1,COUNTIF(QCI!$A$13:$A$24,ORÇAMENTO!E215)),OFFSET($D215,1,$C215,ROW($C$264)-ROW($C215)),0))</f>
        <v>0</v>
      </c>
      <c r="L215" s="139" t="str">
        <f t="shared" ca="1" si="77"/>
        <v/>
      </c>
      <c r="M215" s="140" t="s">
        <v>199</v>
      </c>
      <c r="N215" s="141" t="str">
        <f t="shared" ca="1" si="78"/>
        <v>Serviço</v>
      </c>
      <c r="O215" s="142" t="str">
        <f t="shared" ca="1" si="79"/>
        <v>-</v>
      </c>
      <c r="P215" s="143" t="s">
        <v>247</v>
      </c>
      <c r="Q215" s="144"/>
      <c r="R215" s="145" t="str">
        <f ca="1">IF($C215="S",REFERENCIA.Descricao,"(digite a descrição aqui)")</f>
        <v>(abra o arquivo 'Referência 11-2024.xlsm)</v>
      </c>
      <c r="S215" s="146" t="str">
        <f ca="1">REFERENCIA.Unidade</f>
        <v>-</v>
      </c>
      <c r="T215" s="147">
        <f ca="1">OFFSET(CÁLCULO!H$15,ROW($T215)-ROW(T$15),0)</f>
        <v>0</v>
      </c>
      <c r="U215" s="148"/>
      <c r="V215" s="149" t="s">
        <v>156</v>
      </c>
      <c r="W215" s="147">
        <f ca="1">IF($C215="S",ROUND(IF(TIPOORCAMENTO="Proposto",ORÇAMENTO.CustoUnitario*(1+$AH215),ORÇAMENTO.PrecoUnitarioLicitado),15-13*$AF$10),0)</f>
        <v>0</v>
      </c>
      <c r="X215" s="150">
        <f ca="1">IF($C215="S",IF(Import.TipoArredondamento&lt;&gt;"TransfereGOV",VTOTAL1,SUM(OFFSET(CÁLCULO!$AA$15,ROW($X215)-ROW($X$15),1):OFFSET(CÁLCULO!$AL$15,ROW($X215)-ROW($X$15),-1))),IF($C215=0,0,ROUND(SomaAgrup,15-13*$AF$11)))</f>
        <v>0</v>
      </c>
      <c r="Y215" s="151" t="s">
        <v>245</v>
      </c>
      <c r="Z215" t="str">
        <f t="shared" ca="1" si="80"/>
        <v/>
      </c>
      <c r="AA215" s="152">
        <f ca="1">IF($C215="S",IF($Z215="CP",$X215,IF($Z215="RA",(($X215)*QCI!$AA$3),0)),SomaAgrup)</f>
        <v>0</v>
      </c>
      <c r="AB215" s="153">
        <f t="shared" ca="1" si="81"/>
        <v>0</v>
      </c>
      <c r="AC215" s="154" t="str">
        <f ca="1">IF($N215="","",IF(ORÇAMENTO.Descricao="","DESCRIÇÃO",IF(AND($C215="S",ORÇAMENTO.Unidade=""),"UNIDADE",IF($X215&lt;0,"VALOR NEGATIVO",IF(OR(AND(TIPOORCAMENTO="Proposto",$AG215&lt;&gt;"",$AG215&gt;0,ORÇAMENTO.CustoUnitario&gt;$AG215),AND(TIPOORCAMENTO="LICITADO",ORÇAMENTO.PrecoUnitarioLicitado&gt;$AN215)),"ACIMA REF.","")))))</f>
        <v/>
      </c>
      <c r="AD215" s="100" t="str">
        <f ca="1">IF(C215&lt;=CRONO.NivelExibicao,MAX($AD$15:OFFSET(AD215,-1,0))+IF($C215&lt;&gt;1,1,MAX(1,COUNTIF(QCI!$A$13:$A$24,OFFSET($E215,-1,0)))),"")</f>
        <v/>
      </c>
      <c r="AE215" s="110" t="b">
        <f ca="1">IF(AND($C215="S",ORÇAMENTO.CodBarra&lt;&gt;""),IF(ORÇAMENTO.Fonte="",ORÇAMENTO.CodBarra,CONCATENATE(ORÇAMENTO.Fonte," ",ORÇAMENTO.CodBarra)))</f>
        <v>0</v>
      </c>
      <c r="AF215" s="155" t="str">
        <f ca="1">IF(ISERROR(INDIRECT(ORÇAMENTO.BancoRef)),"(abra o arquivo 'Referência "&amp;Excel_BuiltIn_Database&amp;".xlsm)",IF(OR($C215&lt;&gt;"S",ORÇAMENTO.CodBarra=""),"(Sem Código)",IF(ISERROR(MATCH($AE215,INDIRECT(ORÇAMENTO.BancoRef),0)),"(Código não identificado nas referências)",MATCH($AE215,INDIRECT(ORÇAMENTO.BancoRef),0))))</f>
        <v>(abra o arquivo 'Referência 11-2024.xlsm)</v>
      </c>
      <c r="AG215" s="574">
        <f ca="1">ROUND(IF(DESONERACAO="sim",REFERENCIA.Desonerado,REFERENCIA.NaoDesonerado),2)</f>
        <v>0</v>
      </c>
      <c r="AH215" s="575">
        <f t="shared" ca="1" si="82"/>
        <v>0.22</v>
      </c>
      <c r="AJ215" s="577"/>
      <c r="AL215" s="607"/>
      <c r="AM215" s="426">
        <f t="shared" ca="1" si="83"/>
        <v>0</v>
      </c>
      <c r="AN215" s="650">
        <f t="shared" ca="1" si="84"/>
        <v>0</v>
      </c>
    </row>
    <row r="216" spans="1:40" ht="13.8" hidden="1">
      <c r="A216" t="str">
        <f t="shared" si="68"/>
        <v>S</v>
      </c>
      <c r="B216">
        <f t="shared" ca="1" si="69"/>
        <v>2</v>
      </c>
      <c r="C216" t="str">
        <f t="shared" ca="1" si="70"/>
        <v>S</v>
      </c>
      <c r="D216">
        <f t="shared" ca="1" si="71"/>
        <v>0</v>
      </c>
      <c r="E216">
        <f ca="1">IF($C216=1,OFFSET(E216,-1,0)+MAX(1,COUNTIF(QCI!$A$13:$A$24,OFFSET(ORÇAMENTO!E216,-1,0))),OFFSET(E216,-1,0))</f>
        <v>1</v>
      </c>
      <c r="F216">
        <f t="shared" ca="1" si="72"/>
        <v>5</v>
      </c>
      <c r="G216">
        <f t="shared" ca="1" si="73"/>
        <v>0</v>
      </c>
      <c r="H216">
        <f t="shared" ca="1" si="74"/>
        <v>0</v>
      </c>
      <c r="I216">
        <f t="shared" ca="1" si="75"/>
        <v>2</v>
      </c>
      <c r="J216">
        <f t="shared" ca="1" si="76"/>
        <v>0</v>
      </c>
      <c r="K216">
        <f ca="1">IF(OR($C216="S",$C216=0),0,MATCH(OFFSET($D216,0,$C216)+IF($C216&lt;&gt;1,1,COUNTIF(QCI!$A$13:$A$24,ORÇAMENTO!E216)),OFFSET($D216,1,$C216,ROW($C$264)-ROW($C216)),0))</f>
        <v>0</v>
      </c>
      <c r="L216" s="139" t="str">
        <f t="shared" ca="1" si="77"/>
        <v/>
      </c>
      <c r="M216" s="140" t="s">
        <v>199</v>
      </c>
      <c r="N216" s="141" t="str">
        <f t="shared" ca="1" si="78"/>
        <v>Serviço</v>
      </c>
      <c r="O216" s="142" t="str">
        <f t="shared" ca="1" si="79"/>
        <v>-</v>
      </c>
      <c r="P216" s="143" t="s">
        <v>247</v>
      </c>
      <c r="Q216" s="144"/>
      <c r="R216" s="145" t="str">
        <f ca="1">IF($C216="S",REFERENCIA.Descricao,"(digite a descrição aqui)")</f>
        <v>(abra o arquivo 'Referência 11-2024.xlsm)</v>
      </c>
      <c r="S216" s="146" t="str">
        <f ca="1">REFERENCIA.Unidade</f>
        <v>-</v>
      </c>
      <c r="T216" s="147">
        <f ca="1">OFFSET(CÁLCULO!H$15,ROW($T216)-ROW(T$15),0)</f>
        <v>0</v>
      </c>
      <c r="U216" s="148"/>
      <c r="V216" s="149" t="s">
        <v>156</v>
      </c>
      <c r="W216" s="147">
        <f ca="1">IF($C216="S",ROUND(IF(TIPOORCAMENTO="Proposto",ORÇAMENTO.CustoUnitario*(1+$AH216),ORÇAMENTO.PrecoUnitarioLicitado),15-13*$AF$10),0)</f>
        <v>0</v>
      </c>
      <c r="X216" s="150">
        <f ca="1">IF($C216="S",IF(Import.TipoArredondamento&lt;&gt;"TransfereGOV",VTOTAL1,SUM(OFFSET(CÁLCULO!$AA$15,ROW($X216)-ROW($X$15),1):OFFSET(CÁLCULO!$AL$15,ROW($X216)-ROW($X$15),-1))),IF($C216=0,0,ROUND(SomaAgrup,15-13*$AF$11)))</f>
        <v>0</v>
      </c>
      <c r="Y216" s="151" t="s">
        <v>245</v>
      </c>
      <c r="Z216" t="str">
        <f t="shared" ca="1" si="80"/>
        <v/>
      </c>
      <c r="AA216" s="152">
        <f ca="1">IF($C216="S",IF($Z216="CP",$X216,IF($Z216="RA",(($X216)*QCI!$AA$3),0)),SomaAgrup)</f>
        <v>0</v>
      </c>
      <c r="AB216" s="153">
        <f t="shared" ca="1" si="81"/>
        <v>0</v>
      </c>
      <c r="AC216" s="154" t="str">
        <f ca="1">IF($N216="","",IF(ORÇAMENTO.Descricao="","DESCRIÇÃO",IF(AND($C216="S",ORÇAMENTO.Unidade=""),"UNIDADE",IF($X216&lt;0,"VALOR NEGATIVO",IF(OR(AND(TIPOORCAMENTO="Proposto",$AG216&lt;&gt;"",$AG216&gt;0,ORÇAMENTO.CustoUnitario&gt;$AG216),AND(TIPOORCAMENTO="LICITADO",ORÇAMENTO.PrecoUnitarioLicitado&gt;$AN216)),"ACIMA REF.","")))))</f>
        <v/>
      </c>
      <c r="AD216" s="100" t="str">
        <f ca="1">IF(C216&lt;=CRONO.NivelExibicao,MAX($AD$15:OFFSET(AD216,-1,0))+IF($C216&lt;&gt;1,1,MAX(1,COUNTIF(QCI!$A$13:$A$24,OFFSET($E216,-1,0)))),"")</f>
        <v/>
      </c>
      <c r="AE216" s="110" t="b">
        <f ca="1">IF(AND($C216="S",ORÇAMENTO.CodBarra&lt;&gt;""),IF(ORÇAMENTO.Fonte="",ORÇAMENTO.CodBarra,CONCATENATE(ORÇAMENTO.Fonte," ",ORÇAMENTO.CodBarra)))</f>
        <v>0</v>
      </c>
      <c r="AF216" s="155" t="str">
        <f ca="1">IF(ISERROR(INDIRECT(ORÇAMENTO.BancoRef)),"(abra o arquivo 'Referência "&amp;Excel_BuiltIn_Database&amp;".xlsm)",IF(OR($C216&lt;&gt;"S",ORÇAMENTO.CodBarra=""),"(Sem Código)",IF(ISERROR(MATCH($AE216,INDIRECT(ORÇAMENTO.BancoRef),0)),"(Código não identificado nas referências)",MATCH($AE216,INDIRECT(ORÇAMENTO.BancoRef),0))))</f>
        <v>(abra o arquivo 'Referência 11-2024.xlsm)</v>
      </c>
      <c r="AG216" s="574">
        <f ca="1">ROUND(IF(DESONERACAO="sim",REFERENCIA.Desonerado,REFERENCIA.NaoDesonerado),2)</f>
        <v>0</v>
      </c>
      <c r="AH216" s="575">
        <f t="shared" ca="1" si="82"/>
        <v>0.22</v>
      </c>
      <c r="AJ216" s="577"/>
      <c r="AL216" s="607"/>
      <c r="AM216" s="426">
        <f t="shared" ca="1" si="83"/>
        <v>0</v>
      </c>
      <c r="AN216" s="650">
        <f t="shared" ca="1" si="84"/>
        <v>0</v>
      </c>
    </row>
    <row r="217" spans="1:40" ht="13.8" hidden="1">
      <c r="A217" t="str">
        <f t="shared" si="68"/>
        <v>S</v>
      </c>
      <c r="B217">
        <f t="shared" ca="1" si="69"/>
        <v>2</v>
      </c>
      <c r="C217" t="str">
        <f t="shared" ca="1" si="70"/>
        <v>S</v>
      </c>
      <c r="D217">
        <f t="shared" ca="1" si="71"/>
        <v>0</v>
      </c>
      <c r="E217">
        <f ca="1">IF($C217=1,OFFSET(E217,-1,0)+MAX(1,COUNTIF(QCI!$A$13:$A$24,OFFSET(ORÇAMENTO!E217,-1,0))),OFFSET(E217,-1,0))</f>
        <v>1</v>
      </c>
      <c r="F217">
        <f t="shared" ca="1" si="72"/>
        <v>5</v>
      </c>
      <c r="G217">
        <f t="shared" ca="1" si="73"/>
        <v>0</v>
      </c>
      <c r="H217">
        <f t="shared" ca="1" si="74"/>
        <v>0</v>
      </c>
      <c r="I217">
        <f t="shared" ca="1" si="75"/>
        <v>2</v>
      </c>
      <c r="J217">
        <f t="shared" ca="1" si="76"/>
        <v>0</v>
      </c>
      <c r="K217">
        <f ca="1">IF(OR($C217="S",$C217=0),0,MATCH(OFFSET($D217,0,$C217)+IF($C217&lt;&gt;1,1,COUNTIF(QCI!$A$13:$A$24,ORÇAMENTO!E217)),OFFSET($D217,1,$C217,ROW($C$264)-ROW($C217)),0))</f>
        <v>0</v>
      </c>
      <c r="L217" s="139" t="str">
        <f t="shared" ca="1" si="77"/>
        <v/>
      </c>
      <c r="M217" s="140" t="s">
        <v>199</v>
      </c>
      <c r="N217" s="141" t="str">
        <f t="shared" ca="1" si="78"/>
        <v>Serviço</v>
      </c>
      <c r="O217" s="142" t="str">
        <f t="shared" ca="1" si="79"/>
        <v>-</v>
      </c>
      <c r="P217" s="143" t="s">
        <v>247</v>
      </c>
      <c r="Q217" s="144"/>
      <c r="R217" s="145" t="str">
        <f ca="1">IF($C217="S",REFERENCIA.Descricao,"(digite a descrição aqui)")</f>
        <v>(abra o arquivo 'Referência 11-2024.xlsm)</v>
      </c>
      <c r="S217" s="146" t="str">
        <f ca="1">REFERENCIA.Unidade</f>
        <v>-</v>
      </c>
      <c r="T217" s="147">
        <f ca="1">OFFSET(CÁLCULO!H$15,ROW($T217)-ROW(T$15),0)</f>
        <v>0</v>
      </c>
      <c r="U217" s="148"/>
      <c r="V217" s="149" t="s">
        <v>156</v>
      </c>
      <c r="W217" s="147">
        <f ca="1">IF($C217="S",ROUND(IF(TIPOORCAMENTO="Proposto",ORÇAMENTO.CustoUnitario*(1+$AH217),ORÇAMENTO.PrecoUnitarioLicitado),15-13*$AF$10),0)</f>
        <v>0</v>
      </c>
      <c r="X217" s="150">
        <f ca="1">IF($C217="S",IF(Import.TipoArredondamento&lt;&gt;"TransfereGOV",VTOTAL1,SUM(OFFSET(CÁLCULO!$AA$15,ROW($X217)-ROW($X$15),1):OFFSET(CÁLCULO!$AL$15,ROW($X217)-ROW($X$15),-1))),IF($C217=0,0,ROUND(SomaAgrup,15-13*$AF$11)))</f>
        <v>0</v>
      </c>
      <c r="Y217" s="151" t="s">
        <v>245</v>
      </c>
      <c r="Z217" t="str">
        <f t="shared" ca="1" si="80"/>
        <v/>
      </c>
      <c r="AA217" s="152">
        <f ca="1">IF($C217="S",IF($Z217="CP",$X217,IF($Z217="RA",(($X217)*QCI!$AA$3),0)),SomaAgrup)</f>
        <v>0</v>
      </c>
      <c r="AB217" s="153">
        <f t="shared" ca="1" si="81"/>
        <v>0</v>
      </c>
      <c r="AC217" s="154" t="str">
        <f ca="1">IF($N217="","",IF(ORÇAMENTO.Descricao="","DESCRIÇÃO",IF(AND($C217="S",ORÇAMENTO.Unidade=""),"UNIDADE",IF($X217&lt;0,"VALOR NEGATIVO",IF(OR(AND(TIPOORCAMENTO="Proposto",$AG217&lt;&gt;"",$AG217&gt;0,ORÇAMENTO.CustoUnitario&gt;$AG217),AND(TIPOORCAMENTO="LICITADO",ORÇAMENTO.PrecoUnitarioLicitado&gt;$AN217)),"ACIMA REF.","")))))</f>
        <v/>
      </c>
      <c r="AD217" s="100" t="str">
        <f ca="1">IF(C217&lt;=CRONO.NivelExibicao,MAX($AD$15:OFFSET(AD217,-1,0))+IF($C217&lt;&gt;1,1,MAX(1,COUNTIF(QCI!$A$13:$A$24,OFFSET($E217,-1,0)))),"")</f>
        <v/>
      </c>
      <c r="AE217" s="110" t="b">
        <f ca="1">IF(AND($C217="S",ORÇAMENTO.CodBarra&lt;&gt;""),IF(ORÇAMENTO.Fonte="",ORÇAMENTO.CodBarra,CONCATENATE(ORÇAMENTO.Fonte," ",ORÇAMENTO.CodBarra)))</f>
        <v>0</v>
      </c>
      <c r="AF217" s="155" t="str">
        <f ca="1">IF(ISERROR(INDIRECT(ORÇAMENTO.BancoRef)),"(abra o arquivo 'Referência "&amp;Excel_BuiltIn_Database&amp;".xlsm)",IF(OR($C217&lt;&gt;"S",ORÇAMENTO.CodBarra=""),"(Sem Código)",IF(ISERROR(MATCH($AE217,INDIRECT(ORÇAMENTO.BancoRef),0)),"(Código não identificado nas referências)",MATCH($AE217,INDIRECT(ORÇAMENTO.BancoRef),0))))</f>
        <v>(abra o arquivo 'Referência 11-2024.xlsm)</v>
      </c>
      <c r="AG217" s="574">
        <f ca="1">ROUND(IF(DESONERACAO="sim",REFERENCIA.Desonerado,REFERENCIA.NaoDesonerado),2)</f>
        <v>0</v>
      </c>
      <c r="AH217" s="575">
        <f t="shared" ca="1" si="82"/>
        <v>0.22</v>
      </c>
      <c r="AJ217" s="577"/>
      <c r="AL217" s="607"/>
      <c r="AM217" s="426">
        <f t="shared" ca="1" si="83"/>
        <v>0</v>
      </c>
      <c r="AN217" s="650">
        <f t="shared" ca="1" si="84"/>
        <v>0</v>
      </c>
    </row>
    <row r="218" spans="1:40" ht="13.8" hidden="1">
      <c r="A218" t="str">
        <f t="shared" si="68"/>
        <v>S</v>
      </c>
      <c r="B218">
        <f t="shared" ca="1" si="69"/>
        <v>2</v>
      </c>
      <c r="C218" t="str">
        <f t="shared" ca="1" si="70"/>
        <v>S</v>
      </c>
      <c r="D218">
        <f t="shared" ca="1" si="71"/>
        <v>0</v>
      </c>
      <c r="E218">
        <f ca="1">IF($C218=1,OFFSET(E218,-1,0)+MAX(1,COUNTIF(QCI!$A$13:$A$24,OFFSET(ORÇAMENTO!E218,-1,0))),OFFSET(E218,-1,0))</f>
        <v>1</v>
      </c>
      <c r="F218">
        <f t="shared" ca="1" si="72"/>
        <v>5</v>
      </c>
      <c r="G218">
        <f t="shared" ca="1" si="73"/>
        <v>0</v>
      </c>
      <c r="H218">
        <f t="shared" ca="1" si="74"/>
        <v>0</v>
      </c>
      <c r="I218">
        <f t="shared" ca="1" si="75"/>
        <v>2</v>
      </c>
      <c r="J218">
        <f t="shared" ca="1" si="76"/>
        <v>0</v>
      </c>
      <c r="K218">
        <f ca="1">IF(OR($C218="S",$C218=0),0,MATCH(OFFSET($D218,0,$C218)+IF($C218&lt;&gt;1,1,COUNTIF(QCI!$A$13:$A$24,ORÇAMENTO!E218)),OFFSET($D218,1,$C218,ROW($C$264)-ROW($C218)),0))</f>
        <v>0</v>
      </c>
      <c r="L218" s="139" t="str">
        <f t="shared" ca="1" si="77"/>
        <v/>
      </c>
      <c r="M218" s="140" t="s">
        <v>199</v>
      </c>
      <c r="N218" s="141" t="str">
        <f t="shared" ca="1" si="78"/>
        <v>Serviço</v>
      </c>
      <c r="O218" s="142" t="str">
        <f t="shared" ca="1" si="79"/>
        <v>-</v>
      </c>
      <c r="P218" s="143" t="s">
        <v>247</v>
      </c>
      <c r="Q218" s="144"/>
      <c r="R218" s="145" t="str">
        <f ca="1">IF($C218="S",REFERENCIA.Descricao,"(digite a descrição aqui)")</f>
        <v>(abra o arquivo 'Referência 11-2024.xlsm)</v>
      </c>
      <c r="S218" s="146" t="str">
        <f ca="1">REFERENCIA.Unidade</f>
        <v>-</v>
      </c>
      <c r="T218" s="147">
        <f ca="1">OFFSET(CÁLCULO!H$15,ROW($T218)-ROW(T$15),0)</f>
        <v>0</v>
      </c>
      <c r="U218" s="148"/>
      <c r="V218" s="149" t="s">
        <v>156</v>
      </c>
      <c r="W218" s="147">
        <f ca="1">IF($C218="S",ROUND(IF(TIPOORCAMENTO="Proposto",ORÇAMENTO.CustoUnitario*(1+$AH218),ORÇAMENTO.PrecoUnitarioLicitado),15-13*$AF$10),0)</f>
        <v>0</v>
      </c>
      <c r="X218" s="150">
        <f ca="1">IF($C218="S",IF(Import.TipoArredondamento&lt;&gt;"TransfereGOV",VTOTAL1,SUM(OFFSET(CÁLCULO!$AA$15,ROW($X218)-ROW($X$15),1):OFFSET(CÁLCULO!$AL$15,ROW($X218)-ROW($X$15),-1))),IF($C218=0,0,ROUND(SomaAgrup,15-13*$AF$11)))</f>
        <v>0</v>
      </c>
      <c r="Y218" s="151" t="s">
        <v>245</v>
      </c>
      <c r="Z218" t="str">
        <f t="shared" ca="1" si="80"/>
        <v/>
      </c>
      <c r="AA218" s="152">
        <f ca="1">IF($C218="S",IF($Z218="CP",$X218,IF($Z218="RA",(($X218)*QCI!$AA$3),0)),SomaAgrup)</f>
        <v>0</v>
      </c>
      <c r="AB218" s="153">
        <f t="shared" ca="1" si="81"/>
        <v>0</v>
      </c>
      <c r="AC218" s="154" t="str">
        <f ca="1">IF($N218="","",IF(ORÇAMENTO.Descricao="","DESCRIÇÃO",IF(AND($C218="S",ORÇAMENTO.Unidade=""),"UNIDADE",IF($X218&lt;0,"VALOR NEGATIVO",IF(OR(AND(TIPOORCAMENTO="Proposto",$AG218&lt;&gt;"",$AG218&gt;0,ORÇAMENTO.CustoUnitario&gt;$AG218),AND(TIPOORCAMENTO="LICITADO",ORÇAMENTO.PrecoUnitarioLicitado&gt;$AN218)),"ACIMA REF.","")))))</f>
        <v/>
      </c>
      <c r="AD218" s="100" t="str">
        <f ca="1">IF(C218&lt;=CRONO.NivelExibicao,MAX($AD$15:OFFSET(AD218,-1,0))+IF($C218&lt;&gt;1,1,MAX(1,COUNTIF(QCI!$A$13:$A$24,OFFSET($E218,-1,0)))),"")</f>
        <v/>
      </c>
      <c r="AE218" s="110" t="b">
        <f ca="1">IF(AND($C218="S",ORÇAMENTO.CodBarra&lt;&gt;""),IF(ORÇAMENTO.Fonte="",ORÇAMENTO.CodBarra,CONCATENATE(ORÇAMENTO.Fonte," ",ORÇAMENTO.CodBarra)))</f>
        <v>0</v>
      </c>
      <c r="AF218" s="155" t="str">
        <f ca="1">IF(ISERROR(INDIRECT(ORÇAMENTO.BancoRef)),"(abra o arquivo 'Referência "&amp;Excel_BuiltIn_Database&amp;".xlsm)",IF(OR($C218&lt;&gt;"S",ORÇAMENTO.CodBarra=""),"(Sem Código)",IF(ISERROR(MATCH($AE218,INDIRECT(ORÇAMENTO.BancoRef),0)),"(Código não identificado nas referências)",MATCH($AE218,INDIRECT(ORÇAMENTO.BancoRef),0))))</f>
        <v>(abra o arquivo 'Referência 11-2024.xlsm)</v>
      </c>
      <c r="AG218" s="574">
        <f ca="1">ROUND(IF(DESONERACAO="sim",REFERENCIA.Desonerado,REFERENCIA.NaoDesonerado),2)</f>
        <v>0</v>
      </c>
      <c r="AH218" s="575">
        <f t="shared" ca="1" si="82"/>
        <v>0.22</v>
      </c>
      <c r="AJ218" s="577"/>
      <c r="AL218" s="607"/>
      <c r="AM218" s="426">
        <f t="shared" ca="1" si="83"/>
        <v>0</v>
      </c>
      <c r="AN218" s="650">
        <f t="shared" ca="1" si="84"/>
        <v>0</v>
      </c>
    </row>
    <row r="219" spans="1:40" ht="13.8" hidden="1">
      <c r="A219" t="str">
        <f t="shared" si="68"/>
        <v>S</v>
      </c>
      <c r="B219">
        <f t="shared" ca="1" si="69"/>
        <v>2</v>
      </c>
      <c r="C219" t="str">
        <f t="shared" ca="1" si="70"/>
        <v>S</v>
      </c>
      <c r="D219">
        <f t="shared" ca="1" si="71"/>
        <v>0</v>
      </c>
      <c r="E219">
        <f ca="1">IF($C219=1,OFFSET(E219,-1,0)+MAX(1,COUNTIF(QCI!$A$13:$A$24,OFFSET(ORÇAMENTO!E219,-1,0))),OFFSET(E219,-1,0))</f>
        <v>1</v>
      </c>
      <c r="F219">
        <f t="shared" ca="1" si="72"/>
        <v>5</v>
      </c>
      <c r="G219">
        <f t="shared" ca="1" si="73"/>
        <v>0</v>
      </c>
      <c r="H219">
        <f t="shared" ca="1" si="74"/>
        <v>0</v>
      </c>
      <c r="I219">
        <f t="shared" ca="1" si="75"/>
        <v>2</v>
      </c>
      <c r="J219">
        <f t="shared" ca="1" si="76"/>
        <v>0</v>
      </c>
      <c r="K219">
        <f ca="1">IF(OR($C219="S",$C219=0),0,MATCH(OFFSET($D219,0,$C219)+IF($C219&lt;&gt;1,1,COUNTIF(QCI!$A$13:$A$24,ORÇAMENTO!E219)),OFFSET($D219,1,$C219,ROW($C$264)-ROW($C219)),0))</f>
        <v>0</v>
      </c>
      <c r="L219" s="139" t="str">
        <f t="shared" ca="1" si="77"/>
        <v/>
      </c>
      <c r="M219" s="140" t="s">
        <v>199</v>
      </c>
      <c r="N219" s="141" t="str">
        <f t="shared" ca="1" si="78"/>
        <v>Serviço</v>
      </c>
      <c r="O219" s="142" t="str">
        <f t="shared" ca="1" si="79"/>
        <v>-</v>
      </c>
      <c r="P219" s="143" t="s">
        <v>247</v>
      </c>
      <c r="Q219" s="144"/>
      <c r="R219" s="145" t="str">
        <f ca="1">IF($C219="S",REFERENCIA.Descricao,"(digite a descrição aqui)")</f>
        <v>(abra o arquivo 'Referência 11-2024.xlsm)</v>
      </c>
      <c r="S219" s="146" t="str">
        <f ca="1">REFERENCIA.Unidade</f>
        <v>-</v>
      </c>
      <c r="T219" s="147">
        <f ca="1">OFFSET(CÁLCULO!H$15,ROW($T219)-ROW(T$15),0)</f>
        <v>0</v>
      </c>
      <c r="U219" s="148"/>
      <c r="V219" s="149" t="s">
        <v>156</v>
      </c>
      <c r="W219" s="147">
        <f ca="1">IF($C219="S",ROUND(IF(TIPOORCAMENTO="Proposto",ORÇAMENTO.CustoUnitario*(1+$AH219),ORÇAMENTO.PrecoUnitarioLicitado),15-13*$AF$10),0)</f>
        <v>0</v>
      </c>
      <c r="X219" s="150">
        <f ca="1">IF($C219="S",IF(Import.TipoArredondamento&lt;&gt;"TransfereGOV",VTOTAL1,SUM(OFFSET(CÁLCULO!$AA$15,ROW($X219)-ROW($X$15),1):OFFSET(CÁLCULO!$AL$15,ROW($X219)-ROW($X$15),-1))),IF($C219=0,0,ROUND(SomaAgrup,15-13*$AF$11)))</f>
        <v>0</v>
      </c>
      <c r="Y219" s="151" t="s">
        <v>245</v>
      </c>
      <c r="Z219" t="str">
        <f t="shared" ca="1" si="80"/>
        <v/>
      </c>
      <c r="AA219" s="152">
        <f ca="1">IF($C219="S",IF($Z219="CP",$X219,IF($Z219="RA",(($X219)*QCI!$AA$3),0)),SomaAgrup)</f>
        <v>0</v>
      </c>
      <c r="AB219" s="153">
        <f t="shared" ca="1" si="81"/>
        <v>0</v>
      </c>
      <c r="AC219" s="154" t="str">
        <f ca="1">IF($N219="","",IF(ORÇAMENTO.Descricao="","DESCRIÇÃO",IF(AND($C219="S",ORÇAMENTO.Unidade=""),"UNIDADE",IF($X219&lt;0,"VALOR NEGATIVO",IF(OR(AND(TIPOORCAMENTO="Proposto",$AG219&lt;&gt;"",$AG219&gt;0,ORÇAMENTO.CustoUnitario&gt;$AG219),AND(TIPOORCAMENTO="LICITADO",ORÇAMENTO.PrecoUnitarioLicitado&gt;$AN219)),"ACIMA REF.","")))))</f>
        <v/>
      </c>
      <c r="AD219" s="100" t="str">
        <f ca="1">IF(C219&lt;=CRONO.NivelExibicao,MAX($AD$15:OFFSET(AD219,-1,0))+IF($C219&lt;&gt;1,1,MAX(1,COUNTIF(QCI!$A$13:$A$24,OFFSET($E219,-1,0)))),"")</f>
        <v/>
      </c>
      <c r="AE219" s="110" t="b">
        <f ca="1">IF(AND($C219="S",ORÇAMENTO.CodBarra&lt;&gt;""),IF(ORÇAMENTO.Fonte="",ORÇAMENTO.CodBarra,CONCATENATE(ORÇAMENTO.Fonte," ",ORÇAMENTO.CodBarra)))</f>
        <v>0</v>
      </c>
      <c r="AF219" s="155" t="str">
        <f ca="1">IF(ISERROR(INDIRECT(ORÇAMENTO.BancoRef)),"(abra o arquivo 'Referência "&amp;Excel_BuiltIn_Database&amp;".xlsm)",IF(OR($C219&lt;&gt;"S",ORÇAMENTO.CodBarra=""),"(Sem Código)",IF(ISERROR(MATCH($AE219,INDIRECT(ORÇAMENTO.BancoRef),0)),"(Código não identificado nas referências)",MATCH($AE219,INDIRECT(ORÇAMENTO.BancoRef),0))))</f>
        <v>(abra o arquivo 'Referência 11-2024.xlsm)</v>
      </c>
      <c r="AG219" s="574">
        <f ca="1">ROUND(IF(DESONERACAO="sim",REFERENCIA.Desonerado,REFERENCIA.NaoDesonerado),2)</f>
        <v>0</v>
      </c>
      <c r="AH219" s="575">
        <f t="shared" ca="1" si="82"/>
        <v>0.22</v>
      </c>
      <c r="AJ219" s="577"/>
      <c r="AL219" s="607"/>
      <c r="AM219" s="426">
        <f t="shared" ca="1" si="83"/>
        <v>0</v>
      </c>
      <c r="AN219" s="650">
        <f t="shared" ca="1" si="84"/>
        <v>0</v>
      </c>
    </row>
    <row r="220" spans="1:40" ht="13.8" hidden="1">
      <c r="A220" t="str">
        <f t="shared" si="68"/>
        <v>S</v>
      </c>
      <c r="B220">
        <f t="shared" ca="1" si="69"/>
        <v>2</v>
      </c>
      <c r="C220" t="str">
        <f t="shared" ca="1" si="70"/>
        <v>S</v>
      </c>
      <c r="D220">
        <f t="shared" ca="1" si="71"/>
        <v>0</v>
      </c>
      <c r="E220">
        <f ca="1">IF($C220=1,OFFSET(E220,-1,0)+MAX(1,COUNTIF(QCI!$A$13:$A$24,OFFSET(ORÇAMENTO!E220,-1,0))),OFFSET(E220,-1,0))</f>
        <v>1</v>
      </c>
      <c r="F220">
        <f t="shared" ca="1" si="72"/>
        <v>5</v>
      </c>
      <c r="G220">
        <f t="shared" ca="1" si="73"/>
        <v>0</v>
      </c>
      <c r="H220">
        <f t="shared" ca="1" si="74"/>
        <v>0</v>
      </c>
      <c r="I220">
        <f t="shared" ca="1" si="75"/>
        <v>2</v>
      </c>
      <c r="J220">
        <f t="shared" ca="1" si="76"/>
        <v>0</v>
      </c>
      <c r="K220">
        <f ca="1">IF(OR($C220="S",$C220=0),0,MATCH(OFFSET($D220,0,$C220)+IF($C220&lt;&gt;1,1,COUNTIF(QCI!$A$13:$A$24,ORÇAMENTO!E220)),OFFSET($D220,1,$C220,ROW($C$264)-ROW($C220)),0))</f>
        <v>0</v>
      </c>
      <c r="L220" s="139" t="str">
        <f t="shared" ca="1" si="77"/>
        <v/>
      </c>
      <c r="M220" s="140" t="s">
        <v>199</v>
      </c>
      <c r="N220" s="141" t="str">
        <f t="shared" ca="1" si="78"/>
        <v>Serviço</v>
      </c>
      <c r="O220" s="142" t="str">
        <f t="shared" ca="1" si="79"/>
        <v>-</v>
      </c>
      <c r="P220" s="143" t="s">
        <v>247</v>
      </c>
      <c r="Q220" s="144"/>
      <c r="R220" s="145" t="str">
        <f ca="1">IF($C220="S",REFERENCIA.Descricao,"(digite a descrição aqui)")</f>
        <v>(abra o arquivo 'Referência 11-2024.xlsm)</v>
      </c>
      <c r="S220" s="146" t="str">
        <f ca="1">REFERENCIA.Unidade</f>
        <v>-</v>
      </c>
      <c r="T220" s="147">
        <f ca="1">OFFSET(CÁLCULO!H$15,ROW($T220)-ROW(T$15),0)</f>
        <v>0</v>
      </c>
      <c r="U220" s="148"/>
      <c r="V220" s="149" t="s">
        <v>156</v>
      </c>
      <c r="W220" s="147">
        <f ca="1">IF($C220="S",ROUND(IF(TIPOORCAMENTO="Proposto",ORÇAMENTO.CustoUnitario*(1+$AH220),ORÇAMENTO.PrecoUnitarioLicitado),15-13*$AF$10),0)</f>
        <v>0</v>
      </c>
      <c r="X220" s="150">
        <f ca="1">IF($C220="S",IF(Import.TipoArredondamento&lt;&gt;"TransfereGOV",VTOTAL1,SUM(OFFSET(CÁLCULO!$AA$15,ROW($X220)-ROW($X$15),1):OFFSET(CÁLCULO!$AL$15,ROW($X220)-ROW($X$15),-1))),IF($C220=0,0,ROUND(SomaAgrup,15-13*$AF$11)))</f>
        <v>0</v>
      </c>
      <c r="Y220" s="151" t="s">
        <v>245</v>
      </c>
      <c r="Z220" t="str">
        <f t="shared" ca="1" si="80"/>
        <v/>
      </c>
      <c r="AA220" s="152">
        <f ca="1">IF($C220="S",IF($Z220="CP",$X220,IF($Z220="RA",(($X220)*QCI!$AA$3),0)),SomaAgrup)</f>
        <v>0</v>
      </c>
      <c r="AB220" s="153">
        <f t="shared" ca="1" si="81"/>
        <v>0</v>
      </c>
      <c r="AC220" s="154" t="str">
        <f ca="1">IF($N220="","",IF(ORÇAMENTO.Descricao="","DESCRIÇÃO",IF(AND($C220="S",ORÇAMENTO.Unidade=""),"UNIDADE",IF($X220&lt;0,"VALOR NEGATIVO",IF(OR(AND(TIPOORCAMENTO="Proposto",$AG220&lt;&gt;"",$AG220&gt;0,ORÇAMENTO.CustoUnitario&gt;$AG220),AND(TIPOORCAMENTO="LICITADO",ORÇAMENTO.PrecoUnitarioLicitado&gt;$AN220)),"ACIMA REF.","")))))</f>
        <v/>
      </c>
      <c r="AD220" s="100" t="str">
        <f ca="1">IF(C220&lt;=CRONO.NivelExibicao,MAX($AD$15:OFFSET(AD220,-1,0))+IF($C220&lt;&gt;1,1,MAX(1,COUNTIF(QCI!$A$13:$A$24,OFFSET($E220,-1,0)))),"")</f>
        <v/>
      </c>
      <c r="AE220" s="110" t="b">
        <f ca="1">IF(AND($C220="S",ORÇAMENTO.CodBarra&lt;&gt;""),IF(ORÇAMENTO.Fonte="",ORÇAMENTO.CodBarra,CONCATENATE(ORÇAMENTO.Fonte," ",ORÇAMENTO.CodBarra)))</f>
        <v>0</v>
      </c>
      <c r="AF220" s="155" t="str">
        <f ca="1">IF(ISERROR(INDIRECT(ORÇAMENTO.BancoRef)),"(abra o arquivo 'Referência "&amp;Excel_BuiltIn_Database&amp;".xlsm)",IF(OR($C220&lt;&gt;"S",ORÇAMENTO.CodBarra=""),"(Sem Código)",IF(ISERROR(MATCH($AE220,INDIRECT(ORÇAMENTO.BancoRef),0)),"(Código não identificado nas referências)",MATCH($AE220,INDIRECT(ORÇAMENTO.BancoRef),0))))</f>
        <v>(abra o arquivo 'Referência 11-2024.xlsm)</v>
      </c>
      <c r="AG220" s="574">
        <f ca="1">ROUND(IF(DESONERACAO="sim",REFERENCIA.Desonerado,REFERENCIA.NaoDesonerado),2)</f>
        <v>0</v>
      </c>
      <c r="AH220" s="575">
        <f t="shared" ca="1" si="82"/>
        <v>0.22</v>
      </c>
      <c r="AJ220" s="577"/>
      <c r="AL220" s="607"/>
      <c r="AM220" s="426">
        <f t="shared" ca="1" si="83"/>
        <v>0</v>
      </c>
      <c r="AN220" s="650">
        <f t="shared" ca="1" si="84"/>
        <v>0</v>
      </c>
    </row>
    <row r="221" spans="1:40" ht="13.8" hidden="1">
      <c r="A221" t="str">
        <f t="shared" si="68"/>
        <v>S</v>
      </c>
      <c r="B221">
        <f t="shared" ca="1" si="69"/>
        <v>2</v>
      </c>
      <c r="C221" t="str">
        <f t="shared" ca="1" si="70"/>
        <v>S</v>
      </c>
      <c r="D221">
        <f t="shared" ca="1" si="71"/>
        <v>0</v>
      </c>
      <c r="E221">
        <f ca="1">IF($C221=1,OFFSET(E221,-1,0)+MAX(1,COUNTIF(QCI!$A$13:$A$24,OFFSET(ORÇAMENTO!E221,-1,0))),OFFSET(E221,-1,0))</f>
        <v>1</v>
      </c>
      <c r="F221">
        <f t="shared" ca="1" si="72"/>
        <v>5</v>
      </c>
      <c r="G221">
        <f t="shared" ca="1" si="73"/>
        <v>0</v>
      </c>
      <c r="H221">
        <f t="shared" ca="1" si="74"/>
        <v>0</v>
      </c>
      <c r="I221">
        <f t="shared" ca="1" si="75"/>
        <v>2</v>
      </c>
      <c r="J221">
        <f t="shared" ca="1" si="76"/>
        <v>0</v>
      </c>
      <c r="K221">
        <f ca="1">IF(OR($C221="S",$C221=0),0,MATCH(OFFSET($D221,0,$C221)+IF($C221&lt;&gt;1,1,COUNTIF(QCI!$A$13:$A$24,ORÇAMENTO!E221)),OFFSET($D221,1,$C221,ROW($C$264)-ROW($C221)),0))</f>
        <v>0</v>
      </c>
      <c r="L221" s="139" t="str">
        <f t="shared" ca="1" si="77"/>
        <v/>
      </c>
      <c r="M221" s="140" t="s">
        <v>199</v>
      </c>
      <c r="N221" s="141" t="str">
        <f t="shared" ca="1" si="78"/>
        <v>Serviço</v>
      </c>
      <c r="O221" s="142" t="str">
        <f t="shared" ca="1" si="79"/>
        <v>-</v>
      </c>
      <c r="P221" s="143" t="s">
        <v>247</v>
      </c>
      <c r="Q221" s="144"/>
      <c r="R221" s="145" t="str">
        <f ca="1">IF($C221="S",REFERENCIA.Descricao,"(digite a descrição aqui)")</f>
        <v>(abra o arquivo 'Referência 11-2024.xlsm)</v>
      </c>
      <c r="S221" s="146" t="str">
        <f ca="1">REFERENCIA.Unidade</f>
        <v>-</v>
      </c>
      <c r="T221" s="147">
        <f ca="1">OFFSET(CÁLCULO!H$15,ROW($T221)-ROW(T$15),0)</f>
        <v>0</v>
      </c>
      <c r="U221" s="148"/>
      <c r="V221" s="149" t="s">
        <v>156</v>
      </c>
      <c r="W221" s="147">
        <f ca="1">IF($C221="S",ROUND(IF(TIPOORCAMENTO="Proposto",ORÇAMENTO.CustoUnitario*(1+$AH221),ORÇAMENTO.PrecoUnitarioLicitado),15-13*$AF$10),0)</f>
        <v>0</v>
      </c>
      <c r="X221" s="150">
        <f ca="1">IF($C221="S",IF(Import.TipoArredondamento&lt;&gt;"TransfereGOV",VTOTAL1,SUM(OFFSET(CÁLCULO!$AA$15,ROW($X221)-ROW($X$15),1):OFFSET(CÁLCULO!$AL$15,ROW($X221)-ROW($X$15),-1))),IF($C221=0,0,ROUND(SomaAgrup,15-13*$AF$11)))</f>
        <v>0</v>
      </c>
      <c r="Y221" s="151" t="s">
        <v>245</v>
      </c>
      <c r="Z221" t="str">
        <f t="shared" ca="1" si="80"/>
        <v/>
      </c>
      <c r="AA221" s="152">
        <f ca="1">IF($C221="S",IF($Z221="CP",$X221,IF($Z221="RA",(($X221)*QCI!$AA$3),0)),SomaAgrup)</f>
        <v>0</v>
      </c>
      <c r="AB221" s="153">
        <f t="shared" ca="1" si="81"/>
        <v>0</v>
      </c>
      <c r="AC221" s="154" t="str">
        <f ca="1">IF($N221="","",IF(ORÇAMENTO.Descricao="","DESCRIÇÃO",IF(AND($C221="S",ORÇAMENTO.Unidade=""),"UNIDADE",IF($X221&lt;0,"VALOR NEGATIVO",IF(OR(AND(TIPOORCAMENTO="Proposto",$AG221&lt;&gt;"",$AG221&gt;0,ORÇAMENTO.CustoUnitario&gt;$AG221),AND(TIPOORCAMENTO="LICITADO",ORÇAMENTO.PrecoUnitarioLicitado&gt;$AN221)),"ACIMA REF.","")))))</f>
        <v/>
      </c>
      <c r="AD221" s="100" t="str">
        <f ca="1">IF(C221&lt;=CRONO.NivelExibicao,MAX($AD$15:OFFSET(AD221,-1,0))+IF($C221&lt;&gt;1,1,MAX(1,COUNTIF(QCI!$A$13:$A$24,OFFSET($E221,-1,0)))),"")</f>
        <v/>
      </c>
      <c r="AE221" s="110" t="b">
        <f ca="1">IF(AND($C221="S",ORÇAMENTO.CodBarra&lt;&gt;""),IF(ORÇAMENTO.Fonte="",ORÇAMENTO.CodBarra,CONCATENATE(ORÇAMENTO.Fonte," ",ORÇAMENTO.CodBarra)))</f>
        <v>0</v>
      </c>
      <c r="AF221" s="155" t="str">
        <f ca="1">IF(ISERROR(INDIRECT(ORÇAMENTO.BancoRef)),"(abra o arquivo 'Referência "&amp;Excel_BuiltIn_Database&amp;".xlsm)",IF(OR($C221&lt;&gt;"S",ORÇAMENTO.CodBarra=""),"(Sem Código)",IF(ISERROR(MATCH($AE221,INDIRECT(ORÇAMENTO.BancoRef),0)),"(Código não identificado nas referências)",MATCH($AE221,INDIRECT(ORÇAMENTO.BancoRef),0))))</f>
        <v>(abra o arquivo 'Referência 11-2024.xlsm)</v>
      </c>
      <c r="AG221" s="574">
        <f ca="1">ROUND(IF(DESONERACAO="sim",REFERENCIA.Desonerado,REFERENCIA.NaoDesonerado),2)</f>
        <v>0</v>
      </c>
      <c r="AH221" s="575">
        <f t="shared" ca="1" si="82"/>
        <v>0.22</v>
      </c>
      <c r="AJ221" s="577"/>
      <c r="AL221" s="607"/>
      <c r="AM221" s="426">
        <f t="shared" ca="1" si="83"/>
        <v>0</v>
      </c>
      <c r="AN221" s="650">
        <f t="shared" ca="1" si="84"/>
        <v>0</v>
      </c>
    </row>
    <row r="222" spans="1:40" ht="13.8" hidden="1">
      <c r="A222" t="str">
        <f t="shared" si="68"/>
        <v>S</v>
      </c>
      <c r="B222">
        <f t="shared" ca="1" si="69"/>
        <v>2</v>
      </c>
      <c r="C222" t="str">
        <f t="shared" ca="1" si="70"/>
        <v>S</v>
      </c>
      <c r="D222">
        <f t="shared" ca="1" si="71"/>
        <v>0</v>
      </c>
      <c r="E222">
        <f ca="1">IF($C222=1,OFFSET(E222,-1,0)+MAX(1,COUNTIF(QCI!$A$13:$A$24,OFFSET(ORÇAMENTO!E222,-1,0))),OFFSET(E222,-1,0))</f>
        <v>1</v>
      </c>
      <c r="F222">
        <f t="shared" ca="1" si="72"/>
        <v>5</v>
      </c>
      <c r="G222">
        <f t="shared" ca="1" si="73"/>
        <v>0</v>
      </c>
      <c r="H222">
        <f t="shared" ca="1" si="74"/>
        <v>0</v>
      </c>
      <c r="I222">
        <f t="shared" ca="1" si="75"/>
        <v>2</v>
      </c>
      <c r="J222">
        <f t="shared" ca="1" si="76"/>
        <v>0</v>
      </c>
      <c r="K222">
        <f ca="1">IF(OR($C222="S",$C222=0),0,MATCH(OFFSET($D222,0,$C222)+IF($C222&lt;&gt;1,1,COUNTIF(QCI!$A$13:$A$24,ORÇAMENTO!E222)),OFFSET($D222,1,$C222,ROW($C$264)-ROW($C222)),0))</f>
        <v>0</v>
      </c>
      <c r="L222" s="139" t="str">
        <f t="shared" ca="1" si="77"/>
        <v/>
      </c>
      <c r="M222" s="140" t="s">
        <v>199</v>
      </c>
      <c r="N222" s="141" t="str">
        <f t="shared" ca="1" si="78"/>
        <v>Serviço</v>
      </c>
      <c r="O222" s="142" t="str">
        <f t="shared" ca="1" si="79"/>
        <v>-</v>
      </c>
      <c r="P222" s="143" t="s">
        <v>247</v>
      </c>
      <c r="Q222" s="144"/>
      <c r="R222" s="145" t="str">
        <f ca="1">IF($C222="S",REFERENCIA.Descricao,"(digite a descrição aqui)")</f>
        <v>(abra o arquivo 'Referência 11-2024.xlsm)</v>
      </c>
      <c r="S222" s="146" t="str">
        <f ca="1">REFERENCIA.Unidade</f>
        <v>-</v>
      </c>
      <c r="T222" s="147">
        <f ca="1">OFFSET(CÁLCULO!H$15,ROW($T222)-ROW(T$15),0)</f>
        <v>0</v>
      </c>
      <c r="U222" s="148"/>
      <c r="V222" s="149" t="s">
        <v>156</v>
      </c>
      <c r="W222" s="147">
        <f ca="1">IF($C222="S",ROUND(IF(TIPOORCAMENTO="Proposto",ORÇAMENTO.CustoUnitario*(1+$AH222),ORÇAMENTO.PrecoUnitarioLicitado),15-13*$AF$10),0)</f>
        <v>0</v>
      </c>
      <c r="X222" s="150">
        <f ca="1">IF($C222="S",IF(Import.TipoArredondamento&lt;&gt;"TransfereGOV",VTOTAL1,SUM(OFFSET(CÁLCULO!$AA$15,ROW($X222)-ROW($X$15),1):OFFSET(CÁLCULO!$AL$15,ROW($X222)-ROW($X$15),-1))),IF($C222=0,0,ROUND(SomaAgrup,15-13*$AF$11)))</f>
        <v>0</v>
      </c>
      <c r="Y222" s="151" t="s">
        <v>245</v>
      </c>
      <c r="Z222" t="str">
        <f t="shared" ca="1" si="80"/>
        <v/>
      </c>
      <c r="AA222" s="152">
        <f ca="1">IF($C222="S",IF($Z222="CP",$X222,IF($Z222="RA",(($X222)*QCI!$AA$3),0)),SomaAgrup)</f>
        <v>0</v>
      </c>
      <c r="AB222" s="153">
        <f t="shared" ca="1" si="81"/>
        <v>0</v>
      </c>
      <c r="AC222" s="154" t="str">
        <f ca="1">IF($N222="","",IF(ORÇAMENTO.Descricao="","DESCRIÇÃO",IF(AND($C222="S",ORÇAMENTO.Unidade=""),"UNIDADE",IF($X222&lt;0,"VALOR NEGATIVO",IF(OR(AND(TIPOORCAMENTO="Proposto",$AG222&lt;&gt;"",$AG222&gt;0,ORÇAMENTO.CustoUnitario&gt;$AG222),AND(TIPOORCAMENTO="LICITADO",ORÇAMENTO.PrecoUnitarioLicitado&gt;$AN222)),"ACIMA REF.","")))))</f>
        <v/>
      </c>
      <c r="AD222" s="100" t="str">
        <f ca="1">IF(C222&lt;=CRONO.NivelExibicao,MAX($AD$15:OFFSET(AD222,-1,0))+IF($C222&lt;&gt;1,1,MAX(1,COUNTIF(QCI!$A$13:$A$24,OFFSET($E222,-1,0)))),"")</f>
        <v/>
      </c>
      <c r="AE222" s="110" t="b">
        <f ca="1">IF(AND($C222="S",ORÇAMENTO.CodBarra&lt;&gt;""),IF(ORÇAMENTO.Fonte="",ORÇAMENTO.CodBarra,CONCATENATE(ORÇAMENTO.Fonte," ",ORÇAMENTO.CodBarra)))</f>
        <v>0</v>
      </c>
      <c r="AF222" s="155" t="str">
        <f ca="1">IF(ISERROR(INDIRECT(ORÇAMENTO.BancoRef)),"(abra o arquivo 'Referência "&amp;Excel_BuiltIn_Database&amp;".xlsm)",IF(OR($C222&lt;&gt;"S",ORÇAMENTO.CodBarra=""),"(Sem Código)",IF(ISERROR(MATCH($AE222,INDIRECT(ORÇAMENTO.BancoRef),0)),"(Código não identificado nas referências)",MATCH($AE222,INDIRECT(ORÇAMENTO.BancoRef),0))))</f>
        <v>(abra o arquivo 'Referência 11-2024.xlsm)</v>
      </c>
      <c r="AG222" s="574">
        <f ca="1">ROUND(IF(DESONERACAO="sim",REFERENCIA.Desonerado,REFERENCIA.NaoDesonerado),2)</f>
        <v>0</v>
      </c>
      <c r="AH222" s="575">
        <f t="shared" ca="1" si="82"/>
        <v>0.22</v>
      </c>
      <c r="AJ222" s="577"/>
      <c r="AL222" s="607"/>
      <c r="AM222" s="426">
        <f t="shared" ca="1" si="83"/>
        <v>0</v>
      </c>
      <c r="AN222" s="650">
        <f t="shared" ca="1" si="84"/>
        <v>0</v>
      </c>
    </row>
    <row r="223" spans="1:40" ht="13.8" hidden="1">
      <c r="A223" t="str">
        <f t="shared" si="68"/>
        <v>S</v>
      </c>
      <c r="B223">
        <f t="shared" ca="1" si="69"/>
        <v>2</v>
      </c>
      <c r="C223" t="str">
        <f t="shared" ca="1" si="70"/>
        <v>S</v>
      </c>
      <c r="D223">
        <f t="shared" ca="1" si="71"/>
        <v>0</v>
      </c>
      <c r="E223">
        <f ca="1">IF($C223=1,OFFSET(E223,-1,0)+MAX(1,COUNTIF(QCI!$A$13:$A$24,OFFSET(ORÇAMENTO!E223,-1,0))),OFFSET(E223,-1,0))</f>
        <v>1</v>
      </c>
      <c r="F223">
        <f t="shared" ca="1" si="72"/>
        <v>5</v>
      </c>
      <c r="G223">
        <f t="shared" ca="1" si="73"/>
        <v>0</v>
      </c>
      <c r="H223">
        <f t="shared" ca="1" si="74"/>
        <v>0</v>
      </c>
      <c r="I223">
        <f t="shared" ca="1" si="75"/>
        <v>2</v>
      </c>
      <c r="J223">
        <f t="shared" ca="1" si="76"/>
        <v>0</v>
      </c>
      <c r="K223">
        <f ca="1">IF(OR($C223="S",$C223=0),0,MATCH(OFFSET($D223,0,$C223)+IF($C223&lt;&gt;1,1,COUNTIF(QCI!$A$13:$A$24,ORÇAMENTO!E223)),OFFSET($D223,1,$C223,ROW($C$264)-ROW($C223)),0))</f>
        <v>0</v>
      </c>
      <c r="L223" s="139" t="str">
        <f t="shared" ca="1" si="77"/>
        <v/>
      </c>
      <c r="M223" s="140" t="s">
        <v>199</v>
      </c>
      <c r="N223" s="141" t="str">
        <f t="shared" ca="1" si="78"/>
        <v>Serviço</v>
      </c>
      <c r="O223" s="142" t="str">
        <f t="shared" ca="1" si="79"/>
        <v>-</v>
      </c>
      <c r="P223" s="143" t="s">
        <v>247</v>
      </c>
      <c r="Q223" s="144"/>
      <c r="R223" s="145" t="str">
        <f ca="1">IF($C223="S",REFERENCIA.Descricao,"(digite a descrição aqui)")</f>
        <v>(abra o arquivo 'Referência 11-2024.xlsm)</v>
      </c>
      <c r="S223" s="146" t="str">
        <f ca="1">REFERENCIA.Unidade</f>
        <v>-</v>
      </c>
      <c r="T223" s="147">
        <f ca="1">OFFSET(CÁLCULO!H$15,ROW($T223)-ROW(T$15),0)</f>
        <v>0</v>
      </c>
      <c r="U223" s="148"/>
      <c r="V223" s="149" t="s">
        <v>156</v>
      </c>
      <c r="W223" s="147">
        <f ca="1">IF($C223="S",ROUND(IF(TIPOORCAMENTO="Proposto",ORÇAMENTO.CustoUnitario*(1+$AH223),ORÇAMENTO.PrecoUnitarioLicitado),15-13*$AF$10),0)</f>
        <v>0</v>
      </c>
      <c r="X223" s="150">
        <f ca="1">IF($C223="S",IF(Import.TipoArredondamento&lt;&gt;"TransfereGOV",VTOTAL1,SUM(OFFSET(CÁLCULO!$AA$15,ROW($X223)-ROW($X$15),1):OFFSET(CÁLCULO!$AL$15,ROW($X223)-ROW($X$15),-1))),IF($C223=0,0,ROUND(SomaAgrup,15-13*$AF$11)))</f>
        <v>0</v>
      </c>
      <c r="Y223" s="151" t="s">
        <v>245</v>
      </c>
      <c r="Z223" t="str">
        <f t="shared" ca="1" si="80"/>
        <v/>
      </c>
      <c r="AA223" s="152">
        <f ca="1">IF($C223="S",IF($Z223="CP",$X223,IF($Z223="RA",(($X223)*QCI!$AA$3),0)),SomaAgrup)</f>
        <v>0</v>
      </c>
      <c r="AB223" s="153">
        <f t="shared" ca="1" si="81"/>
        <v>0</v>
      </c>
      <c r="AC223" s="154" t="str">
        <f ca="1">IF($N223="","",IF(ORÇAMENTO.Descricao="","DESCRIÇÃO",IF(AND($C223="S",ORÇAMENTO.Unidade=""),"UNIDADE",IF($X223&lt;0,"VALOR NEGATIVO",IF(OR(AND(TIPOORCAMENTO="Proposto",$AG223&lt;&gt;"",$AG223&gt;0,ORÇAMENTO.CustoUnitario&gt;$AG223),AND(TIPOORCAMENTO="LICITADO",ORÇAMENTO.PrecoUnitarioLicitado&gt;$AN223)),"ACIMA REF.","")))))</f>
        <v/>
      </c>
      <c r="AD223" s="100" t="str">
        <f ca="1">IF(C223&lt;=CRONO.NivelExibicao,MAX($AD$15:OFFSET(AD223,-1,0))+IF($C223&lt;&gt;1,1,MAX(1,COUNTIF(QCI!$A$13:$A$24,OFFSET($E223,-1,0)))),"")</f>
        <v/>
      </c>
      <c r="AE223" s="110" t="b">
        <f ca="1">IF(AND($C223="S",ORÇAMENTO.CodBarra&lt;&gt;""),IF(ORÇAMENTO.Fonte="",ORÇAMENTO.CodBarra,CONCATENATE(ORÇAMENTO.Fonte," ",ORÇAMENTO.CodBarra)))</f>
        <v>0</v>
      </c>
      <c r="AF223" s="155" t="str">
        <f ca="1">IF(ISERROR(INDIRECT(ORÇAMENTO.BancoRef)),"(abra o arquivo 'Referência "&amp;Excel_BuiltIn_Database&amp;".xlsm)",IF(OR($C223&lt;&gt;"S",ORÇAMENTO.CodBarra=""),"(Sem Código)",IF(ISERROR(MATCH($AE223,INDIRECT(ORÇAMENTO.BancoRef),0)),"(Código não identificado nas referências)",MATCH($AE223,INDIRECT(ORÇAMENTO.BancoRef),0))))</f>
        <v>(abra o arquivo 'Referência 11-2024.xlsm)</v>
      </c>
      <c r="AG223" s="574">
        <f ca="1">ROUND(IF(DESONERACAO="sim",REFERENCIA.Desonerado,REFERENCIA.NaoDesonerado),2)</f>
        <v>0</v>
      </c>
      <c r="AH223" s="575">
        <f t="shared" ca="1" si="82"/>
        <v>0.22</v>
      </c>
      <c r="AJ223" s="577"/>
      <c r="AL223" s="607"/>
      <c r="AM223" s="426">
        <f t="shared" ca="1" si="83"/>
        <v>0</v>
      </c>
      <c r="AN223" s="650">
        <f t="shared" ca="1" si="84"/>
        <v>0</v>
      </c>
    </row>
    <row r="224" spans="1:40" ht="13.8" hidden="1">
      <c r="A224" t="str">
        <f t="shared" si="68"/>
        <v>S</v>
      </c>
      <c r="B224">
        <f t="shared" ca="1" si="69"/>
        <v>2</v>
      </c>
      <c r="C224" t="str">
        <f t="shared" ca="1" si="70"/>
        <v>S</v>
      </c>
      <c r="D224">
        <f t="shared" ca="1" si="71"/>
        <v>0</v>
      </c>
      <c r="E224">
        <f ca="1">IF($C224=1,OFFSET(E224,-1,0)+MAX(1,COUNTIF(QCI!$A$13:$A$24,OFFSET(ORÇAMENTO!E224,-1,0))),OFFSET(E224,-1,0))</f>
        <v>1</v>
      </c>
      <c r="F224">
        <f t="shared" ca="1" si="72"/>
        <v>5</v>
      </c>
      <c r="G224">
        <f t="shared" ca="1" si="73"/>
        <v>0</v>
      </c>
      <c r="H224">
        <f t="shared" ca="1" si="74"/>
        <v>0</v>
      </c>
      <c r="I224">
        <f t="shared" ca="1" si="75"/>
        <v>2</v>
      </c>
      <c r="J224">
        <f t="shared" ca="1" si="76"/>
        <v>0</v>
      </c>
      <c r="K224">
        <f ca="1">IF(OR($C224="S",$C224=0),0,MATCH(OFFSET($D224,0,$C224)+IF($C224&lt;&gt;1,1,COUNTIF(QCI!$A$13:$A$24,ORÇAMENTO!E224)),OFFSET($D224,1,$C224,ROW($C$264)-ROW($C224)),0))</f>
        <v>0</v>
      </c>
      <c r="L224" s="139" t="str">
        <f t="shared" ca="1" si="77"/>
        <v/>
      </c>
      <c r="M224" s="140" t="s">
        <v>199</v>
      </c>
      <c r="N224" s="141" t="str">
        <f t="shared" ca="1" si="78"/>
        <v>Serviço</v>
      </c>
      <c r="O224" s="142" t="str">
        <f t="shared" ca="1" si="79"/>
        <v>-</v>
      </c>
      <c r="P224" s="143" t="s">
        <v>247</v>
      </c>
      <c r="Q224" s="144"/>
      <c r="R224" s="145" t="str">
        <f ca="1">IF($C224="S",REFERENCIA.Descricao,"(digite a descrição aqui)")</f>
        <v>(abra o arquivo 'Referência 11-2024.xlsm)</v>
      </c>
      <c r="S224" s="146" t="str">
        <f ca="1">REFERENCIA.Unidade</f>
        <v>-</v>
      </c>
      <c r="T224" s="147">
        <f ca="1">OFFSET(CÁLCULO!H$15,ROW($T224)-ROW(T$15),0)</f>
        <v>0</v>
      </c>
      <c r="U224" s="148"/>
      <c r="V224" s="149" t="s">
        <v>156</v>
      </c>
      <c r="W224" s="147">
        <f ca="1">IF($C224="S",ROUND(IF(TIPOORCAMENTO="Proposto",ORÇAMENTO.CustoUnitario*(1+$AH224),ORÇAMENTO.PrecoUnitarioLicitado),15-13*$AF$10),0)</f>
        <v>0</v>
      </c>
      <c r="X224" s="150">
        <f ca="1">IF($C224="S",IF(Import.TipoArredondamento&lt;&gt;"TransfereGOV",VTOTAL1,SUM(OFFSET(CÁLCULO!$AA$15,ROW($X224)-ROW($X$15),1):OFFSET(CÁLCULO!$AL$15,ROW($X224)-ROW($X$15),-1))),IF($C224=0,0,ROUND(SomaAgrup,15-13*$AF$11)))</f>
        <v>0</v>
      </c>
      <c r="Y224" s="151" t="s">
        <v>245</v>
      </c>
      <c r="Z224" t="str">
        <f t="shared" ca="1" si="80"/>
        <v/>
      </c>
      <c r="AA224" s="152">
        <f ca="1">IF($C224="S",IF($Z224="CP",$X224,IF($Z224="RA",(($X224)*QCI!$AA$3),0)),SomaAgrup)</f>
        <v>0</v>
      </c>
      <c r="AB224" s="153">
        <f t="shared" ca="1" si="81"/>
        <v>0</v>
      </c>
      <c r="AC224" s="154" t="str">
        <f ca="1">IF($N224="","",IF(ORÇAMENTO.Descricao="","DESCRIÇÃO",IF(AND($C224="S",ORÇAMENTO.Unidade=""),"UNIDADE",IF($X224&lt;0,"VALOR NEGATIVO",IF(OR(AND(TIPOORCAMENTO="Proposto",$AG224&lt;&gt;"",$AG224&gt;0,ORÇAMENTO.CustoUnitario&gt;$AG224),AND(TIPOORCAMENTO="LICITADO",ORÇAMENTO.PrecoUnitarioLicitado&gt;$AN224)),"ACIMA REF.","")))))</f>
        <v/>
      </c>
      <c r="AD224" s="100" t="str">
        <f ca="1">IF(C224&lt;=CRONO.NivelExibicao,MAX($AD$15:OFFSET(AD224,-1,0))+IF($C224&lt;&gt;1,1,MAX(1,COUNTIF(QCI!$A$13:$A$24,OFFSET($E224,-1,0)))),"")</f>
        <v/>
      </c>
      <c r="AE224" s="110" t="b">
        <f ca="1">IF(AND($C224="S",ORÇAMENTO.CodBarra&lt;&gt;""),IF(ORÇAMENTO.Fonte="",ORÇAMENTO.CodBarra,CONCATENATE(ORÇAMENTO.Fonte," ",ORÇAMENTO.CodBarra)))</f>
        <v>0</v>
      </c>
      <c r="AF224" s="155" t="str">
        <f ca="1">IF(ISERROR(INDIRECT(ORÇAMENTO.BancoRef)),"(abra o arquivo 'Referência "&amp;Excel_BuiltIn_Database&amp;".xlsm)",IF(OR($C224&lt;&gt;"S",ORÇAMENTO.CodBarra=""),"(Sem Código)",IF(ISERROR(MATCH($AE224,INDIRECT(ORÇAMENTO.BancoRef),0)),"(Código não identificado nas referências)",MATCH($AE224,INDIRECT(ORÇAMENTO.BancoRef),0))))</f>
        <v>(abra o arquivo 'Referência 11-2024.xlsm)</v>
      </c>
      <c r="AG224" s="574">
        <f ca="1">ROUND(IF(DESONERACAO="sim",REFERENCIA.Desonerado,REFERENCIA.NaoDesonerado),2)</f>
        <v>0</v>
      </c>
      <c r="AH224" s="575">
        <f t="shared" ca="1" si="82"/>
        <v>0.22</v>
      </c>
      <c r="AJ224" s="577"/>
      <c r="AL224" s="607"/>
      <c r="AM224" s="426">
        <f t="shared" ca="1" si="83"/>
        <v>0</v>
      </c>
      <c r="AN224" s="650">
        <f t="shared" ca="1" si="84"/>
        <v>0</v>
      </c>
    </row>
    <row r="225" spans="1:40" ht="13.8" hidden="1">
      <c r="A225" t="str">
        <f t="shared" si="68"/>
        <v>S</v>
      </c>
      <c r="B225">
        <f t="shared" ca="1" si="69"/>
        <v>2</v>
      </c>
      <c r="C225" t="str">
        <f t="shared" ca="1" si="70"/>
        <v>S</v>
      </c>
      <c r="D225">
        <f t="shared" ca="1" si="71"/>
        <v>0</v>
      </c>
      <c r="E225">
        <f ca="1">IF($C225=1,OFFSET(E225,-1,0)+MAX(1,COUNTIF(QCI!$A$13:$A$24,OFFSET(ORÇAMENTO!E225,-1,0))),OFFSET(E225,-1,0))</f>
        <v>1</v>
      </c>
      <c r="F225">
        <f t="shared" ca="1" si="72"/>
        <v>5</v>
      </c>
      <c r="G225">
        <f t="shared" ca="1" si="73"/>
        <v>0</v>
      </c>
      <c r="H225">
        <f t="shared" ca="1" si="74"/>
        <v>0</v>
      </c>
      <c r="I225">
        <f t="shared" ca="1" si="75"/>
        <v>2</v>
      </c>
      <c r="J225">
        <f t="shared" ca="1" si="76"/>
        <v>0</v>
      </c>
      <c r="K225">
        <f ca="1">IF(OR($C225="S",$C225=0),0,MATCH(OFFSET($D225,0,$C225)+IF($C225&lt;&gt;1,1,COUNTIF(QCI!$A$13:$A$24,ORÇAMENTO!E225)),OFFSET($D225,1,$C225,ROW($C$264)-ROW($C225)),0))</f>
        <v>0</v>
      </c>
      <c r="L225" s="139" t="str">
        <f t="shared" ca="1" si="77"/>
        <v/>
      </c>
      <c r="M225" s="140" t="s">
        <v>199</v>
      </c>
      <c r="N225" s="141" t="str">
        <f t="shared" ca="1" si="78"/>
        <v>Serviço</v>
      </c>
      <c r="O225" s="142" t="str">
        <f t="shared" ca="1" si="79"/>
        <v>-</v>
      </c>
      <c r="P225" s="143" t="s">
        <v>247</v>
      </c>
      <c r="Q225" s="144"/>
      <c r="R225" s="145" t="str">
        <f ca="1">IF($C225="S",REFERENCIA.Descricao,"(digite a descrição aqui)")</f>
        <v>(abra o arquivo 'Referência 11-2024.xlsm)</v>
      </c>
      <c r="S225" s="146" t="str">
        <f ca="1">REFERENCIA.Unidade</f>
        <v>-</v>
      </c>
      <c r="T225" s="147">
        <f ca="1">OFFSET(CÁLCULO!H$15,ROW($T225)-ROW(T$15),0)</f>
        <v>0</v>
      </c>
      <c r="U225" s="148"/>
      <c r="V225" s="149" t="s">
        <v>156</v>
      </c>
      <c r="W225" s="147">
        <f ca="1">IF($C225="S",ROUND(IF(TIPOORCAMENTO="Proposto",ORÇAMENTO.CustoUnitario*(1+$AH225),ORÇAMENTO.PrecoUnitarioLicitado),15-13*$AF$10),0)</f>
        <v>0</v>
      </c>
      <c r="X225" s="150">
        <f ca="1">IF($C225="S",IF(Import.TipoArredondamento&lt;&gt;"TransfereGOV",VTOTAL1,SUM(OFFSET(CÁLCULO!$AA$15,ROW($X225)-ROW($X$15),1):OFFSET(CÁLCULO!$AL$15,ROW($X225)-ROW($X$15),-1))),IF($C225=0,0,ROUND(SomaAgrup,15-13*$AF$11)))</f>
        <v>0</v>
      </c>
      <c r="Y225" s="151" t="s">
        <v>245</v>
      </c>
      <c r="Z225" t="str">
        <f t="shared" ca="1" si="80"/>
        <v/>
      </c>
      <c r="AA225" s="152">
        <f ca="1">IF($C225="S",IF($Z225="CP",$X225,IF($Z225="RA",(($X225)*QCI!$AA$3),0)),SomaAgrup)</f>
        <v>0</v>
      </c>
      <c r="AB225" s="153">
        <f t="shared" ca="1" si="81"/>
        <v>0</v>
      </c>
      <c r="AC225" s="154" t="str">
        <f ca="1">IF($N225="","",IF(ORÇAMENTO.Descricao="","DESCRIÇÃO",IF(AND($C225="S",ORÇAMENTO.Unidade=""),"UNIDADE",IF($X225&lt;0,"VALOR NEGATIVO",IF(OR(AND(TIPOORCAMENTO="Proposto",$AG225&lt;&gt;"",$AG225&gt;0,ORÇAMENTO.CustoUnitario&gt;$AG225),AND(TIPOORCAMENTO="LICITADO",ORÇAMENTO.PrecoUnitarioLicitado&gt;$AN225)),"ACIMA REF.","")))))</f>
        <v/>
      </c>
      <c r="AD225" s="100" t="str">
        <f ca="1">IF(C225&lt;=CRONO.NivelExibicao,MAX($AD$15:OFFSET(AD225,-1,0))+IF($C225&lt;&gt;1,1,MAX(1,COUNTIF(QCI!$A$13:$A$24,OFFSET($E225,-1,0)))),"")</f>
        <v/>
      </c>
      <c r="AE225" s="110" t="b">
        <f ca="1">IF(AND($C225="S",ORÇAMENTO.CodBarra&lt;&gt;""),IF(ORÇAMENTO.Fonte="",ORÇAMENTO.CodBarra,CONCATENATE(ORÇAMENTO.Fonte," ",ORÇAMENTO.CodBarra)))</f>
        <v>0</v>
      </c>
      <c r="AF225" s="155" t="str">
        <f ca="1">IF(ISERROR(INDIRECT(ORÇAMENTO.BancoRef)),"(abra o arquivo 'Referência "&amp;Excel_BuiltIn_Database&amp;".xlsm)",IF(OR($C225&lt;&gt;"S",ORÇAMENTO.CodBarra=""),"(Sem Código)",IF(ISERROR(MATCH($AE225,INDIRECT(ORÇAMENTO.BancoRef),0)),"(Código não identificado nas referências)",MATCH($AE225,INDIRECT(ORÇAMENTO.BancoRef),0))))</f>
        <v>(abra o arquivo 'Referência 11-2024.xlsm)</v>
      </c>
      <c r="AG225" s="574">
        <f ca="1">ROUND(IF(DESONERACAO="sim",REFERENCIA.Desonerado,REFERENCIA.NaoDesonerado),2)</f>
        <v>0</v>
      </c>
      <c r="AH225" s="575">
        <f t="shared" ca="1" si="82"/>
        <v>0.22</v>
      </c>
      <c r="AJ225" s="577"/>
      <c r="AL225" s="607"/>
      <c r="AM225" s="426">
        <f t="shared" ca="1" si="83"/>
        <v>0</v>
      </c>
      <c r="AN225" s="650">
        <f t="shared" ca="1" si="84"/>
        <v>0</v>
      </c>
    </row>
    <row r="226" spans="1:40" ht="13.8" hidden="1">
      <c r="A226" t="str">
        <f t="shared" si="68"/>
        <v>S</v>
      </c>
      <c r="B226">
        <f t="shared" ca="1" si="69"/>
        <v>2</v>
      </c>
      <c r="C226" t="str">
        <f t="shared" ca="1" si="70"/>
        <v>S</v>
      </c>
      <c r="D226">
        <f t="shared" ca="1" si="71"/>
        <v>0</v>
      </c>
      <c r="E226">
        <f ca="1">IF($C226=1,OFFSET(E226,-1,0)+MAX(1,COUNTIF(QCI!$A$13:$A$24,OFFSET(ORÇAMENTO!E226,-1,0))),OFFSET(E226,-1,0))</f>
        <v>1</v>
      </c>
      <c r="F226">
        <f t="shared" ca="1" si="72"/>
        <v>5</v>
      </c>
      <c r="G226">
        <f t="shared" ca="1" si="73"/>
        <v>0</v>
      </c>
      <c r="H226">
        <f t="shared" ca="1" si="74"/>
        <v>0</v>
      </c>
      <c r="I226">
        <f t="shared" ca="1" si="75"/>
        <v>2</v>
      </c>
      <c r="J226">
        <f t="shared" ca="1" si="76"/>
        <v>0</v>
      </c>
      <c r="K226">
        <f ca="1">IF(OR($C226="S",$C226=0),0,MATCH(OFFSET($D226,0,$C226)+IF($C226&lt;&gt;1,1,COUNTIF(QCI!$A$13:$A$24,ORÇAMENTO!E226)),OFFSET($D226,1,$C226,ROW($C$264)-ROW($C226)),0))</f>
        <v>0</v>
      </c>
      <c r="L226" s="139" t="str">
        <f t="shared" ca="1" si="77"/>
        <v/>
      </c>
      <c r="M226" s="140" t="s">
        <v>199</v>
      </c>
      <c r="N226" s="141" t="str">
        <f t="shared" ca="1" si="78"/>
        <v>Serviço</v>
      </c>
      <c r="O226" s="142" t="str">
        <f t="shared" ca="1" si="79"/>
        <v>-</v>
      </c>
      <c r="P226" s="143" t="s">
        <v>247</v>
      </c>
      <c r="Q226" s="144"/>
      <c r="R226" s="145" t="str">
        <f ca="1">IF($C226="S",REFERENCIA.Descricao,"(digite a descrição aqui)")</f>
        <v>(abra o arquivo 'Referência 11-2024.xlsm)</v>
      </c>
      <c r="S226" s="146" t="str">
        <f ca="1">REFERENCIA.Unidade</f>
        <v>-</v>
      </c>
      <c r="T226" s="147">
        <f ca="1">OFFSET(CÁLCULO!H$15,ROW($T226)-ROW(T$15),0)</f>
        <v>0</v>
      </c>
      <c r="U226" s="148"/>
      <c r="V226" s="149" t="s">
        <v>156</v>
      </c>
      <c r="W226" s="147">
        <f ca="1">IF($C226="S",ROUND(IF(TIPOORCAMENTO="Proposto",ORÇAMENTO.CustoUnitario*(1+$AH226),ORÇAMENTO.PrecoUnitarioLicitado),15-13*$AF$10),0)</f>
        <v>0</v>
      </c>
      <c r="X226" s="150">
        <f ca="1">IF($C226="S",IF(Import.TipoArredondamento&lt;&gt;"TransfereGOV",VTOTAL1,SUM(OFFSET(CÁLCULO!$AA$15,ROW($X226)-ROW($X$15),1):OFFSET(CÁLCULO!$AL$15,ROW($X226)-ROW($X$15),-1))),IF($C226=0,0,ROUND(SomaAgrup,15-13*$AF$11)))</f>
        <v>0</v>
      </c>
      <c r="Y226" s="151" t="s">
        <v>245</v>
      </c>
      <c r="Z226" t="str">
        <f t="shared" ca="1" si="80"/>
        <v/>
      </c>
      <c r="AA226" s="152">
        <f ca="1">IF($C226="S",IF($Z226="CP",$X226,IF($Z226="RA",(($X226)*QCI!$AA$3),0)),SomaAgrup)</f>
        <v>0</v>
      </c>
      <c r="AB226" s="153">
        <f t="shared" ca="1" si="81"/>
        <v>0</v>
      </c>
      <c r="AC226" s="154" t="str">
        <f ca="1">IF($N226="","",IF(ORÇAMENTO.Descricao="","DESCRIÇÃO",IF(AND($C226="S",ORÇAMENTO.Unidade=""),"UNIDADE",IF($X226&lt;0,"VALOR NEGATIVO",IF(OR(AND(TIPOORCAMENTO="Proposto",$AG226&lt;&gt;"",$AG226&gt;0,ORÇAMENTO.CustoUnitario&gt;$AG226),AND(TIPOORCAMENTO="LICITADO",ORÇAMENTO.PrecoUnitarioLicitado&gt;$AN226)),"ACIMA REF.","")))))</f>
        <v/>
      </c>
      <c r="AD226" s="100" t="str">
        <f ca="1">IF(C226&lt;=CRONO.NivelExibicao,MAX($AD$15:OFFSET(AD226,-1,0))+IF($C226&lt;&gt;1,1,MAX(1,COUNTIF(QCI!$A$13:$A$24,OFFSET($E226,-1,0)))),"")</f>
        <v/>
      </c>
      <c r="AE226" s="110" t="b">
        <f ca="1">IF(AND($C226="S",ORÇAMENTO.CodBarra&lt;&gt;""),IF(ORÇAMENTO.Fonte="",ORÇAMENTO.CodBarra,CONCATENATE(ORÇAMENTO.Fonte," ",ORÇAMENTO.CodBarra)))</f>
        <v>0</v>
      </c>
      <c r="AF226" s="155" t="str">
        <f ca="1">IF(ISERROR(INDIRECT(ORÇAMENTO.BancoRef)),"(abra o arquivo 'Referência "&amp;Excel_BuiltIn_Database&amp;".xlsm)",IF(OR($C226&lt;&gt;"S",ORÇAMENTO.CodBarra=""),"(Sem Código)",IF(ISERROR(MATCH($AE226,INDIRECT(ORÇAMENTO.BancoRef),0)),"(Código não identificado nas referências)",MATCH($AE226,INDIRECT(ORÇAMENTO.BancoRef),0))))</f>
        <v>(abra o arquivo 'Referência 11-2024.xlsm)</v>
      </c>
      <c r="AG226" s="574">
        <f ca="1">ROUND(IF(DESONERACAO="sim",REFERENCIA.Desonerado,REFERENCIA.NaoDesonerado),2)</f>
        <v>0</v>
      </c>
      <c r="AH226" s="575">
        <f t="shared" ca="1" si="82"/>
        <v>0.22</v>
      </c>
      <c r="AJ226" s="577"/>
      <c r="AL226" s="607"/>
      <c r="AM226" s="426">
        <f t="shared" ca="1" si="83"/>
        <v>0</v>
      </c>
      <c r="AN226" s="650">
        <f t="shared" ca="1" si="84"/>
        <v>0</v>
      </c>
    </row>
    <row r="227" spans="1:40" ht="13.8" hidden="1">
      <c r="A227" t="str">
        <f t="shared" si="68"/>
        <v>S</v>
      </c>
      <c r="B227">
        <f t="shared" ca="1" si="69"/>
        <v>2</v>
      </c>
      <c r="C227" t="str">
        <f t="shared" ca="1" si="70"/>
        <v>S</v>
      </c>
      <c r="D227">
        <f t="shared" ca="1" si="71"/>
        <v>0</v>
      </c>
      <c r="E227">
        <f ca="1">IF($C227=1,OFFSET(E227,-1,0)+MAX(1,COUNTIF(QCI!$A$13:$A$24,OFFSET(ORÇAMENTO!E227,-1,0))),OFFSET(E227,-1,0))</f>
        <v>1</v>
      </c>
      <c r="F227">
        <f t="shared" ca="1" si="72"/>
        <v>5</v>
      </c>
      <c r="G227">
        <f t="shared" ca="1" si="73"/>
        <v>0</v>
      </c>
      <c r="H227">
        <f t="shared" ca="1" si="74"/>
        <v>0</v>
      </c>
      <c r="I227">
        <f t="shared" ca="1" si="75"/>
        <v>2</v>
      </c>
      <c r="J227">
        <f t="shared" ca="1" si="76"/>
        <v>0</v>
      </c>
      <c r="K227">
        <f ca="1">IF(OR($C227="S",$C227=0),0,MATCH(OFFSET($D227,0,$C227)+IF($C227&lt;&gt;1,1,COUNTIF(QCI!$A$13:$A$24,ORÇAMENTO!E227)),OFFSET($D227,1,$C227,ROW($C$264)-ROW($C227)),0))</f>
        <v>0</v>
      </c>
      <c r="L227" s="139" t="str">
        <f t="shared" ca="1" si="77"/>
        <v/>
      </c>
      <c r="M227" s="140" t="s">
        <v>199</v>
      </c>
      <c r="N227" s="141" t="str">
        <f t="shared" ca="1" si="78"/>
        <v>Serviço</v>
      </c>
      <c r="O227" s="142" t="str">
        <f t="shared" ca="1" si="79"/>
        <v>-</v>
      </c>
      <c r="P227" s="143" t="s">
        <v>247</v>
      </c>
      <c r="Q227" s="144"/>
      <c r="R227" s="145" t="str">
        <f ca="1">IF($C227="S",REFERENCIA.Descricao,"(digite a descrição aqui)")</f>
        <v>(abra o arquivo 'Referência 11-2024.xlsm)</v>
      </c>
      <c r="S227" s="146" t="str">
        <f ca="1">REFERENCIA.Unidade</f>
        <v>-</v>
      </c>
      <c r="T227" s="147">
        <f ca="1">OFFSET(CÁLCULO!H$15,ROW($T227)-ROW(T$15),0)</f>
        <v>0</v>
      </c>
      <c r="U227" s="148"/>
      <c r="V227" s="149" t="s">
        <v>156</v>
      </c>
      <c r="W227" s="147">
        <f ca="1">IF($C227="S",ROUND(IF(TIPOORCAMENTO="Proposto",ORÇAMENTO.CustoUnitario*(1+$AH227),ORÇAMENTO.PrecoUnitarioLicitado),15-13*$AF$10),0)</f>
        <v>0</v>
      </c>
      <c r="X227" s="150">
        <f ca="1">IF($C227="S",IF(Import.TipoArredondamento&lt;&gt;"TransfereGOV",VTOTAL1,SUM(OFFSET(CÁLCULO!$AA$15,ROW($X227)-ROW($X$15),1):OFFSET(CÁLCULO!$AL$15,ROW($X227)-ROW($X$15),-1))),IF($C227=0,0,ROUND(SomaAgrup,15-13*$AF$11)))</f>
        <v>0</v>
      </c>
      <c r="Y227" s="151" t="s">
        <v>245</v>
      </c>
      <c r="Z227" t="str">
        <f t="shared" ca="1" si="80"/>
        <v/>
      </c>
      <c r="AA227" s="152">
        <f ca="1">IF($C227="S",IF($Z227="CP",$X227,IF($Z227="RA",(($X227)*QCI!$AA$3),0)),SomaAgrup)</f>
        <v>0</v>
      </c>
      <c r="AB227" s="153">
        <f t="shared" ca="1" si="81"/>
        <v>0</v>
      </c>
      <c r="AC227" s="154" t="str">
        <f ca="1">IF($N227="","",IF(ORÇAMENTO.Descricao="","DESCRIÇÃO",IF(AND($C227="S",ORÇAMENTO.Unidade=""),"UNIDADE",IF($X227&lt;0,"VALOR NEGATIVO",IF(OR(AND(TIPOORCAMENTO="Proposto",$AG227&lt;&gt;"",$AG227&gt;0,ORÇAMENTO.CustoUnitario&gt;$AG227),AND(TIPOORCAMENTO="LICITADO",ORÇAMENTO.PrecoUnitarioLicitado&gt;$AN227)),"ACIMA REF.","")))))</f>
        <v/>
      </c>
      <c r="AD227" s="100" t="str">
        <f ca="1">IF(C227&lt;=CRONO.NivelExibicao,MAX($AD$15:OFFSET(AD227,-1,0))+IF($C227&lt;&gt;1,1,MAX(1,COUNTIF(QCI!$A$13:$A$24,OFFSET($E227,-1,0)))),"")</f>
        <v/>
      </c>
      <c r="AE227" s="110" t="b">
        <f ca="1">IF(AND($C227="S",ORÇAMENTO.CodBarra&lt;&gt;""),IF(ORÇAMENTO.Fonte="",ORÇAMENTO.CodBarra,CONCATENATE(ORÇAMENTO.Fonte," ",ORÇAMENTO.CodBarra)))</f>
        <v>0</v>
      </c>
      <c r="AF227" s="155" t="str">
        <f ca="1">IF(ISERROR(INDIRECT(ORÇAMENTO.BancoRef)),"(abra o arquivo 'Referência "&amp;Excel_BuiltIn_Database&amp;".xlsm)",IF(OR($C227&lt;&gt;"S",ORÇAMENTO.CodBarra=""),"(Sem Código)",IF(ISERROR(MATCH($AE227,INDIRECT(ORÇAMENTO.BancoRef),0)),"(Código não identificado nas referências)",MATCH($AE227,INDIRECT(ORÇAMENTO.BancoRef),0))))</f>
        <v>(abra o arquivo 'Referência 11-2024.xlsm)</v>
      </c>
      <c r="AG227" s="574">
        <f ca="1">ROUND(IF(DESONERACAO="sim",REFERENCIA.Desonerado,REFERENCIA.NaoDesonerado),2)</f>
        <v>0</v>
      </c>
      <c r="AH227" s="575">
        <f t="shared" ca="1" si="82"/>
        <v>0.22</v>
      </c>
      <c r="AJ227" s="577"/>
      <c r="AL227" s="607"/>
      <c r="AM227" s="426">
        <f t="shared" ca="1" si="83"/>
        <v>0</v>
      </c>
      <c r="AN227" s="650">
        <f t="shared" ca="1" si="84"/>
        <v>0</v>
      </c>
    </row>
    <row r="228" spans="1:40" ht="13.8" hidden="1">
      <c r="A228" t="str">
        <f t="shared" si="68"/>
        <v>S</v>
      </c>
      <c r="B228">
        <f t="shared" ca="1" si="69"/>
        <v>2</v>
      </c>
      <c r="C228" t="str">
        <f t="shared" ca="1" si="70"/>
        <v>S</v>
      </c>
      <c r="D228">
        <f t="shared" ca="1" si="71"/>
        <v>0</v>
      </c>
      <c r="E228">
        <f ca="1">IF($C228=1,OFFSET(E228,-1,0)+MAX(1,COUNTIF(QCI!$A$13:$A$24,OFFSET(ORÇAMENTO!E228,-1,0))),OFFSET(E228,-1,0))</f>
        <v>1</v>
      </c>
      <c r="F228">
        <f t="shared" ca="1" si="72"/>
        <v>5</v>
      </c>
      <c r="G228">
        <f t="shared" ca="1" si="73"/>
        <v>0</v>
      </c>
      <c r="H228">
        <f t="shared" ca="1" si="74"/>
        <v>0</v>
      </c>
      <c r="I228">
        <f t="shared" ca="1" si="75"/>
        <v>2</v>
      </c>
      <c r="J228">
        <f t="shared" ca="1" si="76"/>
        <v>0</v>
      </c>
      <c r="K228">
        <f ca="1">IF(OR($C228="S",$C228=0),0,MATCH(OFFSET($D228,0,$C228)+IF($C228&lt;&gt;1,1,COUNTIF(QCI!$A$13:$A$24,ORÇAMENTO!E228)),OFFSET($D228,1,$C228,ROW($C$264)-ROW($C228)),0))</f>
        <v>0</v>
      </c>
      <c r="L228" s="139" t="str">
        <f t="shared" ca="1" si="77"/>
        <v/>
      </c>
      <c r="M228" s="140" t="s">
        <v>199</v>
      </c>
      <c r="N228" s="141" t="str">
        <f t="shared" ca="1" si="78"/>
        <v>Serviço</v>
      </c>
      <c r="O228" s="142" t="str">
        <f t="shared" ca="1" si="79"/>
        <v>-</v>
      </c>
      <c r="P228" s="143" t="s">
        <v>247</v>
      </c>
      <c r="Q228" s="144"/>
      <c r="R228" s="145" t="str">
        <f ca="1">IF($C228="S",REFERENCIA.Descricao,"(digite a descrição aqui)")</f>
        <v>(abra o arquivo 'Referência 11-2024.xlsm)</v>
      </c>
      <c r="S228" s="146" t="str">
        <f ca="1">REFERENCIA.Unidade</f>
        <v>-</v>
      </c>
      <c r="T228" s="147">
        <f ca="1">OFFSET(CÁLCULO!H$15,ROW($T228)-ROW(T$15),0)</f>
        <v>0</v>
      </c>
      <c r="U228" s="148"/>
      <c r="V228" s="149" t="s">
        <v>156</v>
      </c>
      <c r="W228" s="147">
        <f ca="1">IF($C228="S",ROUND(IF(TIPOORCAMENTO="Proposto",ORÇAMENTO.CustoUnitario*(1+$AH228),ORÇAMENTO.PrecoUnitarioLicitado),15-13*$AF$10),0)</f>
        <v>0</v>
      </c>
      <c r="X228" s="150">
        <f ca="1">IF($C228="S",IF(Import.TipoArredondamento&lt;&gt;"TransfereGOV",VTOTAL1,SUM(OFFSET(CÁLCULO!$AA$15,ROW($X228)-ROW($X$15),1):OFFSET(CÁLCULO!$AL$15,ROW($X228)-ROW($X$15),-1))),IF($C228=0,0,ROUND(SomaAgrup,15-13*$AF$11)))</f>
        <v>0</v>
      </c>
      <c r="Y228" s="151" t="s">
        <v>245</v>
      </c>
      <c r="Z228" t="str">
        <f t="shared" ca="1" si="80"/>
        <v/>
      </c>
      <c r="AA228" s="152">
        <f ca="1">IF($C228="S",IF($Z228="CP",$X228,IF($Z228="RA",(($X228)*QCI!$AA$3),0)),SomaAgrup)</f>
        <v>0</v>
      </c>
      <c r="AB228" s="153">
        <f t="shared" ca="1" si="81"/>
        <v>0</v>
      </c>
      <c r="AC228" s="154" t="str">
        <f ca="1">IF($N228="","",IF(ORÇAMENTO.Descricao="","DESCRIÇÃO",IF(AND($C228="S",ORÇAMENTO.Unidade=""),"UNIDADE",IF($X228&lt;0,"VALOR NEGATIVO",IF(OR(AND(TIPOORCAMENTO="Proposto",$AG228&lt;&gt;"",$AG228&gt;0,ORÇAMENTO.CustoUnitario&gt;$AG228),AND(TIPOORCAMENTO="LICITADO",ORÇAMENTO.PrecoUnitarioLicitado&gt;$AN228)),"ACIMA REF.","")))))</f>
        <v/>
      </c>
      <c r="AD228" s="100" t="str">
        <f ca="1">IF(C228&lt;=CRONO.NivelExibicao,MAX($AD$15:OFFSET(AD228,-1,0))+IF($C228&lt;&gt;1,1,MAX(1,COUNTIF(QCI!$A$13:$A$24,OFFSET($E228,-1,0)))),"")</f>
        <v/>
      </c>
      <c r="AE228" s="110" t="b">
        <f ca="1">IF(AND($C228="S",ORÇAMENTO.CodBarra&lt;&gt;""),IF(ORÇAMENTO.Fonte="",ORÇAMENTO.CodBarra,CONCATENATE(ORÇAMENTO.Fonte," ",ORÇAMENTO.CodBarra)))</f>
        <v>0</v>
      </c>
      <c r="AF228" s="155" t="str">
        <f ca="1">IF(ISERROR(INDIRECT(ORÇAMENTO.BancoRef)),"(abra o arquivo 'Referência "&amp;Excel_BuiltIn_Database&amp;".xlsm)",IF(OR($C228&lt;&gt;"S",ORÇAMENTO.CodBarra=""),"(Sem Código)",IF(ISERROR(MATCH($AE228,INDIRECT(ORÇAMENTO.BancoRef),0)),"(Código não identificado nas referências)",MATCH($AE228,INDIRECT(ORÇAMENTO.BancoRef),0))))</f>
        <v>(abra o arquivo 'Referência 11-2024.xlsm)</v>
      </c>
      <c r="AG228" s="574">
        <f ca="1">ROUND(IF(DESONERACAO="sim",REFERENCIA.Desonerado,REFERENCIA.NaoDesonerado),2)</f>
        <v>0</v>
      </c>
      <c r="AH228" s="575">
        <f t="shared" ca="1" si="82"/>
        <v>0.22</v>
      </c>
      <c r="AJ228" s="577"/>
      <c r="AL228" s="607"/>
      <c r="AM228" s="426">
        <f t="shared" ca="1" si="83"/>
        <v>0</v>
      </c>
      <c r="AN228" s="650">
        <f t="shared" ca="1" si="84"/>
        <v>0</v>
      </c>
    </row>
    <row r="229" spans="1:40" ht="13.8" hidden="1">
      <c r="A229" t="str">
        <f t="shared" si="68"/>
        <v>S</v>
      </c>
      <c r="B229">
        <f t="shared" ca="1" si="69"/>
        <v>2</v>
      </c>
      <c r="C229" t="str">
        <f t="shared" ca="1" si="70"/>
        <v>S</v>
      </c>
      <c r="D229">
        <f t="shared" ca="1" si="71"/>
        <v>0</v>
      </c>
      <c r="E229">
        <f ca="1">IF($C229=1,OFFSET(E229,-1,0)+MAX(1,COUNTIF(QCI!$A$13:$A$24,OFFSET(ORÇAMENTO!E229,-1,0))),OFFSET(E229,-1,0))</f>
        <v>1</v>
      </c>
      <c r="F229">
        <f t="shared" ca="1" si="72"/>
        <v>5</v>
      </c>
      <c r="G229">
        <f t="shared" ca="1" si="73"/>
        <v>0</v>
      </c>
      <c r="H229">
        <f t="shared" ca="1" si="74"/>
        <v>0</v>
      </c>
      <c r="I229">
        <f t="shared" ca="1" si="75"/>
        <v>2</v>
      </c>
      <c r="J229">
        <f t="shared" ca="1" si="76"/>
        <v>0</v>
      </c>
      <c r="K229">
        <f ca="1">IF(OR($C229="S",$C229=0),0,MATCH(OFFSET($D229,0,$C229)+IF($C229&lt;&gt;1,1,COUNTIF(QCI!$A$13:$A$24,ORÇAMENTO!E229)),OFFSET($D229,1,$C229,ROW($C$264)-ROW($C229)),0))</f>
        <v>0</v>
      </c>
      <c r="L229" s="139" t="str">
        <f t="shared" ca="1" si="77"/>
        <v/>
      </c>
      <c r="M229" s="140" t="s">
        <v>199</v>
      </c>
      <c r="N229" s="141" t="str">
        <f t="shared" ca="1" si="78"/>
        <v>Serviço</v>
      </c>
      <c r="O229" s="142" t="str">
        <f t="shared" ca="1" si="79"/>
        <v>-</v>
      </c>
      <c r="P229" s="143" t="s">
        <v>247</v>
      </c>
      <c r="Q229" s="144"/>
      <c r="R229" s="145" t="str">
        <f ca="1">IF($C229="S",REFERENCIA.Descricao,"(digite a descrição aqui)")</f>
        <v>(abra o arquivo 'Referência 11-2024.xlsm)</v>
      </c>
      <c r="S229" s="146" t="str">
        <f ca="1">REFERENCIA.Unidade</f>
        <v>-</v>
      </c>
      <c r="T229" s="147">
        <f ca="1">OFFSET(CÁLCULO!H$15,ROW($T229)-ROW(T$15),0)</f>
        <v>0</v>
      </c>
      <c r="U229" s="148"/>
      <c r="V229" s="149" t="s">
        <v>156</v>
      </c>
      <c r="W229" s="147">
        <f ca="1">IF($C229="S",ROUND(IF(TIPOORCAMENTO="Proposto",ORÇAMENTO.CustoUnitario*(1+$AH229),ORÇAMENTO.PrecoUnitarioLicitado),15-13*$AF$10),0)</f>
        <v>0</v>
      </c>
      <c r="X229" s="150">
        <f ca="1">IF($C229="S",IF(Import.TipoArredondamento&lt;&gt;"TransfereGOV",VTOTAL1,SUM(OFFSET(CÁLCULO!$AA$15,ROW($X229)-ROW($X$15),1):OFFSET(CÁLCULO!$AL$15,ROW($X229)-ROW($X$15),-1))),IF($C229=0,0,ROUND(SomaAgrup,15-13*$AF$11)))</f>
        <v>0</v>
      </c>
      <c r="Y229" s="151" t="s">
        <v>245</v>
      </c>
      <c r="Z229" t="str">
        <f t="shared" ca="1" si="80"/>
        <v/>
      </c>
      <c r="AA229" s="152">
        <f ca="1">IF($C229="S",IF($Z229="CP",$X229,IF($Z229="RA",(($X229)*QCI!$AA$3),0)),SomaAgrup)</f>
        <v>0</v>
      </c>
      <c r="AB229" s="153">
        <f t="shared" ca="1" si="81"/>
        <v>0</v>
      </c>
      <c r="AC229" s="154" t="str">
        <f ca="1">IF($N229="","",IF(ORÇAMENTO.Descricao="","DESCRIÇÃO",IF(AND($C229="S",ORÇAMENTO.Unidade=""),"UNIDADE",IF($X229&lt;0,"VALOR NEGATIVO",IF(OR(AND(TIPOORCAMENTO="Proposto",$AG229&lt;&gt;"",$AG229&gt;0,ORÇAMENTO.CustoUnitario&gt;$AG229),AND(TIPOORCAMENTO="LICITADO",ORÇAMENTO.PrecoUnitarioLicitado&gt;$AN229)),"ACIMA REF.","")))))</f>
        <v/>
      </c>
      <c r="AD229" s="100" t="str">
        <f ca="1">IF(C229&lt;=CRONO.NivelExibicao,MAX($AD$15:OFFSET(AD229,-1,0))+IF($C229&lt;&gt;1,1,MAX(1,COUNTIF(QCI!$A$13:$A$24,OFFSET($E229,-1,0)))),"")</f>
        <v/>
      </c>
      <c r="AE229" s="110" t="b">
        <f ca="1">IF(AND($C229="S",ORÇAMENTO.CodBarra&lt;&gt;""),IF(ORÇAMENTO.Fonte="",ORÇAMENTO.CodBarra,CONCATENATE(ORÇAMENTO.Fonte," ",ORÇAMENTO.CodBarra)))</f>
        <v>0</v>
      </c>
      <c r="AF229" s="155" t="str">
        <f ca="1">IF(ISERROR(INDIRECT(ORÇAMENTO.BancoRef)),"(abra o arquivo 'Referência "&amp;Excel_BuiltIn_Database&amp;".xlsm)",IF(OR($C229&lt;&gt;"S",ORÇAMENTO.CodBarra=""),"(Sem Código)",IF(ISERROR(MATCH($AE229,INDIRECT(ORÇAMENTO.BancoRef),0)),"(Código não identificado nas referências)",MATCH($AE229,INDIRECT(ORÇAMENTO.BancoRef),0))))</f>
        <v>(abra o arquivo 'Referência 11-2024.xlsm)</v>
      </c>
      <c r="AG229" s="574">
        <f ca="1">ROUND(IF(DESONERACAO="sim",REFERENCIA.Desonerado,REFERENCIA.NaoDesonerado),2)</f>
        <v>0</v>
      </c>
      <c r="AH229" s="575">
        <f t="shared" ca="1" si="82"/>
        <v>0.22</v>
      </c>
      <c r="AJ229" s="577"/>
      <c r="AL229" s="607"/>
      <c r="AM229" s="426">
        <f t="shared" ca="1" si="83"/>
        <v>0</v>
      </c>
      <c r="AN229" s="650">
        <f t="shared" ca="1" si="84"/>
        <v>0</v>
      </c>
    </row>
    <row r="230" spans="1:40" ht="13.8" hidden="1">
      <c r="A230" t="str">
        <f t="shared" si="68"/>
        <v>S</v>
      </c>
      <c r="B230">
        <f t="shared" ca="1" si="69"/>
        <v>2</v>
      </c>
      <c r="C230" t="str">
        <f t="shared" ca="1" si="70"/>
        <v>S</v>
      </c>
      <c r="D230">
        <f t="shared" ca="1" si="71"/>
        <v>0</v>
      </c>
      <c r="E230">
        <f ca="1">IF($C230=1,OFFSET(E230,-1,0)+MAX(1,COUNTIF(QCI!$A$13:$A$24,OFFSET(ORÇAMENTO!E230,-1,0))),OFFSET(E230,-1,0))</f>
        <v>1</v>
      </c>
      <c r="F230">
        <f t="shared" ca="1" si="72"/>
        <v>5</v>
      </c>
      <c r="G230">
        <f t="shared" ca="1" si="73"/>
        <v>0</v>
      </c>
      <c r="H230">
        <f t="shared" ca="1" si="74"/>
        <v>0</v>
      </c>
      <c r="I230">
        <f t="shared" ca="1" si="75"/>
        <v>2</v>
      </c>
      <c r="J230">
        <f t="shared" ca="1" si="76"/>
        <v>0</v>
      </c>
      <c r="K230">
        <f ca="1">IF(OR($C230="S",$C230=0),0,MATCH(OFFSET($D230,0,$C230)+IF($C230&lt;&gt;1,1,COUNTIF(QCI!$A$13:$A$24,ORÇAMENTO!E230)),OFFSET($D230,1,$C230,ROW($C$264)-ROW($C230)),0))</f>
        <v>0</v>
      </c>
      <c r="L230" s="139" t="str">
        <f t="shared" ca="1" si="77"/>
        <v/>
      </c>
      <c r="M230" s="140" t="s">
        <v>199</v>
      </c>
      <c r="N230" s="141" t="str">
        <f t="shared" ca="1" si="78"/>
        <v>Serviço</v>
      </c>
      <c r="O230" s="142" t="str">
        <f t="shared" ca="1" si="79"/>
        <v>-</v>
      </c>
      <c r="P230" s="143" t="s">
        <v>247</v>
      </c>
      <c r="Q230" s="144"/>
      <c r="R230" s="145" t="str">
        <f ca="1">IF($C230="S",REFERENCIA.Descricao,"(digite a descrição aqui)")</f>
        <v>(abra o arquivo 'Referência 11-2024.xlsm)</v>
      </c>
      <c r="S230" s="146" t="str">
        <f ca="1">REFERENCIA.Unidade</f>
        <v>-</v>
      </c>
      <c r="T230" s="147">
        <f ca="1">OFFSET(CÁLCULO!H$15,ROW($T230)-ROW(T$15),0)</f>
        <v>0</v>
      </c>
      <c r="U230" s="148"/>
      <c r="V230" s="149" t="s">
        <v>156</v>
      </c>
      <c r="W230" s="147">
        <f ca="1">IF($C230="S",ROUND(IF(TIPOORCAMENTO="Proposto",ORÇAMENTO.CustoUnitario*(1+$AH230),ORÇAMENTO.PrecoUnitarioLicitado),15-13*$AF$10),0)</f>
        <v>0</v>
      </c>
      <c r="X230" s="150">
        <f ca="1">IF($C230="S",IF(Import.TipoArredondamento&lt;&gt;"TransfereGOV",VTOTAL1,SUM(OFFSET(CÁLCULO!$AA$15,ROW($X230)-ROW($X$15),1):OFFSET(CÁLCULO!$AL$15,ROW($X230)-ROW($X$15),-1))),IF($C230=0,0,ROUND(SomaAgrup,15-13*$AF$11)))</f>
        <v>0</v>
      </c>
      <c r="Y230" s="151" t="s">
        <v>245</v>
      </c>
      <c r="Z230" t="str">
        <f t="shared" ca="1" si="80"/>
        <v/>
      </c>
      <c r="AA230" s="152">
        <f ca="1">IF($C230="S",IF($Z230="CP",$X230,IF($Z230="RA",(($X230)*QCI!$AA$3),0)),SomaAgrup)</f>
        <v>0</v>
      </c>
      <c r="AB230" s="153">
        <f t="shared" ca="1" si="81"/>
        <v>0</v>
      </c>
      <c r="AC230" s="154" t="str">
        <f ca="1">IF($N230="","",IF(ORÇAMENTO.Descricao="","DESCRIÇÃO",IF(AND($C230="S",ORÇAMENTO.Unidade=""),"UNIDADE",IF($X230&lt;0,"VALOR NEGATIVO",IF(OR(AND(TIPOORCAMENTO="Proposto",$AG230&lt;&gt;"",$AG230&gt;0,ORÇAMENTO.CustoUnitario&gt;$AG230),AND(TIPOORCAMENTO="LICITADO",ORÇAMENTO.PrecoUnitarioLicitado&gt;$AN230)),"ACIMA REF.","")))))</f>
        <v/>
      </c>
      <c r="AD230" s="100" t="str">
        <f ca="1">IF(C230&lt;=CRONO.NivelExibicao,MAX($AD$15:OFFSET(AD230,-1,0))+IF($C230&lt;&gt;1,1,MAX(1,COUNTIF(QCI!$A$13:$A$24,OFFSET($E230,-1,0)))),"")</f>
        <v/>
      </c>
      <c r="AE230" s="110" t="b">
        <f ca="1">IF(AND($C230="S",ORÇAMENTO.CodBarra&lt;&gt;""),IF(ORÇAMENTO.Fonte="",ORÇAMENTO.CodBarra,CONCATENATE(ORÇAMENTO.Fonte," ",ORÇAMENTO.CodBarra)))</f>
        <v>0</v>
      </c>
      <c r="AF230" s="155" t="str">
        <f ca="1">IF(ISERROR(INDIRECT(ORÇAMENTO.BancoRef)),"(abra o arquivo 'Referência "&amp;Excel_BuiltIn_Database&amp;".xlsm)",IF(OR($C230&lt;&gt;"S",ORÇAMENTO.CodBarra=""),"(Sem Código)",IF(ISERROR(MATCH($AE230,INDIRECT(ORÇAMENTO.BancoRef),0)),"(Código não identificado nas referências)",MATCH($AE230,INDIRECT(ORÇAMENTO.BancoRef),0))))</f>
        <v>(abra o arquivo 'Referência 11-2024.xlsm)</v>
      </c>
      <c r="AG230" s="574">
        <f ca="1">ROUND(IF(DESONERACAO="sim",REFERENCIA.Desonerado,REFERENCIA.NaoDesonerado),2)</f>
        <v>0</v>
      </c>
      <c r="AH230" s="575">
        <f t="shared" ca="1" si="82"/>
        <v>0.22</v>
      </c>
      <c r="AJ230" s="577"/>
      <c r="AL230" s="607"/>
      <c r="AM230" s="426">
        <f t="shared" ca="1" si="83"/>
        <v>0</v>
      </c>
      <c r="AN230" s="650">
        <f t="shared" ca="1" si="84"/>
        <v>0</v>
      </c>
    </row>
    <row r="231" spans="1:40" ht="13.8" hidden="1">
      <c r="A231" t="str">
        <f t="shared" si="68"/>
        <v>S</v>
      </c>
      <c r="B231">
        <f t="shared" ca="1" si="69"/>
        <v>2</v>
      </c>
      <c r="C231" t="str">
        <f t="shared" ca="1" si="70"/>
        <v>S</v>
      </c>
      <c r="D231">
        <f t="shared" ca="1" si="71"/>
        <v>0</v>
      </c>
      <c r="E231">
        <f ca="1">IF($C231=1,OFFSET(E231,-1,0)+MAX(1,COUNTIF(QCI!$A$13:$A$24,OFFSET(ORÇAMENTO!E231,-1,0))),OFFSET(E231,-1,0))</f>
        <v>1</v>
      </c>
      <c r="F231">
        <f t="shared" ca="1" si="72"/>
        <v>5</v>
      </c>
      <c r="G231">
        <f t="shared" ca="1" si="73"/>
        <v>0</v>
      </c>
      <c r="H231">
        <f t="shared" ca="1" si="74"/>
        <v>0</v>
      </c>
      <c r="I231">
        <f t="shared" ca="1" si="75"/>
        <v>2</v>
      </c>
      <c r="J231">
        <f t="shared" ca="1" si="76"/>
        <v>0</v>
      </c>
      <c r="K231">
        <f ca="1">IF(OR($C231="S",$C231=0),0,MATCH(OFFSET($D231,0,$C231)+IF($C231&lt;&gt;1,1,COUNTIF(QCI!$A$13:$A$24,ORÇAMENTO!E231)),OFFSET($D231,1,$C231,ROW($C$264)-ROW($C231)),0))</f>
        <v>0</v>
      </c>
      <c r="L231" s="139" t="str">
        <f t="shared" ca="1" si="77"/>
        <v/>
      </c>
      <c r="M231" s="140" t="s">
        <v>199</v>
      </c>
      <c r="N231" s="141" t="str">
        <f t="shared" ca="1" si="78"/>
        <v>Serviço</v>
      </c>
      <c r="O231" s="142" t="str">
        <f t="shared" ca="1" si="79"/>
        <v>-</v>
      </c>
      <c r="P231" s="143" t="s">
        <v>247</v>
      </c>
      <c r="Q231" s="144"/>
      <c r="R231" s="145" t="str">
        <f ca="1">IF($C231="S",REFERENCIA.Descricao,"(digite a descrição aqui)")</f>
        <v>(abra o arquivo 'Referência 11-2024.xlsm)</v>
      </c>
      <c r="S231" s="146" t="str">
        <f ca="1">REFERENCIA.Unidade</f>
        <v>-</v>
      </c>
      <c r="T231" s="147">
        <f ca="1">OFFSET(CÁLCULO!H$15,ROW($T231)-ROW(T$15),0)</f>
        <v>0</v>
      </c>
      <c r="U231" s="148"/>
      <c r="V231" s="149" t="s">
        <v>156</v>
      </c>
      <c r="W231" s="147">
        <f ca="1">IF($C231="S",ROUND(IF(TIPOORCAMENTO="Proposto",ORÇAMENTO.CustoUnitario*(1+$AH231),ORÇAMENTO.PrecoUnitarioLicitado),15-13*$AF$10),0)</f>
        <v>0</v>
      </c>
      <c r="X231" s="150">
        <f ca="1">IF($C231="S",IF(Import.TipoArredondamento&lt;&gt;"TransfereGOV",VTOTAL1,SUM(OFFSET(CÁLCULO!$AA$15,ROW($X231)-ROW($X$15),1):OFFSET(CÁLCULO!$AL$15,ROW($X231)-ROW($X$15),-1))),IF($C231=0,0,ROUND(SomaAgrup,15-13*$AF$11)))</f>
        <v>0</v>
      </c>
      <c r="Y231" s="151" t="s">
        <v>245</v>
      </c>
      <c r="Z231" t="str">
        <f t="shared" ca="1" si="80"/>
        <v/>
      </c>
      <c r="AA231" s="152">
        <f ca="1">IF($C231="S",IF($Z231="CP",$X231,IF($Z231="RA",(($X231)*QCI!$AA$3),0)),SomaAgrup)</f>
        <v>0</v>
      </c>
      <c r="AB231" s="153">
        <f t="shared" ca="1" si="81"/>
        <v>0</v>
      </c>
      <c r="AC231" s="154" t="str">
        <f ca="1">IF($N231="","",IF(ORÇAMENTO.Descricao="","DESCRIÇÃO",IF(AND($C231="S",ORÇAMENTO.Unidade=""),"UNIDADE",IF($X231&lt;0,"VALOR NEGATIVO",IF(OR(AND(TIPOORCAMENTO="Proposto",$AG231&lt;&gt;"",$AG231&gt;0,ORÇAMENTO.CustoUnitario&gt;$AG231),AND(TIPOORCAMENTO="LICITADO",ORÇAMENTO.PrecoUnitarioLicitado&gt;$AN231)),"ACIMA REF.","")))))</f>
        <v/>
      </c>
      <c r="AD231" s="100" t="str">
        <f ca="1">IF(C231&lt;=CRONO.NivelExibicao,MAX($AD$15:OFFSET(AD231,-1,0))+IF($C231&lt;&gt;1,1,MAX(1,COUNTIF(QCI!$A$13:$A$24,OFFSET($E231,-1,0)))),"")</f>
        <v/>
      </c>
      <c r="AE231" s="110" t="b">
        <f ca="1">IF(AND($C231="S",ORÇAMENTO.CodBarra&lt;&gt;""),IF(ORÇAMENTO.Fonte="",ORÇAMENTO.CodBarra,CONCATENATE(ORÇAMENTO.Fonte," ",ORÇAMENTO.CodBarra)))</f>
        <v>0</v>
      </c>
      <c r="AF231" s="155" t="str">
        <f ca="1">IF(ISERROR(INDIRECT(ORÇAMENTO.BancoRef)),"(abra o arquivo 'Referência "&amp;Excel_BuiltIn_Database&amp;".xlsm)",IF(OR($C231&lt;&gt;"S",ORÇAMENTO.CodBarra=""),"(Sem Código)",IF(ISERROR(MATCH($AE231,INDIRECT(ORÇAMENTO.BancoRef),0)),"(Código não identificado nas referências)",MATCH($AE231,INDIRECT(ORÇAMENTO.BancoRef),0))))</f>
        <v>(abra o arquivo 'Referência 11-2024.xlsm)</v>
      </c>
      <c r="AG231" s="574">
        <f ca="1">ROUND(IF(DESONERACAO="sim",REFERENCIA.Desonerado,REFERENCIA.NaoDesonerado),2)</f>
        <v>0</v>
      </c>
      <c r="AH231" s="575">
        <f t="shared" ca="1" si="82"/>
        <v>0.22</v>
      </c>
      <c r="AJ231" s="577"/>
      <c r="AL231" s="607"/>
      <c r="AM231" s="426">
        <f t="shared" ca="1" si="83"/>
        <v>0</v>
      </c>
      <c r="AN231" s="650">
        <f t="shared" ca="1" si="84"/>
        <v>0</v>
      </c>
    </row>
    <row r="232" spans="1:40" ht="13.8" hidden="1">
      <c r="A232" t="str">
        <f t="shared" si="68"/>
        <v>S</v>
      </c>
      <c r="B232">
        <f t="shared" ca="1" si="69"/>
        <v>2</v>
      </c>
      <c r="C232" t="str">
        <f t="shared" ca="1" si="70"/>
        <v>S</v>
      </c>
      <c r="D232">
        <f t="shared" ca="1" si="71"/>
        <v>0</v>
      </c>
      <c r="E232">
        <f ca="1">IF($C232=1,OFFSET(E232,-1,0)+MAX(1,COUNTIF(QCI!$A$13:$A$24,OFFSET(ORÇAMENTO!E232,-1,0))),OFFSET(E232,-1,0))</f>
        <v>1</v>
      </c>
      <c r="F232">
        <f t="shared" ca="1" si="72"/>
        <v>5</v>
      </c>
      <c r="G232">
        <f t="shared" ca="1" si="73"/>
        <v>0</v>
      </c>
      <c r="H232">
        <f t="shared" ca="1" si="74"/>
        <v>0</v>
      </c>
      <c r="I232">
        <f t="shared" ca="1" si="75"/>
        <v>2</v>
      </c>
      <c r="J232">
        <f t="shared" ca="1" si="76"/>
        <v>0</v>
      </c>
      <c r="K232">
        <f ca="1">IF(OR($C232="S",$C232=0),0,MATCH(OFFSET($D232,0,$C232)+IF($C232&lt;&gt;1,1,COUNTIF(QCI!$A$13:$A$24,ORÇAMENTO!E232)),OFFSET($D232,1,$C232,ROW($C$264)-ROW($C232)),0))</f>
        <v>0</v>
      </c>
      <c r="L232" s="139" t="str">
        <f t="shared" ca="1" si="77"/>
        <v/>
      </c>
      <c r="M232" s="140" t="s">
        <v>199</v>
      </c>
      <c r="N232" s="141" t="str">
        <f t="shared" ca="1" si="78"/>
        <v>Serviço</v>
      </c>
      <c r="O232" s="142" t="str">
        <f t="shared" ca="1" si="79"/>
        <v>-</v>
      </c>
      <c r="P232" s="143" t="s">
        <v>247</v>
      </c>
      <c r="Q232" s="144"/>
      <c r="R232" s="145" t="str">
        <f ca="1">IF($C232="S",REFERENCIA.Descricao,"(digite a descrição aqui)")</f>
        <v>(abra o arquivo 'Referência 11-2024.xlsm)</v>
      </c>
      <c r="S232" s="146" t="str">
        <f ca="1">REFERENCIA.Unidade</f>
        <v>-</v>
      </c>
      <c r="T232" s="147">
        <f ca="1">OFFSET(CÁLCULO!H$15,ROW($T232)-ROW(T$15),0)</f>
        <v>0</v>
      </c>
      <c r="U232" s="148"/>
      <c r="V232" s="149" t="s">
        <v>156</v>
      </c>
      <c r="W232" s="147">
        <f ca="1">IF($C232="S",ROUND(IF(TIPOORCAMENTO="Proposto",ORÇAMENTO.CustoUnitario*(1+$AH232),ORÇAMENTO.PrecoUnitarioLicitado),15-13*$AF$10),0)</f>
        <v>0</v>
      </c>
      <c r="X232" s="150">
        <f ca="1">IF($C232="S",IF(Import.TipoArredondamento&lt;&gt;"TransfereGOV",VTOTAL1,SUM(OFFSET(CÁLCULO!$AA$15,ROW($X232)-ROW($X$15),1):OFFSET(CÁLCULO!$AL$15,ROW($X232)-ROW($X$15),-1))),IF($C232=0,0,ROUND(SomaAgrup,15-13*$AF$11)))</f>
        <v>0</v>
      </c>
      <c r="Y232" s="151" t="s">
        <v>245</v>
      </c>
      <c r="Z232" t="str">
        <f t="shared" ca="1" si="80"/>
        <v/>
      </c>
      <c r="AA232" s="152">
        <f ca="1">IF($C232="S",IF($Z232="CP",$X232,IF($Z232="RA",(($X232)*QCI!$AA$3),0)),SomaAgrup)</f>
        <v>0</v>
      </c>
      <c r="AB232" s="153">
        <f t="shared" ca="1" si="81"/>
        <v>0</v>
      </c>
      <c r="AC232" s="154" t="str">
        <f ca="1">IF($N232="","",IF(ORÇAMENTO.Descricao="","DESCRIÇÃO",IF(AND($C232="S",ORÇAMENTO.Unidade=""),"UNIDADE",IF($X232&lt;0,"VALOR NEGATIVO",IF(OR(AND(TIPOORCAMENTO="Proposto",$AG232&lt;&gt;"",$AG232&gt;0,ORÇAMENTO.CustoUnitario&gt;$AG232),AND(TIPOORCAMENTO="LICITADO",ORÇAMENTO.PrecoUnitarioLicitado&gt;$AN232)),"ACIMA REF.","")))))</f>
        <v/>
      </c>
      <c r="AD232" s="100" t="str">
        <f ca="1">IF(C232&lt;=CRONO.NivelExibicao,MAX($AD$15:OFFSET(AD232,-1,0))+IF($C232&lt;&gt;1,1,MAX(1,COUNTIF(QCI!$A$13:$A$24,OFFSET($E232,-1,0)))),"")</f>
        <v/>
      </c>
      <c r="AE232" s="110" t="b">
        <f ca="1">IF(AND($C232="S",ORÇAMENTO.CodBarra&lt;&gt;""),IF(ORÇAMENTO.Fonte="",ORÇAMENTO.CodBarra,CONCATENATE(ORÇAMENTO.Fonte," ",ORÇAMENTO.CodBarra)))</f>
        <v>0</v>
      </c>
      <c r="AF232" s="155" t="str">
        <f ca="1">IF(ISERROR(INDIRECT(ORÇAMENTO.BancoRef)),"(abra o arquivo 'Referência "&amp;Excel_BuiltIn_Database&amp;".xlsm)",IF(OR($C232&lt;&gt;"S",ORÇAMENTO.CodBarra=""),"(Sem Código)",IF(ISERROR(MATCH($AE232,INDIRECT(ORÇAMENTO.BancoRef),0)),"(Código não identificado nas referências)",MATCH($AE232,INDIRECT(ORÇAMENTO.BancoRef),0))))</f>
        <v>(abra o arquivo 'Referência 11-2024.xlsm)</v>
      </c>
      <c r="AG232" s="574">
        <f ca="1">ROUND(IF(DESONERACAO="sim",REFERENCIA.Desonerado,REFERENCIA.NaoDesonerado),2)</f>
        <v>0</v>
      </c>
      <c r="AH232" s="575">
        <f t="shared" ca="1" si="82"/>
        <v>0.22</v>
      </c>
      <c r="AJ232" s="577"/>
      <c r="AL232" s="607"/>
      <c r="AM232" s="426">
        <f t="shared" ca="1" si="83"/>
        <v>0</v>
      </c>
      <c r="AN232" s="650">
        <f t="shared" ca="1" si="84"/>
        <v>0</v>
      </c>
    </row>
    <row r="233" spans="1:40" ht="13.8" hidden="1">
      <c r="A233" t="str">
        <f t="shared" si="68"/>
        <v>S</v>
      </c>
      <c r="B233">
        <f t="shared" ca="1" si="69"/>
        <v>2</v>
      </c>
      <c r="C233" t="str">
        <f t="shared" ca="1" si="70"/>
        <v>S</v>
      </c>
      <c r="D233">
        <f t="shared" ca="1" si="71"/>
        <v>0</v>
      </c>
      <c r="E233">
        <f ca="1">IF($C233=1,OFFSET(E233,-1,0)+MAX(1,COUNTIF(QCI!$A$13:$A$24,OFFSET(ORÇAMENTO!E233,-1,0))),OFFSET(E233,-1,0))</f>
        <v>1</v>
      </c>
      <c r="F233">
        <f t="shared" ca="1" si="72"/>
        <v>5</v>
      </c>
      <c r="G233">
        <f t="shared" ca="1" si="73"/>
        <v>0</v>
      </c>
      <c r="H233">
        <f t="shared" ca="1" si="74"/>
        <v>0</v>
      </c>
      <c r="I233">
        <f t="shared" ca="1" si="75"/>
        <v>2</v>
      </c>
      <c r="J233">
        <f t="shared" ca="1" si="76"/>
        <v>0</v>
      </c>
      <c r="K233">
        <f ca="1">IF(OR($C233="S",$C233=0),0,MATCH(OFFSET($D233,0,$C233)+IF($C233&lt;&gt;1,1,COUNTIF(QCI!$A$13:$A$24,ORÇAMENTO!E233)),OFFSET($D233,1,$C233,ROW($C$264)-ROW($C233)),0))</f>
        <v>0</v>
      </c>
      <c r="L233" s="139" t="str">
        <f t="shared" ca="1" si="77"/>
        <v/>
      </c>
      <c r="M233" s="140" t="s">
        <v>199</v>
      </c>
      <c r="N233" s="141" t="str">
        <f t="shared" ca="1" si="78"/>
        <v>Serviço</v>
      </c>
      <c r="O233" s="142" t="str">
        <f t="shared" ca="1" si="79"/>
        <v>-</v>
      </c>
      <c r="P233" s="143" t="s">
        <v>247</v>
      </c>
      <c r="Q233" s="144"/>
      <c r="R233" s="145" t="str">
        <f ca="1">IF($C233="S",REFERENCIA.Descricao,"(digite a descrição aqui)")</f>
        <v>(abra o arquivo 'Referência 11-2024.xlsm)</v>
      </c>
      <c r="S233" s="146" t="str">
        <f ca="1">REFERENCIA.Unidade</f>
        <v>-</v>
      </c>
      <c r="T233" s="147">
        <f ca="1">OFFSET(CÁLCULO!H$15,ROW($T233)-ROW(T$15),0)</f>
        <v>0</v>
      </c>
      <c r="U233" s="148"/>
      <c r="V233" s="149" t="s">
        <v>156</v>
      </c>
      <c r="W233" s="147">
        <f ca="1">IF($C233="S",ROUND(IF(TIPOORCAMENTO="Proposto",ORÇAMENTO.CustoUnitario*(1+$AH233),ORÇAMENTO.PrecoUnitarioLicitado),15-13*$AF$10),0)</f>
        <v>0</v>
      </c>
      <c r="X233" s="150">
        <f ca="1">IF($C233="S",IF(Import.TipoArredondamento&lt;&gt;"TransfereGOV",VTOTAL1,SUM(OFFSET(CÁLCULO!$AA$15,ROW($X233)-ROW($X$15),1):OFFSET(CÁLCULO!$AL$15,ROW($X233)-ROW($X$15),-1))),IF($C233=0,0,ROUND(SomaAgrup,15-13*$AF$11)))</f>
        <v>0</v>
      </c>
      <c r="Y233" s="151" t="s">
        <v>245</v>
      </c>
      <c r="Z233" t="str">
        <f t="shared" ca="1" si="80"/>
        <v/>
      </c>
      <c r="AA233" s="152">
        <f ca="1">IF($C233="S",IF($Z233="CP",$X233,IF($Z233="RA",(($X233)*QCI!$AA$3),0)),SomaAgrup)</f>
        <v>0</v>
      </c>
      <c r="AB233" s="153">
        <f t="shared" ca="1" si="81"/>
        <v>0</v>
      </c>
      <c r="AC233" s="154" t="str">
        <f ca="1">IF($N233="","",IF(ORÇAMENTO.Descricao="","DESCRIÇÃO",IF(AND($C233="S",ORÇAMENTO.Unidade=""),"UNIDADE",IF($X233&lt;0,"VALOR NEGATIVO",IF(OR(AND(TIPOORCAMENTO="Proposto",$AG233&lt;&gt;"",$AG233&gt;0,ORÇAMENTO.CustoUnitario&gt;$AG233),AND(TIPOORCAMENTO="LICITADO",ORÇAMENTO.PrecoUnitarioLicitado&gt;$AN233)),"ACIMA REF.","")))))</f>
        <v/>
      </c>
      <c r="AD233" s="100" t="str">
        <f ca="1">IF(C233&lt;=CRONO.NivelExibicao,MAX($AD$15:OFFSET(AD233,-1,0))+IF($C233&lt;&gt;1,1,MAX(1,COUNTIF(QCI!$A$13:$A$24,OFFSET($E233,-1,0)))),"")</f>
        <v/>
      </c>
      <c r="AE233" s="110" t="b">
        <f ca="1">IF(AND($C233="S",ORÇAMENTO.CodBarra&lt;&gt;""),IF(ORÇAMENTO.Fonte="",ORÇAMENTO.CodBarra,CONCATENATE(ORÇAMENTO.Fonte," ",ORÇAMENTO.CodBarra)))</f>
        <v>0</v>
      </c>
      <c r="AF233" s="155" t="str">
        <f ca="1">IF(ISERROR(INDIRECT(ORÇAMENTO.BancoRef)),"(abra o arquivo 'Referência "&amp;Excel_BuiltIn_Database&amp;".xlsm)",IF(OR($C233&lt;&gt;"S",ORÇAMENTO.CodBarra=""),"(Sem Código)",IF(ISERROR(MATCH($AE233,INDIRECT(ORÇAMENTO.BancoRef),0)),"(Código não identificado nas referências)",MATCH($AE233,INDIRECT(ORÇAMENTO.BancoRef),0))))</f>
        <v>(abra o arquivo 'Referência 11-2024.xlsm)</v>
      </c>
      <c r="AG233" s="574">
        <f ca="1">ROUND(IF(DESONERACAO="sim",REFERENCIA.Desonerado,REFERENCIA.NaoDesonerado),2)</f>
        <v>0</v>
      </c>
      <c r="AH233" s="575">
        <f t="shared" ca="1" si="82"/>
        <v>0.22</v>
      </c>
      <c r="AJ233" s="577"/>
      <c r="AL233" s="607"/>
      <c r="AM233" s="426">
        <f t="shared" ca="1" si="83"/>
        <v>0</v>
      </c>
      <c r="AN233" s="650">
        <f t="shared" ca="1" si="84"/>
        <v>0</v>
      </c>
    </row>
    <row r="234" spans="1:40" ht="13.8" hidden="1">
      <c r="A234" t="str">
        <f t="shared" si="68"/>
        <v>S</v>
      </c>
      <c r="B234">
        <f t="shared" ca="1" si="69"/>
        <v>2</v>
      </c>
      <c r="C234" t="str">
        <f t="shared" ca="1" si="70"/>
        <v>S</v>
      </c>
      <c r="D234">
        <f t="shared" ca="1" si="71"/>
        <v>0</v>
      </c>
      <c r="E234">
        <f ca="1">IF($C234=1,OFFSET(E234,-1,0)+MAX(1,COUNTIF(QCI!$A$13:$A$24,OFFSET(ORÇAMENTO!E234,-1,0))),OFFSET(E234,-1,0))</f>
        <v>1</v>
      </c>
      <c r="F234">
        <f t="shared" ca="1" si="72"/>
        <v>5</v>
      </c>
      <c r="G234">
        <f t="shared" ca="1" si="73"/>
        <v>0</v>
      </c>
      <c r="H234">
        <f t="shared" ca="1" si="74"/>
        <v>0</v>
      </c>
      <c r="I234">
        <f t="shared" ca="1" si="75"/>
        <v>2</v>
      </c>
      <c r="J234">
        <f t="shared" ca="1" si="76"/>
        <v>0</v>
      </c>
      <c r="K234">
        <f ca="1">IF(OR($C234="S",$C234=0),0,MATCH(OFFSET($D234,0,$C234)+IF($C234&lt;&gt;1,1,COUNTIF(QCI!$A$13:$A$24,ORÇAMENTO!E234)),OFFSET($D234,1,$C234,ROW($C$264)-ROW($C234)),0))</f>
        <v>0</v>
      </c>
      <c r="L234" s="139" t="str">
        <f t="shared" ca="1" si="77"/>
        <v/>
      </c>
      <c r="M234" s="140" t="s">
        <v>199</v>
      </c>
      <c r="N234" s="141" t="str">
        <f t="shared" ca="1" si="78"/>
        <v>Serviço</v>
      </c>
      <c r="O234" s="142" t="str">
        <f t="shared" ca="1" si="79"/>
        <v>-</v>
      </c>
      <c r="P234" s="143" t="s">
        <v>247</v>
      </c>
      <c r="Q234" s="144"/>
      <c r="R234" s="145" t="str">
        <f ca="1">IF($C234="S",REFERENCIA.Descricao,"(digite a descrição aqui)")</f>
        <v>(abra o arquivo 'Referência 11-2024.xlsm)</v>
      </c>
      <c r="S234" s="146" t="str">
        <f ca="1">REFERENCIA.Unidade</f>
        <v>-</v>
      </c>
      <c r="T234" s="147">
        <f ca="1">OFFSET(CÁLCULO!H$15,ROW($T234)-ROW(T$15),0)</f>
        <v>0</v>
      </c>
      <c r="U234" s="148"/>
      <c r="V234" s="149" t="s">
        <v>156</v>
      </c>
      <c r="W234" s="147">
        <f ca="1">IF($C234="S",ROUND(IF(TIPOORCAMENTO="Proposto",ORÇAMENTO.CustoUnitario*(1+$AH234),ORÇAMENTO.PrecoUnitarioLicitado),15-13*$AF$10),0)</f>
        <v>0</v>
      </c>
      <c r="X234" s="150">
        <f ca="1">IF($C234="S",IF(Import.TipoArredondamento&lt;&gt;"TransfereGOV",VTOTAL1,SUM(OFFSET(CÁLCULO!$AA$15,ROW($X234)-ROW($X$15),1):OFFSET(CÁLCULO!$AL$15,ROW($X234)-ROW($X$15),-1))),IF($C234=0,0,ROUND(SomaAgrup,15-13*$AF$11)))</f>
        <v>0</v>
      </c>
      <c r="Y234" s="151" t="s">
        <v>245</v>
      </c>
      <c r="Z234" t="str">
        <f t="shared" ca="1" si="80"/>
        <v/>
      </c>
      <c r="AA234" s="152">
        <f ca="1">IF($C234="S",IF($Z234="CP",$X234,IF($Z234="RA",(($X234)*QCI!$AA$3),0)),SomaAgrup)</f>
        <v>0</v>
      </c>
      <c r="AB234" s="153">
        <f t="shared" ca="1" si="81"/>
        <v>0</v>
      </c>
      <c r="AC234" s="154" t="str">
        <f ca="1">IF($N234="","",IF(ORÇAMENTO.Descricao="","DESCRIÇÃO",IF(AND($C234="S",ORÇAMENTO.Unidade=""),"UNIDADE",IF($X234&lt;0,"VALOR NEGATIVO",IF(OR(AND(TIPOORCAMENTO="Proposto",$AG234&lt;&gt;"",$AG234&gt;0,ORÇAMENTO.CustoUnitario&gt;$AG234),AND(TIPOORCAMENTO="LICITADO",ORÇAMENTO.PrecoUnitarioLicitado&gt;$AN234)),"ACIMA REF.","")))))</f>
        <v/>
      </c>
      <c r="AD234" s="100" t="str">
        <f ca="1">IF(C234&lt;=CRONO.NivelExibicao,MAX($AD$15:OFFSET(AD234,-1,0))+IF($C234&lt;&gt;1,1,MAX(1,COUNTIF(QCI!$A$13:$A$24,OFFSET($E234,-1,0)))),"")</f>
        <v/>
      </c>
      <c r="AE234" s="110" t="b">
        <f ca="1">IF(AND($C234="S",ORÇAMENTO.CodBarra&lt;&gt;""),IF(ORÇAMENTO.Fonte="",ORÇAMENTO.CodBarra,CONCATENATE(ORÇAMENTO.Fonte," ",ORÇAMENTO.CodBarra)))</f>
        <v>0</v>
      </c>
      <c r="AF234" s="155" t="str">
        <f ca="1">IF(ISERROR(INDIRECT(ORÇAMENTO.BancoRef)),"(abra o arquivo 'Referência "&amp;Excel_BuiltIn_Database&amp;".xlsm)",IF(OR($C234&lt;&gt;"S",ORÇAMENTO.CodBarra=""),"(Sem Código)",IF(ISERROR(MATCH($AE234,INDIRECT(ORÇAMENTO.BancoRef),0)),"(Código não identificado nas referências)",MATCH($AE234,INDIRECT(ORÇAMENTO.BancoRef),0))))</f>
        <v>(abra o arquivo 'Referência 11-2024.xlsm)</v>
      </c>
      <c r="AG234" s="574">
        <f ca="1">ROUND(IF(DESONERACAO="sim",REFERENCIA.Desonerado,REFERENCIA.NaoDesonerado),2)</f>
        <v>0</v>
      </c>
      <c r="AH234" s="575">
        <f t="shared" ca="1" si="82"/>
        <v>0.22</v>
      </c>
      <c r="AJ234" s="577"/>
      <c r="AL234" s="607"/>
      <c r="AM234" s="426">
        <f t="shared" ca="1" si="83"/>
        <v>0</v>
      </c>
      <c r="AN234" s="650">
        <f t="shared" ca="1" si="84"/>
        <v>0</v>
      </c>
    </row>
    <row r="235" spans="1:40" ht="13.8" hidden="1">
      <c r="A235" t="str">
        <f t="shared" si="68"/>
        <v>S</v>
      </c>
      <c r="B235">
        <f t="shared" ca="1" si="69"/>
        <v>2</v>
      </c>
      <c r="C235" t="str">
        <f t="shared" ca="1" si="70"/>
        <v>S</v>
      </c>
      <c r="D235">
        <f t="shared" ca="1" si="71"/>
        <v>0</v>
      </c>
      <c r="E235">
        <f ca="1">IF($C235=1,OFFSET(E235,-1,0)+MAX(1,COUNTIF(QCI!$A$13:$A$24,OFFSET(ORÇAMENTO!E235,-1,0))),OFFSET(E235,-1,0))</f>
        <v>1</v>
      </c>
      <c r="F235">
        <f t="shared" ca="1" si="72"/>
        <v>5</v>
      </c>
      <c r="G235">
        <f t="shared" ca="1" si="73"/>
        <v>0</v>
      </c>
      <c r="H235">
        <f t="shared" ca="1" si="74"/>
        <v>0</v>
      </c>
      <c r="I235">
        <f t="shared" ca="1" si="75"/>
        <v>2</v>
      </c>
      <c r="J235">
        <f t="shared" ca="1" si="76"/>
        <v>0</v>
      </c>
      <c r="K235">
        <f ca="1">IF(OR($C235="S",$C235=0),0,MATCH(OFFSET($D235,0,$C235)+IF($C235&lt;&gt;1,1,COUNTIF(QCI!$A$13:$A$24,ORÇAMENTO!E235)),OFFSET($D235,1,$C235,ROW($C$264)-ROW($C235)),0))</f>
        <v>0</v>
      </c>
      <c r="L235" s="139" t="str">
        <f t="shared" ca="1" si="77"/>
        <v/>
      </c>
      <c r="M235" s="140" t="s">
        <v>199</v>
      </c>
      <c r="N235" s="141" t="str">
        <f t="shared" ca="1" si="78"/>
        <v>Serviço</v>
      </c>
      <c r="O235" s="142" t="str">
        <f t="shared" ca="1" si="79"/>
        <v>-</v>
      </c>
      <c r="P235" s="143" t="s">
        <v>247</v>
      </c>
      <c r="Q235" s="144"/>
      <c r="R235" s="145" t="str">
        <f ca="1">IF($C235="S",REFERENCIA.Descricao,"(digite a descrição aqui)")</f>
        <v>(abra o arquivo 'Referência 11-2024.xlsm)</v>
      </c>
      <c r="S235" s="146" t="str">
        <f ca="1">REFERENCIA.Unidade</f>
        <v>-</v>
      </c>
      <c r="T235" s="147">
        <f ca="1">OFFSET(CÁLCULO!H$15,ROW($T235)-ROW(T$15),0)</f>
        <v>0</v>
      </c>
      <c r="U235" s="148"/>
      <c r="V235" s="149" t="s">
        <v>156</v>
      </c>
      <c r="W235" s="147">
        <f ca="1">IF($C235="S",ROUND(IF(TIPOORCAMENTO="Proposto",ORÇAMENTO.CustoUnitario*(1+$AH235),ORÇAMENTO.PrecoUnitarioLicitado),15-13*$AF$10),0)</f>
        <v>0</v>
      </c>
      <c r="X235" s="150">
        <f ca="1">IF($C235="S",IF(Import.TipoArredondamento&lt;&gt;"TransfereGOV",VTOTAL1,SUM(OFFSET(CÁLCULO!$AA$15,ROW($X235)-ROW($X$15),1):OFFSET(CÁLCULO!$AL$15,ROW($X235)-ROW($X$15),-1))),IF($C235=0,0,ROUND(SomaAgrup,15-13*$AF$11)))</f>
        <v>0</v>
      </c>
      <c r="Y235" s="151" t="s">
        <v>245</v>
      </c>
      <c r="Z235" t="str">
        <f t="shared" ca="1" si="80"/>
        <v/>
      </c>
      <c r="AA235" s="152">
        <f ca="1">IF($C235="S",IF($Z235="CP",$X235,IF($Z235="RA",(($X235)*QCI!$AA$3),0)),SomaAgrup)</f>
        <v>0</v>
      </c>
      <c r="AB235" s="153">
        <f t="shared" ca="1" si="81"/>
        <v>0</v>
      </c>
      <c r="AC235" s="154" t="str">
        <f ca="1">IF($N235="","",IF(ORÇAMENTO.Descricao="","DESCRIÇÃO",IF(AND($C235="S",ORÇAMENTO.Unidade=""),"UNIDADE",IF($X235&lt;0,"VALOR NEGATIVO",IF(OR(AND(TIPOORCAMENTO="Proposto",$AG235&lt;&gt;"",$AG235&gt;0,ORÇAMENTO.CustoUnitario&gt;$AG235),AND(TIPOORCAMENTO="LICITADO",ORÇAMENTO.PrecoUnitarioLicitado&gt;$AN235)),"ACIMA REF.","")))))</f>
        <v/>
      </c>
      <c r="AD235" s="100" t="str">
        <f ca="1">IF(C235&lt;=CRONO.NivelExibicao,MAX($AD$15:OFFSET(AD235,-1,0))+IF($C235&lt;&gt;1,1,MAX(1,COUNTIF(QCI!$A$13:$A$24,OFFSET($E235,-1,0)))),"")</f>
        <v/>
      </c>
      <c r="AE235" s="110" t="b">
        <f ca="1">IF(AND($C235="S",ORÇAMENTO.CodBarra&lt;&gt;""),IF(ORÇAMENTO.Fonte="",ORÇAMENTO.CodBarra,CONCATENATE(ORÇAMENTO.Fonte," ",ORÇAMENTO.CodBarra)))</f>
        <v>0</v>
      </c>
      <c r="AF235" s="155" t="str">
        <f ca="1">IF(ISERROR(INDIRECT(ORÇAMENTO.BancoRef)),"(abra o arquivo 'Referência "&amp;Excel_BuiltIn_Database&amp;".xlsm)",IF(OR($C235&lt;&gt;"S",ORÇAMENTO.CodBarra=""),"(Sem Código)",IF(ISERROR(MATCH($AE235,INDIRECT(ORÇAMENTO.BancoRef),0)),"(Código não identificado nas referências)",MATCH($AE235,INDIRECT(ORÇAMENTO.BancoRef),0))))</f>
        <v>(abra o arquivo 'Referência 11-2024.xlsm)</v>
      </c>
      <c r="AG235" s="574">
        <f ca="1">ROUND(IF(DESONERACAO="sim",REFERENCIA.Desonerado,REFERENCIA.NaoDesonerado),2)</f>
        <v>0</v>
      </c>
      <c r="AH235" s="575">
        <f t="shared" ca="1" si="82"/>
        <v>0.22</v>
      </c>
      <c r="AJ235" s="577"/>
      <c r="AL235" s="607"/>
      <c r="AM235" s="426">
        <f t="shared" ca="1" si="83"/>
        <v>0</v>
      </c>
      <c r="AN235" s="650">
        <f t="shared" ca="1" si="84"/>
        <v>0</v>
      </c>
    </row>
    <row r="236" spans="1:40" ht="13.8" hidden="1">
      <c r="A236" t="str">
        <f t="shared" si="68"/>
        <v>S</v>
      </c>
      <c r="B236">
        <f t="shared" ca="1" si="69"/>
        <v>2</v>
      </c>
      <c r="C236" t="str">
        <f t="shared" ca="1" si="70"/>
        <v>S</v>
      </c>
      <c r="D236">
        <f t="shared" ca="1" si="71"/>
        <v>0</v>
      </c>
      <c r="E236">
        <f ca="1">IF($C236=1,OFFSET(E236,-1,0)+MAX(1,COUNTIF(QCI!$A$13:$A$24,OFFSET(ORÇAMENTO!E236,-1,0))),OFFSET(E236,-1,0))</f>
        <v>1</v>
      </c>
      <c r="F236">
        <f t="shared" ca="1" si="72"/>
        <v>5</v>
      </c>
      <c r="G236">
        <f t="shared" ca="1" si="73"/>
        <v>0</v>
      </c>
      <c r="H236">
        <f t="shared" ca="1" si="74"/>
        <v>0</v>
      </c>
      <c r="I236">
        <f t="shared" ca="1" si="75"/>
        <v>2</v>
      </c>
      <c r="J236">
        <f t="shared" ca="1" si="76"/>
        <v>0</v>
      </c>
      <c r="K236">
        <f ca="1">IF(OR($C236="S",$C236=0),0,MATCH(OFFSET($D236,0,$C236)+IF($C236&lt;&gt;1,1,COUNTIF(QCI!$A$13:$A$24,ORÇAMENTO!E236)),OFFSET($D236,1,$C236,ROW($C$264)-ROW($C236)),0))</f>
        <v>0</v>
      </c>
      <c r="L236" s="139" t="str">
        <f t="shared" ca="1" si="77"/>
        <v/>
      </c>
      <c r="M236" s="140" t="s">
        <v>199</v>
      </c>
      <c r="N236" s="141" t="str">
        <f t="shared" ca="1" si="78"/>
        <v>Serviço</v>
      </c>
      <c r="O236" s="142" t="str">
        <f t="shared" ca="1" si="79"/>
        <v>-</v>
      </c>
      <c r="P236" s="143" t="s">
        <v>247</v>
      </c>
      <c r="Q236" s="144"/>
      <c r="R236" s="145" t="str">
        <f ca="1">IF($C236="S",REFERENCIA.Descricao,"(digite a descrição aqui)")</f>
        <v>(abra o arquivo 'Referência 11-2024.xlsm)</v>
      </c>
      <c r="S236" s="146" t="str">
        <f ca="1">REFERENCIA.Unidade</f>
        <v>-</v>
      </c>
      <c r="T236" s="147">
        <f ca="1">OFFSET(CÁLCULO!H$15,ROW($T236)-ROW(T$15),0)</f>
        <v>0</v>
      </c>
      <c r="U236" s="148"/>
      <c r="V236" s="149" t="s">
        <v>156</v>
      </c>
      <c r="W236" s="147">
        <f ca="1">IF($C236="S",ROUND(IF(TIPOORCAMENTO="Proposto",ORÇAMENTO.CustoUnitario*(1+$AH236),ORÇAMENTO.PrecoUnitarioLicitado),15-13*$AF$10),0)</f>
        <v>0</v>
      </c>
      <c r="X236" s="150">
        <f ca="1">IF($C236="S",IF(Import.TipoArredondamento&lt;&gt;"TransfereGOV",VTOTAL1,SUM(OFFSET(CÁLCULO!$AA$15,ROW($X236)-ROW($X$15),1):OFFSET(CÁLCULO!$AL$15,ROW($X236)-ROW($X$15),-1))),IF($C236=0,0,ROUND(SomaAgrup,15-13*$AF$11)))</f>
        <v>0</v>
      </c>
      <c r="Y236" s="151" t="s">
        <v>245</v>
      </c>
      <c r="Z236" t="str">
        <f t="shared" ca="1" si="80"/>
        <v/>
      </c>
      <c r="AA236" s="152">
        <f ca="1">IF($C236="S",IF($Z236="CP",$X236,IF($Z236="RA",(($X236)*QCI!$AA$3),0)),SomaAgrup)</f>
        <v>0</v>
      </c>
      <c r="AB236" s="153">
        <f t="shared" ca="1" si="81"/>
        <v>0</v>
      </c>
      <c r="AC236" s="154" t="str">
        <f ca="1">IF($N236="","",IF(ORÇAMENTO.Descricao="","DESCRIÇÃO",IF(AND($C236="S",ORÇAMENTO.Unidade=""),"UNIDADE",IF($X236&lt;0,"VALOR NEGATIVO",IF(OR(AND(TIPOORCAMENTO="Proposto",$AG236&lt;&gt;"",$AG236&gt;0,ORÇAMENTO.CustoUnitario&gt;$AG236),AND(TIPOORCAMENTO="LICITADO",ORÇAMENTO.PrecoUnitarioLicitado&gt;$AN236)),"ACIMA REF.","")))))</f>
        <v/>
      </c>
      <c r="AD236" s="100" t="str">
        <f ca="1">IF(C236&lt;=CRONO.NivelExibicao,MAX($AD$15:OFFSET(AD236,-1,0))+IF($C236&lt;&gt;1,1,MAX(1,COUNTIF(QCI!$A$13:$A$24,OFFSET($E236,-1,0)))),"")</f>
        <v/>
      </c>
      <c r="AE236" s="110" t="b">
        <f ca="1">IF(AND($C236="S",ORÇAMENTO.CodBarra&lt;&gt;""),IF(ORÇAMENTO.Fonte="",ORÇAMENTO.CodBarra,CONCATENATE(ORÇAMENTO.Fonte," ",ORÇAMENTO.CodBarra)))</f>
        <v>0</v>
      </c>
      <c r="AF236" s="155" t="str">
        <f ca="1">IF(ISERROR(INDIRECT(ORÇAMENTO.BancoRef)),"(abra o arquivo 'Referência "&amp;Excel_BuiltIn_Database&amp;".xlsm)",IF(OR($C236&lt;&gt;"S",ORÇAMENTO.CodBarra=""),"(Sem Código)",IF(ISERROR(MATCH($AE236,INDIRECT(ORÇAMENTO.BancoRef),0)),"(Código não identificado nas referências)",MATCH($AE236,INDIRECT(ORÇAMENTO.BancoRef),0))))</f>
        <v>(abra o arquivo 'Referência 11-2024.xlsm)</v>
      </c>
      <c r="AG236" s="574">
        <f ca="1">ROUND(IF(DESONERACAO="sim",REFERENCIA.Desonerado,REFERENCIA.NaoDesonerado),2)</f>
        <v>0</v>
      </c>
      <c r="AH236" s="575">
        <f t="shared" ca="1" si="82"/>
        <v>0.22</v>
      </c>
      <c r="AJ236" s="577"/>
      <c r="AL236" s="607"/>
      <c r="AM236" s="426">
        <f t="shared" ca="1" si="83"/>
        <v>0</v>
      </c>
      <c r="AN236" s="650">
        <f t="shared" ca="1" si="84"/>
        <v>0</v>
      </c>
    </row>
    <row r="237" spans="1:40" ht="13.8" hidden="1">
      <c r="A237" t="str">
        <f t="shared" si="68"/>
        <v>S</v>
      </c>
      <c r="B237">
        <f t="shared" ca="1" si="69"/>
        <v>2</v>
      </c>
      <c r="C237" t="str">
        <f t="shared" ca="1" si="70"/>
        <v>S</v>
      </c>
      <c r="D237">
        <f t="shared" ca="1" si="71"/>
        <v>0</v>
      </c>
      <c r="E237">
        <f ca="1">IF($C237=1,OFFSET(E237,-1,0)+MAX(1,COUNTIF(QCI!$A$13:$A$24,OFFSET(ORÇAMENTO!E237,-1,0))),OFFSET(E237,-1,0))</f>
        <v>1</v>
      </c>
      <c r="F237">
        <f t="shared" ca="1" si="72"/>
        <v>5</v>
      </c>
      <c r="G237">
        <f t="shared" ca="1" si="73"/>
        <v>0</v>
      </c>
      <c r="H237">
        <f t="shared" ca="1" si="74"/>
        <v>0</v>
      </c>
      <c r="I237">
        <f t="shared" ca="1" si="75"/>
        <v>2</v>
      </c>
      <c r="J237">
        <f t="shared" ca="1" si="76"/>
        <v>0</v>
      </c>
      <c r="K237">
        <f ca="1">IF(OR($C237="S",$C237=0),0,MATCH(OFFSET($D237,0,$C237)+IF($C237&lt;&gt;1,1,COUNTIF(QCI!$A$13:$A$24,ORÇAMENTO!E237)),OFFSET($D237,1,$C237,ROW($C$264)-ROW($C237)),0))</f>
        <v>0</v>
      </c>
      <c r="L237" s="139" t="str">
        <f t="shared" ca="1" si="77"/>
        <v/>
      </c>
      <c r="M237" s="140" t="s">
        <v>199</v>
      </c>
      <c r="N237" s="141" t="str">
        <f t="shared" ca="1" si="78"/>
        <v>Serviço</v>
      </c>
      <c r="O237" s="142" t="str">
        <f t="shared" ca="1" si="79"/>
        <v>-</v>
      </c>
      <c r="P237" s="143" t="s">
        <v>247</v>
      </c>
      <c r="Q237" s="144"/>
      <c r="R237" s="145" t="str">
        <f ca="1">IF($C237="S",REFERENCIA.Descricao,"(digite a descrição aqui)")</f>
        <v>(abra o arquivo 'Referência 11-2024.xlsm)</v>
      </c>
      <c r="S237" s="146" t="str">
        <f ca="1">REFERENCIA.Unidade</f>
        <v>-</v>
      </c>
      <c r="T237" s="147">
        <f ca="1">OFFSET(CÁLCULO!H$15,ROW($T237)-ROW(T$15),0)</f>
        <v>0</v>
      </c>
      <c r="U237" s="148"/>
      <c r="V237" s="149" t="s">
        <v>156</v>
      </c>
      <c r="W237" s="147">
        <f ca="1">IF($C237="S",ROUND(IF(TIPOORCAMENTO="Proposto",ORÇAMENTO.CustoUnitario*(1+$AH237),ORÇAMENTO.PrecoUnitarioLicitado),15-13*$AF$10),0)</f>
        <v>0</v>
      </c>
      <c r="X237" s="150">
        <f ca="1">IF($C237="S",IF(Import.TipoArredondamento&lt;&gt;"TransfereGOV",VTOTAL1,SUM(OFFSET(CÁLCULO!$AA$15,ROW($X237)-ROW($X$15),1):OFFSET(CÁLCULO!$AL$15,ROW($X237)-ROW($X$15),-1))),IF($C237=0,0,ROUND(SomaAgrup,15-13*$AF$11)))</f>
        <v>0</v>
      </c>
      <c r="Y237" s="151" t="s">
        <v>245</v>
      </c>
      <c r="Z237" t="str">
        <f t="shared" ca="1" si="80"/>
        <v/>
      </c>
      <c r="AA237" s="152">
        <f ca="1">IF($C237="S",IF($Z237="CP",$X237,IF($Z237="RA",(($X237)*QCI!$AA$3),0)),SomaAgrup)</f>
        <v>0</v>
      </c>
      <c r="AB237" s="153">
        <f t="shared" ca="1" si="81"/>
        <v>0</v>
      </c>
      <c r="AC237" s="154" t="str">
        <f ca="1">IF($N237="","",IF(ORÇAMENTO.Descricao="","DESCRIÇÃO",IF(AND($C237="S",ORÇAMENTO.Unidade=""),"UNIDADE",IF($X237&lt;0,"VALOR NEGATIVO",IF(OR(AND(TIPOORCAMENTO="Proposto",$AG237&lt;&gt;"",$AG237&gt;0,ORÇAMENTO.CustoUnitario&gt;$AG237),AND(TIPOORCAMENTO="LICITADO",ORÇAMENTO.PrecoUnitarioLicitado&gt;$AN237)),"ACIMA REF.","")))))</f>
        <v/>
      </c>
      <c r="AD237" s="100" t="str">
        <f ca="1">IF(C237&lt;=CRONO.NivelExibicao,MAX($AD$15:OFFSET(AD237,-1,0))+IF($C237&lt;&gt;1,1,MAX(1,COUNTIF(QCI!$A$13:$A$24,OFFSET($E237,-1,0)))),"")</f>
        <v/>
      </c>
      <c r="AE237" s="110" t="b">
        <f ca="1">IF(AND($C237="S",ORÇAMENTO.CodBarra&lt;&gt;""),IF(ORÇAMENTO.Fonte="",ORÇAMENTO.CodBarra,CONCATENATE(ORÇAMENTO.Fonte," ",ORÇAMENTO.CodBarra)))</f>
        <v>0</v>
      </c>
      <c r="AF237" s="155" t="str">
        <f ca="1">IF(ISERROR(INDIRECT(ORÇAMENTO.BancoRef)),"(abra o arquivo 'Referência "&amp;Excel_BuiltIn_Database&amp;".xlsm)",IF(OR($C237&lt;&gt;"S",ORÇAMENTO.CodBarra=""),"(Sem Código)",IF(ISERROR(MATCH($AE237,INDIRECT(ORÇAMENTO.BancoRef),0)),"(Código não identificado nas referências)",MATCH($AE237,INDIRECT(ORÇAMENTO.BancoRef),0))))</f>
        <v>(abra o arquivo 'Referência 11-2024.xlsm)</v>
      </c>
      <c r="AG237" s="574">
        <f ca="1">ROUND(IF(DESONERACAO="sim",REFERENCIA.Desonerado,REFERENCIA.NaoDesonerado),2)</f>
        <v>0</v>
      </c>
      <c r="AH237" s="575">
        <f t="shared" ca="1" si="82"/>
        <v>0.22</v>
      </c>
      <c r="AJ237" s="577"/>
      <c r="AL237" s="607"/>
      <c r="AM237" s="426">
        <f t="shared" ca="1" si="83"/>
        <v>0</v>
      </c>
      <c r="AN237" s="650">
        <f t="shared" ca="1" si="84"/>
        <v>0</v>
      </c>
    </row>
    <row r="238" spans="1:40" ht="13.8" hidden="1">
      <c r="A238" t="str">
        <f t="shared" si="68"/>
        <v>S</v>
      </c>
      <c r="B238">
        <f t="shared" ca="1" si="69"/>
        <v>2</v>
      </c>
      <c r="C238" t="str">
        <f t="shared" ca="1" si="70"/>
        <v>S</v>
      </c>
      <c r="D238">
        <f t="shared" ca="1" si="71"/>
        <v>0</v>
      </c>
      <c r="E238">
        <f ca="1">IF($C238=1,OFFSET(E238,-1,0)+MAX(1,COUNTIF(QCI!$A$13:$A$24,OFFSET(ORÇAMENTO!E238,-1,0))),OFFSET(E238,-1,0))</f>
        <v>1</v>
      </c>
      <c r="F238">
        <f t="shared" ca="1" si="72"/>
        <v>5</v>
      </c>
      <c r="G238">
        <f t="shared" ca="1" si="73"/>
        <v>0</v>
      </c>
      <c r="H238">
        <f t="shared" ca="1" si="74"/>
        <v>0</v>
      </c>
      <c r="I238">
        <f t="shared" ca="1" si="75"/>
        <v>2</v>
      </c>
      <c r="J238">
        <f t="shared" ca="1" si="76"/>
        <v>0</v>
      </c>
      <c r="K238">
        <f ca="1">IF(OR($C238="S",$C238=0),0,MATCH(OFFSET($D238,0,$C238)+IF($C238&lt;&gt;1,1,COUNTIF(QCI!$A$13:$A$24,ORÇAMENTO!E238)),OFFSET($D238,1,$C238,ROW($C$264)-ROW($C238)),0))</f>
        <v>0</v>
      </c>
      <c r="L238" s="139" t="str">
        <f t="shared" ca="1" si="77"/>
        <v/>
      </c>
      <c r="M238" s="140" t="s">
        <v>199</v>
      </c>
      <c r="N238" s="141" t="str">
        <f t="shared" ca="1" si="78"/>
        <v>Serviço</v>
      </c>
      <c r="O238" s="142" t="str">
        <f t="shared" ca="1" si="79"/>
        <v>-</v>
      </c>
      <c r="P238" s="143" t="s">
        <v>247</v>
      </c>
      <c r="Q238" s="144"/>
      <c r="R238" s="145" t="str">
        <f ca="1">IF($C238="S",REFERENCIA.Descricao,"(digite a descrição aqui)")</f>
        <v>(abra o arquivo 'Referência 11-2024.xlsm)</v>
      </c>
      <c r="S238" s="146" t="str">
        <f ca="1">REFERENCIA.Unidade</f>
        <v>-</v>
      </c>
      <c r="T238" s="147">
        <f ca="1">OFFSET(CÁLCULO!H$15,ROW($T238)-ROW(T$15),0)</f>
        <v>0</v>
      </c>
      <c r="U238" s="148"/>
      <c r="V238" s="149" t="s">
        <v>156</v>
      </c>
      <c r="W238" s="147">
        <f ca="1">IF($C238="S",ROUND(IF(TIPOORCAMENTO="Proposto",ORÇAMENTO.CustoUnitario*(1+$AH238),ORÇAMENTO.PrecoUnitarioLicitado),15-13*$AF$10),0)</f>
        <v>0</v>
      </c>
      <c r="X238" s="150">
        <f ca="1">IF($C238="S",IF(Import.TipoArredondamento&lt;&gt;"TransfereGOV",VTOTAL1,SUM(OFFSET(CÁLCULO!$AA$15,ROW($X238)-ROW($X$15),1):OFFSET(CÁLCULO!$AL$15,ROW($X238)-ROW($X$15),-1))),IF($C238=0,0,ROUND(SomaAgrup,15-13*$AF$11)))</f>
        <v>0</v>
      </c>
      <c r="Y238" s="151" t="s">
        <v>245</v>
      </c>
      <c r="Z238" t="str">
        <f t="shared" ca="1" si="80"/>
        <v/>
      </c>
      <c r="AA238" s="152">
        <f ca="1">IF($C238="S",IF($Z238="CP",$X238,IF($Z238="RA",(($X238)*QCI!$AA$3),0)),SomaAgrup)</f>
        <v>0</v>
      </c>
      <c r="AB238" s="153">
        <f t="shared" ca="1" si="81"/>
        <v>0</v>
      </c>
      <c r="AC238" s="154" t="str">
        <f ca="1">IF($N238="","",IF(ORÇAMENTO.Descricao="","DESCRIÇÃO",IF(AND($C238="S",ORÇAMENTO.Unidade=""),"UNIDADE",IF($X238&lt;0,"VALOR NEGATIVO",IF(OR(AND(TIPOORCAMENTO="Proposto",$AG238&lt;&gt;"",$AG238&gt;0,ORÇAMENTO.CustoUnitario&gt;$AG238),AND(TIPOORCAMENTO="LICITADO",ORÇAMENTO.PrecoUnitarioLicitado&gt;$AN238)),"ACIMA REF.","")))))</f>
        <v/>
      </c>
      <c r="AD238" s="100" t="str">
        <f ca="1">IF(C238&lt;=CRONO.NivelExibicao,MAX($AD$15:OFFSET(AD238,-1,0))+IF($C238&lt;&gt;1,1,MAX(1,COUNTIF(QCI!$A$13:$A$24,OFFSET($E238,-1,0)))),"")</f>
        <v/>
      </c>
      <c r="AE238" s="110" t="b">
        <f ca="1">IF(AND($C238="S",ORÇAMENTO.CodBarra&lt;&gt;""),IF(ORÇAMENTO.Fonte="",ORÇAMENTO.CodBarra,CONCATENATE(ORÇAMENTO.Fonte," ",ORÇAMENTO.CodBarra)))</f>
        <v>0</v>
      </c>
      <c r="AF238" s="155" t="str">
        <f ca="1">IF(ISERROR(INDIRECT(ORÇAMENTO.BancoRef)),"(abra o arquivo 'Referência "&amp;Excel_BuiltIn_Database&amp;".xlsm)",IF(OR($C238&lt;&gt;"S",ORÇAMENTO.CodBarra=""),"(Sem Código)",IF(ISERROR(MATCH($AE238,INDIRECT(ORÇAMENTO.BancoRef),0)),"(Código não identificado nas referências)",MATCH($AE238,INDIRECT(ORÇAMENTO.BancoRef),0))))</f>
        <v>(abra o arquivo 'Referência 11-2024.xlsm)</v>
      </c>
      <c r="AG238" s="574">
        <f ca="1">ROUND(IF(DESONERACAO="sim",REFERENCIA.Desonerado,REFERENCIA.NaoDesonerado),2)</f>
        <v>0</v>
      </c>
      <c r="AH238" s="575">
        <f t="shared" ca="1" si="82"/>
        <v>0.22</v>
      </c>
      <c r="AJ238" s="577"/>
      <c r="AL238" s="607"/>
      <c r="AM238" s="426">
        <f t="shared" ca="1" si="83"/>
        <v>0</v>
      </c>
      <c r="AN238" s="650">
        <f t="shared" ca="1" si="84"/>
        <v>0</v>
      </c>
    </row>
    <row r="239" spans="1:40" ht="13.8" hidden="1">
      <c r="A239" t="str">
        <f t="shared" si="68"/>
        <v>S</v>
      </c>
      <c r="B239">
        <f t="shared" ca="1" si="69"/>
        <v>2</v>
      </c>
      <c r="C239" t="str">
        <f t="shared" ca="1" si="70"/>
        <v>S</v>
      </c>
      <c r="D239">
        <f t="shared" ca="1" si="71"/>
        <v>0</v>
      </c>
      <c r="E239">
        <f ca="1">IF($C239=1,OFFSET(E239,-1,0)+MAX(1,COUNTIF(QCI!$A$13:$A$24,OFFSET(ORÇAMENTO!E239,-1,0))),OFFSET(E239,-1,0))</f>
        <v>1</v>
      </c>
      <c r="F239">
        <f t="shared" ca="1" si="72"/>
        <v>5</v>
      </c>
      <c r="G239">
        <f t="shared" ca="1" si="73"/>
        <v>0</v>
      </c>
      <c r="H239">
        <f t="shared" ca="1" si="74"/>
        <v>0</v>
      </c>
      <c r="I239">
        <f t="shared" ca="1" si="75"/>
        <v>2</v>
      </c>
      <c r="J239">
        <f t="shared" ca="1" si="76"/>
        <v>0</v>
      </c>
      <c r="K239">
        <f ca="1">IF(OR($C239="S",$C239=0),0,MATCH(OFFSET($D239,0,$C239)+IF($C239&lt;&gt;1,1,COUNTIF(QCI!$A$13:$A$24,ORÇAMENTO!E239)),OFFSET($D239,1,$C239,ROW($C$264)-ROW($C239)),0))</f>
        <v>0</v>
      </c>
      <c r="L239" s="139" t="str">
        <f t="shared" ca="1" si="77"/>
        <v/>
      </c>
      <c r="M239" s="140" t="s">
        <v>199</v>
      </c>
      <c r="N239" s="141" t="str">
        <f t="shared" ca="1" si="78"/>
        <v>Serviço</v>
      </c>
      <c r="O239" s="142" t="str">
        <f t="shared" ca="1" si="79"/>
        <v>-</v>
      </c>
      <c r="P239" s="143" t="s">
        <v>247</v>
      </c>
      <c r="Q239" s="144"/>
      <c r="R239" s="145" t="str">
        <f ca="1">IF($C239="S",REFERENCIA.Descricao,"(digite a descrição aqui)")</f>
        <v>(abra o arquivo 'Referência 11-2024.xlsm)</v>
      </c>
      <c r="S239" s="146" t="str">
        <f ca="1">REFERENCIA.Unidade</f>
        <v>-</v>
      </c>
      <c r="T239" s="147">
        <f ca="1">OFFSET(CÁLCULO!H$15,ROW($T239)-ROW(T$15),0)</f>
        <v>0</v>
      </c>
      <c r="U239" s="148"/>
      <c r="V239" s="149" t="s">
        <v>156</v>
      </c>
      <c r="W239" s="147">
        <f ca="1">IF($C239="S",ROUND(IF(TIPOORCAMENTO="Proposto",ORÇAMENTO.CustoUnitario*(1+$AH239),ORÇAMENTO.PrecoUnitarioLicitado),15-13*$AF$10),0)</f>
        <v>0</v>
      </c>
      <c r="X239" s="150">
        <f ca="1">IF($C239="S",IF(Import.TipoArredondamento&lt;&gt;"TransfereGOV",VTOTAL1,SUM(OFFSET(CÁLCULO!$AA$15,ROW($X239)-ROW($X$15),1):OFFSET(CÁLCULO!$AL$15,ROW($X239)-ROW($X$15),-1))),IF($C239=0,0,ROUND(SomaAgrup,15-13*$AF$11)))</f>
        <v>0</v>
      </c>
      <c r="Y239" s="151" t="s">
        <v>245</v>
      </c>
      <c r="Z239" t="str">
        <f t="shared" ca="1" si="80"/>
        <v/>
      </c>
      <c r="AA239" s="152">
        <f ca="1">IF($C239="S",IF($Z239="CP",$X239,IF($Z239="RA",(($X239)*QCI!$AA$3),0)),SomaAgrup)</f>
        <v>0</v>
      </c>
      <c r="AB239" s="153">
        <f t="shared" ca="1" si="81"/>
        <v>0</v>
      </c>
      <c r="AC239" s="154" t="str">
        <f ca="1">IF($N239="","",IF(ORÇAMENTO.Descricao="","DESCRIÇÃO",IF(AND($C239="S",ORÇAMENTO.Unidade=""),"UNIDADE",IF($X239&lt;0,"VALOR NEGATIVO",IF(OR(AND(TIPOORCAMENTO="Proposto",$AG239&lt;&gt;"",$AG239&gt;0,ORÇAMENTO.CustoUnitario&gt;$AG239),AND(TIPOORCAMENTO="LICITADO",ORÇAMENTO.PrecoUnitarioLicitado&gt;$AN239)),"ACIMA REF.","")))))</f>
        <v/>
      </c>
      <c r="AD239" s="100" t="str">
        <f ca="1">IF(C239&lt;=CRONO.NivelExibicao,MAX($AD$15:OFFSET(AD239,-1,0))+IF($C239&lt;&gt;1,1,MAX(1,COUNTIF(QCI!$A$13:$A$24,OFFSET($E239,-1,0)))),"")</f>
        <v/>
      </c>
      <c r="AE239" s="110" t="b">
        <f ca="1">IF(AND($C239="S",ORÇAMENTO.CodBarra&lt;&gt;""),IF(ORÇAMENTO.Fonte="",ORÇAMENTO.CodBarra,CONCATENATE(ORÇAMENTO.Fonte," ",ORÇAMENTO.CodBarra)))</f>
        <v>0</v>
      </c>
      <c r="AF239" s="155" t="str">
        <f ca="1">IF(ISERROR(INDIRECT(ORÇAMENTO.BancoRef)),"(abra o arquivo 'Referência "&amp;Excel_BuiltIn_Database&amp;".xlsm)",IF(OR($C239&lt;&gt;"S",ORÇAMENTO.CodBarra=""),"(Sem Código)",IF(ISERROR(MATCH($AE239,INDIRECT(ORÇAMENTO.BancoRef),0)),"(Código não identificado nas referências)",MATCH($AE239,INDIRECT(ORÇAMENTO.BancoRef),0))))</f>
        <v>(abra o arquivo 'Referência 11-2024.xlsm)</v>
      </c>
      <c r="AG239" s="574">
        <f ca="1">ROUND(IF(DESONERACAO="sim",REFERENCIA.Desonerado,REFERENCIA.NaoDesonerado),2)</f>
        <v>0</v>
      </c>
      <c r="AH239" s="575">
        <f t="shared" ca="1" si="82"/>
        <v>0.22</v>
      </c>
      <c r="AJ239" s="577"/>
      <c r="AL239" s="607"/>
      <c r="AM239" s="426">
        <f t="shared" ca="1" si="83"/>
        <v>0</v>
      </c>
      <c r="AN239" s="650">
        <f t="shared" ca="1" si="84"/>
        <v>0</v>
      </c>
    </row>
    <row r="240" spans="1:40" ht="13.8" hidden="1">
      <c r="A240" t="str">
        <f t="shared" si="68"/>
        <v>S</v>
      </c>
      <c r="B240">
        <f t="shared" ca="1" si="69"/>
        <v>2</v>
      </c>
      <c r="C240" t="str">
        <f t="shared" ca="1" si="70"/>
        <v>S</v>
      </c>
      <c r="D240">
        <f t="shared" ca="1" si="71"/>
        <v>0</v>
      </c>
      <c r="E240">
        <f ca="1">IF($C240=1,OFFSET(E240,-1,0)+MAX(1,COUNTIF(QCI!$A$13:$A$24,OFFSET(ORÇAMENTO!E240,-1,0))),OFFSET(E240,-1,0))</f>
        <v>1</v>
      </c>
      <c r="F240">
        <f t="shared" ca="1" si="72"/>
        <v>5</v>
      </c>
      <c r="G240">
        <f t="shared" ca="1" si="73"/>
        <v>0</v>
      </c>
      <c r="H240">
        <f t="shared" ca="1" si="74"/>
        <v>0</v>
      </c>
      <c r="I240">
        <f t="shared" ca="1" si="75"/>
        <v>2</v>
      </c>
      <c r="J240">
        <f t="shared" ca="1" si="76"/>
        <v>0</v>
      </c>
      <c r="K240">
        <f ca="1">IF(OR($C240="S",$C240=0),0,MATCH(OFFSET($D240,0,$C240)+IF($C240&lt;&gt;1,1,COUNTIF(QCI!$A$13:$A$24,ORÇAMENTO!E240)),OFFSET($D240,1,$C240,ROW($C$264)-ROW($C240)),0))</f>
        <v>0</v>
      </c>
      <c r="L240" s="139" t="str">
        <f t="shared" ca="1" si="77"/>
        <v/>
      </c>
      <c r="M240" s="140" t="s">
        <v>199</v>
      </c>
      <c r="N240" s="141" t="str">
        <f t="shared" ca="1" si="78"/>
        <v>Serviço</v>
      </c>
      <c r="O240" s="142" t="str">
        <f t="shared" ca="1" si="79"/>
        <v>-</v>
      </c>
      <c r="P240" s="143" t="s">
        <v>247</v>
      </c>
      <c r="Q240" s="144"/>
      <c r="R240" s="145" t="str">
        <f ca="1">IF($C240="S",REFERENCIA.Descricao,"(digite a descrição aqui)")</f>
        <v>(abra o arquivo 'Referência 11-2024.xlsm)</v>
      </c>
      <c r="S240" s="146" t="str">
        <f ca="1">REFERENCIA.Unidade</f>
        <v>-</v>
      </c>
      <c r="T240" s="147">
        <f ca="1">OFFSET(CÁLCULO!H$15,ROW($T240)-ROW(T$15),0)</f>
        <v>0</v>
      </c>
      <c r="U240" s="148"/>
      <c r="V240" s="149" t="s">
        <v>156</v>
      </c>
      <c r="W240" s="147">
        <f ca="1">IF($C240="S",ROUND(IF(TIPOORCAMENTO="Proposto",ORÇAMENTO.CustoUnitario*(1+$AH240),ORÇAMENTO.PrecoUnitarioLicitado),15-13*$AF$10),0)</f>
        <v>0</v>
      </c>
      <c r="X240" s="150">
        <f ca="1">IF($C240="S",IF(Import.TipoArredondamento&lt;&gt;"TransfereGOV",VTOTAL1,SUM(OFFSET(CÁLCULO!$AA$15,ROW($X240)-ROW($X$15),1):OFFSET(CÁLCULO!$AL$15,ROW($X240)-ROW($X$15),-1))),IF($C240=0,0,ROUND(SomaAgrup,15-13*$AF$11)))</f>
        <v>0</v>
      </c>
      <c r="Y240" s="151" t="s">
        <v>245</v>
      </c>
      <c r="Z240" t="str">
        <f t="shared" ca="1" si="80"/>
        <v/>
      </c>
      <c r="AA240" s="152">
        <f ca="1">IF($C240="S",IF($Z240="CP",$X240,IF($Z240="RA",(($X240)*QCI!$AA$3),0)),SomaAgrup)</f>
        <v>0</v>
      </c>
      <c r="AB240" s="153">
        <f t="shared" ca="1" si="81"/>
        <v>0</v>
      </c>
      <c r="AC240" s="154" t="str">
        <f ca="1">IF($N240="","",IF(ORÇAMENTO.Descricao="","DESCRIÇÃO",IF(AND($C240="S",ORÇAMENTO.Unidade=""),"UNIDADE",IF($X240&lt;0,"VALOR NEGATIVO",IF(OR(AND(TIPOORCAMENTO="Proposto",$AG240&lt;&gt;"",$AG240&gt;0,ORÇAMENTO.CustoUnitario&gt;$AG240),AND(TIPOORCAMENTO="LICITADO",ORÇAMENTO.PrecoUnitarioLicitado&gt;$AN240)),"ACIMA REF.","")))))</f>
        <v/>
      </c>
      <c r="AD240" s="100" t="str">
        <f ca="1">IF(C240&lt;=CRONO.NivelExibicao,MAX($AD$15:OFFSET(AD240,-1,0))+IF($C240&lt;&gt;1,1,MAX(1,COUNTIF(QCI!$A$13:$A$24,OFFSET($E240,-1,0)))),"")</f>
        <v/>
      </c>
      <c r="AE240" s="110" t="b">
        <f ca="1">IF(AND($C240="S",ORÇAMENTO.CodBarra&lt;&gt;""),IF(ORÇAMENTO.Fonte="",ORÇAMENTO.CodBarra,CONCATENATE(ORÇAMENTO.Fonte," ",ORÇAMENTO.CodBarra)))</f>
        <v>0</v>
      </c>
      <c r="AF240" s="155" t="str">
        <f ca="1">IF(ISERROR(INDIRECT(ORÇAMENTO.BancoRef)),"(abra o arquivo 'Referência "&amp;Excel_BuiltIn_Database&amp;".xlsm)",IF(OR($C240&lt;&gt;"S",ORÇAMENTO.CodBarra=""),"(Sem Código)",IF(ISERROR(MATCH($AE240,INDIRECT(ORÇAMENTO.BancoRef),0)),"(Código não identificado nas referências)",MATCH($AE240,INDIRECT(ORÇAMENTO.BancoRef),0))))</f>
        <v>(abra o arquivo 'Referência 11-2024.xlsm)</v>
      </c>
      <c r="AG240" s="574">
        <f ca="1">ROUND(IF(DESONERACAO="sim",REFERENCIA.Desonerado,REFERENCIA.NaoDesonerado),2)</f>
        <v>0</v>
      </c>
      <c r="AH240" s="575">
        <f t="shared" ca="1" si="82"/>
        <v>0.22</v>
      </c>
      <c r="AJ240" s="577"/>
      <c r="AL240" s="607"/>
      <c r="AM240" s="426">
        <f t="shared" ca="1" si="83"/>
        <v>0</v>
      </c>
      <c r="AN240" s="650">
        <f t="shared" ca="1" si="84"/>
        <v>0</v>
      </c>
    </row>
    <row r="241" spans="1:40" ht="13.8" hidden="1">
      <c r="A241" t="str">
        <f t="shared" si="68"/>
        <v>S</v>
      </c>
      <c r="B241">
        <f t="shared" ca="1" si="69"/>
        <v>2</v>
      </c>
      <c r="C241" t="str">
        <f t="shared" ca="1" si="70"/>
        <v>S</v>
      </c>
      <c r="D241">
        <f t="shared" ca="1" si="71"/>
        <v>0</v>
      </c>
      <c r="E241">
        <f ca="1">IF($C241=1,OFFSET(E241,-1,0)+MAX(1,COUNTIF(QCI!$A$13:$A$24,OFFSET(ORÇAMENTO!E241,-1,0))),OFFSET(E241,-1,0))</f>
        <v>1</v>
      </c>
      <c r="F241">
        <f t="shared" ca="1" si="72"/>
        <v>5</v>
      </c>
      <c r="G241">
        <f t="shared" ca="1" si="73"/>
        <v>0</v>
      </c>
      <c r="H241">
        <f t="shared" ca="1" si="74"/>
        <v>0</v>
      </c>
      <c r="I241">
        <f t="shared" ca="1" si="75"/>
        <v>2</v>
      </c>
      <c r="J241">
        <f t="shared" ca="1" si="76"/>
        <v>0</v>
      </c>
      <c r="K241">
        <f ca="1">IF(OR($C241="S",$C241=0),0,MATCH(OFFSET($D241,0,$C241)+IF($C241&lt;&gt;1,1,COUNTIF(QCI!$A$13:$A$24,ORÇAMENTO!E241)),OFFSET($D241,1,$C241,ROW($C$264)-ROW($C241)),0))</f>
        <v>0</v>
      </c>
      <c r="L241" s="139" t="str">
        <f t="shared" ca="1" si="77"/>
        <v/>
      </c>
      <c r="M241" s="140" t="s">
        <v>199</v>
      </c>
      <c r="N241" s="141" t="str">
        <f t="shared" ca="1" si="78"/>
        <v>Serviço</v>
      </c>
      <c r="O241" s="142" t="str">
        <f t="shared" ca="1" si="79"/>
        <v>-</v>
      </c>
      <c r="P241" s="143" t="s">
        <v>247</v>
      </c>
      <c r="Q241" s="144"/>
      <c r="R241" s="145" t="str">
        <f ca="1">IF($C241="S",REFERENCIA.Descricao,"(digite a descrição aqui)")</f>
        <v>(abra o arquivo 'Referência 11-2024.xlsm)</v>
      </c>
      <c r="S241" s="146" t="str">
        <f ca="1">REFERENCIA.Unidade</f>
        <v>-</v>
      </c>
      <c r="T241" s="147">
        <f ca="1">OFFSET(CÁLCULO!H$15,ROW($T241)-ROW(T$15),0)</f>
        <v>0</v>
      </c>
      <c r="U241" s="148"/>
      <c r="V241" s="149" t="s">
        <v>156</v>
      </c>
      <c r="W241" s="147">
        <f ca="1">IF($C241="S",ROUND(IF(TIPOORCAMENTO="Proposto",ORÇAMENTO.CustoUnitario*(1+$AH241),ORÇAMENTO.PrecoUnitarioLicitado),15-13*$AF$10),0)</f>
        <v>0</v>
      </c>
      <c r="X241" s="150">
        <f ca="1">IF($C241="S",IF(Import.TipoArredondamento&lt;&gt;"TransfereGOV",VTOTAL1,SUM(OFFSET(CÁLCULO!$AA$15,ROW($X241)-ROW($X$15),1):OFFSET(CÁLCULO!$AL$15,ROW($X241)-ROW($X$15),-1))),IF($C241=0,0,ROUND(SomaAgrup,15-13*$AF$11)))</f>
        <v>0</v>
      </c>
      <c r="Y241" s="151" t="s">
        <v>245</v>
      </c>
      <c r="Z241" t="str">
        <f t="shared" ca="1" si="80"/>
        <v/>
      </c>
      <c r="AA241" s="152">
        <f ca="1">IF($C241="S",IF($Z241="CP",$X241,IF($Z241="RA",(($X241)*QCI!$AA$3),0)),SomaAgrup)</f>
        <v>0</v>
      </c>
      <c r="AB241" s="153">
        <f t="shared" ca="1" si="81"/>
        <v>0</v>
      </c>
      <c r="AC241" s="154" t="str">
        <f ca="1">IF($N241="","",IF(ORÇAMENTO.Descricao="","DESCRIÇÃO",IF(AND($C241="S",ORÇAMENTO.Unidade=""),"UNIDADE",IF($X241&lt;0,"VALOR NEGATIVO",IF(OR(AND(TIPOORCAMENTO="Proposto",$AG241&lt;&gt;"",$AG241&gt;0,ORÇAMENTO.CustoUnitario&gt;$AG241),AND(TIPOORCAMENTO="LICITADO",ORÇAMENTO.PrecoUnitarioLicitado&gt;$AN241)),"ACIMA REF.","")))))</f>
        <v/>
      </c>
      <c r="AD241" s="100" t="str">
        <f ca="1">IF(C241&lt;=CRONO.NivelExibicao,MAX($AD$15:OFFSET(AD241,-1,0))+IF($C241&lt;&gt;1,1,MAX(1,COUNTIF(QCI!$A$13:$A$24,OFFSET($E241,-1,0)))),"")</f>
        <v/>
      </c>
      <c r="AE241" s="110" t="b">
        <f ca="1">IF(AND($C241="S",ORÇAMENTO.CodBarra&lt;&gt;""),IF(ORÇAMENTO.Fonte="",ORÇAMENTO.CodBarra,CONCATENATE(ORÇAMENTO.Fonte," ",ORÇAMENTO.CodBarra)))</f>
        <v>0</v>
      </c>
      <c r="AF241" s="155" t="str">
        <f ca="1">IF(ISERROR(INDIRECT(ORÇAMENTO.BancoRef)),"(abra o arquivo 'Referência "&amp;Excel_BuiltIn_Database&amp;".xlsm)",IF(OR($C241&lt;&gt;"S",ORÇAMENTO.CodBarra=""),"(Sem Código)",IF(ISERROR(MATCH($AE241,INDIRECT(ORÇAMENTO.BancoRef),0)),"(Código não identificado nas referências)",MATCH($AE241,INDIRECT(ORÇAMENTO.BancoRef),0))))</f>
        <v>(abra o arquivo 'Referência 11-2024.xlsm)</v>
      </c>
      <c r="AG241" s="574">
        <f ca="1">ROUND(IF(DESONERACAO="sim",REFERENCIA.Desonerado,REFERENCIA.NaoDesonerado),2)</f>
        <v>0</v>
      </c>
      <c r="AH241" s="575">
        <f t="shared" ca="1" si="82"/>
        <v>0.22</v>
      </c>
      <c r="AJ241" s="577"/>
      <c r="AL241" s="607"/>
      <c r="AM241" s="426">
        <f t="shared" ca="1" si="83"/>
        <v>0</v>
      </c>
      <c r="AN241" s="650">
        <f t="shared" ca="1" si="84"/>
        <v>0</v>
      </c>
    </row>
    <row r="242" spans="1:40" ht="13.8" hidden="1">
      <c r="A242" t="str">
        <f t="shared" si="68"/>
        <v>S</v>
      </c>
      <c r="B242">
        <f t="shared" ca="1" si="69"/>
        <v>2</v>
      </c>
      <c r="C242" t="str">
        <f t="shared" ca="1" si="70"/>
        <v>S</v>
      </c>
      <c r="D242">
        <f t="shared" ca="1" si="71"/>
        <v>0</v>
      </c>
      <c r="E242">
        <f ca="1">IF($C242=1,OFFSET(E242,-1,0)+MAX(1,COUNTIF(QCI!$A$13:$A$24,OFFSET(ORÇAMENTO!E242,-1,0))),OFFSET(E242,-1,0))</f>
        <v>1</v>
      </c>
      <c r="F242">
        <f t="shared" ca="1" si="72"/>
        <v>5</v>
      </c>
      <c r="G242">
        <f t="shared" ca="1" si="73"/>
        <v>0</v>
      </c>
      <c r="H242">
        <f t="shared" ca="1" si="74"/>
        <v>0</v>
      </c>
      <c r="I242">
        <f t="shared" ca="1" si="75"/>
        <v>2</v>
      </c>
      <c r="J242">
        <f t="shared" ca="1" si="76"/>
        <v>0</v>
      </c>
      <c r="K242">
        <f ca="1">IF(OR($C242="S",$C242=0),0,MATCH(OFFSET($D242,0,$C242)+IF($C242&lt;&gt;1,1,COUNTIF(QCI!$A$13:$A$24,ORÇAMENTO!E242)),OFFSET($D242,1,$C242,ROW($C$264)-ROW($C242)),0))</f>
        <v>0</v>
      </c>
      <c r="L242" s="139" t="str">
        <f t="shared" ca="1" si="77"/>
        <v/>
      </c>
      <c r="M242" s="140" t="s">
        <v>199</v>
      </c>
      <c r="N242" s="141" t="str">
        <f t="shared" ca="1" si="78"/>
        <v>Serviço</v>
      </c>
      <c r="O242" s="142" t="str">
        <f t="shared" ca="1" si="79"/>
        <v>-</v>
      </c>
      <c r="P242" s="143" t="s">
        <v>247</v>
      </c>
      <c r="Q242" s="144"/>
      <c r="R242" s="145" t="str">
        <f ca="1">IF($C242="S",REFERENCIA.Descricao,"(digite a descrição aqui)")</f>
        <v>(abra o arquivo 'Referência 11-2024.xlsm)</v>
      </c>
      <c r="S242" s="146" t="str">
        <f ca="1">REFERENCIA.Unidade</f>
        <v>-</v>
      </c>
      <c r="T242" s="147">
        <f ca="1">OFFSET(CÁLCULO!H$15,ROW($T242)-ROW(T$15),0)</f>
        <v>0</v>
      </c>
      <c r="U242" s="148"/>
      <c r="V242" s="149" t="s">
        <v>156</v>
      </c>
      <c r="W242" s="147">
        <f ca="1">IF($C242="S",ROUND(IF(TIPOORCAMENTO="Proposto",ORÇAMENTO.CustoUnitario*(1+$AH242),ORÇAMENTO.PrecoUnitarioLicitado),15-13*$AF$10),0)</f>
        <v>0</v>
      </c>
      <c r="X242" s="150">
        <f ca="1">IF($C242="S",IF(Import.TipoArredondamento&lt;&gt;"TransfereGOV",VTOTAL1,SUM(OFFSET(CÁLCULO!$AA$15,ROW($X242)-ROW($X$15),1):OFFSET(CÁLCULO!$AL$15,ROW($X242)-ROW($X$15),-1))),IF($C242=0,0,ROUND(SomaAgrup,15-13*$AF$11)))</f>
        <v>0</v>
      </c>
      <c r="Y242" s="151" t="s">
        <v>245</v>
      </c>
      <c r="Z242" t="str">
        <f t="shared" ca="1" si="80"/>
        <v/>
      </c>
      <c r="AA242" s="152">
        <f ca="1">IF($C242="S",IF($Z242="CP",$X242,IF($Z242="RA",(($X242)*QCI!$AA$3),0)),SomaAgrup)</f>
        <v>0</v>
      </c>
      <c r="AB242" s="153">
        <f t="shared" ca="1" si="81"/>
        <v>0</v>
      </c>
      <c r="AC242" s="154" t="str">
        <f ca="1">IF($N242="","",IF(ORÇAMENTO.Descricao="","DESCRIÇÃO",IF(AND($C242="S",ORÇAMENTO.Unidade=""),"UNIDADE",IF($X242&lt;0,"VALOR NEGATIVO",IF(OR(AND(TIPOORCAMENTO="Proposto",$AG242&lt;&gt;"",$AG242&gt;0,ORÇAMENTO.CustoUnitario&gt;$AG242),AND(TIPOORCAMENTO="LICITADO",ORÇAMENTO.PrecoUnitarioLicitado&gt;$AN242)),"ACIMA REF.","")))))</f>
        <v/>
      </c>
      <c r="AD242" s="100" t="str">
        <f ca="1">IF(C242&lt;=CRONO.NivelExibicao,MAX($AD$15:OFFSET(AD242,-1,0))+IF($C242&lt;&gt;1,1,MAX(1,COUNTIF(QCI!$A$13:$A$24,OFFSET($E242,-1,0)))),"")</f>
        <v/>
      </c>
      <c r="AE242" s="110" t="b">
        <f ca="1">IF(AND($C242="S",ORÇAMENTO.CodBarra&lt;&gt;""),IF(ORÇAMENTO.Fonte="",ORÇAMENTO.CodBarra,CONCATENATE(ORÇAMENTO.Fonte," ",ORÇAMENTO.CodBarra)))</f>
        <v>0</v>
      </c>
      <c r="AF242" s="155" t="str">
        <f ca="1">IF(ISERROR(INDIRECT(ORÇAMENTO.BancoRef)),"(abra o arquivo 'Referência "&amp;Excel_BuiltIn_Database&amp;".xlsm)",IF(OR($C242&lt;&gt;"S",ORÇAMENTO.CodBarra=""),"(Sem Código)",IF(ISERROR(MATCH($AE242,INDIRECT(ORÇAMENTO.BancoRef),0)),"(Código não identificado nas referências)",MATCH($AE242,INDIRECT(ORÇAMENTO.BancoRef),0))))</f>
        <v>(abra o arquivo 'Referência 11-2024.xlsm)</v>
      </c>
      <c r="AG242" s="574">
        <f ca="1">ROUND(IF(DESONERACAO="sim",REFERENCIA.Desonerado,REFERENCIA.NaoDesonerado),2)</f>
        <v>0</v>
      </c>
      <c r="AH242" s="575">
        <f t="shared" ca="1" si="82"/>
        <v>0.22</v>
      </c>
      <c r="AJ242" s="577"/>
      <c r="AL242" s="607"/>
      <c r="AM242" s="426">
        <f t="shared" ca="1" si="83"/>
        <v>0</v>
      </c>
      <c r="AN242" s="650">
        <f t="shared" ca="1" si="84"/>
        <v>0</v>
      </c>
    </row>
    <row r="243" spans="1:40" ht="13.8" hidden="1">
      <c r="A243" t="str">
        <f t="shared" si="68"/>
        <v>S</v>
      </c>
      <c r="B243">
        <f t="shared" ca="1" si="69"/>
        <v>2</v>
      </c>
      <c r="C243" t="str">
        <f t="shared" ca="1" si="70"/>
        <v>S</v>
      </c>
      <c r="D243">
        <f t="shared" ca="1" si="71"/>
        <v>0</v>
      </c>
      <c r="E243">
        <f ca="1">IF($C243=1,OFFSET(E243,-1,0)+MAX(1,COUNTIF(QCI!$A$13:$A$24,OFFSET(ORÇAMENTO!E243,-1,0))),OFFSET(E243,-1,0))</f>
        <v>1</v>
      </c>
      <c r="F243">
        <f t="shared" ca="1" si="72"/>
        <v>5</v>
      </c>
      <c r="G243">
        <f t="shared" ca="1" si="73"/>
        <v>0</v>
      </c>
      <c r="H243">
        <f t="shared" ca="1" si="74"/>
        <v>0</v>
      </c>
      <c r="I243">
        <f t="shared" ca="1" si="75"/>
        <v>2</v>
      </c>
      <c r="J243">
        <f t="shared" ca="1" si="76"/>
        <v>0</v>
      </c>
      <c r="K243">
        <f ca="1">IF(OR($C243="S",$C243=0),0,MATCH(OFFSET($D243,0,$C243)+IF($C243&lt;&gt;1,1,COUNTIF(QCI!$A$13:$A$24,ORÇAMENTO!E243)),OFFSET($D243,1,$C243,ROW($C$264)-ROW($C243)),0))</f>
        <v>0</v>
      </c>
      <c r="L243" s="139" t="str">
        <f t="shared" ca="1" si="77"/>
        <v/>
      </c>
      <c r="M243" s="140" t="s">
        <v>199</v>
      </c>
      <c r="N243" s="141" t="str">
        <f t="shared" ca="1" si="78"/>
        <v>Serviço</v>
      </c>
      <c r="O243" s="142" t="str">
        <f t="shared" ca="1" si="79"/>
        <v>-</v>
      </c>
      <c r="P243" s="143" t="s">
        <v>247</v>
      </c>
      <c r="Q243" s="144"/>
      <c r="R243" s="145" t="str">
        <f ca="1">IF($C243="S",REFERENCIA.Descricao,"(digite a descrição aqui)")</f>
        <v>(abra o arquivo 'Referência 11-2024.xlsm)</v>
      </c>
      <c r="S243" s="146" t="str">
        <f ca="1">REFERENCIA.Unidade</f>
        <v>-</v>
      </c>
      <c r="T243" s="147">
        <f ca="1">OFFSET(CÁLCULO!H$15,ROW($T243)-ROW(T$15),0)</f>
        <v>0</v>
      </c>
      <c r="U243" s="148"/>
      <c r="V243" s="149" t="s">
        <v>156</v>
      </c>
      <c r="W243" s="147">
        <f ca="1">IF($C243="S",ROUND(IF(TIPOORCAMENTO="Proposto",ORÇAMENTO.CustoUnitario*(1+$AH243),ORÇAMENTO.PrecoUnitarioLicitado),15-13*$AF$10),0)</f>
        <v>0</v>
      </c>
      <c r="X243" s="150">
        <f ca="1">IF($C243="S",IF(Import.TipoArredondamento&lt;&gt;"TransfereGOV",VTOTAL1,SUM(OFFSET(CÁLCULO!$AA$15,ROW($X243)-ROW($X$15),1):OFFSET(CÁLCULO!$AL$15,ROW($X243)-ROW($X$15),-1))),IF($C243=0,0,ROUND(SomaAgrup,15-13*$AF$11)))</f>
        <v>0</v>
      </c>
      <c r="Y243" s="151" t="s">
        <v>245</v>
      </c>
      <c r="Z243" t="str">
        <f t="shared" ca="1" si="80"/>
        <v/>
      </c>
      <c r="AA243" s="152">
        <f ca="1">IF($C243="S",IF($Z243="CP",$X243,IF($Z243="RA",(($X243)*QCI!$AA$3),0)),SomaAgrup)</f>
        <v>0</v>
      </c>
      <c r="AB243" s="153">
        <f t="shared" ca="1" si="81"/>
        <v>0</v>
      </c>
      <c r="AC243" s="154" t="str">
        <f ca="1">IF($N243="","",IF(ORÇAMENTO.Descricao="","DESCRIÇÃO",IF(AND($C243="S",ORÇAMENTO.Unidade=""),"UNIDADE",IF($X243&lt;0,"VALOR NEGATIVO",IF(OR(AND(TIPOORCAMENTO="Proposto",$AG243&lt;&gt;"",$AG243&gt;0,ORÇAMENTO.CustoUnitario&gt;$AG243),AND(TIPOORCAMENTO="LICITADO",ORÇAMENTO.PrecoUnitarioLicitado&gt;$AN243)),"ACIMA REF.","")))))</f>
        <v/>
      </c>
      <c r="AD243" s="100" t="str">
        <f ca="1">IF(C243&lt;=CRONO.NivelExibicao,MAX($AD$15:OFFSET(AD243,-1,0))+IF($C243&lt;&gt;1,1,MAX(1,COUNTIF(QCI!$A$13:$A$24,OFFSET($E243,-1,0)))),"")</f>
        <v/>
      </c>
      <c r="AE243" s="110" t="b">
        <f ca="1">IF(AND($C243="S",ORÇAMENTO.CodBarra&lt;&gt;""),IF(ORÇAMENTO.Fonte="",ORÇAMENTO.CodBarra,CONCATENATE(ORÇAMENTO.Fonte," ",ORÇAMENTO.CodBarra)))</f>
        <v>0</v>
      </c>
      <c r="AF243" s="155" t="str">
        <f ca="1">IF(ISERROR(INDIRECT(ORÇAMENTO.BancoRef)),"(abra o arquivo 'Referência "&amp;Excel_BuiltIn_Database&amp;".xlsm)",IF(OR($C243&lt;&gt;"S",ORÇAMENTO.CodBarra=""),"(Sem Código)",IF(ISERROR(MATCH($AE243,INDIRECT(ORÇAMENTO.BancoRef),0)),"(Código não identificado nas referências)",MATCH($AE243,INDIRECT(ORÇAMENTO.BancoRef),0))))</f>
        <v>(abra o arquivo 'Referência 11-2024.xlsm)</v>
      </c>
      <c r="AG243" s="574">
        <f ca="1">ROUND(IF(DESONERACAO="sim",REFERENCIA.Desonerado,REFERENCIA.NaoDesonerado),2)</f>
        <v>0</v>
      </c>
      <c r="AH243" s="575">
        <f t="shared" ca="1" si="82"/>
        <v>0.22</v>
      </c>
      <c r="AJ243" s="577"/>
      <c r="AL243" s="607"/>
      <c r="AM243" s="426">
        <f t="shared" ca="1" si="83"/>
        <v>0</v>
      </c>
      <c r="AN243" s="650">
        <f t="shared" ca="1" si="84"/>
        <v>0</v>
      </c>
    </row>
    <row r="244" spans="1:40" ht="13.8" hidden="1">
      <c r="A244" t="str">
        <f t="shared" si="68"/>
        <v>S</v>
      </c>
      <c r="B244">
        <f t="shared" ca="1" si="69"/>
        <v>2</v>
      </c>
      <c r="C244" t="str">
        <f t="shared" ca="1" si="70"/>
        <v>S</v>
      </c>
      <c r="D244">
        <f t="shared" ca="1" si="71"/>
        <v>0</v>
      </c>
      <c r="E244">
        <f ca="1">IF($C244=1,OFFSET(E244,-1,0)+MAX(1,COUNTIF(QCI!$A$13:$A$24,OFFSET(ORÇAMENTO!E244,-1,0))),OFFSET(E244,-1,0))</f>
        <v>1</v>
      </c>
      <c r="F244">
        <f t="shared" ca="1" si="72"/>
        <v>5</v>
      </c>
      <c r="G244">
        <f t="shared" ca="1" si="73"/>
        <v>0</v>
      </c>
      <c r="H244">
        <f t="shared" ca="1" si="74"/>
        <v>0</v>
      </c>
      <c r="I244">
        <f t="shared" ca="1" si="75"/>
        <v>2</v>
      </c>
      <c r="J244">
        <f t="shared" ca="1" si="76"/>
        <v>0</v>
      </c>
      <c r="K244">
        <f ca="1">IF(OR($C244="S",$C244=0),0,MATCH(OFFSET($D244,0,$C244)+IF($C244&lt;&gt;1,1,COUNTIF(QCI!$A$13:$A$24,ORÇAMENTO!E244)),OFFSET($D244,1,$C244,ROW($C$264)-ROW($C244)),0))</f>
        <v>0</v>
      </c>
      <c r="L244" s="139" t="str">
        <f t="shared" ca="1" si="77"/>
        <v/>
      </c>
      <c r="M244" s="140" t="s">
        <v>199</v>
      </c>
      <c r="N244" s="141" t="str">
        <f t="shared" ca="1" si="78"/>
        <v>Serviço</v>
      </c>
      <c r="O244" s="142" t="str">
        <f t="shared" ca="1" si="79"/>
        <v>-</v>
      </c>
      <c r="P244" s="143" t="s">
        <v>247</v>
      </c>
      <c r="Q244" s="144"/>
      <c r="R244" s="145" t="str">
        <f ca="1">IF($C244="S",REFERENCIA.Descricao,"(digite a descrição aqui)")</f>
        <v>(abra o arquivo 'Referência 11-2024.xlsm)</v>
      </c>
      <c r="S244" s="146" t="str">
        <f ca="1">REFERENCIA.Unidade</f>
        <v>-</v>
      </c>
      <c r="T244" s="147">
        <f ca="1">OFFSET(CÁLCULO!H$15,ROW($T244)-ROW(T$15),0)</f>
        <v>0</v>
      </c>
      <c r="U244" s="148"/>
      <c r="V244" s="149" t="s">
        <v>156</v>
      </c>
      <c r="W244" s="147">
        <f ca="1">IF($C244="S",ROUND(IF(TIPOORCAMENTO="Proposto",ORÇAMENTO.CustoUnitario*(1+$AH244),ORÇAMENTO.PrecoUnitarioLicitado),15-13*$AF$10),0)</f>
        <v>0</v>
      </c>
      <c r="X244" s="150">
        <f ca="1">IF($C244="S",IF(Import.TipoArredondamento&lt;&gt;"TransfereGOV",VTOTAL1,SUM(OFFSET(CÁLCULO!$AA$15,ROW($X244)-ROW($X$15),1):OFFSET(CÁLCULO!$AL$15,ROW($X244)-ROW($X$15),-1))),IF($C244=0,0,ROUND(SomaAgrup,15-13*$AF$11)))</f>
        <v>0</v>
      </c>
      <c r="Y244" s="151" t="s">
        <v>245</v>
      </c>
      <c r="Z244" t="str">
        <f t="shared" ca="1" si="80"/>
        <v/>
      </c>
      <c r="AA244" s="152">
        <f ca="1">IF($C244="S",IF($Z244="CP",$X244,IF($Z244="RA",(($X244)*QCI!$AA$3),0)),SomaAgrup)</f>
        <v>0</v>
      </c>
      <c r="AB244" s="153">
        <f t="shared" ca="1" si="81"/>
        <v>0</v>
      </c>
      <c r="AC244" s="154" t="str">
        <f ca="1">IF($N244="","",IF(ORÇAMENTO.Descricao="","DESCRIÇÃO",IF(AND($C244="S",ORÇAMENTO.Unidade=""),"UNIDADE",IF($X244&lt;0,"VALOR NEGATIVO",IF(OR(AND(TIPOORCAMENTO="Proposto",$AG244&lt;&gt;"",$AG244&gt;0,ORÇAMENTO.CustoUnitario&gt;$AG244),AND(TIPOORCAMENTO="LICITADO",ORÇAMENTO.PrecoUnitarioLicitado&gt;$AN244)),"ACIMA REF.","")))))</f>
        <v/>
      </c>
      <c r="AD244" s="100" t="str">
        <f ca="1">IF(C244&lt;=CRONO.NivelExibicao,MAX($AD$15:OFFSET(AD244,-1,0))+IF($C244&lt;&gt;1,1,MAX(1,COUNTIF(QCI!$A$13:$A$24,OFFSET($E244,-1,0)))),"")</f>
        <v/>
      </c>
      <c r="AE244" s="110" t="b">
        <f ca="1">IF(AND($C244="S",ORÇAMENTO.CodBarra&lt;&gt;""),IF(ORÇAMENTO.Fonte="",ORÇAMENTO.CodBarra,CONCATENATE(ORÇAMENTO.Fonte," ",ORÇAMENTO.CodBarra)))</f>
        <v>0</v>
      </c>
      <c r="AF244" s="155" t="str">
        <f ca="1">IF(ISERROR(INDIRECT(ORÇAMENTO.BancoRef)),"(abra o arquivo 'Referência "&amp;Excel_BuiltIn_Database&amp;".xlsm)",IF(OR($C244&lt;&gt;"S",ORÇAMENTO.CodBarra=""),"(Sem Código)",IF(ISERROR(MATCH($AE244,INDIRECT(ORÇAMENTO.BancoRef),0)),"(Código não identificado nas referências)",MATCH($AE244,INDIRECT(ORÇAMENTO.BancoRef),0))))</f>
        <v>(abra o arquivo 'Referência 11-2024.xlsm)</v>
      </c>
      <c r="AG244" s="574">
        <f ca="1">ROUND(IF(DESONERACAO="sim",REFERENCIA.Desonerado,REFERENCIA.NaoDesonerado),2)</f>
        <v>0</v>
      </c>
      <c r="AH244" s="575">
        <f t="shared" ca="1" si="82"/>
        <v>0.22</v>
      </c>
      <c r="AJ244" s="577"/>
      <c r="AL244" s="607"/>
      <c r="AM244" s="426">
        <f t="shared" ca="1" si="83"/>
        <v>0</v>
      </c>
      <c r="AN244" s="650">
        <f t="shared" ca="1" si="84"/>
        <v>0</v>
      </c>
    </row>
    <row r="245" spans="1:40" ht="13.8" hidden="1">
      <c r="A245" t="str">
        <f t="shared" si="68"/>
        <v>S</v>
      </c>
      <c r="B245">
        <f t="shared" ca="1" si="69"/>
        <v>2</v>
      </c>
      <c r="C245" t="str">
        <f t="shared" ca="1" si="70"/>
        <v>S</v>
      </c>
      <c r="D245">
        <f t="shared" ca="1" si="71"/>
        <v>0</v>
      </c>
      <c r="E245">
        <f ca="1">IF($C245=1,OFFSET(E245,-1,0)+MAX(1,COUNTIF(QCI!$A$13:$A$24,OFFSET(ORÇAMENTO!E245,-1,0))),OFFSET(E245,-1,0))</f>
        <v>1</v>
      </c>
      <c r="F245">
        <f t="shared" ca="1" si="72"/>
        <v>5</v>
      </c>
      <c r="G245">
        <f t="shared" ca="1" si="73"/>
        <v>0</v>
      </c>
      <c r="H245">
        <f t="shared" ca="1" si="74"/>
        <v>0</v>
      </c>
      <c r="I245">
        <f t="shared" ca="1" si="75"/>
        <v>2</v>
      </c>
      <c r="J245">
        <f t="shared" ca="1" si="76"/>
        <v>0</v>
      </c>
      <c r="K245">
        <f ca="1">IF(OR($C245="S",$C245=0),0,MATCH(OFFSET($D245,0,$C245)+IF($C245&lt;&gt;1,1,COUNTIF(QCI!$A$13:$A$24,ORÇAMENTO!E245)),OFFSET($D245,1,$C245,ROW($C$264)-ROW($C245)),0))</f>
        <v>0</v>
      </c>
      <c r="L245" s="139" t="str">
        <f t="shared" ca="1" si="77"/>
        <v/>
      </c>
      <c r="M245" s="140" t="s">
        <v>199</v>
      </c>
      <c r="N245" s="141" t="str">
        <f t="shared" ca="1" si="78"/>
        <v>Serviço</v>
      </c>
      <c r="O245" s="142" t="str">
        <f t="shared" ca="1" si="79"/>
        <v>-</v>
      </c>
      <c r="P245" s="143" t="s">
        <v>247</v>
      </c>
      <c r="Q245" s="144"/>
      <c r="R245" s="145" t="str">
        <f ca="1">IF($C245="S",REFERENCIA.Descricao,"(digite a descrição aqui)")</f>
        <v>(abra o arquivo 'Referência 11-2024.xlsm)</v>
      </c>
      <c r="S245" s="146" t="str">
        <f ca="1">REFERENCIA.Unidade</f>
        <v>-</v>
      </c>
      <c r="T245" s="147">
        <f ca="1">OFFSET(CÁLCULO!H$15,ROW($T245)-ROW(T$15),0)</f>
        <v>0</v>
      </c>
      <c r="U245" s="148"/>
      <c r="V245" s="149" t="s">
        <v>156</v>
      </c>
      <c r="W245" s="147">
        <f ca="1">IF($C245="S",ROUND(IF(TIPOORCAMENTO="Proposto",ORÇAMENTO.CustoUnitario*(1+$AH245),ORÇAMENTO.PrecoUnitarioLicitado),15-13*$AF$10),0)</f>
        <v>0</v>
      </c>
      <c r="X245" s="150">
        <f ca="1">IF($C245="S",IF(Import.TipoArredondamento&lt;&gt;"TransfereGOV",VTOTAL1,SUM(OFFSET(CÁLCULO!$AA$15,ROW($X245)-ROW($X$15),1):OFFSET(CÁLCULO!$AL$15,ROW($X245)-ROW($X$15),-1))),IF($C245=0,0,ROUND(SomaAgrup,15-13*$AF$11)))</f>
        <v>0</v>
      </c>
      <c r="Y245" s="151" t="s">
        <v>245</v>
      </c>
      <c r="Z245" t="str">
        <f t="shared" ca="1" si="80"/>
        <v/>
      </c>
      <c r="AA245" s="152">
        <f ca="1">IF($C245="S",IF($Z245="CP",$X245,IF($Z245="RA",(($X245)*QCI!$AA$3),0)),SomaAgrup)</f>
        <v>0</v>
      </c>
      <c r="AB245" s="153">
        <f t="shared" ca="1" si="81"/>
        <v>0</v>
      </c>
      <c r="AC245" s="154" t="str">
        <f ca="1">IF($N245="","",IF(ORÇAMENTO.Descricao="","DESCRIÇÃO",IF(AND($C245="S",ORÇAMENTO.Unidade=""),"UNIDADE",IF($X245&lt;0,"VALOR NEGATIVO",IF(OR(AND(TIPOORCAMENTO="Proposto",$AG245&lt;&gt;"",$AG245&gt;0,ORÇAMENTO.CustoUnitario&gt;$AG245),AND(TIPOORCAMENTO="LICITADO",ORÇAMENTO.PrecoUnitarioLicitado&gt;$AN245)),"ACIMA REF.","")))))</f>
        <v/>
      </c>
      <c r="AD245" s="100" t="str">
        <f ca="1">IF(C245&lt;=CRONO.NivelExibicao,MAX($AD$15:OFFSET(AD245,-1,0))+IF($C245&lt;&gt;1,1,MAX(1,COUNTIF(QCI!$A$13:$A$24,OFFSET($E245,-1,0)))),"")</f>
        <v/>
      </c>
      <c r="AE245" s="110" t="b">
        <f ca="1">IF(AND($C245="S",ORÇAMENTO.CodBarra&lt;&gt;""),IF(ORÇAMENTO.Fonte="",ORÇAMENTO.CodBarra,CONCATENATE(ORÇAMENTO.Fonte," ",ORÇAMENTO.CodBarra)))</f>
        <v>0</v>
      </c>
      <c r="AF245" s="155" t="str">
        <f ca="1">IF(ISERROR(INDIRECT(ORÇAMENTO.BancoRef)),"(abra o arquivo 'Referência "&amp;Excel_BuiltIn_Database&amp;".xlsm)",IF(OR($C245&lt;&gt;"S",ORÇAMENTO.CodBarra=""),"(Sem Código)",IF(ISERROR(MATCH($AE245,INDIRECT(ORÇAMENTO.BancoRef),0)),"(Código não identificado nas referências)",MATCH($AE245,INDIRECT(ORÇAMENTO.BancoRef),0))))</f>
        <v>(abra o arquivo 'Referência 11-2024.xlsm)</v>
      </c>
      <c r="AG245" s="574">
        <f ca="1">ROUND(IF(DESONERACAO="sim",REFERENCIA.Desonerado,REFERENCIA.NaoDesonerado),2)</f>
        <v>0</v>
      </c>
      <c r="AH245" s="575">
        <f t="shared" ca="1" si="82"/>
        <v>0.22</v>
      </c>
      <c r="AJ245" s="577"/>
      <c r="AL245" s="607"/>
      <c r="AM245" s="426">
        <f t="shared" ca="1" si="83"/>
        <v>0</v>
      </c>
      <c r="AN245" s="650">
        <f t="shared" ca="1" si="84"/>
        <v>0</v>
      </c>
    </row>
    <row r="246" spans="1:40" ht="13.8" hidden="1">
      <c r="A246" t="str">
        <f t="shared" si="68"/>
        <v>S</v>
      </c>
      <c r="B246">
        <f t="shared" ca="1" si="69"/>
        <v>2</v>
      </c>
      <c r="C246" t="str">
        <f t="shared" ca="1" si="70"/>
        <v>S</v>
      </c>
      <c r="D246">
        <f t="shared" ca="1" si="71"/>
        <v>0</v>
      </c>
      <c r="E246">
        <f ca="1">IF($C246=1,OFFSET(E246,-1,0)+MAX(1,COUNTIF(QCI!$A$13:$A$24,OFFSET(ORÇAMENTO!E246,-1,0))),OFFSET(E246,-1,0))</f>
        <v>1</v>
      </c>
      <c r="F246">
        <f t="shared" ca="1" si="72"/>
        <v>5</v>
      </c>
      <c r="G246">
        <f t="shared" ca="1" si="73"/>
        <v>0</v>
      </c>
      <c r="H246">
        <f t="shared" ca="1" si="74"/>
        <v>0</v>
      </c>
      <c r="I246">
        <f t="shared" ca="1" si="75"/>
        <v>2</v>
      </c>
      <c r="J246">
        <f t="shared" ca="1" si="76"/>
        <v>0</v>
      </c>
      <c r="K246">
        <f ca="1">IF(OR($C246="S",$C246=0),0,MATCH(OFFSET($D246,0,$C246)+IF($C246&lt;&gt;1,1,COUNTIF(QCI!$A$13:$A$24,ORÇAMENTO!E246)),OFFSET($D246,1,$C246,ROW($C$264)-ROW($C246)),0))</f>
        <v>0</v>
      </c>
      <c r="L246" s="139" t="str">
        <f t="shared" ca="1" si="77"/>
        <v/>
      </c>
      <c r="M246" s="140" t="s">
        <v>199</v>
      </c>
      <c r="N246" s="141" t="str">
        <f t="shared" ca="1" si="78"/>
        <v>Serviço</v>
      </c>
      <c r="O246" s="142" t="str">
        <f t="shared" ca="1" si="79"/>
        <v>-</v>
      </c>
      <c r="P246" s="143" t="s">
        <v>247</v>
      </c>
      <c r="Q246" s="144"/>
      <c r="R246" s="145" t="str">
        <f ca="1">IF($C246="S",REFERENCIA.Descricao,"(digite a descrição aqui)")</f>
        <v>(abra o arquivo 'Referência 11-2024.xlsm)</v>
      </c>
      <c r="S246" s="146" t="str">
        <f ca="1">REFERENCIA.Unidade</f>
        <v>-</v>
      </c>
      <c r="T246" s="147">
        <f ca="1">OFFSET(CÁLCULO!H$15,ROW($T246)-ROW(T$15),0)</f>
        <v>0</v>
      </c>
      <c r="U246" s="148"/>
      <c r="V246" s="149" t="s">
        <v>156</v>
      </c>
      <c r="W246" s="147">
        <f ca="1">IF($C246="S",ROUND(IF(TIPOORCAMENTO="Proposto",ORÇAMENTO.CustoUnitario*(1+$AH246),ORÇAMENTO.PrecoUnitarioLicitado),15-13*$AF$10),0)</f>
        <v>0</v>
      </c>
      <c r="X246" s="150">
        <f ca="1">IF($C246="S",IF(Import.TipoArredondamento&lt;&gt;"TransfereGOV",VTOTAL1,SUM(OFFSET(CÁLCULO!$AA$15,ROW($X246)-ROW($X$15),1):OFFSET(CÁLCULO!$AL$15,ROW($X246)-ROW($X$15),-1))),IF($C246=0,0,ROUND(SomaAgrup,15-13*$AF$11)))</f>
        <v>0</v>
      </c>
      <c r="Y246" s="151" t="s">
        <v>245</v>
      </c>
      <c r="Z246" t="str">
        <f t="shared" ca="1" si="80"/>
        <v/>
      </c>
      <c r="AA246" s="152">
        <f ca="1">IF($C246="S",IF($Z246="CP",$X246,IF($Z246="RA",(($X246)*QCI!$AA$3),0)),SomaAgrup)</f>
        <v>0</v>
      </c>
      <c r="AB246" s="153">
        <f t="shared" ca="1" si="81"/>
        <v>0</v>
      </c>
      <c r="AC246" s="154" t="str">
        <f ca="1">IF($N246="","",IF(ORÇAMENTO.Descricao="","DESCRIÇÃO",IF(AND($C246="S",ORÇAMENTO.Unidade=""),"UNIDADE",IF($X246&lt;0,"VALOR NEGATIVO",IF(OR(AND(TIPOORCAMENTO="Proposto",$AG246&lt;&gt;"",$AG246&gt;0,ORÇAMENTO.CustoUnitario&gt;$AG246),AND(TIPOORCAMENTO="LICITADO",ORÇAMENTO.PrecoUnitarioLicitado&gt;$AN246)),"ACIMA REF.","")))))</f>
        <v/>
      </c>
      <c r="AD246" s="100" t="str">
        <f ca="1">IF(C246&lt;=CRONO.NivelExibicao,MAX($AD$15:OFFSET(AD246,-1,0))+IF($C246&lt;&gt;1,1,MAX(1,COUNTIF(QCI!$A$13:$A$24,OFFSET($E246,-1,0)))),"")</f>
        <v/>
      </c>
      <c r="AE246" s="110" t="b">
        <f ca="1">IF(AND($C246="S",ORÇAMENTO.CodBarra&lt;&gt;""),IF(ORÇAMENTO.Fonte="",ORÇAMENTO.CodBarra,CONCATENATE(ORÇAMENTO.Fonte," ",ORÇAMENTO.CodBarra)))</f>
        <v>0</v>
      </c>
      <c r="AF246" s="155" t="str">
        <f ca="1">IF(ISERROR(INDIRECT(ORÇAMENTO.BancoRef)),"(abra o arquivo 'Referência "&amp;Excel_BuiltIn_Database&amp;".xlsm)",IF(OR($C246&lt;&gt;"S",ORÇAMENTO.CodBarra=""),"(Sem Código)",IF(ISERROR(MATCH($AE246,INDIRECT(ORÇAMENTO.BancoRef),0)),"(Código não identificado nas referências)",MATCH($AE246,INDIRECT(ORÇAMENTO.BancoRef),0))))</f>
        <v>(abra o arquivo 'Referência 11-2024.xlsm)</v>
      </c>
      <c r="AG246" s="574">
        <f ca="1">ROUND(IF(DESONERACAO="sim",REFERENCIA.Desonerado,REFERENCIA.NaoDesonerado),2)</f>
        <v>0</v>
      </c>
      <c r="AH246" s="575">
        <f t="shared" ca="1" si="82"/>
        <v>0.22</v>
      </c>
      <c r="AJ246" s="577"/>
      <c r="AL246" s="607"/>
      <c r="AM246" s="426">
        <f t="shared" ca="1" si="83"/>
        <v>0</v>
      </c>
      <c r="AN246" s="650">
        <f t="shared" ca="1" si="84"/>
        <v>0</v>
      </c>
    </row>
    <row r="247" spans="1:40" ht="13.8" hidden="1">
      <c r="A247" t="str">
        <f t="shared" si="68"/>
        <v>S</v>
      </c>
      <c r="B247">
        <f t="shared" ca="1" si="69"/>
        <v>2</v>
      </c>
      <c r="C247" t="str">
        <f t="shared" ca="1" si="70"/>
        <v>S</v>
      </c>
      <c r="D247">
        <f t="shared" ca="1" si="71"/>
        <v>0</v>
      </c>
      <c r="E247">
        <f ca="1">IF($C247=1,OFFSET(E247,-1,0)+MAX(1,COUNTIF(QCI!$A$13:$A$24,OFFSET(ORÇAMENTO!E247,-1,0))),OFFSET(E247,-1,0))</f>
        <v>1</v>
      </c>
      <c r="F247">
        <f t="shared" ca="1" si="72"/>
        <v>5</v>
      </c>
      <c r="G247">
        <f t="shared" ca="1" si="73"/>
        <v>0</v>
      </c>
      <c r="H247">
        <f t="shared" ca="1" si="74"/>
        <v>0</v>
      </c>
      <c r="I247">
        <f t="shared" ca="1" si="75"/>
        <v>2</v>
      </c>
      <c r="J247">
        <f t="shared" ca="1" si="76"/>
        <v>0</v>
      </c>
      <c r="K247">
        <f ca="1">IF(OR($C247="S",$C247=0),0,MATCH(OFFSET($D247,0,$C247)+IF($C247&lt;&gt;1,1,COUNTIF(QCI!$A$13:$A$24,ORÇAMENTO!E247)),OFFSET($D247,1,$C247,ROW($C$264)-ROW($C247)),0))</f>
        <v>0</v>
      </c>
      <c r="L247" s="139" t="str">
        <f t="shared" ca="1" si="77"/>
        <v/>
      </c>
      <c r="M247" s="140" t="s">
        <v>199</v>
      </c>
      <c r="N247" s="141" t="str">
        <f t="shared" ca="1" si="78"/>
        <v>Serviço</v>
      </c>
      <c r="O247" s="142" t="str">
        <f t="shared" ca="1" si="79"/>
        <v>-</v>
      </c>
      <c r="P247" s="143" t="s">
        <v>247</v>
      </c>
      <c r="Q247" s="144"/>
      <c r="R247" s="145" t="str">
        <f ca="1">IF($C247="S",REFERENCIA.Descricao,"(digite a descrição aqui)")</f>
        <v>(abra o arquivo 'Referência 11-2024.xlsm)</v>
      </c>
      <c r="S247" s="146" t="str">
        <f ca="1">REFERENCIA.Unidade</f>
        <v>-</v>
      </c>
      <c r="T247" s="147">
        <f ca="1">OFFSET(CÁLCULO!H$15,ROW($T247)-ROW(T$15),0)</f>
        <v>0</v>
      </c>
      <c r="U247" s="148"/>
      <c r="V247" s="149" t="s">
        <v>156</v>
      </c>
      <c r="W247" s="147">
        <f ca="1">IF($C247="S",ROUND(IF(TIPOORCAMENTO="Proposto",ORÇAMENTO.CustoUnitario*(1+$AH247),ORÇAMENTO.PrecoUnitarioLicitado),15-13*$AF$10),0)</f>
        <v>0</v>
      </c>
      <c r="X247" s="150">
        <f ca="1">IF($C247="S",IF(Import.TipoArredondamento&lt;&gt;"TransfereGOV",VTOTAL1,SUM(OFFSET(CÁLCULO!$AA$15,ROW($X247)-ROW($X$15),1):OFFSET(CÁLCULO!$AL$15,ROW($X247)-ROW($X$15),-1))),IF($C247=0,0,ROUND(SomaAgrup,15-13*$AF$11)))</f>
        <v>0</v>
      </c>
      <c r="Y247" s="151" t="s">
        <v>245</v>
      </c>
      <c r="Z247" t="str">
        <f t="shared" ca="1" si="80"/>
        <v/>
      </c>
      <c r="AA247" s="152">
        <f ca="1">IF($C247="S",IF($Z247="CP",$X247,IF($Z247="RA",(($X247)*QCI!$AA$3),0)),SomaAgrup)</f>
        <v>0</v>
      </c>
      <c r="AB247" s="153">
        <f t="shared" ca="1" si="81"/>
        <v>0</v>
      </c>
      <c r="AC247" s="154" t="str">
        <f ca="1">IF($N247="","",IF(ORÇAMENTO.Descricao="","DESCRIÇÃO",IF(AND($C247="S",ORÇAMENTO.Unidade=""),"UNIDADE",IF($X247&lt;0,"VALOR NEGATIVO",IF(OR(AND(TIPOORCAMENTO="Proposto",$AG247&lt;&gt;"",$AG247&gt;0,ORÇAMENTO.CustoUnitario&gt;$AG247),AND(TIPOORCAMENTO="LICITADO",ORÇAMENTO.PrecoUnitarioLicitado&gt;$AN247)),"ACIMA REF.","")))))</f>
        <v/>
      </c>
      <c r="AD247" s="100" t="str">
        <f ca="1">IF(C247&lt;=CRONO.NivelExibicao,MAX($AD$15:OFFSET(AD247,-1,0))+IF($C247&lt;&gt;1,1,MAX(1,COUNTIF(QCI!$A$13:$A$24,OFFSET($E247,-1,0)))),"")</f>
        <v/>
      </c>
      <c r="AE247" s="110" t="b">
        <f ca="1">IF(AND($C247="S",ORÇAMENTO.CodBarra&lt;&gt;""),IF(ORÇAMENTO.Fonte="",ORÇAMENTO.CodBarra,CONCATENATE(ORÇAMENTO.Fonte," ",ORÇAMENTO.CodBarra)))</f>
        <v>0</v>
      </c>
      <c r="AF247" s="155" t="str">
        <f ca="1">IF(ISERROR(INDIRECT(ORÇAMENTO.BancoRef)),"(abra o arquivo 'Referência "&amp;Excel_BuiltIn_Database&amp;".xlsm)",IF(OR($C247&lt;&gt;"S",ORÇAMENTO.CodBarra=""),"(Sem Código)",IF(ISERROR(MATCH($AE247,INDIRECT(ORÇAMENTO.BancoRef),0)),"(Código não identificado nas referências)",MATCH($AE247,INDIRECT(ORÇAMENTO.BancoRef),0))))</f>
        <v>(abra o arquivo 'Referência 11-2024.xlsm)</v>
      </c>
      <c r="AG247" s="574">
        <f ca="1">ROUND(IF(DESONERACAO="sim",REFERENCIA.Desonerado,REFERENCIA.NaoDesonerado),2)</f>
        <v>0</v>
      </c>
      <c r="AH247" s="575">
        <f t="shared" ca="1" si="82"/>
        <v>0.22</v>
      </c>
      <c r="AJ247" s="577"/>
      <c r="AL247" s="607"/>
      <c r="AM247" s="426">
        <f t="shared" ca="1" si="83"/>
        <v>0</v>
      </c>
      <c r="AN247" s="650">
        <f t="shared" ca="1" si="84"/>
        <v>0</v>
      </c>
    </row>
    <row r="248" spans="1:40" ht="13.8" hidden="1">
      <c r="A248" t="str">
        <f t="shared" si="68"/>
        <v>S</v>
      </c>
      <c r="B248">
        <f t="shared" ca="1" si="69"/>
        <v>2</v>
      </c>
      <c r="C248" t="str">
        <f t="shared" ca="1" si="70"/>
        <v>S</v>
      </c>
      <c r="D248">
        <f t="shared" ca="1" si="71"/>
        <v>0</v>
      </c>
      <c r="E248">
        <f ca="1">IF($C248=1,OFFSET(E248,-1,0)+MAX(1,COUNTIF(QCI!$A$13:$A$24,OFFSET(ORÇAMENTO!E248,-1,0))),OFFSET(E248,-1,0))</f>
        <v>1</v>
      </c>
      <c r="F248">
        <f t="shared" ca="1" si="72"/>
        <v>5</v>
      </c>
      <c r="G248">
        <f t="shared" ca="1" si="73"/>
        <v>0</v>
      </c>
      <c r="H248">
        <f t="shared" ca="1" si="74"/>
        <v>0</v>
      </c>
      <c r="I248">
        <f t="shared" ca="1" si="75"/>
        <v>2</v>
      </c>
      <c r="J248">
        <f t="shared" ca="1" si="76"/>
        <v>0</v>
      </c>
      <c r="K248">
        <f ca="1">IF(OR($C248="S",$C248=0),0,MATCH(OFFSET($D248,0,$C248)+IF($C248&lt;&gt;1,1,COUNTIF(QCI!$A$13:$A$24,ORÇAMENTO!E248)),OFFSET($D248,1,$C248,ROW($C$264)-ROW($C248)),0))</f>
        <v>0</v>
      </c>
      <c r="L248" s="139" t="str">
        <f t="shared" ca="1" si="77"/>
        <v/>
      </c>
      <c r="M248" s="140" t="s">
        <v>199</v>
      </c>
      <c r="N248" s="141" t="str">
        <f t="shared" ca="1" si="78"/>
        <v>Serviço</v>
      </c>
      <c r="O248" s="142" t="str">
        <f t="shared" ca="1" si="79"/>
        <v>-</v>
      </c>
      <c r="P248" s="143" t="s">
        <v>247</v>
      </c>
      <c r="Q248" s="144"/>
      <c r="R248" s="145" t="str">
        <f ca="1">IF($C248="S",REFERENCIA.Descricao,"(digite a descrição aqui)")</f>
        <v>(abra o arquivo 'Referência 11-2024.xlsm)</v>
      </c>
      <c r="S248" s="146" t="str">
        <f ca="1">REFERENCIA.Unidade</f>
        <v>-</v>
      </c>
      <c r="T248" s="147">
        <f ca="1">OFFSET(CÁLCULO!H$15,ROW($T248)-ROW(T$15),0)</f>
        <v>0</v>
      </c>
      <c r="U248" s="148"/>
      <c r="V248" s="149" t="s">
        <v>156</v>
      </c>
      <c r="W248" s="147">
        <f ca="1">IF($C248="S",ROUND(IF(TIPOORCAMENTO="Proposto",ORÇAMENTO.CustoUnitario*(1+$AH248),ORÇAMENTO.PrecoUnitarioLicitado),15-13*$AF$10),0)</f>
        <v>0</v>
      </c>
      <c r="X248" s="150">
        <f ca="1">IF($C248="S",IF(Import.TipoArredondamento&lt;&gt;"TransfereGOV",VTOTAL1,SUM(OFFSET(CÁLCULO!$AA$15,ROW($X248)-ROW($X$15),1):OFFSET(CÁLCULO!$AL$15,ROW($X248)-ROW($X$15),-1))),IF($C248=0,0,ROUND(SomaAgrup,15-13*$AF$11)))</f>
        <v>0</v>
      </c>
      <c r="Y248" s="151" t="s">
        <v>245</v>
      </c>
      <c r="Z248" t="str">
        <f t="shared" ca="1" si="80"/>
        <v/>
      </c>
      <c r="AA248" s="152">
        <f ca="1">IF($C248="S",IF($Z248="CP",$X248,IF($Z248="RA",(($X248)*QCI!$AA$3),0)),SomaAgrup)</f>
        <v>0</v>
      </c>
      <c r="AB248" s="153">
        <f t="shared" ca="1" si="81"/>
        <v>0</v>
      </c>
      <c r="AC248" s="154" t="str">
        <f ca="1">IF($N248="","",IF(ORÇAMENTO.Descricao="","DESCRIÇÃO",IF(AND($C248="S",ORÇAMENTO.Unidade=""),"UNIDADE",IF($X248&lt;0,"VALOR NEGATIVO",IF(OR(AND(TIPOORCAMENTO="Proposto",$AG248&lt;&gt;"",$AG248&gt;0,ORÇAMENTO.CustoUnitario&gt;$AG248),AND(TIPOORCAMENTO="LICITADO",ORÇAMENTO.PrecoUnitarioLicitado&gt;$AN248)),"ACIMA REF.","")))))</f>
        <v/>
      </c>
      <c r="AD248" s="100" t="str">
        <f ca="1">IF(C248&lt;=CRONO.NivelExibicao,MAX($AD$15:OFFSET(AD248,-1,0))+IF($C248&lt;&gt;1,1,MAX(1,COUNTIF(QCI!$A$13:$A$24,OFFSET($E248,-1,0)))),"")</f>
        <v/>
      </c>
      <c r="AE248" s="110" t="b">
        <f ca="1">IF(AND($C248="S",ORÇAMENTO.CodBarra&lt;&gt;""),IF(ORÇAMENTO.Fonte="",ORÇAMENTO.CodBarra,CONCATENATE(ORÇAMENTO.Fonte," ",ORÇAMENTO.CodBarra)))</f>
        <v>0</v>
      </c>
      <c r="AF248" s="155" t="str">
        <f ca="1">IF(ISERROR(INDIRECT(ORÇAMENTO.BancoRef)),"(abra o arquivo 'Referência "&amp;Excel_BuiltIn_Database&amp;".xlsm)",IF(OR($C248&lt;&gt;"S",ORÇAMENTO.CodBarra=""),"(Sem Código)",IF(ISERROR(MATCH($AE248,INDIRECT(ORÇAMENTO.BancoRef),0)),"(Código não identificado nas referências)",MATCH($AE248,INDIRECT(ORÇAMENTO.BancoRef),0))))</f>
        <v>(abra o arquivo 'Referência 11-2024.xlsm)</v>
      </c>
      <c r="AG248" s="574">
        <f ca="1">ROUND(IF(DESONERACAO="sim",REFERENCIA.Desonerado,REFERENCIA.NaoDesonerado),2)</f>
        <v>0</v>
      </c>
      <c r="AH248" s="575">
        <f t="shared" ca="1" si="82"/>
        <v>0.22</v>
      </c>
      <c r="AJ248" s="577"/>
      <c r="AL248" s="607"/>
      <c r="AM248" s="426">
        <f t="shared" ca="1" si="83"/>
        <v>0</v>
      </c>
      <c r="AN248" s="650">
        <f t="shared" ca="1" si="84"/>
        <v>0</v>
      </c>
    </row>
    <row r="249" spans="1:40" ht="13.8" hidden="1">
      <c r="A249" t="str">
        <f t="shared" si="68"/>
        <v>S</v>
      </c>
      <c r="B249">
        <f t="shared" ca="1" si="69"/>
        <v>2</v>
      </c>
      <c r="C249" t="str">
        <f t="shared" ca="1" si="70"/>
        <v>S</v>
      </c>
      <c r="D249">
        <f t="shared" ca="1" si="71"/>
        <v>0</v>
      </c>
      <c r="E249">
        <f ca="1">IF($C249=1,OFFSET(E249,-1,0)+MAX(1,COUNTIF(QCI!$A$13:$A$24,OFFSET(ORÇAMENTO!E249,-1,0))),OFFSET(E249,-1,0))</f>
        <v>1</v>
      </c>
      <c r="F249">
        <f t="shared" ca="1" si="72"/>
        <v>5</v>
      </c>
      <c r="G249">
        <f t="shared" ca="1" si="73"/>
        <v>0</v>
      </c>
      <c r="H249">
        <f t="shared" ca="1" si="74"/>
        <v>0</v>
      </c>
      <c r="I249">
        <f t="shared" ca="1" si="75"/>
        <v>2</v>
      </c>
      <c r="J249">
        <f t="shared" ca="1" si="76"/>
        <v>0</v>
      </c>
      <c r="K249">
        <f ca="1">IF(OR($C249="S",$C249=0),0,MATCH(OFFSET($D249,0,$C249)+IF($C249&lt;&gt;1,1,COUNTIF(QCI!$A$13:$A$24,ORÇAMENTO!E249)),OFFSET($D249,1,$C249,ROW($C$264)-ROW($C249)),0))</f>
        <v>0</v>
      </c>
      <c r="L249" s="139" t="str">
        <f t="shared" ca="1" si="77"/>
        <v/>
      </c>
      <c r="M249" s="140" t="s">
        <v>199</v>
      </c>
      <c r="N249" s="141" t="str">
        <f t="shared" ca="1" si="78"/>
        <v>Serviço</v>
      </c>
      <c r="O249" s="142" t="str">
        <f t="shared" ca="1" si="79"/>
        <v>-</v>
      </c>
      <c r="P249" s="143" t="s">
        <v>247</v>
      </c>
      <c r="Q249" s="144"/>
      <c r="R249" s="145" t="str">
        <f ca="1">IF($C249="S",REFERENCIA.Descricao,"(digite a descrição aqui)")</f>
        <v>(abra o arquivo 'Referência 11-2024.xlsm)</v>
      </c>
      <c r="S249" s="146" t="str">
        <f ca="1">REFERENCIA.Unidade</f>
        <v>-</v>
      </c>
      <c r="T249" s="147">
        <f ca="1">OFFSET(CÁLCULO!H$15,ROW($T249)-ROW(T$15),0)</f>
        <v>0</v>
      </c>
      <c r="U249" s="148"/>
      <c r="V249" s="149" t="s">
        <v>156</v>
      </c>
      <c r="W249" s="147">
        <f ca="1">IF($C249="S",ROUND(IF(TIPOORCAMENTO="Proposto",ORÇAMENTO.CustoUnitario*(1+$AH249),ORÇAMENTO.PrecoUnitarioLicitado),15-13*$AF$10),0)</f>
        <v>0</v>
      </c>
      <c r="X249" s="150">
        <f ca="1">IF($C249="S",IF(Import.TipoArredondamento&lt;&gt;"TransfereGOV",VTOTAL1,SUM(OFFSET(CÁLCULO!$AA$15,ROW($X249)-ROW($X$15),1):OFFSET(CÁLCULO!$AL$15,ROW($X249)-ROW($X$15),-1))),IF($C249=0,0,ROUND(SomaAgrup,15-13*$AF$11)))</f>
        <v>0</v>
      </c>
      <c r="Y249" s="151" t="s">
        <v>245</v>
      </c>
      <c r="Z249" t="str">
        <f t="shared" ca="1" si="80"/>
        <v/>
      </c>
      <c r="AA249" s="152">
        <f ca="1">IF($C249="S",IF($Z249="CP",$X249,IF($Z249="RA",(($X249)*QCI!$AA$3),0)),SomaAgrup)</f>
        <v>0</v>
      </c>
      <c r="AB249" s="153">
        <f t="shared" ca="1" si="81"/>
        <v>0</v>
      </c>
      <c r="AC249" s="154" t="str">
        <f ca="1">IF($N249="","",IF(ORÇAMENTO.Descricao="","DESCRIÇÃO",IF(AND($C249="S",ORÇAMENTO.Unidade=""),"UNIDADE",IF($X249&lt;0,"VALOR NEGATIVO",IF(OR(AND(TIPOORCAMENTO="Proposto",$AG249&lt;&gt;"",$AG249&gt;0,ORÇAMENTO.CustoUnitario&gt;$AG249),AND(TIPOORCAMENTO="LICITADO",ORÇAMENTO.PrecoUnitarioLicitado&gt;$AN249)),"ACIMA REF.","")))))</f>
        <v/>
      </c>
      <c r="AD249" s="100" t="str">
        <f ca="1">IF(C249&lt;=CRONO.NivelExibicao,MAX($AD$15:OFFSET(AD249,-1,0))+IF($C249&lt;&gt;1,1,MAX(1,COUNTIF(QCI!$A$13:$A$24,OFFSET($E249,-1,0)))),"")</f>
        <v/>
      </c>
      <c r="AE249" s="110" t="b">
        <f ca="1">IF(AND($C249="S",ORÇAMENTO.CodBarra&lt;&gt;""),IF(ORÇAMENTO.Fonte="",ORÇAMENTO.CodBarra,CONCATENATE(ORÇAMENTO.Fonte," ",ORÇAMENTO.CodBarra)))</f>
        <v>0</v>
      </c>
      <c r="AF249" s="155" t="str">
        <f ca="1">IF(ISERROR(INDIRECT(ORÇAMENTO.BancoRef)),"(abra o arquivo 'Referência "&amp;Excel_BuiltIn_Database&amp;".xlsm)",IF(OR($C249&lt;&gt;"S",ORÇAMENTO.CodBarra=""),"(Sem Código)",IF(ISERROR(MATCH($AE249,INDIRECT(ORÇAMENTO.BancoRef),0)),"(Código não identificado nas referências)",MATCH($AE249,INDIRECT(ORÇAMENTO.BancoRef),0))))</f>
        <v>(abra o arquivo 'Referência 11-2024.xlsm)</v>
      </c>
      <c r="AG249" s="574">
        <f ca="1">ROUND(IF(DESONERACAO="sim",REFERENCIA.Desonerado,REFERENCIA.NaoDesonerado),2)</f>
        <v>0</v>
      </c>
      <c r="AH249" s="575">
        <f t="shared" ca="1" si="82"/>
        <v>0.22</v>
      </c>
      <c r="AJ249" s="577"/>
      <c r="AL249" s="607"/>
      <c r="AM249" s="426">
        <f t="shared" ca="1" si="83"/>
        <v>0</v>
      </c>
      <c r="AN249" s="650">
        <f t="shared" ca="1" si="84"/>
        <v>0</v>
      </c>
    </row>
    <row r="250" spans="1:40" ht="13.8" hidden="1">
      <c r="A250" t="str">
        <f t="shared" si="68"/>
        <v>S</v>
      </c>
      <c r="B250">
        <f t="shared" ca="1" si="69"/>
        <v>2</v>
      </c>
      <c r="C250" t="str">
        <f t="shared" ca="1" si="70"/>
        <v>S</v>
      </c>
      <c r="D250">
        <f t="shared" ca="1" si="71"/>
        <v>0</v>
      </c>
      <c r="E250">
        <f ca="1">IF($C250=1,OFFSET(E250,-1,0)+MAX(1,COUNTIF(QCI!$A$13:$A$24,OFFSET(ORÇAMENTO!E250,-1,0))),OFFSET(E250,-1,0))</f>
        <v>1</v>
      </c>
      <c r="F250">
        <f t="shared" ca="1" si="72"/>
        <v>5</v>
      </c>
      <c r="G250">
        <f t="shared" ca="1" si="73"/>
        <v>0</v>
      </c>
      <c r="H250">
        <f t="shared" ca="1" si="74"/>
        <v>0</v>
      </c>
      <c r="I250">
        <f t="shared" ca="1" si="75"/>
        <v>2</v>
      </c>
      <c r="J250">
        <f t="shared" ca="1" si="76"/>
        <v>0</v>
      </c>
      <c r="K250">
        <f ca="1">IF(OR($C250="S",$C250=0),0,MATCH(OFFSET($D250,0,$C250)+IF($C250&lt;&gt;1,1,COUNTIF(QCI!$A$13:$A$24,ORÇAMENTO!E250)),OFFSET($D250,1,$C250,ROW($C$264)-ROW($C250)),0))</f>
        <v>0</v>
      </c>
      <c r="L250" s="139" t="str">
        <f t="shared" ca="1" si="77"/>
        <v/>
      </c>
      <c r="M250" s="140" t="s">
        <v>199</v>
      </c>
      <c r="N250" s="141" t="str">
        <f t="shared" ca="1" si="78"/>
        <v>Serviço</v>
      </c>
      <c r="O250" s="142" t="str">
        <f t="shared" ca="1" si="79"/>
        <v>-</v>
      </c>
      <c r="P250" s="143" t="s">
        <v>247</v>
      </c>
      <c r="Q250" s="144"/>
      <c r="R250" s="145" t="str">
        <f ca="1">IF($C250="S",REFERENCIA.Descricao,"(digite a descrição aqui)")</f>
        <v>(abra o arquivo 'Referência 11-2024.xlsm)</v>
      </c>
      <c r="S250" s="146" t="str">
        <f ca="1">REFERENCIA.Unidade</f>
        <v>-</v>
      </c>
      <c r="T250" s="147">
        <f ca="1">OFFSET(CÁLCULO!H$15,ROW($T250)-ROW(T$15),0)</f>
        <v>0</v>
      </c>
      <c r="U250" s="148"/>
      <c r="V250" s="149" t="s">
        <v>156</v>
      </c>
      <c r="W250" s="147">
        <f ca="1">IF($C250="S",ROUND(IF(TIPOORCAMENTO="Proposto",ORÇAMENTO.CustoUnitario*(1+$AH250),ORÇAMENTO.PrecoUnitarioLicitado),15-13*$AF$10),0)</f>
        <v>0</v>
      </c>
      <c r="X250" s="150">
        <f ca="1">IF($C250="S",IF(Import.TipoArredondamento&lt;&gt;"TransfereGOV",VTOTAL1,SUM(OFFSET(CÁLCULO!$AA$15,ROW($X250)-ROW($X$15),1):OFFSET(CÁLCULO!$AL$15,ROW($X250)-ROW($X$15),-1))),IF($C250=0,0,ROUND(SomaAgrup,15-13*$AF$11)))</f>
        <v>0</v>
      </c>
      <c r="Y250" s="151" t="s">
        <v>245</v>
      </c>
      <c r="Z250" t="str">
        <f t="shared" ca="1" si="80"/>
        <v/>
      </c>
      <c r="AA250" s="152">
        <f ca="1">IF($C250="S",IF($Z250="CP",$X250,IF($Z250="RA",(($X250)*QCI!$AA$3),0)),SomaAgrup)</f>
        <v>0</v>
      </c>
      <c r="AB250" s="153">
        <f t="shared" ca="1" si="81"/>
        <v>0</v>
      </c>
      <c r="AC250" s="154" t="str">
        <f ca="1">IF($N250="","",IF(ORÇAMENTO.Descricao="","DESCRIÇÃO",IF(AND($C250="S",ORÇAMENTO.Unidade=""),"UNIDADE",IF($X250&lt;0,"VALOR NEGATIVO",IF(OR(AND(TIPOORCAMENTO="Proposto",$AG250&lt;&gt;"",$AG250&gt;0,ORÇAMENTO.CustoUnitario&gt;$AG250),AND(TIPOORCAMENTO="LICITADO",ORÇAMENTO.PrecoUnitarioLicitado&gt;$AN250)),"ACIMA REF.","")))))</f>
        <v/>
      </c>
      <c r="AD250" s="100" t="str">
        <f ca="1">IF(C250&lt;=CRONO.NivelExibicao,MAX($AD$15:OFFSET(AD250,-1,0))+IF($C250&lt;&gt;1,1,MAX(1,COUNTIF(QCI!$A$13:$A$24,OFFSET($E250,-1,0)))),"")</f>
        <v/>
      </c>
      <c r="AE250" s="110" t="b">
        <f ca="1">IF(AND($C250="S",ORÇAMENTO.CodBarra&lt;&gt;""),IF(ORÇAMENTO.Fonte="",ORÇAMENTO.CodBarra,CONCATENATE(ORÇAMENTO.Fonte," ",ORÇAMENTO.CodBarra)))</f>
        <v>0</v>
      </c>
      <c r="AF250" s="155" t="str">
        <f ca="1">IF(ISERROR(INDIRECT(ORÇAMENTO.BancoRef)),"(abra o arquivo 'Referência "&amp;Excel_BuiltIn_Database&amp;".xlsm)",IF(OR($C250&lt;&gt;"S",ORÇAMENTO.CodBarra=""),"(Sem Código)",IF(ISERROR(MATCH($AE250,INDIRECT(ORÇAMENTO.BancoRef),0)),"(Código não identificado nas referências)",MATCH($AE250,INDIRECT(ORÇAMENTO.BancoRef),0))))</f>
        <v>(abra o arquivo 'Referência 11-2024.xlsm)</v>
      </c>
      <c r="AG250" s="574">
        <f ca="1">ROUND(IF(DESONERACAO="sim",REFERENCIA.Desonerado,REFERENCIA.NaoDesonerado),2)</f>
        <v>0</v>
      </c>
      <c r="AH250" s="575">
        <f t="shared" ca="1" si="82"/>
        <v>0.22</v>
      </c>
      <c r="AJ250" s="577"/>
      <c r="AL250" s="607"/>
      <c r="AM250" s="426">
        <f t="shared" ca="1" si="83"/>
        <v>0</v>
      </c>
      <c r="AN250" s="650">
        <f t="shared" ca="1" si="84"/>
        <v>0</v>
      </c>
    </row>
    <row r="251" spans="1:40" ht="13.8" hidden="1">
      <c r="A251" t="str">
        <f t="shared" si="68"/>
        <v>S</v>
      </c>
      <c r="B251">
        <f t="shared" ca="1" si="69"/>
        <v>2</v>
      </c>
      <c r="C251" t="str">
        <f t="shared" ca="1" si="70"/>
        <v>S</v>
      </c>
      <c r="D251">
        <f t="shared" ca="1" si="71"/>
        <v>0</v>
      </c>
      <c r="E251">
        <f ca="1">IF($C251=1,OFFSET(E251,-1,0)+MAX(1,COUNTIF(QCI!$A$13:$A$24,OFFSET(ORÇAMENTO!E251,-1,0))),OFFSET(E251,-1,0))</f>
        <v>1</v>
      </c>
      <c r="F251">
        <f t="shared" ca="1" si="72"/>
        <v>5</v>
      </c>
      <c r="G251">
        <f t="shared" ca="1" si="73"/>
        <v>0</v>
      </c>
      <c r="H251">
        <f t="shared" ca="1" si="74"/>
        <v>0</v>
      </c>
      <c r="I251">
        <f t="shared" ca="1" si="75"/>
        <v>2</v>
      </c>
      <c r="J251">
        <f t="shared" ca="1" si="76"/>
        <v>0</v>
      </c>
      <c r="K251">
        <f ca="1">IF(OR($C251="S",$C251=0),0,MATCH(OFFSET($D251,0,$C251)+IF($C251&lt;&gt;1,1,COUNTIF(QCI!$A$13:$A$24,ORÇAMENTO!E251)),OFFSET($D251,1,$C251,ROW($C$264)-ROW($C251)),0))</f>
        <v>0</v>
      </c>
      <c r="L251" s="139" t="str">
        <f t="shared" ca="1" si="77"/>
        <v/>
      </c>
      <c r="M251" s="140" t="s">
        <v>199</v>
      </c>
      <c r="N251" s="141" t="str">
        <f t="shared" ca="1" si="78"/>
        <v>Serviço</v>
      </c>
      <c r="O251" s="142" t="str">
        <f t="shared" ca="1" si="79"/>
        <v>-</v>
      </c>
      <c r="P251" s="143" t="s">
        <v>247</v>
      </c>
      <c r="Q251" s="144"/>
      <c r="R251" s="145" t="str">
        <f ca="1">IF($C251="S",REFERENCIA.Descricao,"(digite a descrição aqui)")</f>
        <v>(abra o arquivo 'Referência 11-2024.xlsm)</v>
      </c>
      <c r="S251" s="146" t="str">
        <f ca="1">REFERENCIA.Unidade</f>
        <v>-</v>
      </c>
      <c r="T251" s="147">
        <f ca="1">OFFSET(CÁLCULO!H$15,ROW($T251)-ROW(T$15),0)</f>
        <v>0</v>
      </c>
      <c r="U251" s="148"/>
      <c r="V251" s="149" t="s">
        <v>156</v>
      </c>
      <c r="W251" s="147">
        <f ca="1">IF($C251="S",ROUND(IF(TIPOORCAMENTO="Proposto",ORÇAMENTO.CustoUnitario*(1+$AH251),ORÇAMENTO.PrecoUnitarioLicitado),15-13*$AF$10),0)</f>
        <v>0</v>
      </c>
      <c r="X251" s="150">
        <f ca="1">IF($C251="S",IF(Import.TipoArredondamento&lt;&gt;"TransfereGOV",VTOTAL1,SUM(OFFSET(CÁLCULO!$AA$15,ROW($X251)-ROW($X$15),1):OFFSET(CÁLCULO!$AL$15,ROW($X251)-ROW($X$15),-1))),IF($C251=0,0,ROUND(SomaAgrup,15-13*$AF$11)))</f>
        <v>0</v>
      </c>
      <c r="Y251" s="151" t="s">
        <v>245</v>
      </c>
      <c r="Z251" t="str">
        <f t="shared" ca="1" si="80"/>
        <v/>
      </c>
      <c r="AA251" s="152">
        <f ca="1">IF($C251="S",IF($Z251="CP",$X251,IF($Z251="RA",(($X251)*QCI!$AA$3),0)),SomaAgrup)</f>
        <v>0</v>
      </c>
      <c r="AB251" s="153">
        <f t="shared" ca="1" si="81"/>
        <v>0</v>
      </c>
      <c r="AC251" s="154" t="str">
        <f ca="1">IF($N251="","",IF(ORÇAMENTO.Descricao="","DESCRIÇÃO",IF(AND($C251="S",ORÇAMENTO.Unidade=""),"UNIDADE",IF($X251&lt;0,"VALOR NEGATIVO",IF(OR(AND(TIPOORCAMENTO="Proposto",$AG251&lt;&gt;"",$AG251&gt;0,ORÇAMENTO.CustoUnitario&gt;$AG251),AND(TIPOORCAMENTO="LICITADO",ORÇAMENTO.PrecoUnitarioLicitado&gt;$AN251)),"ACIMA REF.","")))))</f>
        <v/>
      </c>
      <c r="AD251" s="100" t="str">
        <f ca="1">IF(C251&lt;=CRONO.NivelExibicao,MAX($AD$15:OFFSET(AD251,-1,0))+IF($C251&lt;&gt;1,1,MAX(1,COUNTIF(QCI!$A$13:$A$24,OFFSET($E251,-1,0)))),"")</f>
        <v/>
      </c>
      <c r="AE251" s="110" t="b">
        <f ca="1">IF(AND($C251="S",ORÇAMENTO.CodBarra&lt;&gt;""),IF(ORÇAMENTO.Fonte="",ORÇAMENTO.CodBarra,CONCATENATE(ORÇAMENTO.Fonte," ",ORÇAMENTO.CodBarra)))</f>
        <v>0</v>
      </c>
      <c r="AF251" s="155" t="str">
        <f ca="1">IF(ISERROR(INDIRECT(ORÇAMENTO.BancoRef)),"(abra o arquivo 'Referência "&amp;Excel_BuiltIn_Database&amp;".xlsm)",IF(OR($C251&lt;&gt;"S",ORÇAMENTO.CodBarra=""),"(Sem Código)",IF(ISERROR(MATCH($AE251,INDIRECT(ORÇAMENTO.BancoRef),0)),"(Código não identificado nas referências)",MATCH($AE251,INDIRECT(ORÇAMENTO.BancoRef),0))))</f>
        <v>(abra o arquivo 'Referência 11-2024.xlsm)</v>
      </c>
      <c r="AG251" s="574">
        <f ca="1">ROUND(IF(DESONERACAO="sim",REFERENCIA.Desonerado,REFERENCIA.NaoDesonerado),2)</f>
        <v>0</v>
      </c>
      <c r="AH251" s="575">
        <f t="shared" ca="1" si="82"/>
        <v>0.22</v>
      </c>
      <c r="AJ251" s="577"/>
      <c r="AL251" s="607"/>
      <c r="AM251" s="426">
        <f t="shared" ca="1" si="83"/>
        <v>0</v>
      </c>
      <c r="AN251" s="650">
        <f t="shared" ca="1" si="84"/>
        <v>0</v>
      </c>
    </row>
    <row r="252" spans="1:40" ht="13.8" hidden="1">
      <c r="A252" t="str">
        <f t="shared" si="68"/>
        <v>S</v>
      </c>
      <c r="B252">
        <f t="shared" ca="1" si="69"/>
        <v>2</v>
      </c>
      <c r="C252" t="str">
        <f t="shared" ca="1" si="70"/>
        <v>S</v>
      </c>
      <c r="D252">
        <f t="shared" ca="1" si="71"/>
        <v>0</v>
      </c>
      <c r="E252">
        <f ca="1">IF($C252=1,OFFSET(E252,-1,0)+MAX(1,COUNTIF(QCI!$A$13:$A$24,OFFSET(ORÇAMENTO!E252,-1,0))),OFFSET(E252,-1,0))</f>
        <v>1</v>
      </c>
      <c r="F252">
        <f t="shared" ca="1" si="72"/>
        <v>5</v>
      </c>
      <c r="G252">
        <f t="shared" ca="1" si="73"/>
        <v>0</v>
      </c>
      <c r="H252">
        <f t="shared" ca="1" si="74"/>
        <v>0</v>
      </c>
      <c r="I252">
        <f t="shared" ca="1" si="75"/>
        <v>2</v>
      </c>
      <c r="J252">
        <f t="shared" ca="1" si="76"/>
        <v>0</v>
      </c>
      <c r="K252">
        <f ca="1">IF(OR($C252="S",$C252=0),0,MATCH(OFFSET($D252,0,$C252)+IF($C252&lt;&gt;1,1,COUNTIF(QCI!$A$13:$A$24,ORÇAMENTO!E252)),OFFSET($D252,1,$C252,ROW($C$264)-ROW($C252)),0))</f>
        <v>0</v>
      </c>
      <c r="L252" s="139" t="str">
        <f t="shared" ca="1" si="77"/>
        <v/>
      </c>
      <c r="M252" s="140" t="s">
        <v>199</v>
      </c>
      <c r="N252" s="141" t="str">
        <f t="shared" ca="1" si="78"/>
        <v>Serviço</v>
      </c>
      <c r="O252" s="142" t="str">
        <f t="shared" ca="1" si="79"/>
        <v>-</v>
      </c>
      <c r="P252" s="143" t="s">
        <v>247</v>
      </c>
      <c r="Q252" s="144"/>
      <c r="R252" s="145" t="str">
        <f ca="1">IF($C252="S",REFERENCIA.Descricao,"(digite a descrição aqui)")</f>
        <v>(abra o arquivo 'Referência 11-2024.xlsm)</v>
      </c>
      <c r="S252" s="146" t="str">
        <f ca="1">REFERENCIA.Unidade</f>
        <v>-</v>
      </c>
      <c r="T252" s="147">
        <f ca="1">OFFSET(CÁLCULO!H$15,ROW($T252)-ROW(T$15),0)</f>
        <v>0</v>
      </c>
      <c r="U252" s="148"/>
      <c r="V252" s="149" t="s">
        <v>156</v>
      </c>
      <c r="W252" s="147">
        <f ca="1">IF($C252="S",ROUND(IF(TIPOORCAMENTO="Proposto",ORÇAMENTO.CustoUnitario*(1+$AH252),ORÇAMENTO.PrecoUnitarioLicitado),15-13*$AF$10),0)</f>
        <v>0</v>
      </c>
      <c r="X252" s="150">
        <f ca="1">IF($C252="S",IF(Import.TipoArredondamento&lt;&gt;"TransfereGOV",VTOTAL1,SUM(OFFSET(CÁLCULO!$AA$15,ROW($X252)-ROW($X$15),1):OFFSET(CÁLCULO!$AL$15,ROW($X252)-ROW($X$15),-1))),IF($C252=0,0,ROUND(SomaAgrup,15-13*$AF$11)))</f>
        <v>0</v>
      </c>
      <c r="Y252" s="151" t="s">
        <v>245</v>
      </c>
      <c r="Z252" t="str">
        <f t="shared" ca="1" si="80"/>
        <v/>
      </c>
      <c r="AA252" s="152">
        <f ca="1">IF($C252="S",IF($Z252="CP",$X252,IF($Z252="RA",(($X252)*QCI!$AA$3),0)),SomaAgrup)</f>
        <v>0</v>
      </c>
      <c r="AB252" s="153">
        <f t="shared" ca="1" si="81"/>
        <v>0</v>
      </c>
      <c r="AC252" s="154" t="str">
        <f ca="1">IF($N252="","",IF(ORÇAMENTO.Descricao="","DESCRIÇÃO",IF(AND($C252="S",ORÇAMENTO.Unidade=""),"UNIDADE",IF($X252&lt;0,"VALOR NEGATIVO",IF(OR(AND(TIPOORCAMENTO="Proposto",$AG252&lt;&gt;"",$AG252&gt;0,ORÇAMENTO.CustoUnitario&gt;$AG252),AND(TIPOORCAMENTO="LICITADO",ORÇAMENTO.PrecoUnitarioLicitado&gt;$AN252)),"ACIMA REF.","")))))</f>
        <v/>
      </c>
      <c r="AD252" s="100" t="str">
        <f ca="1">IF(C252&lt;=CRONO.NivelExibicao,MAX($AD$15:OFFSET(AD252,-1,0))+IF($C252&lt;&gt;1,1,MAX(1,COUNTIF(QCI!$A$13:$A$24,OFFSET($E252,-1,0)))),"")</f>
        <v/>
      </c>
      <c r="AE252" s="110" t="b">
        <f ca="1">IF(AND($C252="S",ORÇAMENTO.CodBarra&lt;&gt;""),IF(ORÇAMENTO.Fonte="",ORÇAMENTO.CodBarra,CONCATENATE(ORÇAMENTO.Fonte," ",ORÇAMENTO.CodBarra)))</f>
        <v>0</v>
      </c>
      <c r="AF252" s="155" t="str">
        <f ca="1">IF(ISERROR(INDIRECT(ORÇAMENTO.BancoRef)),"(abra o arquivo 'Referência "&amp;Excel_BuiltIn_Database&amp;".xlsm)",IF(OR($C252&lt;&gt;"S",ORÇAMENTO.CodBarra=""),"(Sem Código)",IF(ISERROR(MATCH($AE252,INDIRECT(ORÇAMENTO.BancoRef),0)),"(Código não identificado nas referências)",MATCH($AE252,INDIRECT(ORÇAMENTO.BancoRef),0))))</f>
        <v>(abra o arquivo 'Referência 11-2024.xlsm)</v>
      </c>
      <c r="AG252" s="574">
        <f ca="1">ROUND(IF(DESONERACAO="sim",REFERENCIA.Desonerado,REFERENCIA.NaoDesonerado),2)</f>
        <v>0</v>
      </c>
      <c r="AH252" s="575">
        <f t="shared" ca="1" si="82"/>
        <v>0.22</v>
      </c>
      <c r="AJ252" s="577"/>
      <c r="AL252" s="607"/>
      <c r="AM252" s="426">
        <f t="shared" ca="1" si="83"/>
        <v>0</v>
      </c>
      <c r="AN252" s="650">
        <f t="shared" ca="1" si="84"/>
        <v>0</v>
      </c>
    </row>
    <row r="253" spans="1:40" ht="13.8" hidden="1">
      <c r="A253" t="str">
        <f t="shared" si="68"/>
        <v>S</v>
      </c>
      <c r="B253">
        <f t="shared" ca="1" si="69"/>
        <v>2</v>
      </c>
      <c r="C253" t="str">
        <f t="shared" ca="1" si="70"/>
        <v>S</v>
      </c>
      <c r="D253">
        <f t="shared" ca="1" si="71"/>
        <v>0</v>
      </c>
      <c r="E253">
        <f ca="1">IF($C253=1,OFFSET(E253,-1,0)+MAX(1,COUNTIF(QCI!$A$13:$A$24,OFFSET(ORÇAMENTO!E253,-1,0))),OFFSET(E253,-1,0))</f>
        <v>1</v>
      </c>
      <c r="F253">
        <f t="shared" ca="1" si="72"/>
        <v>5</v>
      </c>
      <c r="G253">
        <f t="shared" ca="1" si="73"/>
        <v>0</v>
      </c>
      <c r="H253">
        <f t="shared" ca="1" si="74"/>
        <v>0</v>
      </c>
      <c r="I253">
        <f t="shared" ca="1" si="75"/>
        <v>2</v>
      </c>
      <c r="J253">
        <f t="shared" ca="1" si="76"/>
        <v>0</v>
      </c>
      <c r="K253">
        <f ca="1">IF(OR($C253="S",$C253=0),0,MATCH(OFFSET($D253,0,$C253)+IF($C253&lt;&gt;1,1,COUNTIF(QCI!$A$13:$A$24,ORÇAMENTO!E253)),OFFSET($D253,1,$C253,ROW($C$264)-ROW($C253)),0))</f>
        <v>0</v>
      </c>
      <c r="L253" s="139" t="str">
        <f t="shared" ca="1" si="77"/>
        <v/>
      </c>
      <c r="M253" s="140" t="s">
        <v>199</v>
      </c>
      <c r="N253" s="141" t="str">
        <f t="shared" ca="1" si="78"/>
        <v>Serviço</v>
      </c>
      <c r="O253" s="142" t="str">
        <f t="shared" ca="1" si="79"/>
        <v>-</v>
      </c>
      <c r="P253" s="143" t="s">
        <v>247</v>
      </c>
      <c r="Q253" s="144"/>
      <c r="R253" s="145" t="str">
        <f ca="1">IF($C253="S",REFERENCIA.Descricao,"(digite a descrição aqui)")</f>
        <v>(abra o arquivo 'Referência 11-2024.xlsm)</v>
      </c>
      <c r="S253" s="146" t="str">
        <f ca="1">REFERENCIA.Unidade</f>
        <v>-</v>
      </c>
      <c r="T253" s="147">
        <f ca="1">OFFSET(CÁLCULO!H$15,ROW($T253)-ROW(T$15),0)</f>
        <v>0</v>
      </c>
      <c r="U253" s="148"/>
      <c r="V253" s="149" t="s">
        <v>156</v>
      </c>
      <c r="W253" s="147">
        <f ca="1">IF($C253="S",ROUND(IF(TIPOORCAMENTO="Proposto",ORÇAMENTO.CustoUnitario*(1+$AH253),ORÇAMENTO.PrecoUnitarioLicitado),15-13*$AF$10),0)</f>
        <v>0</v>
      </c>
      <c r="X253" s="150">
        <f ca="1">IF($C253="S",IF(Import.TipoArredondamento&lt;&gt;"TransfereGOV",VTOTAL1,SUM(OFFSET(CÁLCULO!$AA$15,ROW($X253)-ROW($X$15),1):OFFSET(CÁLCULO!$AL$15,ROW($X253)-ROW($X$15),-1))),IF($C253=0,0,ROUND(SomaAgrup,15-13*$AF$11)))</f>
        <v>0</v>
      </c>
      <c r="Y253" s="151" t="s">
        <v>245</v>
      </c>
      <c r="Z253" t="str">
        <f t="shared" ca="1" si="80"/>
        <v/>
      </c>
      <c r="AA253" s="152">
        <f ca="1">IF($C253="S",IF($Z253="CP",$X253,IF($Z253="RA",(($X253)*QCI!$AA$3),0)),SomaAgrup)</f>
        <v>0</v>
      </c>
      <c r="AB253" s="153">
        <f t="shared" ca="1" si="81"/>
        <v>0</v>
      </c>
      <c r="AC253" s="154" t="str">
        <f ca="1">IF($N253="","",IF(ORÇAMENTO.Descricao="","DESCRIÇÃO",IF(AND($C253="S",ORÇAMENTO.Unidade=""),"UNIDADE",IF($X253&lt;0,"VALOR NEGATIVO",IF(OR(AND(TIPOORCAMENTO="Proposto",$AG253&lt;&gt;"",$AG253&gt;0,ORÇAMENTO.CustoUnitario&gt;$AG253),AND(TIPOORCAMENTO="LICITADO",ORÇAMENTO.PrecoUnitarioLicitado&gt;$AN253)),"ACIMA REF.","")))))</f>
        <v/>
      </c>
      <c r="AD253" s="100" t="str">
        <f ca="1">IF(C253&lt;=CRONO.NivelExibicao,MAX($AD$15:OFFSET(AD253,-1,0))+IF($C253&lt;&gt;1,1,MAX(1,COUNTIF(QCI!$A$13:$A$24,OFFSET($E253,-1,0)))),"")</f>
        <v/>
      </c>
      <c r="AE253" s="110" t="b">
        <f ca="1">IF(AND($C253="S",ORÇAMENTO.CodBarra&lt;&gt;""),IF(ORÇAMENTO.Fonte="",ORÇAMENTO.CodBarra,CONCATENATE(ORÇAMENTO.Fonte," ",ORÇAMENTO.CodBarra)))</f>
        <v>0</v>
      </c>
      <c r="AF253" s="155" t="str">
        <f ca="1">IF(ISERROR(INDIRECT(ORÇAMENTO.BancoRef)),"(abra o arquivo 'Referência "&amp;Excel_BuiltIn_Database&amp;".xlsm)",IF(OR($C253&lt;&gt;"S",ORÇAMENTO.CodBarra=""),"(Sem Código)",IF(ISERROR(MATCH($AE253,INDIRECT(ORÇAMENTO.BancoRef),0)),"(Código não identificado nas referências)",MATCH($AE253,INDIRECT(ORÇAMENTO.BancoRef),0))))</f>
        <v>(abra o arquivo 'Referência 11-2024.xlsm)</v>
      </c>
      <c r="AG253" s="574">
        <f ca="1">ROUND(IF(DESONERACAO="sim",REFERENCIA.Desonerado,REFERENCIA.NaoDesonerado),2)</f>
        <v>0</v>
      </c>
      <c r="AH253" s="575">
        <f t="shared" ca="1" si="82"/>
        <v>0.22</v>
      </c>
      <c r="AJ253" s="577"/>
      <c r="AL253" s="607"/>
      <c r="AM253" s="426">
        <f t="shared" ca="1" si="83"/>
        <v>0</v>
      </c>
      <c r="AN253" s="650">
        <f t="shared" ca="1" si="84"/>
        <v>0</v>
      </c>
    </row>
    <row r="254" spans="1:40" ht="13.8" hidden="1">
      <c r="A254" t="str">
        <f t="shared" si="68"/>
        <v>S</v>
      </c>
      <c r="B254">
        <f t="shared" ca="1" si="69"/>
        <v>2</v>
      </c>
      <c r="C254" t="str">
        <f t="shared" ca="1" si="70"/>
        <v>S</v>
      </c>
      <c r="D254">
        <f t="shared" ca="1" si="71"/>
        <v>0</v>
      </c>
      <c r="E254">
        <f ca="1">IF($C254=1,OFFSET(E254,-1,0)+MAX(1,COUNTIF(QCI!$A$13:$A$24,OFFSET(ORÇAMENTO!E254,-1,0))),OFFSET(E254,-1,0))</f>
        <v>1</v>
      </c>
      <c r="F254">
        <f t="shared" ca="1" si="72"/>
        <v>5</v>
      </c>
      <c r="G254">
        <f t="shared" ca="1" si="73"/>
        <v>0</v>
      </c>
      <c r="H254">
        <f t="shared" ca="1" si="74"/>
        <v>0</v>
      </c>
      <c r="I254">
        <f t="shared" ca="1" si="75"/>
        <v>2</v>
      </c>
      <c r="J254">
        <f t="shared" ca="1" si="76"/>
        <v>0</v>
      </c>
      <c r="K254">
        <f ca="1">IF(OR($C254="S",$C254=0),0,MATCH(OFFSET($D254,0,$C254)+IF($C254&lt;&gt;1,1,COUNTIF(QCI!$A$13:$A$24,ORÇAMENTO!E254)),OFFSET($D254,1,$C254,ROW($C$264)-ROW($C254)),0))</f>
        <v>0</v>
      </c>
      <c r="L254" s="139" t="str">
        <f t="shared" ca="1" si="77"/>
        <v/>
      </c>
      <c r="M254" s="140" t="s">
        <v>199</v>
      </c>
      <c r="N254" s="141" t="str">
        <f t="shared" ca="1" si="78"/>
        <v>Serviço</v>
      </c>
      <c r="O254" s="142" t="str">
        <f t="shared" ca="1" si="79"/>
        <v>-</v>
      </c>
      <c r="P254" s="143" t="s">
        <v>247</v>
      </c>
      <c r="Q254" s="144"/>
      <c r="R254" s="145" t="str">
        <f ca="1">IF($C254="S",REFERENCIA.Descricao,"(digite a descrição aqui)")</f>
        <v>(abra o arquivo 'Referência 11-2024.xlsm)</v>
      </c>
      <c r="S254" s="146" t="str">
        <f ca="1">REFERENCIA.Unidade</f>
        <v>-</v>
      </c>
      <c r="T254" s="147">
        <f ca="1">OFFSET(CÁLCULO!H$15,ROW($T254)-ROW(T$15),0)</f>
        <v>0</v>
      </c>
      <c r="U254" s="148"/>
      <c r="V254" s="149" t="s">
        <v>156</v>
      </c>
      <c r="W254" s="147">
        <f ca="1">IF($C254="S",ROUND(IF(TIPOORCAMENTO="Proposto",ORÇAMENTO.CustoUnitario*(1+$AH254),ORÇAMENTO.PrecoUnitarioLicitado),15-13*$AF$10),0)</f>
        <v>0</v>
      </c>
      <c r="X254" s="150">
        <f ca="1">IF($C254="S",IF(Import.TipoArredondamento&lt;&gt;"TransfereGOV",VTOTAL1,SUM(OFFSET(CÁLCULO!$AA$15,ROW($X254)-ROW($X$15),1):OFFSET(CÁLCULO!$AL$15,ROW($X254)-ROW($X$15),-1))),IF($C254=0,0,ROUND(SomaAgrup,15-13*$AF$11)))</f>
        <v>0</v>
      </c>
      <c r="Y254" s="151" t="s">
        <v>245</v>
      </c>
      <c r="Z254" t="str">
        <f t="shared" ca="1" si="80"/>
        <v/>
      </c>
      <c r="AA254" s="152">
        <f ca="1">IF($C254="S",IF($Z254="CP",$X254,IF($Z254="RA",(($X254)*QCI!$AA$3),0)),SomaAgrup)</f>
        <v>0</v>
      </c>
      <c r="AB254" s="153">
        <f t="shared" ca="1" si="81"/>
        <v>0</v>
      </c>
      <c r="AC254" s="154" t="str">
        <f ca="1">IF($N254="","",IF(ORÇAMENTO.Descricao="","DESCRIÇÃO",IF(AND($C254="S",ORÇAMENTO.Unidade=""),"UNIDADE",IF($X254&lt;0,"VALOR NEGATIVO",IF(OR(AND(TIPOORCAMENTO="Proposto",$AG254&lt;&gt;"",$AG254&gt;0,ORÇAMENTO.CustoUnitario&gt;$AG254),AND(TIPOORCAMENTO="LICITADO",ORÇAMENTO.PrecoUnitarioLicitado&gt;$AN254)),"ACIMA REF.","")))))</f>
        <v/>
      </c>
      <c r="AD254" s="100" t="str">
        <f ca="1">IF(C254&lt;=CRONO.NivelExibicao,MAX($AD$15:OFFSET(AD254,-1,0))+IF($C254&lt;&gt;1,1,MAX(1,COUNTIF(QCI!$A$13:$A$24,OFFSET($E254,-1,0)))),"")</f>
        <v/>
      </c>
      <c r="AE254" s="110" t="b">
        <f ca="1">IF(AND($C254="S",ORÇAMENTO.CodBarra&lt;&gt;""),IF(ORÇAMENTO.Fonte="",ORÇAMENTO.CodBarra,CONCATENATE(ORÇAMENTO.Fonte," ",ORÇAMENTO.CodBarra)))</f>
        <v>0</v>
      </c>
      <c r="AF254" s="155" t="str">
        <f ca="1">IF(ISERROR(INDIRECT(ORÇAMENTO.BancoRef)),"(abra o arquivo 'Referência "&amp;Excel_BuiltIn_Database&amp;".xlsm)",IF(OR($C254&lt;&gt;"S",ORÇAMENTO.CodBarra=""),"(Sem Código)",IF(ISERROR(MATCH($AE254,INDIRECT(ORÇAMENTO.BancoRef),0)),"(Código não identificado nas referências)",MATCH($AE254,INDIRECT(ORÇAMENTO.BancoRef),0))))</f>
        <v>(abra o arquivo 'Referência 11-2024.xlsm)</v>
      </c>
      <c r="AG254" s="574">
        <f ca="1">ROUND(IF(DESONERACAO="sim",REFERENCIA.Desonerado,REFERENCIA.NaoDesonerado),2)</f>
        <v>0</v>
      </c>
      <c r="AH254" s="575">
        <f t="shared" ca="1" si="82"/>
        <v>0.22</v>
      </c>
      <c r="AJ254" s="577"/>
      <c r="AL254" s="607"/>
      <c r="AM254" s="426">
        <f t="shared" ca="1" si="83"/>
        <v>0</v>
      </c>
      <c r="AN254" s="650">
        <f t="shared" ca="1" si="84"/>
        <v>0</v>
      </c>
    </row>
    <row r="255" spans="1:40" ht="13.8" hidden="1">
      <c r="A255" t="str">
        <f t="shared" si="68"/>
        <v>S</v>
      </c>
      <c r="B255">
        <f t="shared" ca="1" si="69"/>
        <v>2</v>
      </c>
      <c r="C255" t="str">
        <f t="shared" ca="1" si="70"/>
        <v>S</v>
      </c>
      <c r="D255">
        <f t="shared" ca="1" si="71"/>
        <v>0</v>
      </c>
      <c r="E255">
        <f ca="1">IF($C255=1,OFFSET(E255,-1,0)+MAX(1,COUNTIF(QCI!$A$13:$A$24,OFFSET(ORÇAMENTO!E255,-1,0))),OFFSET(E255,-1,0))</f>
        <v>1</v>
      </c>
      <c r="F255">
        <f t="shared" ca="1" si="72"/>
        <v>5</v>
      </c>
      <c r="G255">
        <f t="shared" ca="1" si="73"/>
        <v>0</v>
      </c>
      <c r="H255">
        <f t="shared" ca="1" si="74"/>
        <v>0</v>
      </c>
      <c r="I255">
        <f t="shared" ca="1" si="75"/>
        <v>2</v>
      </c>
      <c r="J255">
        <f t="shared" ca="1" si="76"/>
        <v>0</v>
      </c>
      <c r="K255">
        <f ca="1">IF(OR($C255="S",$C255=0),0,MATCH(OFFSET($D255,0,$C255)+IF($C255&lt;&gt;1,1,COUNTIF(QCI!$A$13:$A$24,ORÇAMENTO!E255)),OFFSET($D255,1,$C255,ROW($C$264)-ROW($C255)),0))</f>
        <v>0</v>
      </c>
      <c r="L255" s="139" t="str">
        <f t="shared" ca="1" si="77"/>
        <v/>
      </c>
      <c r="M255" s="140" t="s">
        <v>199</v>
      </c>
      <c r="N255" s="141" t="str">
        <f t="shared" ca="1" si="78"/>
        <v>Serviço</v>
      </c>
      <c r="O255" s="142" t="str">
        <f t="shared" ca="1" si="79"/>
        <v>-</v>
      </c>
      <c r="P255" s="143" t="s">
        <v>247</v>
      </c>
      <c r="Q255" s="144"/>
      <c r="R255" s="145" t="str">
        <f ca="1">IF($C255="S",REFERENCIA.Descricao,"(digite a descrição aqui)")</f>
        <v>(abra o arquivo 'Referência 11-2024.xlsm)</v>
      </c>
      <c r="S255" s="146" t="str">
        <f ca="1">REFERENCIA.Unidade</f>
        <v>-</v>
      </c>
      <c r="T255" s="147">
        <f ca="1">OFFSET(CÁLCULO!H$15,ROW($T255)-ROW(T$15),0)</f>
        <v>0</v>
      </c>
      <c r="U255" s="148"/>
      <c r="V255" s="149" t="s">
        <v>156</v>
      </c>
      <c r="W255" s="147">
        <f ca="1">IF($C255="S",ROUND(IF(TIPOORCAMENTO="Proposto",ORÇAMENTO.CustoUnitario*(1+$AH255),ORÇAMENTO.PrecoUnitarioLicitado),15-13*$AF$10),0)</f>
        <v>0</v>
      </c>
      <c r="X255" s="150">
        <f ca="1">IF($C255="S",IF(Import.TipoArredondamento&lt;&gt;"TransfereGOV",VTOTAL1,SUM(OFFSET(CÁLCULO!$AA$15,ROW($X255)-ROW($X$15),1):OFFSET(CÁLCULO!$AL$15,ROW($X255)-ROW($X$15),-1))),IF($C255=0,0,ROUND(SomaAgrup,15-13*$AF$11)))</f>
        <v>0</v>
      </c>
      <c r="Y255" s="151" t="s">
        <v>245</v>
      </c>
      <c r="Z255" t="str">
        <f t="shared" ca="1" si="80"/>
        <v/>
      </c>
      <c r="AA255" s="152">
        <f ca="1">IF($C255="S",IF($Z255="CP",$X255,IF($Z255="RA",(($X255)*QCI!$AA$3),0)),SomaAgrup)</f>
        <v>0</v>
      </c>
      <c r="AB255" s="153">
        <f t="shared" ca="1" si="81"/>
        <v>0</v>
      </c>
      <c r="AC255" s="154" t="str">
        <f ca="1">IF($N255="","",IF(ORÇAMENTO.Descricao="","DESCRIÇÃO",IF(AND($C255="S",ORÇAMENTO.Unidade=""),"UNIDADE",IF($X255&lt;0,"VALOR NEGATIVO",IF(OR(AND(TIPOORCAMENTO="Proposto",$AG255&lt;&gt;"",$AG255&gt;0,ORÇAMENTO.CustoUnitario&gt;$AG255),AND(TIPOORCAMENTO="LICITADO",ORÇAMENTO.PrecoUnitarioLicitado&gt;$AN255)),"ACIMA REF.","")))))</f>
        <v/>
      </c>
      <c r="AD255" s="100" t="str">
        <f ca="1">IF(C255&lt;=CRONO.NivelExibicao,MAX($AD$15:OFFSET(AD255,-1,0))+IF($C255&lt;&gt;1,1,MAX(1,COUNTIF(QCI!$A$13:$A$24,OFFSET($E255,-1,0)))),"")</f>
        <v/>
      </c>
      <c r="AE255" s="110" t="b">
        <f ca="1">IF(AND($C255="S",ORÇAMENTO.CodBarra&lt;&gt;""),IF(ORÇAMENTO.Fonte="",ORÇAMENTO.CodBarra,CONCATENATE(ORÇAMENTO.Fonte," ",ORÇAMENTO.CodBarra)))</f>
        <v>0</v>
      </c>
      <c r="AF255" s="155" t="str">
        <f ca="1">IF(ISERROR(INDIRECT(ORÇAMENTO.BancoRef)),"(abra o arquivo 'Referência "&amp;Excel_BuiltIn_Database&amp;".xlsm)",IF(OR($C255&lt;&gt;"S",ORÇAMENTO.CodBarra=""),"(Sem Código)",IF(ISERROR(MATCH($AE255,INDIRECT(ORÇAMENTO.BancoRef),0)),"(Código não identificado nas referências)",MATCH($AE255,INDIRECT(ORÇAMENTO.BancoRef),0))))</f>
        <v>(abra o arquivo 'Referência 11-2024.xlsm)</v>
      </c>
      <c r="AG255" s="574">
        <f ca="1">ROUND(IF(DESONERACAO="sim",REFERENCIA.Desonerado,REFERENCIA.NaoDesonerado),2)</f>
        <v>0</v>
      </c>
      <c r="AH255" s="575">
        <f t="shared" ca="1" si="82"/>
        <v>0.22</v>
      </c>
      <c r="AJ255" s="577"/>
      <c r="AL255" s="607"/>
      <c r="AM255" s="426">
        <f t="shared" ca="1" si="83"/>
        <v>0</v>
      </c>
      <c r="AN255" s="650">
        <f t="shared" ca="1" si="84"/>
        <v>0</v>
      </c>
    </row>
    <row r="256" spans="1:40" ht="13.8" hidden="1">
      <c r="A256" t="str">
        <f t="shared" si="68"/>
        <v>S</v>
      </c>
      <c r="B256">
        <f t="shared" ca="1" si="69"/>
        <v>2</v>
      </c>
      <c r="C256" t="str">
        <f t="shared" ca="1" si="70"/>
        <v>S</v>
      </c>
      <c r="D256">
        <f t="shared" ca="1" si="71"/>
        <v>0</v>
      </c>
      <c r="E256">
        <f ca="1">IF($C256=1,OFFSET(E256,-1,0)+MAX(1,COUNTIF(QCI!$A$13:$A$24,OFFSET(ORÇAMENTO!E256,-1,0))),OFFSET(E256,-1,0))</f>
        <v>1</v>
      </c>
      <c r="F256">
        <f t="shared" ca="1" si="72"/>
        <v>5</v>
      </c>
      <c r="G256">
        <f t="shared" ca="1" si="73"/>
        <v>0</v>
      </c>
      <c r="H256">
        <f t="shared" ca="1" si="74"/>
        <v>0</v>
      </c>
      <c r="I256">
        <f t="shared" ca="1" si="75"/>
        <v>2</v>
      </c>
      <c r="J256">
        <f t="shared" ca="1" si="76"/>
        <v>0</v>
      </c>
      <c r="K256">
        <f ca="1">IF(OR($C256="S",$C256=0),0,MATCH(OFFSET($D256,0,$C256)+IF($C256&lt;&gt;1,1,COUNTIF(QCI!$A$13:$A$24,ORÇAMENTO!E256)),OFFSET($D256,1,$C256,ROW($C$264)-ROW($C256)),0))</f>
        <v>0</v>
      </c>
      <c r="L256" s="139" t="str">
        <f t="shared" ca="1" si="77"/>
        <v/>
      </c>
      <c r="M256" s="140" t="s">
        <v>199</v>
      </c>
      <c r="N256" s="141" t="str">
        <f t="shared" ca="1" si="78"/>
        <v>Serviço</v>
      </c>
      <c r="O256" s="142" t="str">
        <f t="shared" ca="1" si="79"/>
        <v>-</v>
      </c>
      <c r="P256" s="143" t="s">
        <v>247</v>
      </c>
      <c r="Q256" s="144"/>
      <c r="R256" s="145" t="str">
        <f ca="1">IF($C256="S",REFERENCIA.Descricao,"(digite a descrição aqui)")</f>
        <v>(abra o arquivo 'Referência 11-2024.xlsm)</v>
      </c>
      <c r="S256" s="146" t="str">
        <f ca="1">REFERENCIA.Unidade</f>
        <v>-</v>
      </c>
      <c r="T256" s="147">
        <f ca="1">OFFSET(CÁLCULO!H$15,ROW($T256)-ROW(T$15),0)</f>
        <v>0</v>
      </c>
      <c r="U256" s="148"/>
      <c r="V256" s="149" t="s">
        <v>156</v>
      </c>
      <c r="W256" s="147">
        <f ca="1">IF($C256="S",ROUND(IF(TIPOORCAMENTO="Proposto",ORÇAMENTO.CustoUnitario*(1+$AH256),ORÇAMENTO.PrecoUnitarioLicitado),15-13*$AF$10),0)</f>
        <v>0</v>
      </c>
      <c r="X256" s="150">
        <f ca="1">IF($C256="S",IF(Import.TipoArredondamento&lt;&gt;"TransfereGOV",VTOTAL1,SUM(OFFSET(CÁLCULO!$AA$15,ROW($X256)-ROW($X$15),1):OFFSET(CÁLCULO!$AL$15,ROW($X256)-ROW($X$15),-1))),IF($C256=0,0,ROUND(SomaAgrup,15-13*$AF$11)))</f>
        <v>0</v>
      </c>
      <c r="Y256" s="151" t="s">
        <v>245</v>
      </c>
      <c r="Z256" t="str">
        <f t="shared" ca="1" si="80"/>
        <v/>
      </c>
      <c r="AA256" s="152">
        <f ca="1">IF($C256="S",IF($Z256="CP",$X256,IF($Z256="RA",(($X256)*QCI!$AA$3),0)),SomaAgrup)</f>
        <v>0</v>
      </c>
      <c r="AB256" s="153">
        <f t="shared" ca="1" si="81"/>
        <v>0</v>
      </c>
      <c r="AC256" s="154" t="str">
        <f ca="1">IF($N256="","",IF(ORÇAMENTO.Descricao="","DESCRIÇÃO",IF(AND($C256="S",ORÇAMENTO.Unidade=""),"UNIDADE",IF($X256&lt;0,"VALOR NEGATIVO",IF(OR(AND(TIPOORCAMENTO="Proposto",$AG256&lt;&gt;"",$AG256&gt;0,ORÇAMENTO.CustoUnitario&gt;$AG256),AND(TIPOORCAMENTO="LICITADO",ORÇAMENTO.PrecoUnitarioLicitado&gt;$AN256)),"ACIMA REF.","")))))</f>
        <v/>
      </c>
      <c r="AD256" s="100" t="str">
        <f ca="1">IF(C256&lt;=CRONO.NivelExibicao,MAX($AD$15:OFFSET(AD256,-1,0))+IF($C256&lt;&gt;1,1,MAX(1,COUNTIF(QCI!$A$13:$A$24,OFFSET($E256,-1,0)))),"")</f>
        <v/>
      </c>
      <c r="AE256" s="110" t="b">
        <f ca="1">IF(AND($C256="S",ORÇAMENTO.CodBarra&lt;&gt;""),IF(ORÇAMENTO.Fonte="",ORÇAMENTO.CodBarra,CONCATENATE(ORÇAMENTO.Fonte," ",ORÇAMENTO.CodBarra)))</f>
        <v>0</v>
      </c>
      <c r="AF256" s="155" t="str">
        <f ca="1">IF(ISERROR(INDIRECT(ORÇAMENTO.BancoRef)),"(abra o arquivo 'Referência "&amp;Excel_BuiltIn_Database&amp;".xlsm)",IF(OR($C256&lt;&gt;"S",ORÇAMENTO.CodBarra=""),"(Sem Código)",IF(ISERROR(MATCH($AE256,INDIRECT(ORÇAMENTO.BancoRef),0)),"(Código não identificado nas referências)",MATCH($AE256,INDIRECT(ORÇAMENTO.BancoRef),0))))</f>
        <v>(abra o arquivo 'Referência 11-2024.xlsm)</v>
      </c>
      <c r="AG256" s="574">
        <f ca="1">ROUND(IF(DESONERACAO="sim",REFERENCIA.Desonerado,REFERENCIA.NaoDesonerado),2)</f>
        <v>0</v>
      </c>
      <c r="AH256" s="575">
        <f t="shared" ca="1" si="82"/>
        <v>0.22</v>
      </c>
      <c r="AJ256" s="577"/>
      <c r="AL256" s="607"/>
      <c r="AM256" s="426">
        <f t="shared" ca="1" si="83"/>
        <v>0</v>
      </c>
      <c r="AN256" s="650">
        <f t="shared" ca="1" si="84"/>
        <v>0</v>
      </c>
    </row>
    <row r="257" spans="1:40" ht="13.8" hidden="1">
      <c r="A257" t="str">
        <f t="shared" si="68"/>
        <v>S</v>
      </c>
      <c r="B257">
        <f t="shared" ca="1" si="69"/>
        <v>2</v>
      </c>
      <c r="C257" t="str">
        <f t="shared" ca="1" si="70"/>
        <v>S</v>
      </c>
      <c r="D257">
        <f t="shared" ca="1" si="71"/>
        <v>0</v>
      </c>
      <c r="E257">
        <f ca="1">IF($C257=1,OFFSET(E257,-1,0)+MAX(1,COUNTIF(QCI!$A$13:$A$24,OFFSET(ORÇAMENTO!E257,-1,0))),OFFSET(E257,-1,0))</f>
        <v>1</v>
      </c>
      <c r="F257">
        <f t="shared" ca="1" si="72"/>
        <v>5</v>
      </c>
      <c r="G257">
        <f t="shared" ca="1" si="73"/>
        <v>0</v>
      </c>
      <c r="H257">
        <f t="shared" ca="1" si="74"/>
        <v>0</v>
      </c>
      <c r="I257">
        <f t="shared" ca="1" si="75"/>
        <v>2</v>
      </c>
      <c r="J257">
        <f t="shared" ca="1" si="76"/>
        <v>0</v>
      </c>
      <c r="K257">
        <f ca="1">IF(OR($C257="S",$C257=0),0,MATCH(OFFSET($D257,0,$C257)+IF($C257&lt;&gt;1,1,COUNTIF(QCI!$A$13:$A$24,ORÇAMENTO!E257)),OFFSET($D257,1,$C257,ROW($C$264)-ROW($C257)),0))</f>
        <v>0</v>
      </c>
      <c r="L257" s="139" t="str">
        <f t="shared" ca="1" si="77"/>
        <v/>
      </c>
      <c r="M257" s="140" t="s">
        <v>199</v>
      </c>
      <c r="N257" s="141" t="str">
        <f t="shared" ca="1" si="78"/>
        <v>Serviço</v>
      </c>
      <c r="O257" s="142" t="str">
        <f t="shared" ca="1" si="79"/>
        <v>-</v>
      </c>
      <c r="P257" s="143" t="s">
        <v>247</v>
      </c>
      <c r="Q257" s="144"/>
      <c r="R257" s="145" t="str">
        <f ca="1">IF($C257="S",REFERENCIA.Descricao,"(digite a descrição aqui)")</f>
        <v>(abra o arquivo 'Referência 11-2024.xlsm)</v>
      </c>
      <c r="S257" s="146" t="str">
        <f ca="1">REFERENCIA.Unidade</f>
        <v>-</v>
      </c>
      <c r="T257" s="147">
        <f ca="1">OFFSET(CÁLCULO!H$15,ROW($T257)-ROW(T$15),0)</f>
        <v>0</v>
      </c>
      <c r="U257" s="148"/>
      <c r="V257" s="149" t="s">
        <v>156</v>
      </c>
      <c r="W257" s="147">
        <f ca="1">IF($C257="S",ROUND(IF(TIPOORCAMENTO="Proposto",ORÇAMENTO.CustoUnitario*(1+$AH257),ORÇAMENTO.PrecoUnitarioLicitado),15-13*$AF$10),0)</f>
        <v>0</v>
      </c>
      <c r="X257" s="150">
        <f ca="1">IF($C257="S",IF(Import.TipoArredondamento&lt;&gt;"TransfereGOV",VTOTAL1,SUM(OFFSET(CÁLCULO!$AA$15,ROW($X257)-ROW($X$15),1):OFFSET(CÁLCULO!$AL$15,ROW($X257)-ROW($X$15),-1))),IF($C257=0,0,ROUND(SomaAgrup,15-13*$AF$11)))</f>
        <v>0</v>
      </c>
      <c r="Y257" s="151" t="s">
        <v>245</v>
      </c>
      <c r="Z257" t="str">
        <f t="shared" ca="1" si="80"/>
        <v/>
      </c>
      <c r="AA257" s="152">
        <f ca="1">IF($C257="S",IF($Z257="CP",$X257,IF($Z257="RA",(($X257)*QCI!$AA$3),0)),SomaAgrup)</f>
        <v>0</v>
      </c>
      <c r="AB257" s="153">
        <f t="shared" ca="1" si="81"/>
        <v>0</v>
      </c>
      <c r="AC257" s="154" t="str">
        <f ca="1">IF($N257="","",IF(ORÇAMENTO.Descricao="","DESCRIÇÃO",IF(AND($C257="S",ORÇAMENTO.Unidade=""),"UNIDADE",IF($X257&lt;0,"VALOR NEGATIVO",IF(OR(AND(TIPOORCAMENTO="Proposto",$AG257&lt;&gt;"",$AG257&gt;0,ORÇAMENTO.CustoUnitario&gt;$AG257),AND(TIPOORCAMENTO="LICITADO",ORÇAMENTO.PrecoUnitarioLicitado&gt;$AN257)),"ACIMA REF.","")))))</f>
        <v/>
      </c>
      <c r="AD257" s="100" t="str">
        <f ca="1">IF(C257&lt;=CRONO.NivelExibicao,MAX($AD$15:OFFSET(AD257,-1,0))+IF($C257&lt;&gt;1,1,MAX(1,COUNTIF(QCI!$A$13:$A$24,OFFSET($E257,-1,0)))),"")</f>
        <v/>
      </c>
      <c r="AE257" s="110" t="b">
        <f ca="1">IF(AND($C257="S",ORÇAMENTO.CodBarra&lt;&gt;""),IF(ORÇAMENTO.Fonte="",ORÇAMENTO.CodBarra,CONCATENATE(ORÇAMENTO.Fonte," ",ORÇAMENTO.CodBarra)))</f>
        <v>0</v>
      </c>
      <c r="AF257" s="155" t="str">
        <f ca="1">IF(ISERROR(INDIRECT(ORÇAMENTO.BancoRef)),"(abra o arquivo 'Referência "&amp;Excel_BuiltIn_Database&amp;".xlsm)",IF(OR($C257&lt;&gt;"S",ORÇAMENTO.CodBarra=""),"(Sem Código)",IF(ISERROR(MATCH($AE257,INDIRECT(ORÇAMENTO.BancoRef),0)),"(Código não identificado nas referências)",MATCH($AE257,INDIRECT(ORÇAMENTO.BancoRef),0))))</f>
        <v>(abra o arquivo 'Referência 11-2024.xlsm)</v>
      </c>
      <c r="AG257" s="574">
        <f ca="1">ROUND(IF(DESONERACAO="sim",REFERENCIA.Desonerado,REFERENCIA.NaoDesonerado),2)</f>
        <v>0</v>
      </c>
      <c r="AH257" s="575">
        <f t="shared" ca="1" si="82"/>
        <v>0.22</v>
      </c>
      <c r="AJ257" s="577"/>
      <c r="AL257" s="607"/>
      <c r="AM257" s="426">
        <f t="shared" ca="1" si="83"/>
        <v>0</v>
      </c>
      <c r="AN257" s="650">
        <f t="shared" ca="1" si="84"/>
        <v>0</v>
      </c>
    </row>
    <row r="258" spans="1:40" ht="13.8" hidden="1">
      <c r="A258" t="str">
        <f t="shared" si="68"/>
        <v>S</v>
      </c>
      <c r="B258">
        <f t="shared" ca="1" si="69"/>
        <v>2</v>
      </c>
      <c r="C258" t="str">
        <f t="shared" ca="1" si="70"/>
        <v>S</v>
      </c>
      <c r="D258">
        <f t="shared" ca="1" si="71"/>
        <v>0</v>
      </c>
      <c r="E258">
        <f ca="1">IF($C258=1,OFFSET(E258,-1,0)+MAX(1,COUNTIF(QCI!$A$13:$A$24,OFFSET(ORÇAMENTO!E258,-1,0))),OFFSET(E258,-1,0))</f>
        <v>1</v>
      </c>
      <c r="F258">
        <f t="shared" ca="1" si="72"/>
        <v>5</v>
      </c>
      <c r="G258">
        <f t="shared" ca="1" si="73"/>
        <v>0</v>
      </c>
      <c r="H258">
        <f t="shared" ca="1" si="74"/>
        <v>0</v>
      </c>
      <c r="I258">
        <f t="shared" ca="1" si="75"/>
        <v>2</v>
      </c>
      <c r="J258">
        <f t="shared" ca="1" si="76"/>
        <v>0</v>
      </c>
      <c r="K258">
        <f ca="1">IF(OR($C258="S",$C258=0),0,MATCH(OFFSET($D258,0,$C258)+IF($C258&lt;&gt;1,1,COUNTIF(QCI!$A$13:$A$24,ORÇAMENTO!E258)),OFFSET($D258,1,$C258,ROW($C$264)-ROW($C258)),0))</f>
        <v>0</v>
      </c>
      <c r="L258" s="139" t="str">
        <f t="shared" ca="1" si="77"/>
        <v/>
      </c>
      <c r="M258" s="140" t="s">
        <v>199</v>
      </c>
      <c r="N258" s="141" t="str">
        <f t="shared" ca="1" si="78"/>
        <v>Serviço</v>
      </c>
      <c r="O258" s="142" t="str">
        <f t="shared" ca="1" si="79"/>
        <v>-</v>
      </c>
      <c r="P258" s="143" t="s">
        <v>247</v>
      </c>
      <c r="Q258" s="144"/>
      <c r="R258" s="145" t="str">
        <f ca="1">IF($C258="S",REFERENCIA.Descricao,"(digite a descrição aqui)")</f>
        <v>(abra o arquivo 'Referência 11-2024.xlsm)</v>
      </c>
      <c r="S258" s="146" t="str">
        <f ca="1">REFERENCIA.Unidade</f>
        <v>-</v>
      </c>
      <c r="T258" s="147">
        <f ca="1">OFFSET(CÁLCULO!H$15,ROW($T258)-ROW(T$15),0)</f>
        <v>0</v>
      </c>
      <c r="U258" s="148"/>
      <c r="V258" s="149" t="s">
        <v>156</v>
      </c>
      <c r="W258" s="147">
        <f ca="1">IF($C258="S",ROUND(IF(TIPOORCAMENTO="Proposto",ORÇAMENTO.CustoUnitario*(1+$AH258),ORÇAMENTO.PrecoUnitarioLicitado),15-13*$AF$10),0)</f>
        <v>0</v>
      </c>
      <c r="X258" s="150">
        <f ca="1">IF($C258="S",IF(Import.TipoArredondamento&lt;&gt;"TransfereGOV",VTOTAL1,SUM(OFFSET(CÁLCULO!$AA$15,ROW($X258)-ROW($X$15),1):OFFSET(CÁLCULO!$AL$15,ROW($X258)-ROW($X$15),-1))),IF($C258=0,0,ROUND(SomaAgrup,15-13*$AF$11)))</f>
        <v>0</v>
      </c>
      <c r="Y258" s="151" t="s">
        <v>245</v>
      </c>
      <c r="Z258" t="str">
        <f t="shared" ca="1" si="80"/>
        <v/>
      </c>
      <c r="AA258" s="152">
        <f ca="1">IF($C258="S",IF($Z258="CP",$X258,IF($Z258="RA",(($X258)*QCI!$AA$3),0)),SomaAgrup)</f>
        <v>0</v>
      </c>
      <c r="AB258" s="153">
        <f t="shared" ca="1" si="81"/>
        <v>0</v>
      </c>
      <c r="AC258" s="154" t="str">
        <f ca="1">IF($N258="","",IF(ORÇAMENTO.Descricao="","DESCRIÇÃO",IF(AND($C258="S",ORÇAMENTO.Unidade=""),"UNIDADE",IF($X258&lt;0,"VALOR NEGATIVO",IF(OR(AND(TIPOORCAMENTO="Proposto",$AG258&lt;&gt;"",$AG258&gt;0,ORÇAMENTO.CustoUnitario&gt;$AG258),AND(TIPOORCAMENTO="LICITADO",ORÇAMENTO.PrecoUnitarioLicitado&gt;$AN258)),"ACIMA REF.","")))))</f>
        <v/>
      </c>
      <c r="AD258" s="100" t="str">
        <f ca="1">IF(C258&lt;=CRONO.NivelExibicao,MAX($AD$15:OFFSET(AD258,-1,0))+IF($C258&lt;&gt;1,1,MAX(1,COUNTIF(QCI!$A$13:$A$24,OFFSET($E258,-1,0)))),"")</f>
        <v/>
      </c>
      <c r="AE258" s="110" t="b">
        <f ca="1">IF(AND($C258="S",ORÇAMENTO.CodBarra&lt;&gt;""),IF(ORÇAMENTO.Fonte="",ORÇAMENTO.CodBarra,CONCATENATE(ORÇAMENTO.Fonte," ",ORÇAMENTO.CodBarra)))</f>
        <v>0</v>
      </c>
      <c r="AF258" s="155" t="str">
        <f ca="1">IF(ISERROR(INDIRECT(ORÇAMENTO.BancoRef)),"(abra o arquivo 'Referência "&amp;Excel_BuiltIn_Database&amp;".xlsm)",IF(OR($C258&lt;&gt;"S",ORÇAMENTO.CodBarra=""),"(Sem Código)",IF(ISERROR(MATCH($AE258,INDIRECT(ORÇAMENTO.BancoRef),0)),"(Código não identificado nas referências)",MATCH($AE258,INDIRECT(ORÇAMENTO.BancoRef),0))))</f>
        <v>(abra o arquivo 'Referência 11-2024.xlsm)</v>
      </c>
      <c r="AG258" s="574">
        <f ca="1">ROUND(IF(DESONERACAO="sim",REFERENCIA.Desonerado,REFERENCIA.NaoDesonerado),2)</f>
        <v>0</v>
      </c>
      <c r="AH258" s="575">
        <f t="shared" ca="1" si="82"/>
        <v>0.22</v>
      </c>
      <c r="AJ258" s="577"/>
      <c r="AL258" s="607"/>
      <c r="AM258" s="426">
        <f t="shared" ca="1" si="83"/>
        <v>0</v>
      </c>
      <c r="AN258" s="650">
        <f t="shared" ca="1" si="84"/>
        <v>0</v>
      </c>
    </row>
    <row r="259" spans="1:40" ht="13.8" hidden="1">
      <c r="A259" t="str">
        <f t="shared" si="68"/>
        <v>S</v>
      </c>
      <c r="B259">
        <f t="shared" ca="1" si="69"/>
        <v>2</v>
      </c>
      <c r="C259" t="str">
        <f t="shared" ca="1" si="70"/>
        <v>S</v>
      </c>
      <c r="D259">
        <f t="shared" ca="1" si="71"/>
        <v>0</v>
      </c>
      <c r="E259">
        <f ca="1">IF($C259=1,OFFSET(E259,-1,0)+MAX(1,COUNTIF(QCI!$A$13:$A$24,OFFSET(ORÇAMENTO!E259,-1,0))),OFFSET(E259,-1,0))</f>
        <v>1</v>
      </c>
      <c r="F259">
        <f t="shared" ca="1" si="72"/>
        <v>5</v>
      </c>
      <c r="G259">
        <f t="shared" ca="1" si="73"/>
        <v>0</v>
      </c>
      <c r="H259">
        <f t="shared" ca="1" si="74"/>
        <v>0</v>
      </c>
      <c r="I259">
        <f t="shared" ca="1" si="75"/>
        <v>2</v>
      </c>
      <c r="J259">
        <f t="shared" ca="1" si="76"/>
        <v>0</v>
      </c>
      <c r="K259">
        <f ca="1">IF(OR($C259="S",$C259=0),0,MATCH(OFFSET($D259,0,$C259)+IF($C259&lt;&gt;1,1,COUNTIF(QCI!$A$13:$A$24,ORÇAMENTO!E259)),OFFSET($D259,1,$C259,ROW($C$264)-ROW($C259)),0))</f>
        <v>0</v>
      </c>
      <c r="L259" s="139" t="str">
        <f t="shared" ca="1" si="77"/>
        <v/>
      </c>
      <c r="M259" s="140" t="s">
        <v>199</v>
      </c>
      <c r="N259" s="141" t="str">
        <f t="shared" ca="1" si="78"/>
        <v>Serviço</v>
      </c>
      <c r="O259" s="142" t="str">
        <f t="shared" ca="1" si="79"/>
        <v>-</v>
      </c>
      <c r="P259" s="143" t="s">
        <v>247</v>
      </c>
      <c r="Q259" s="144"/>
      <c r="R259" s="145" t="str">
        <f ca="1">IF($C259="S",REFERENCIA.Descricao,"(digite a descrição aqui)")</f>
        <v>(abra o arquivo 'Referência 11-2024.xlsm)</v>
      </c>
      <c r="S259" s="146" t="str">
        <f ca="1">REFERENCIA.Unidade</f>
        <v>-</v>
      </c>
      <c r="T259" s="147">
        <f ca="1">OFFSET(CÁLCULO!H$15,ROW($T259)-ROW(T$15),0)</f>
        <v>0</v>
      </c>
      <c r="U259" s="148"/>
      <c r="V259" s="149" t="s">
        <v>156</v>
      </c>
      <c r="W259" s="147">
        <f ca="1">IF($C259="S",ROUND(IF(TIPOORCAMENTO="Proposto",ORÇAMENTO.CustoUnitario*(1+$AH259),ORÇAMENTO.PrecoUnitarioLicitado),15-13*$AF$10),0)</f>
        <v>0</v>
      </c>
      <c r="X259" s="150">
        <f ca="1">IF($C259="S",IF(Import.TipoArredondamento&lt;&gt;"TransfereGOV",VTOTAL1,SUM(OFFSET(CÁLCULO!$AA$15,ROW($X259)-ROW($X$15),1):OFFSET(CÁLCULO!$AL$15,ROW($X259)-ROW($X$15),-1))),IF($C259=0,0,ROUND(SomaAgrup,15-13*$AF$11)))</f>
        <v>0</v>
      </c>
      <c r="Y259" s="151" t="s">
        <v>245</v>
      </c>
      <c r="Z259" t="str">
        <f t="shared" ca="1" si="80"/>
        <v/>
      </c>
      <c r="AA259" s="152">
        <f ca="1">IF($C259="S",IF($Z259="CP",$X259,IF($Z259="RA",(($X259)*QCI!$AA$3),0)),SomaAgrup)</f>
        <v>0</v>
      </c>
      <c r="AB259" s="153">
        <f t="shared" ca="1" si="81"/>
        <v>0</v>
      </c>
      <c r="AC259" s="154" t="str">
        <f ca="1">IF($N259="","",IF(ORÇAMENTO.Descricao="","DESCRIÇÃO",IF(AND($C259="S",ORÇAMENTO.Unidade=""),"UNIDADE",IF($X259&lt;0,"VALOR NEGATIVO",IF(OR(AND(TIPOORCAMENTO="Proposto",$AG259&lt;&gt;"",$AG259&gt;0,ORÇAMENTO.CustoUnitario&gt;$AG259),AND(TIPOORCAMENTO="LICITADO",ORÇAMENTO.PrecoUnitarioLicitado&gt;$AN259)),"ACIMA REF.","")))))</f>
        <v/>
      </c>
      <c r="AD259" s="100" t="str">
        <f ca="1">IF(C259&lt;=CRONO.NivelExibicao,MAX($AD$15:OFFSET(AD259,-1,0))+IF($C259&lt;&gt;1,1,MAX(1,COUNTIF(QCI!$A$13:$A$24,OFFSET($E259,-1,0)))),"")</f>
        <v/>
      </c>
      <c r="AE259" s="110" t="b">
        <f ca="1">IF(AND($C259="S",ORÇAMENTO.CodBarra&lt;&gt;""),IF(ORÇAMENTO.Fonte="",ORÇAMENTO.CodBarra,CONCATENATE(ORÇAMENTO.Fonte," ",ORÇAMENTO.CodBarra)))</f>
        <v>0</v>
      </c>
      <c r="AF259" s="155" t="str">
        <f ca="1">IF(ISERROR(INDIRECT(ORÇAMENTO.BancoRef)),"(abra o arquivo 'Referência "&amp;Excel_BuiltIn_Database&amp;".xlsm)",IF(OR($C259&lt;&gt;"S",ORÇAMENTO.CodBarra=""),"(Sem Código)",IF(ISERROR(MATCH($AE259,INDIRECT(ORÇAMENTO.BancoRef),0)),"(Código não identificado nas referências)",MATCH($AE259,INDIRECT(ORÇAMENTO.BancoRef),0))))</f>
        <v>(abra o arquivo 'Referência 11-2024.xlsm)</v>
      </c>
      <c r="AG259" s="574">
        <f ca="1">ROUND(IF(DESONERACAO="sim",REFERENCIA.Desonerado,REFERENCIA.NaoDesonerado),2)</f>
        <v>0</v>
      </c>
      <c r="AH259" s="575">
        <f t="shared" ca="1" si="82"/>
        <v>0.22</v>
      </c>
      <c r="AJ259" s="577"/>
      <c r="AL259" s="607"/>
      <c r="AM259" s="426">
        <f t="shared" ca="1" si="83"/>
        <v>0</v>
      </c>
      <c r="AN259" s="650">
        <f t="shared" ca="1" si="84"/>
        <v>0</v>
      </c>
    </row>
    <row r="260" spans="1:40" ht="13.8" hidden="1">
      <c r="A260" t="str">
        <f t="shared" si="68"/>
        <v>S</v>
      </c>
      <c r="B260">
        <f t="shared" ca="1" si="69"/>
        <v>2</v>
      </c>
      <c r="C260" t="str">
        <f t="shared" ca="1" si="70"/>
        <v>S</v>
      </c>
      <c r="D260">
        <f t="shared" ca="1" si="71"/>
        <v>0</v>
      </c>
      <c r="E260">
        <f ca="1">IF($C260=1,OFFSET(E260,-1,0)+MAX(1,COUNTIF(QCI!$A$13:$A$24,OFFSET(ORÇAMENTO!E260,-1,0))),OFFSET(E260,-1,0))</f>
        <v>1</v>
      </c>
      <c r="F260">
        <f t="shared" ca="1" si="72"/>
        <v>5</v>
      </c>
      <c r="G260">
        <f t="shared" ca="1" si="73"/>
        <v>0</v>
      </c>
      <c r="H260">
        <f t="shared" ca="1" si="74"/>
        <v>0</v>
      </c>
      <c r="I260">
        <f t="shared" ca="1" si="75"/>
        <v>2</v>
      </c>
      <c r="J260">
        <f t="shared" ca="1" si="76"/>
        <v>0</v>
      </c>
      <c r="K260">
        <f ca="1">IF(OR($C260="S",$C260=0),0,MATCH(OFFSET($D260,0,$C260)+IF($C260&lt;&gt;1,1,COUNTIF(QCI!$A$13:$A$24,ORÇAMENTO!E260)),OFFSET($D260,1,$C260,ROW($C$264)-ROW($C260)),0))</f>
        <v>0</v>
      </c>
      <c r="L260" s="139" t="str">
        <f t="shared" ca="1" si="77"/>
        <v/>
      </c>
      <c r="M260" s="140" t="s">
        <v>199</v>
      </c>
      <c r="N260" s="141" t="str">
        <f t="shared" ca="1" si="78"/>
        <v>Serviço</v>
      </c>
      <c r="O260" s="142" t="str">
        <f t="shared" ca="1" si="79"/>
        <v>-</v>
      </c>
      <c r="P260" s="143" t="s">
        <v>247</v>
      </c>
      <c r="Q260" s="144"/>
      <c r="R260" s="145" t="str">
        <f ca="1">IF($C260="S",REFERENCIA.Descricao,"(digite a descrição aqui)")</f>
        <v>(abra o arquivo 'Referência 11-2024.xlsm)</v>
      </c>
      <c r="S260" s="146" t="str">
        <f ca="1">REFERENCIA.Unidade</f>
        <v>-</v>
      </c>
      <c r="T260" s="147">
        <f ca="1">OFFSET(CÁLCULO!H$15,ROW($T260)-ROW(T$15),0)</f>
        <v>0</v>
      </c>
      <c r="U260" s="148"/>
      <c r="V260" s="149" t="s">
        <v>156</v>
      </c>
      <c r="W260" s="147">
        <f ca="1">IF($C260="S",ROUND(IF(TIPOORCAMENTO="Proposto",ORÇAMENTO.CustoUnitario*(1+$AH260),ORÇAMENTO.PrecoUnitarioLicitado),15-13*$AF$10),0)</f>
        <v>0</v>
      </c>
      <c r="X260" s="150">
        <f ca="1">IF($C260="S",IF(Import.TipoArredondamento&lt;&gt;"TransfereGOV",VTOTAL1,SUM(OFFSET(CÁLCULO!$AA$15,ROW($X260)-ROW($X$15),1):OFFSET(CÁLCULO!$AL$15,ROW($X260)-ROW($X$15),-1))),IF($C260=0,0,ROUND(SomaAgrup,15-13*$AF$11)))</f>
        <v>0</v>
      </c>
      <c r="Y260" s="151" t="s">
        <v>245</v>
      </c>
      <c r="Z260" t="str">
        <f t="shared" ca="1" si="80"/>
        <v/>
      </c>
      <c r="AA260" s="152">
        <f ca="1">IF($C260="S",IF($Z260="CP",$X260,IF($Z260="RA",(($X260)*QCI!$AA$3),0)),SomaAgrup)</f>
        <v>0</v>
      </c>
      <c r="AB260" s="153">
        <f t="shared" ca="1" si="81"/>
        <v>0</v>
      </c>
      <c r="AC260" s="154" t="str">
        <f ca="1">IF($N260="","",IF(ORÇAMENTO.Descricao="","DESCRIÇÃO",IF(AND($C260="S",ORÇAMENTO.Unidade=""),"UNIDADE",IF($X260&lt;0,"VALOR NEGATIVO",IF(OR(AND(TIPOORCAMENTO="Proposto",$AG260&lt;&gt;"",$AG260&gt;0,ORÇAMENTO.CustoUnitario&gt;$AG260),AND(TIPOORCAMENTO="LICITADO",ORÇAMENTO.PrecoUnitarioLicitado&gt;$AN260)),"ACIMA REF.","")))))</f>
        <v/>
      </c>
      <c r="AD260" s="100" t="str">
        <f ca="1">IF(C260&lt;=CRONO.NivelExibicao,MAX($AD$15:OFFSET(AD260,-1,0))+IF($C260&lt;&gt;1,1,MAX(1,COUNTIF(QCI!$A$13:$A$24,OFFSET($E260,-1,0)))),"")</f>
        <v/>
      </c>
      <c r="AE260" s="110" t="b">
        <f ca="1">IF(AND($C260="S",ORÇAMENTO.CodBarra&lt;&gt;""),IF(ORÇAMENTO.Fonte="",ORÇAMENTO.CodBarra,CONCATENATE(ORÇAMENTO.Fonte," ",ORÇAMENTO.CodBarra)))</f>
        <v>0</v>
      </c>
      <c r="AF260" s="155" t="str">
        <f ca="1">IF(ISERROR(INDIRECT(ORÇAMENTO.BancoRef)),"(abra o arquivo 'Referência "&amp;Excel_BuiltIn_Database&amp;".xlsm)",IF(OR($C260&lt;&gt;"S",ORÇAMENTO.CodBarra=""),"(Sem Código)",IF(ISERROR(MATCH($AE260,INDIRECT(ORÇAMENTO.BancoRef),0)),"(Código não identificado nas referências)",MATCH($AE260,INDIRECT(ORÇAMENTO.BancoRef),0))))</f>
        <v>(abra o arquivo 'Referência 11-2024.xlsm)</v>
      </c>
      <c r="AG260" s="574">
        <f ca="1">ROUND(IF(DESONERACAO="sim",REFERENCIA.Desonerado,REFERENCIA.NaoDesonerado),2)</f>
        <v>0</v>
      </c>
      <c r="AH260" s="575">
        <f t="shared" ca="1" si="82"/>
        <v>0.22</v>
      </c>
      <c r="AJ260" s="577"/>
      <c r="AL260" s="607"/>
      <c r="AM260" s="426">
        <f t="shared" ca="1" si="83"/>
        <v>0</v>
      </c>
      <c r="AN260" s="650">
        <f t="shared" ca="1" si="84"/>
        <v>0</v>
      </c>
    </row>
    <row r="261" spans="1:40" ht="13.8" hidden="1">
      <c r="A261" t="str">
        <f t="shared" si="68"/>
        <v>S</v>
      </c>
      <c r="B261">
        <f t="shared" ca="1" si="69"/>
        <v>2</v>
      </c>
      <c r="C261" t="str">
        <f t="shared" ca="1" si="70"/>
        <v>S</v>
      </c>
      <c r="D261">
        <f t="shared" ca="1" si="71"/>
        <v>0</v>
      </c>
      <c r="E261">
        <f ca="1">IF($C261=1,OFFSET(E261,-1,0)+MAX(1,COUNTIF(QCI!$A$13:$A$24,OFFSET(ORÇAMENTO!E261,-1,0))),OFFSET(E261,-1,0))</f>
        <v>1</v>
      </c>
      <c r="F261">
        <f t="shared" ca="1" si="72"/>
        <v>5</v>
      </c>
      <c r="G261">
        <f t="shared" ca="1" si="73"/>
        <v>0</v>
      </c>
      <c r="H261">
        <f t="shared" ca="1" si="74"/>
        <v>0</v>
      </c>
      <c r="I261">
        <f t="shared" ca="1" si="75"/>
        <v>2</v>
      </c>
      <c r="J261">
        <f t="shared" ca="1" si="76"/>
        <v>0</v>
      </c>
      <c r="K261">
        <f ca="1">IF(OR($C261="S",$C261=0),0,MATCH(OFFSET($D261,0,$C261)+IF($C261&lt;&gt;1,1,COUNTIF(QCI!$A$13:$A$24,ORÇAMENTO!E261)),OFFSET($D261,1,$C261,ROW($C$264)-ROW($C261)),0))</f>
        <v>0</v>
      </c>
      <c r="L261" s="139" t="str">
        <f t="shared" ca="1" si="77"/>
        <v/>
      </c>
      <c r="M261" s="140" t="s">
        <v>199</v>
      </c>
      <c r="N261" s="141" t="str">
        <f t="shared" ca="1" si="78"/>
        <v>Serviço</v>
      </c>
      <c r="O261" s="142" t="str">
        <f t="shared" ca="1" si="79"/>
        <v>-</v>
      </c>
      <c r="P261" s="143" t="s">
        <v>247</v>
      </c>
      <c r="Q261" s="144"/>
      <c r="R261" s="145" t="str">
        <f ca="1">IF($C261="S",REFERENCIA.Descricao,"(digite a descrição aqui)")</f>
        <v>(abra o arquivo 'Referência 11-2024.xlsm)</v>
      </c>
      <c r="S261" s="146" t="str">
        <f ca="1">REFERENCIA.Unidade</f>
        <v>-</v>
      </c>
      <c r="T261" s="147">
        <f ca="1">OFFSET(CÁLCULO!H$15,ROW($T261)-ROW(T$15),0)</f>
        <v>0</v>
      </c>
      <c r="U261" s="148"/>
      <c r="V261" s="149" t="s">
        <v>156</v>
      </c>
      <c r="W261" s="147">
        <f ca="1">IF($C261="S",ROUND(IF(TIPOORCAMENTO="Proposto",ORÇAMENTO.CustoUnitario*(1+$AH261),ORÇAMENTO.PrecoUnitarioLicitado),15-13*$AF$10),0)</f>
        <v>0</v>
      </c>
      <c r="X261" s="150">
        <f ca="1">IF($C261="S",IF(Import.TipoArredondamento&lt;&gt;"TransfereGOV",VTOTAL1,SUM(OFFSET(CÁLCULO!$AA$15,ROW($X261)-ROW($X$15),1):OFFSET(CÁLCULO!$AL$15,ROW($X261)-ROW($X$15),-1))),IF($C261=0,0,ROUND(SomaAgrup,15-13*$AF$11)))</f>
        <v>0</v>
      </c>
      <c r="Y261" s="151" t="s">
        <v>245</v>
      </c>
      <c r="Z261" t="str">
        <f t="shared" ca="1" si="80"/>
        <v/>
      </c>
      <c r="AA261" s="152">
        <f ca="1">IF($C261="S",IF($Z261="CP",$X261,IF($Z261="RA",(($X261)*QCI!$AA$3),0)),SomaAgrup)</f>
        <v>0</v>
      </c>
      <c r="AB261" s="153">
        <f t="shared" ca="1" si="81"/>
        <v>0</v>
      </c>
      <c r="AC261" s="154" t="str">
        <f ca="1">IF($N261="","",IF(ORÇAMENTO.Descricao="","DESCRIÇÃO",IF(AND($C261="S",ORÇAMENTO.Unidade=""),"UNIDADE",IF($X261&lt;0,"VALOR NEGATIVO",IF(OR(AND(TIPOORCAMENTO="Proposto",$AG261&lt;&gt;"",$AG261&gt;0,ORÇAMENTO.CustoUnitario&gt;$AG261),AND(TIPOORCAMENTO="LICITADO",ORÇAMENTO.PrecoUnitarioLicitado&gt;$AN261)),"ACIMA REF.","")))))</f>
        <v/>
      </c>
      <c r="AD261" s="100" t="str">
        <f ca="1">IF(C261&lt;=CRONO.NivelExibicao,MAX($AD$15:OFFSET(AD261,-1,0))+IF($C261&lt;&gt;1,1,MAX(1,COUNTIF(QCI!$A$13:$A$24,OFFSET($E261,-1,0)))),"")</f>
        <v/>
      </c>
      <c r="AE261" s="110" t="b">
        <f ca="1">IF(AND($C261="S",ORÇAMENTO.CodBarra&lt;&gt;""),IF(ORÇAMENTO.Fonte="",ORÇAMENTO.CodBarra,CONCATENATE(ORÇAMENTO.Fonte," ",ORÇAMENTO.CodBarra)))</f>
        <v>0</v>
      </c>
      <c r="AF261" s="155" t="str">
        <f ca="1">IF(ISERROR(INDIRECT(ORÇAMENTO.BancoRef)),"(abra o arquivo 'Referência "&amp;Excel_BuiltIn_Database&amp;".xlsm)",IF(OR($C261&lt;&gt;"S",ORÇAMENTO.CodBarra=""),"(Sem Código)",IF(ISERROR(MATCH($AE261,INDIRECT(ORÇAMENTO.BancoRef),0)),"(Código não identificado nas referências)",MATCH($AE261,INDIRECT(ORÇAMENTO.BancoRef),0))))</f>
        <v>(abra o arquivo 'Referência 11-2024.xlsm)</v>
      </c>
      <c r="AG261" s="574">
        <f ca="1">ROUND(IF(DESONERACAO="sim",REFERENCIA.Desonerado,REFERENCIA.NaoDesonerado),2)</f>
        <v>0</v>
      </c>
      <c r="AH261" s="575">
        <f t="shared" ca="1" si="82"/>
        <v>0.22</v>
      </c>
      <c r="AJ261" s="577"/>
      <c r="AL261" s="607"/>
      <c r="AM261" s="426">
        <f t="shared" ca="1" si="83"/>
        <v>0</v>
      </c>
      <c r="AN261" s="650">
        <f t="shared" ca="1" si="84"/>
        <v>0</v>
      </c>
    </row>
    <row r="262" spans="1:40" ht="13.8" hidden="1">
      <c r="A262" t="str">
        <f t="shared" si="68"/>
        <v>S</v>
      </c>
      <c r="B262">
        <f t="shared" ca="1" si="69"/>
        <v>2</v>
      </c>
      <c r="C262" t="str">
        <f t="shared" ca="1" si="70"/>
        <v>S</v>
      </c>
      <c r="D262">
        <f t="shared" ca="1" si="71"/>
        <v>0</v>
      </c>
      <c r="E262">
        <f ca="1">IF($C262=1,OFFSET(E262,-1,0)+MAX(1,COUNTIF(QCI!$A$13:$A$24,OFFSET(ORÇAMENTO!E262,-1,0))),OFFSET(E262,-1,0))</f>
        <v>1</v>
      </c>
      <c r="F262">
        <f t="shared" ca="1" si="72"/>
        <v>5</v>
      </c>
      <c r="G262">
        <f t="shared" ca="1" si="73"/>
        <v>0</v>
      </c>
      <c r="H262">
        <f t="shared" ca="1" si="74"/>
        <v>0</v>
      </c>
      <c r="I262">
        <f t="shared" ca="1" si="75"/>
        <v>2</v>
      </c>
      <c r="J262">
        <f t="shared" ca="1" si="76"/>
        <v>0</v>
      </c>
      <c r="K262">
        <f ca="1">IF(OR($C262="S",$C262=0),0,MATCH(OFFSET($D262,0,$C262)+IF($C262&lt;&gt;1,1,COUNTIF(QCI!$A$13:$A$24,ORÇAMENTO!E262)),OFFSET($D262,1,$C262,ROW($C$264)-ROW($C262)),0))</f>
        <v>0</v>
      </c>
      <c r="L262" s="139" t="str">
        <f t="shared" ca="1" si="77"/>
        <v/>
      </c>
      <c r="M262" s="140" t="s">
        <v>199</v>
      </c>
      <c r="N262" s="141" t="str">
        <f t="shared" ca="1" si="78"/>
        <v>Serviço</v>
      </c>
      <c r="O262" s="142" t="str">
        <f t="shared" ca="1" si="79"/>
        <v>-</v>
      </c>
      <c r="P262" s="143" t="s">
        <v>247</v>
      </c>
      <c r="Q262" s="144"/>
      <c r="R262" s="145" t="str">
        <f ca="1">IF($C262="S",REFERENCIA.Descricao,"(digite a descrição aqui)")</f>
        <v>(abra o arquivo 'Referência 11-2024.xlsm)</v>
      </c>
      <c r="S262" s="146" t="str">
        <f ca="1">REFERENCIA.Unidade</f>
        <v>-</v>
      </c>
      <c r="T262" s="147">
        <f ca="1">OFFSET(CÁLCULO!H$15,ROW($T262)-ROW(T$15),0)</f>
        <v>0</v>
      </c>
      <c r="U262" s="148"/>
      <c r="V262" s="149" t="s">
        <v>156</v>
      </c>
      <c r="W262" s="147">
        <f ca="1">IF($C262="S",ROUND(IF(TIPOORCAMENTO="Proposto",ORÇAMENTO.CustoUnitario*(1+$AH262),ORÇAMENTO.PrecoUnitarioLicitado),15-13*$AF$10),0)</f>
        <v>0</v>
      </c>
      <c r="X262" s="150">
        <f ca="1">IF($C262="S",IF(Import.TipoArredondamento&lt;&gt;"TransfereGOV",VTOTAL1,SUM(OFFSET(CÁLCULO!$AA$15,ROW($X262)-ROW($X$15),1):OFFSET(CÁLCULO!$AL$15,ROW($X262)-ROW($X$15),-1))),IF($C262=0,0,ROUND(SomaAgrup,15-13*$AF$11)))</f>
        <v>0</v>
      </c>
      <c r="Y262" s="151" t="s">
        <v>245</v>
      </c>
      <c r="Z262" t="str">
        <f t="shared" ca="1" si="80"/>
        <v/>
      </c>
      <c r="AA262" s="152">
        <f ca="1">IF($C262="S",IF($Z262="CP",$X262,IF($Z262="RA",(($X262)*QCI!$AA$3),0)),SomaAgrup)</f>
        <v>0</v>
      </c>
      <c r="AB262" s="153">
        <f t="shared" ca="1" si="81"/>
        <v>0</v>
      </c>
      <c r="AC262" s="154" t="str">
        <f ca="1">IF($N262="","",IF(ORÇAMENTO.Descricao="","DESCRIÇÃO",IF(AND($C262="S",ORÇAMENTO.Unidade=""),"UNIDADE",IF($X262&lt;0,"VALOR NEGATIVO",IF(OR(AND(TIPOORCAMENTO="Proposto",$AG262&lt;&gt;"",$AG262&gt;0,ORÇAMENTO.CustoUnitario&gt;$AG262),AND(TIPOORCAMENTO="LICITADO",ORÇAMENTO.PrecoUnitarioLicitado&gt;$AN262)),"ACIMA REF.","")))))</f>
        <v/>
      </c>
      <c r="AD262" s="100" t="str">
        <f ca="1">IF(C262&lt;=CRONO.NivelExibicao,MAX($AD$15:OFFSET(AD262,-1,0))+IF($C262&lt;&gt;1,1,MAX(1,COUNTIF(QCI!$A$13:$A$24,OFFSET($E262,-1,0)))),"")</f>
        <v/>
      </c>
      <c r="AE262" s="110" t="b">
        <f ca="1">IF(AND($C262="S",ORÇAMENTO.CodBarra&lt;&gt;""),IF(ORÇAMENTO.Fonte="",ORÇAMENTO.CodBarra,CONCATENATE(ORÇAMENTO.Fonte," ",ORÇAMENTO.CodBarra)))</f>
        <v>0</v>
      </c>
      <c r="AF262" s="155" t="str">
        <f ca="1">IF(ISERROR(INDIRECT(ORÇAMENTO.BancoRef)),"(abra o arquivo 'Referência "&amp;Excel_BuiltIn_Database&amp;".xlsm)",IF(OR($C262&lt;&gt;"S",ORÇAMENTO.CodBarra=""),"(Sem Código)",IF(ISERROR(MATCH($AE262,INDIRECT(ORÇAMENTO.BancoRef),0)),"(Código não identificado nas referências)",MATCH($AE262,INDIRECT(ORÇAMENTO.BancoRef),0))))</f>
        <v>(abra o arquivo 'Referência 11-2024.xlsm)</v>
      </c>
      <c r="AG262" s="574">
        <f ca="1">ROUND(IF(DESONERACAO="sim",REFERENCIA.Desonerado,REFERENCIA.NaoDesonerado),2)</f>
        <v>0</v>
      </c>
      <c r="AH262" s="575">
        <f t="shared" ca="1" si="82"/>
        <v>0.22</v>
      </c>
      <c r="AJ262" s="577"/>
      <c r="AL262" s="607"/>
      <c r="AM262" s="426">
        <f t="shared" ca="1" si="83"/>
        <v>0</v>
      </c>
      <c r="AN262" s="650">
        <f t="shared" ca="1" si="84"/>
        <v>0</v>
      </c>
    </row>
    <row r="263" spans="1:40" ht="13.8" hidden="1">
      <c r="A263" t="str">
        <f t="shared" si="68"/>
        <v>S</v>
      </c>
      <c r="B263">
        <f t="shared" ca="1" si="69"/>
        <v>2</v>
      </c>
      <c r="C263" t="str">
        <f t="shared" ca="1" si="70"/>
        <v>S</v>
      </c>
      <c r="D263">
        <f t="shared" ca="1" si="71"/>
        <v>0</v>
      </c>
      <c r="E263">
        <f ca="1">IF($C263=1,OFFSET(E263,-1,0)+MAX(1,COUNTIF(QCI!$A$13:$A$24,OFFSET(ORÇAMENTO!E263,-1,0))),OFFSET(E263,-1,0))</f>
        <v>1</v>
      </c>
      <c r="F263">
        <f t="shared" ca="1" si="72"/>
        <v>5</v>
      </c>
      <c r="G263">
        <f t="shared" ca="1" si="73"/>
        <v>0</v>
      </c>
      <c r="H263">
        <f t="shared" ca="1" si="74"/>
        <v>0</v>
      </c>
      <c r="I263">
        <f t="shared" ca="1" si="75"/>
        <v>2</v>
      </c>
      <c r="J263">
        <f t="shared" ca="1" si="76"/>
        <v>0</v>
      </c>
      <c r="K263">
        <f ca="1">IF(OR($C263="S",$C263=0),0,MATCH(OFFSET($D263,0,$C263)+IF($C263&lt;&gt;1,1,COUNTIF(QCI!$A$13:$A$24,ORÇAMENTO!E263)),OFFSET($D263,1,$C263,ROW($C$264)-ROW($C263)),0))</f>
        <v>0</v>
      </c>
      <c r="L263" s="139" t="str">
        <f t="shared" ca="1" si="77"/>
        <v/>
      </c>
      <c r="M263" s="140" t="s">
        <v>199</v>
      </c>
      <c r="N263" s="141" t="str">
        <f t="shared" ca="1" si="78"/>
        <v>Serviço</v>
      </c>
      <c r="O263" s="142" t="str">
        <f t="shared" ca="1" si="79"/>
        <v>-</v>
      </c>
      <c r="P263" s="143" t="s">
        <v>247</v>
      </c>
      <c r="Q263" s="144"/>
      <c r="R263" s="145" t="str">
        <f ca="1">IF($C263="S",REFERENCIA.Descricao,"(digite a descrição aqui)")</f>
        <v>(abra o arquivo 'Referência 11-2024.xlsm)</v>
      </c>
      <c r="S263" s="146" t="str">
        <f ca="1">REFERENCIA.Unidade</f>
        <v>-</v>
      </c>
      <c r="T263" s="147">
        <f ca="1">OFFSET(CÁLCULO!H$15,ROW($T263)-ROW(T$15),0)</f>
        <v>0</v>
      </c>
      <c r="U263" s="148"/>
      <c r="V263" s="149" t="s">
        <v>156</v>
      </c>
      <c r="W263" s="147">
        <f ca="1">IF($C263="S",ROUND(IF(TIPOORCAMENTO="Proposto",ORÇAMENTO.CustoUnitario*(1+$AH263),ORÇAMENTO.PrecoUnitarioLicitado),15-13*$AF$10),0)</f>
        <v>0</v>
      </c>
      <c r="X263" s="150">
        <f ca="1">IF($C263="S",IF(Import.TipoArredondamento&lt;&gt;"TransfereGOV",VTOTAL1,SUM(OFFSET(CÁLCULO!$AA$15,ROW($X263)-ROW($X$15),1):OFFSET(CÁLCULO!$AL$15,ROW($X263)-ROW($X$15),-1))),IF($C263=0,0,ROUND(SomaAgrup,15-13*$AF$11)))</f>
        <v>0</v>
      </c>
      <c r="Y263" s="151" t="s">
        <v>245</v>
      </c>
      <c r="Z263" t="str">
        <f t="shared" ca="1" si="80"/>
        <v/>
      </c>
      <c r="AA263" s="152">
        <f ca="1">IF($C263="S",IF($Z263="CP",$X263,IF($Z263="RA",(($X263)*QCI!$AA$3),0)),SomaAgrup)</f>
        <v>0</v>
      </c>
      <c r="AB263" s="153">
        <f t="shared" ca="1" si="81"/>
        <v>0</v>
      </c>
      <c r="AC263" s="154" t="str">
        <f ca="1">IF($N263="","",IF(ORÇAMENTO.Descricao="","DESCRIÇÃO",IF(AND($C263="S",ORÇAMENTO.Unidade=""),"UNIDADE",IF($X263&lt;0,"VALOR NEGATIVO",IF(OR(AND(TIPOORCAMENTO="Proposto",$AG263&lt;&gt;"",$AG263&gt;0,ORÇAMENTO.CustoUnitario&gt;$AG263),AND(TIPOORCAMENTO="LICITADO",ORÇAMENTO.PrecoUnitarioLicitado&gt;$AN263)),"ACIMA REF.","")))))</f>
        <v/>
      </c>
      <c r="AD263" s="100" t="str">
        <f ca="1">IF(C263&lt;=CRONO.NivelExibicao,MAX($AD$15:OFFSET(AD263,-1,0))+IF($C263&lt;&gt;1,1,MAX(1,COUNTIF(QCI!$A$13:$A$24,OFFSET($E263,-1,0)))),"")</f>
        <v/>
      </c>
      <c r="AE263" s="110" t="b">
        <f ca="1">IF(AND($C263="S",ORÇAMENTO.CodBarra&lt;&gt;""),IF(ORÇAMENTO.Fonte="",ORÇAMENTO.CodBarra,CONCATENATE(ORÇAMENTO.Fonte," ",ORÇAMENTO.CodBarra)))</f>
        <v>0</v>
      </c>
      <c r="AF263" s="155" t="str">
        <f ca="1">IF(ISERROR(INDIRECT(ORÇAMENTO.BancoRef)),"(abra o arquivo 'Referência "&amp;Excel_BuiltIn_Database&amp;".xlsm)",IF(OR($C263&lt;&gt;"S",ORÇAMENTO.CodBarra=""),"(Sem Código)",IF(ISERROR(MATCH($AE263,INDIRECT(ORÇAMENTO.BancoRef),0)),"(Código não identificado nas referências)",MATCH($AE263,INDIRECT(ORÇAMENTO.BancoRef),0))))</f>
        <v>(abra o arquivo 'Referência 11-2024.xlsm)</v>
      </c>
      <c r="AG263" s="574">
        <f ca="1">ROUND(IF(DESONERACAO="sim",REFERENCIA.Desonerado,REFERENCIA.NaoDesonerado),2)</f>
        <v>0</v>
      </c>
      <c r="AH263" s="575">
        <f t="shared" ca="1" si="82"/>
        <v>0.22</v>
      </c>
      <c r="AJ263" s="577"/>
      <c r="AL263" s="607"/>
      <c r="AM263" s="426">
        <f t="shared" ca="1" si="83"/>
        <v>0</v>
      </c>
      <c r="AN263" s="650">
        <f t="shared" ca="1" si="84"/>
        <v>0</v>
      </c>
    </row>
    <row r="264" spans="1:40" ht="5.0999999999999996" customHeight="1">
      <c r="A264">
        <v>-1</v>
      </c>
      <c r="C264">
        <v>-1</v>
      </c>
      <c r="E264">
        <v>0</v>
      </c>
      <c r="F264">
        <v>0</v>
      </c>
      <c r="G264">
        <v>0</v>
      </c>
      <c r="H264">
        <v>0</v>
      </c>
      <c r="I264">
        <v>0</v>
      </c>
      <c r="L264" s="139" t="s">
        <v>246</v>
      </c>
      <c r="M264" s="567"/>
      <c r="N264" s="568"/>
      <c r="O264" s="567"/>
      <c r="P264" s="569"/>
      <c r="Q264" s="569"/>
      <c r="R264" s="569"/>
      <c r="S264" s="569"/>
      <c r="T264" s="569"/>
      <c r="U264" s="569"/>
      <c r="V264" s="569"/>
      <c r="W264" s="569"/>
      <c r="X264" s="570"/>
      <c r="Y264" s="100"/>
      <c r="AA264" s="100"/>
      <c r="AB264" s="100"/>
      <c r="AC264" s="100"/>
      <c r="AD264" s="100"/>
      <c r="AE264" s="100"/>
      <c r="AF264" s="100"/>
      <c r="AG264" s="562"/>
      <c r="AH264" s="560"/>
      <c r="AJ264" s="571"/>
      <c r="AL264" s="562"/>
      <c r="AM264" s="559"/>
      <c r="AN264" s="560"/>
    </row>
    <row r="265" spans="1:40">
      <c r="M265" s="10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0"/>
      <c r="AA265" s="100"/>
      <c r="AB265" s="100"/>
      <c r="AC265" s="100"/>
      <c r="AD265" s="100"/>
      <c r="AE265" s="100"/>
      <c r="AF265" s="100"/>
      <c r="AG265" s="100"/>
      <c r="AH265" s="100"/>
      <c r="AN265" s="100"/>
    </row>
    <row r="266" spans="1:40">
      <c r="M266" s="101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0"/>
      <c r="AA266" s="100"/>
      <c r="AB266" s="100"/>
      <c r="AC266" s="100"/>
      <c r="AD266" s="100"/>
      <c r="AE266" s="100"/>
      <c r="AF266" s="100"/>
      <c r="AG266" s="100"/>
      <c r="AH266" s="100"/>
      <c r="AN266" s="100"/>
    </row>
    <row r="267" spans="1:40" ht="13.8">
      <c r="A267" s="100"/>
      <c r="B267" s="100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65" t="s">
        <v>248</v>
      </c>
      <c r="P267" s="100"/>
      <c r="Q267" s="706" t="s">
        <v>249</v>
      </c>
      <c r="R267" s="706"/>
      <c r="S267" s="706"/>
      <c r="T267" s="706"/>
      <c r="U267" s="706"/>
      <c r="V267" s="706"/>
      <c r="W267" s="706"/>
      <c r="X267" s="706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N267" s="100"/>
    </row>
    <row r="268" spans="1:40">
      <c r="A268" s="100"/>
      <c r="B268" s="100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N268" s="100"/>
    </row>
    <row r="269" spans="1:40" ht="13.8">
      <c r="A269" s="100"/>
      <c r="B269" s="100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66" t="s">
        <v>187</v>
      </c>
      <c r="P269" s="101"/>
      <c r="Q269" s="101"/>
      <c r="R269" s="101"/>
      <c r="S269" s="101"/>
      <c r="T269" s="101"/>
      <c r="U269" s="101"/>
      <c r="V269" s="101"/>
      <c r="W269" s="101"/>
      <c r="X269" s="167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N269" s="100"/>
    </row>
    <row r="270" spans="1:40" ht="12.75" customHeight="1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707" t="s">
        <v>490</v>
      </c>
      <c r="P270" s="707"/>
      <c r="Q270" s="707"/>
      <c r="R270" s="707"/>
      <c r="S270" s="707"/>
      <c r="T270" s="707"/>
      <c r="U270" s="707"/>
      <c r="V270" s="707"/>
      <c r="W270" s="707"/>
      <c r="X270" s="707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N270" s="100"/>
    </row>
    <row r="271" spans="1:40">
      <c r="A271" s="100"/>
      <c r="B271" s="100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707"/>
      <c r="P271" s="707"/>
      <c r="Q271" s="707"/>
      <c r="R271" s="707"/>
      <c r="S271" s="707"/>
      <c r="T271" s="707"/>
      <c r="U271" s="707"/>
      <c r="V271" s="707"/>
      <c r="W271" s="707"/>
      <c r="X271" s="707"/>
      <c r="Y271" s="100"/>
      <c r="Z271" s="100"/>
      <c r="AA271" s="100"/>
      <c r="AB271" s="100"/>
      <c r="AC271" s="100"/>
      <c r="AD271" s="100"/>
      <c r="AE271" s="100"/>
      <c r="AF271" s="100"/>
      <c r="AG271" s="100"/>
      <c r="AH271" s="100"/>
      <c r="AN271" s="100"/>
    </row>
    <row r="272" spans="1:40">
      <c r="A272" s="100"/>
      <c r="B272" s="100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707"/>
      <c r="P272" s="707"/>
      <c r="Q272" s="707"/>
      <c r="R272" s="707"/>
      <c r="S272" s="707"/>
      <c r="T272" s="707"/>
      <c r="U272" s="707"/>
      <c r="V272" s="707"/>
      <c r="W272" s="707"/>
      <c r="X272" s="707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N272" s="100"/>
    </row>
    <row r="273" spans="1:40" ht="13.8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614"/>
      <c r="P273" s="614"/>
      <c r="Q273" s="614"/>
      <c r="R273" s="614"/>
      <c r="S273" s="614"/>
      <c r="T273" s="614"/>
      <c r="U273" s="614"/>
      <c r="V273" s="614"/>
      <c r="W273" s="614"/>
      <c r="X273" s="614"/>
      <c r="Y273" s="614"/>
      <c r="Z273" s="168"/>
      <c r="AA273" s="168"/>
      <c r="AB273" s="168"/>
      <c r="AC273" s="100"/>
      <c r="AD273" s="100"/>
      <c r="AE273" s="100"/>
      <c r="AF273" s="100"/>
      <c r="AG273" s="100"/>
      <c r="AH273" s="100"/>
      <c r="AN273" s="100"/>
    </row>
    <row r="274" spans="1:40" ht="13.8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708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274" s="708"/>
      <c r="Q274" s="708"/>
      <c r="R274" s="708"/>
      <c r="S274" s="708"/>
      <c r="T274" s="708"/>
      <c r="U274" s="708"/>
      <c r="V274" s="708"/>
      <c r="W274" s="708"/>
      <c r="X274" s="708"/>
      <c r="Y274" s="169"/>
      <c r="Z274" s="169"/>
      <c r="AA274" s="169"/>
      <c r="AB274" s="169"/>
      <c r="AC274" s="100"/>
      <c r="AD274" s="100"/>
      <c r="AE274" s="100"/>
      <c r="AF274" s="100"/>
      <c r="AG274" s="100"/>
      <c r="AH274" s="100"/>
      <c r="AN274" s="100"/>
    </row>
    <row r="275" spans="1:40" ht="15" customHeight="1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710" t="s">
        <v>250</v>
      </c>
      <c r="P275" s="710"/>
      <c r="Q275" s="710"/>
      <c r="R275" s="710"/>
      <c r="S275" s="710"/>
      <c r="T275" s="710"/>
      <c r="U275" s="710"/>
      <c r="V275" s="710"/>
      <c r="W275" s="710"/>
      <c r="X275" s="710"/>
      <c r="Y275" s="169"/>
      <c r="Z275" s="169"/>
      <c r="AA275" s="169"/>
      <c r="AB275" s="169"/>
      <c r="AC275" s="100"/>
      <c r="AD275" s="100"/>
      <c r="AE275" s="100"/>
      <c r="AF275" s="100"/>
      <c r="AG275" s="100"/>
      <c r="AH275" s="100"/>
      <c r="AN275" s="100"/>
    </row>
    <row r="276" spans="1:40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  <c r="AA276" s="100"/>
      <c r="AB276" s="100"/>
      <c r="AC276" s="100"/>
      <c r="AD276" s="100"/>
      <c r="AE276" s="100"/>
      <c r="AF276" s="100"/>
      <c r="AG276" s="100"/>
      <c r="AH276" s="100"/>
      <c r="AN276" s="100"/>
    </row>
    <row r="277" spans="1:40" ht="30" customHeight="1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709" t="str">
        <f>Import.Município</f>
        <v>PONTAL - SP</v>
      </c>
      <c r="P277" s="709"/>
      <c r="Q277" s="709"/>
      <c r="R277" s="100"/>
      <c r="S277" s="635"/>
      <c r="T277" s="635"/>
      <c r="U277" s="635"/>
      <c r="V277" s="635"/>
      <c r="W277" s="552"/>
      <c r="X277" s="100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N277" s="100"/>
    </row>
    <row r="278" spans="1:40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2" t="s">
        <v>188</v>
      </c>
      <c r="P278" s="100"/>
      <c r="Q278" s="100"/>
      <c r="R278" s="100"/>
      <c r="S278" s="225" t="s">
        <v>190</v>
      </c>
      <c r="T278" s="225"/>
      <c r="U278" s="225"/>
      <c r="V278" s="225"/>
      <c r="X278" s="100"/>
      <c r="Y278" s="100"/>
      <c r="Z278" s="100"/>
      <c r="AA278" s="100"/>
      <c r="AB278" s="100"/>
      <c r="AC278" s="100"/>
      <c r="AD278" s="100"/>
      <c r="AE278" s="100"/>
      <c r="AF278" s="100"/>
      <c r="AG278" s="100"/>
      <c r="AH278" s="100"/>
      <c r="AN278" s="100"/>
    </row>
    <row r="279" spans="1:40">
      <c r="A279" s="100"/>
      <c r="B279" s="100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90" t="s">
        <v>108</v>
      </c>
      <c r="T279" s="91" t="str">
        <f t="array" ref="T279:T281">Import.RespOrçamento</f>
        <v>CÉSAR AUGUSTO SABINO</v>
      </c>
      <c r="U279" s="172"/>
      <c r="V279" s="92"/>
      <c r="X279" s="100"/>
      <c r="Y279" s="100"/>
      <c r="Z279" s="100"/>
      <c r="AA279" s="100"/>
      <c r="AB279" s="100"/>
      <c r="AC279" s="100"/>
      <c r="AD279" s="100"/>
      <c r="AE279" s="100"/>
      <c r="AF279" s="100"/>
      <c r="AG279" s="100"/>
      <c r="AH279" s="100"/>
      <c r="AN279" s="100"/>
    </row>
    <row r="280" spans="1:40">
      <c r="A280" s="100"/>
      <c r="B280" s="100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704">
        <f ca="1">DADOS!$F$25</f>
        <v>45797</v>
      </c>
      <c r="P280" s="704"/>
      <c r="Q280" s="704"/>
      <c r="R280" s="100"/>
      <c r="S280" s="90" t="s">
        <v>109</v>
      </c>
      <c r="T280" s="91" t="str">
        <v>5070797486</v>
      </c>
      <c r="U280" s="92"/>
      <c r="V280" s="92"/>
      <c r="X280" s="100"/>
      <c r="Y280" s="100"/>
      <c r="Z280" s="100"/>
      <c r="AA280" s="100"/>
      <c r="AB280" s="100"/>
      <c r="AC280" s="100"/>
      <c r="AD280" s="100"/>
      <c r="AE280" s="100"/>
      <c r="AF280" s="100"/>
      <c r="AG280" s="100"/>
      <c r="AH280" s="100"/>
      <c r="AN280" s="100"/>
    </row>
    <row r="281" spans="1:40">
      <c r="A281" s="100"/>
      <c r="B281" s="100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73" t="s">
        <v>189</v>
      </c>
      <c r="P281" s="174"/>
      <c r="Q281" s="174"/>
      <c r="R281" s="100"/>
      <c r="S281" s="90" t="s">
        <v>110</v>
      </c>
      <c r="T281" s="91">
        <v>0</v>
      </c>
      <c r="U281" s="92"/>
      <c r="V281" s="92"/>
      <c r="X281" s="100"/>
      <c r="Y281" s="100"/>
      <c r="Z281" s="100"/>
      <c r="AA281" s="100"/>
      <c r="AB281" s="100"/>
      <c r="AC281" s="100"/>
      <c r="AD281" s="100"/>
      <c r="AE281" s="100"/>
      <c r="AF281" s="100"/>
      <c r="AG281" s="100"/>
      <c r="AH281" s="100"/>
      <c r="AN281" s="100"/>
    </row>
  </sheetData>
  <sheetProtection password="BD1F" sheet="1" objects="1" scenarios="1" autoFilter="0"/>
  <autoFilter ref="L15:L264">
    <filterColumn colId="0">
      <customFilters>
        <customFilter operator="notEqual" val=" "/>
      </customFilters>
    </filterColumn>
  </autoFilter>
  <mergeCells count="24">
    <mergeCell ref="AE5:AF5"/>
    <mergeCell ref="O7:P7"/>
    <mergeCell ref="S7:U7"/>
    <mergeCell ref="AL7:AL11"/>
    <mergeCell ref="Y8:Y12"/>
    <mergeCell ref="Z8:Z12"/>
    <mergeCell ref="AA12:AB12"/>
    <mergeCell ref="AJ7:AJ11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O280:Q280"/>
    <mergeCell ref="O15:R15"/>
    <mergeCell ref="Q267:X267"/>
    <mergeCell ref="O270:X272"/>
    <mergeCell ref="O274:X274"/>
    <mergeCell ref="O277:Q277"/>
    <mergeCell ref="O275:X275"/>
  </mergeCells>
  <phoneticPr fontId="38" type="noConversion"/>
  <conditionalFormatting sqref="M14 M16:M40">
    <cfRule type="cellIs" dxfId="820" priority="8308" stopIfTrue="1" operator="notEqual">
      <formula>$N14</formula>
    </cfRule>
  </conditionalFormatting>
  <conditionalFormatting sqref="N14:O14 R14 W14:X14 N16:O40 W16:X40 R16:R263">
    <cfRule type="expression" dxfId="819" priority="8309" stopIfTrue="1">
      <formula>$C14=1</formula>
    </cfRule>
    <cfRule type="expression" dxfId="818" priority="8310" stopIfTrue="1">
      <formula>OR($C14=0,$C14=2,$C14=3,$C14=4)</formula>
    </cfRule>
  </conditionalFormatting>
  <conditionalFormatting sqref="U14:V14 U16:V263">
    <cfRule type="expression" dxfId="817" priority="8311" stopIfTrue="1">
      <formula>$C14=1</formula>
    </cfRule>
    <cfRule type="expression" dxfId="816" priority="8312" stopIfTrue="1">
      <formula>OR($C14=0,$C14=2,$C14=3,$C14=4)</formula>
    </cfRule>
    <cfRule type="expression" dxfId="815" priority="8313" stopIfTrue="1">
      <formula>AND(TIPOORCAMENTO="Licitado",$C14&lt;&gt;"L",$C14&lt;&gt;-1)</formula>
    </cfRule>
  </conditionalFormatting>
  <conditionalFormatting sqref="P14:Q14 S14:T14 Y14 AG14:AH14 S16:T40 Y16:Y40 AG16:AH40 P16:Q263 S16:S263">
    <cfRule type="expression" dxfId="814" priority="8314" stopIfTrue="1">
      <formula>$C14=1</formula>
    </cfRule>
    <cfRule type="expression" dxfId="813" priority="8315" stopIfTrue="1">
      <formula>OR($C14=0,$C14=2,$C14=3,$C14=4)</formula>
    </cfRule>
  </conditionalFormatting>
  <conditionalFormatting sqref="AJ264 AJ7:AJ40">
    <cfRule type="expression" dxfId="812" priority="8316" stopIfTrue="1">
      <formula>OR(ACOMPANHAMENTO&lt;&gt;"BM",TIPOORCAMENTO="Licitado")</formula>
    </cfRule>
    <cfRule type="expression" dxfId="811" priority="8317" stopIfTrue="1">
      <formula>$C7=1</formula>
    </cfRule>
    <cfRule type="expression" dxfId="810" priority="8318" stopIfTrue="1">
      <formula>OR(AND(ISNUMBER($C7),$C7=0),$C7=2,$C7=3,$C7=4)</formula>
    </cfRule>
  </conditionalFormatting>
  <conditionalFormatting sqref="AL264 AL7:AL40">
    <cfRule type="expression" dxfId="809" priority="8319" stopIfTrue="1">
      <formula>TIPOORCAMENTO="PROPOSTO"</formula>
    </cfRule>
    <cfRule type="expression" dxfId="808" priority="8320" stopIfTrue="1">
      <formula>$C7=1</formula>
    </cfRule>
    <cfRule type="expression" dxfId="807" priority="8321" stopIfTrue="1">
      <formula>OR(AND(ISNUMBER($C7),$C7=0),$C7=2,$C7=3,$C7=4)</formula>
    </cfRule>
  </conditionalFormatting>
  <conditionalFormatting sqref="O8:P8">
    <cfRule type="expression" dxfId="806" priority="8325" stopIfTrue="1">
      <formula>ISERROR(INDIRECT($F$9))</formula>
    </cfRule>
  </conditionalFormatting>
  <conditionalFormatting sqref="S7:V8">
    <cfRule type="expression" dxfId="805" priority="8326" stopIfTrue="1">
      <formula>TIPOORCAMENTO="Proposto"</formula>
    </cfRule>
  </conditionalFormatting>
  <conditionalFormatting sqref="S9:V9">
    <cfRule type="expression" dxfId="804" priority="8273" stopIfTrue="1">
      <formula>TIPOORCAMENTO="Proposto"</formula>
    </cfRule>
  </conditionalFormatting>
  <conditionalFormatting sqref="AM264:AN264 AM7:AN40">
    <cfRule type="expression" dxfId="803" priority="8322" stopIfTrue="1">
      <formula>TIPOORCAMENTO="PROPOSTO"</formula>
    </cfRule>
    <cfRule type="expression" dxfId="802" priority="8323" stopIfTrue="1">
      <formula>$C7=1</formula>
    </cfRule>
    <cfRule type="expression" dxfId="801" priority="8324" stopIfTrue="1">
      <formula>OR(AND(ISNUMBER($C7),$C7=0),$C7=2,$C7=3,$C7=4)</formula>
    </cfRule>
  </conditionalFormatting>
  <conditionalFormatting sqref="M41:M49">
    <cfRule type="cellIs" dxfId="800" priority="426" stopIfTrue="1" operator="notEqual">
      <formula>$N41</formula>
    </cfRule>
  </conditionalFormatting>
  <conditionalFormatting sqref="N41:O49 R41:R49 W41:X49">
    <cfRule type="expression" dxfId="799" priority="427" stopIfTrue="1">
      <formula>$C41=1</formula>
    </cfRule>
    <cfRule type="expression" dxfId="798" priority="428" stopIfTrue="1">
      <formula>OR($C41=0,$C41=2,$C41=3,$C41=4)</formula>
    </cfRule>
  </conditionalFormatting>
  <conditionalFormatting sqref="U41:V49">
    <cfRule type="expression" dxfId="797" priority="429" stopIfTrue="1">
      <formula>$C41=1</formula>
    </cfRule>
    <cfRule type="expression" dxfId="796" priority="430" stopIfTrue="1">
      <formula>OR($C41=0,$C41=2,$C41=3,$C41=4)</formula>
    </cfRule>
    <cfRule type="expression" dxfId="795" priority="431" stopIfTrue="1">
      <formula>AND(TIPOORCAMENTO="Licitado",$C41&lt;&gt;"L",$C41&lt;&gt;-1)</formula>
    </cfRule>
  </conditionalFormatting>
  <conditionalFormatting sqref="P41:Q49 S41:T49 Y41:Y49 AG41:AH49">
    <cfRule type="expression" dxfId="794" priority="432" stopIfTrue="1">
      <formula>$C41=1</formula>
    </cfRule>
    <cfRule type="expression" dxfId="793" priority="433" stopIfTrue="1">
      <formula>OR($C41=0,$C41=2,$C41=3,$C41=4)</formula>
    </cfRule>
  </conditionalFormatting>
  <conditionalFormatting sqref="AJ41:AJ49">
    <cfRule type="expression" dxfId="792" priority="434" stopIfTrue="1">
      <formula>OR(ACOMPANHAMENTO&lt;&gt;"BM",TIPOORCAMENTO="Licitado")</formula>
    </cfRule>
    <cfRule type="expression" dxfId="791" priority="435" stopIfTrue="1">
      <formula>$C41=1</formula>
    </cfRule>
    <cfRule type="expression" dxfId="790" priority="436" stopIfTrue="1">
      <formula>OR(AND(ISNUMBER($C41),$C41=0),$C41=2,$C41=3,$C41=4)</formula>
    </cfRule>
  </conditionalFormatting>
  <conditionalFormatting sqref="AL41:AL49">
    <cfRule type="expression" dxfId="789" priority="437" stopIfTrue="1">
      <formula>TIPOORCAMENTO="PROPOSTO"</formula>
    </cfRule>
    <cfRule type="expression" dxfId="788" priority="438" stopIfTrue="1">
      <formula>$C41=1</formula>
    </cfRule>
    <cfRule type="expression" dxfId="787" priority="439" stopIfTrue="1">
      <formula>OR(AND(ISNUMBER($C41),$C41=0),$C41=2,$C41=3,$C41=4)</formula>
    </cfRule>
  </conditionalFormatting>
  <conditionalFormatting sqref="AM41:AN49">
    <cfRule type="expression" dxfId="786" priority="440" stopIfTrue="1">
      <formula>TIPOORCAMENTO="PROPOSTO"</formula>
    </cfRule>
    <cfRule type="expression" dxfId="785" priority="441" stopIfTrue="1">
      <formula>$C41=1</formula>
    </cfRule>
    <cfRule type="expression" dxfId="784" priority="442" stopIfTrue="1">
      <formula>OR(AND(ISNUMBER($C41),$C41=0),$C41=2,$C41=3,$C41=4)</formula>
    </cfRule>
  </conditionalFormatting>
  <conditionalFormatting sqref="M50:M58">
    <cfRule type="cellIs" dxfId="783" priority="409" stopIfTrue="1" operator="notEqual">
      <formula>$N50</formula>
    </cfRule>
  </conditionalFormatting>
  <conditionalFormatting sqref="N50:O58 R50:R58 W50:X58">
    <cfRule type="expression" dxfId="782" priority="410" stopIfTrue="1">
      <formula>$C50=1</formula>
    </cfRule>
    <cfRule type="expression" dxfId="781" priority="411" stopIfTrue="1">
      <formula>OR($C50=0,$C50=2,$C50=3,$C50=4)</formula>
    </cfRule>
  </conditionalFormatting>
  <conditionalFormatting sqref="U50:V58">
    <cfRule type="expression" dxfId="780" priority="412" stopIfTrue="1">
      <formula>$C50=1</formula>
    </cfRule>
    <cfRule type="expression" dxfId="779" priority="413" stopIfTrue="1">
      <formula>OR($C50=0,$C50=2,$C50=3,$C50=4)</formula>
    </cfRule>
    <cfRule type="expression" dxfId="778" priority="414" stopIfTrue="1">
      <formula>AND(TIPOORCAMENTO="Licitado",$C50&lt;&gt;"L",$C50&lt;&gt;-1)</formula>
    </cfRule>
  </conditionalFormatting>
  <conditionalFormatting sqref="P50:Q58 S50:T58 Y50:Y58 AG50:AH58">
    <cfRule type="expression" dxfId="777" priority="415" stopIfTrue="1">
      <formula>$C50=1</formula>
    </cfRule>
    <cfRule type="expression" dxfId="776" priority="416" stopIfTrue="1">
      <formula>OR($C50=0,$C50=2,$C50=3,$C50=4)</formula>
    </cfRule>
  </conditionalFormatting>
  <conditionalFormatting sqref="AJ50:AJ58">
    <cfRule type="expression" dxfId="775" priority="417" stopIfTrue="1">
      <formula>OR(ACOMPANHAMENTO&lt;&gt;"BM",TIPOORCAMENTO="Licitado")</formula>
    </cfRule>
    <cfRule type="expression" dxfId="774" priority="418" stopIfTrue="1">
      <formula>$C50=1</formula>
    </cfRule>
    <cfRule type="expression" dxfId="773" priority="419" stopIfTrue="1">
      <formula>OR(AND(ISNUMBER($C50),$C50=0),$C50=2,$C50=3,$C50=4)</formula>
    </cfRule>
  </conditionalFormatting>
  <conditionalFormatting sqref="AL50:AL58">
    <cfRule type="expression" dxfId="772" priority="420" stopIfTrue="1">
      <formula>TIPOORCAMENTO="PROPOSTO"</formula>
    </cfRule>
    <cfRule type="expression" dxfId="771" priority="421" stopIfTrue="1">
      <formula>$C50=1</formula>
    </cfRule>
    <cfRule type="expression" dxfId="770" priority="422" stopIfTrue="1">
      <formula>OR(AND(ISNUMBER($C50),$C50=0),$C50=2,$C50=3,$C50=4)</formula>
    </cfRule>
  </conditionalFormatting>
  <conditionalFormatting sqref="AM50:AN58">
    <cfRule type="expression" dxfId="769" priority="423" stopIfTrue="1">
      <formula>TIPOORCAMENTO="PROPOSTO"</formula>
    </cfRule>
    <cfRule type="expression" dxfId="768" priority="424" stopIfTrue="1">
      <formula>$C50=1</formula>
    </cfRule>
    <cfRule type="expression" dxfId="767" priority="425" stopIfTrue="1">
      <formula>OR(AND(ISNUMBER($C50),$C50=0),$C50=2,$C50=3,$C50=4)</formula>
    </cfRule>
  </conditionalFormatting>
  <conditionalFormatting sqref="M59:M67">
    <cfRule type="cellIs" dxfId="766" priority="392" stopIfTrue="1" operator="notEqual">
      <formula>$N59</formula>
    </cfRule>
  </conditionalFormatting>
  <conditionalFormatting sqref="N59:O67 R59:R67 W59:X67">
    <cfRule type="expression" dxfId="765" priority="393" stopIfTrue="1">
      <formula>$C59=1</formula>
    </cfRule>
    <cfRule type="expression" dxfId="764" priority="394" stopIfTrue="1">
      <formula>OR($C59=0,$C59=2,$C59=3,$C59=4)</formula>
    </cfRule>
  </conditionalFormatting>
  <conditionalFormatting sqref="U59:V67">
    <cfRule type="expression" dxfId="763" priority="395" stopIfTrue="1">
      <formula>$C59=1</formula>
    </cfRule>
    <cfRule type="expression" dxfId="762" priority="396" stopIfTrue="1">
      <formula>OR($C59=0,$C59=2,$C59=3,$C59=4)</formula>
    </cfRule>
    <cfRule type="expression" dxfId="761" priority="397" stopIfTrue="1">
      <formula>AND(TIPOORCAMENTO="Licitado",$C59&lt;&gt;"L",$C59&lt;&gt;-1)</formula>
    </cfRule>
  </conditionalFormatting>
  <conditionalFormatting sqref="P59:Q67 S59:T67 Y59:Y67 AG59:AH67">
    <cfRule type="expression" dxfId="760" priority="398" stopIfTrue="1">
      <formula>$C59=1</formula>
    </cfRule>
    <cfRule type="expression" dxfId="759" priority="399" stopIfTrue="1">
      <formula>OR($C59=0,$C59=2,$C59=3,$C59=4)</formula>
    </cfRule>
  </conditionalFormatting>
  <conditionalFormatting sqref="AJ59:AJ67">
    <cfRule type="expression" dxfId="758" priority="400" stopIfTrue="1">
      <formula>OR(ACOMPANHAMENTO&lt;&gt;"BM",TIPOORCAMENTO="Licitado")</formula>
    </cfRule>
    <cfRule type="expression" dxfId="757" priority="401" stopIfTrue="1">
      <formula>$C59=1</formula>
    </cfRule>
    <cfRule type="expression" dxfId="756" priority="402" stopIfTrue="1">
      <formula>OR(AND(ISNUMBER($C59),$C59=0),$C59=2,$C59=3,$C59=4)</formula>
    </cfRule>
  </conditionalFormatting>
  <conditionalFormatting sqref="AL59:AL67">
    <cfRule type="expression" dxfId="755" priority="403" stopIfTrue="1">
      <formula>TIPOORCAMENTO="PROPOSTO"</formula>
    </cfRule>
    <cfRule type="expression" dxfId="754" priority="404" stopIfTrue="1">
      <formula>$C59=1</formula>
    </cfRule>
    <cfRule type="expression" dxfId="753" priority="405" stopIfTrue="1">
      <formula>OR(AND(ISNUMBER($C59),$C59=0),$C59=2,$C59=3,$C59=4)</formula>
    </cfRule>
  </conditionalFormatting>
  <conditionalFormatting sqref="AM59:AN67">
    <cfRule type="expression" dxfId="752" priority="406" stopIfTrue="1">
      <formula>TIPOORCAMENTO="PROPOSTO"</formula>
    </cfRule>
    <cfRule type="expression" dxfId="751" priority="407" stopIfTrue="1">
      <formula>$C59=1</formula>
    </cfRule>
    <cfRule type="expression" dxfId="750" priority="408" stopIfTrue="1">
      <formula>OR(AND(ISNUMBER($C59),$C59=0),$C59=2,$C59=3,$C59=4)</formula>
    </cfRule>
  </conditionalFormatting>
  <conditionalFormatting sqref="M68:M76">
    <cfRule type="cellIs" dxfId="749" priority="375" stopIfTrue="1" operator="notEqual">
      <formula>$N68</formula>
    </cfRule>
  </conditionalFormatting>
  <conditionalFormatting sqref="N68:O76 R68:R76 W68:X76">
    <cfRule type="expression" dxfId="748" priority="376" stopIfTrue="1">
      <formula>$C68=1</formula>
    </cfRule>
    <cfRule type="expression" dxfId="747" priority="377" stopIfTrue="1">
      <formula>OR($C68=0,$C68=2,$C68=3,$C68=4)</formula>
    </cfRule>
  </conditionalFormatting>
  <conditionalFormatting sqref="U68:V76">
    <cfRule type="expression" dxfId="746" priority="378" stopIfTrue="1">
      <formula>$C68=1</formula>
    </cfRule>
    <cfRule type="expression" dxfId="745" priority="379" stopIfTrue="1">
      <formula>OR($C68=0,$C68=2,$C68=3,$C68=4)</formula>
    </cfRule>
    <cfRule type="expression" dxfId="744" priority="380" stopIfTrue="1">
      <formula>AND(TIPOORCAMENTO="Licitado",$C68&lt;&gt;"L",$C68&lt;&gt;-1)</formula>
    </cfRule>
  </conditionalFormatting>
  <conditionalFormatting sqref="P68:Q76 S68:T76 Y68:Y76 AG68:AH76">
    <cfRule type="expression" dxfId="743" priority="381" stopIfTrue="1">
      <formula>$C68=1</formula>
    </cfRule>
    <cfRule type="expression" dxfId="742" priority="382" stopIfTrue="1">
      <formula>OR($C68=0,$C68=2,$C68=3,$C68=4)</formula>
    </cfRule>
  </conditionalFormatting>
  <conditionalFormatting sqref="AJ68:AJ76">
    <cfRule type="expression" dxfId="741" priority="383" stopIfTrue="1">
      <formula>OR(ACOMPANHAMENTO&lt;&gt;"BM",TIPOORCAMENTO="Licitado")</formula>
    </cfRule>
    <cfRule type="expression" dxfId="740" priority="384" stopIfTrue="1">
      <formula>$C68=1</formula>
    </cfRule>
    <cfRule type="expression" dxfId="739" priority="385" stopIfTrue="1">
      <formula>OR(AND(ISNUMBER($C68),$C68=0),$C68=2,$C68=3,$C68=4)</formula>
    </cfRule>
  </conditionalFormatting>
  <conditionalFormatting sqref="AL68:AL76">
    <cfRule type="expression" dxfId="738" priority="386" stopIfTrue="1">
      <formula>TIPOORCAMENTO="PROPOSTO"</formula>
    </cfRule>
    <cfRule type="expression" dxfId="737" priority="387" stopIfTrue="1">
      <formula>$C68=1</formula>
    </cfRule>
    <cfRule type="expression" dxfId="736" priority="388" stopIfTrue="1">
      <formula>OR(AND(ISNUMBER($C68),$C68=0),$C68=2,$C68=3,$C68=4)</formula>
    </cfRule>
  </conditionalFormatting>
  <conditionalFormatting sqref="AM68:AN76">
    <cfRule type="expression" dxfId="735" priority="389" stopIfTrue="1">
      <formula>TIPOORCAMENTO="PROPOSTO"</formula>
    </cfRule>
    <cfRule type="expression" dxfId="734" priority="390" stopIfTrue="1">
      <formula>$C68=1</formula>
    </cfRule>
    <cfRule type="expression" dxfId="733" priority="391" stopIfTrue="1">
      <formula>OR(AND(ISNUMBER($C68),$C68=0),$C68=2,$C68=3,$C68=4)</formula>
    </cfRule>
  </conditionalFormatting>
  <conditionalFormatting sqref="M77:M85">
    <cfRule type="cellIs" dxfId="732" priority="358" stopIfTrue="1" operator="notEqual">
      <formula>$N77</formula>
    </cfRule>
  </conditionalFormatting>
  <conditionalFormatting sqref="N77:O85 R77:R85 W77:X85">
    <cfRule type="expression" dxfId="731" priority="359" stopIfTrue="1">
      <formula>$C77=1</formula>
    </cfRule>
    <cfRule type="expression" dxfId="730" priority="360" stopIfTrue="1">
      <formula>OR($C77=0,$C77=2,$C77=3,$C77=4)</formula>
    </cfRule>
  </conditionalFormatting>
  <conditionalFormatting sqref="U77:V85">
    <cfRule type="expression" dxfId="729" priority="361" stopIfTrue="1">
      <formula>$C77=1</formula>
    </cfRule>
    <cfRule type="expression" dxfId="728" priority="362" stopIfTrue="1">
      <formula>OR($C77=0,$C77=2,$C77=3,$C77=4)</formula>
    </cfRule>
    <cfRule type="expression" dxfId="727" priority="363" stopIfTrue="1">
      <formula>AND(TIPOORCAMENTO="Licitado",$C77&lt;&gt;"L",$C77&lt;&gt;-1)</formula>
    </cfRule>
  </conditionalFormatting>
  <conditionalFormatting sqref="P77:Q85 S77:T85 Y77:Y85 AG77:AH85">
    <cfRule type="expression" dxfId="726" priority="364" stopIfTrue="1">
      <formula>$C77=1</formula>
    </cfRule>
    <cfRule type="expression" dxfId="725" priority="365" stopIfTrue="1">
      <formula>OR($C77=0,$C77=2,$C77=3,$C77=4)</formula>
    </cfRule>
  </conditionalFormatting>
  <conditionalFormatting sqref="AJ77:AJ85">
    <cfRule type="expression" dxfId="724" priority="366" stopIfTrue="1">
      <formula>OR(ACOMPANHAMENTO&lt;&gt;"BM",TIPOORCAMENTO="Licitado")</formula>
    </cfRule>
    <cfRule type="expression" dxfId="723" priority="367" stopIfTrue="1">
      <formula>$C77=1</formula>
    </cfRule>
    <cfRule type="expression" dxfId="722" priority="368" stopIfTrue="1">
      <formula>OR(AND(ISNUMBER($C77),$C77=0),$C77=2,$C77=3,$C77=4)</formula>
    </cfRule>
  </conditionalFormatting>
  <conditionalFormatting sqref="AL77:AL85">
    <cfRule type="expression" dxfId="721" priority="369" stopIfTrue="1">
      <formula>TIPOORCAMENTO="PROPOSTO"</formula>
    </cfRule>
    <cfRule type="expression" dxfId="720" priority="370" stopIfTrue="1">
      <formula>$C77=1</formula>
    </cfRule>
    <cfRule type="expression" dxfId="719" priority="371" stopIfTrue="1">
      <formula>OR(AND(ISNUMBER($C77),$C77=0),$C77=2,$C77=3,$C77=4)</formula>
    </cfRule>
  </conditionalFormatting>
  <conditionalFormatting sqref="AM77:AN85">
    <cfRule type="expression" dxfId="718" priority="372" stopIfTrue="1">
      <formula>TIPOORCAMENTO="PROPOSTO"</formula>
    </cfRule>
    <cfRule type="expression" dxfId="717" priority="373" stopIfTrue="1">
      <formula>$C77=1</formula>
    </cfRule>
    <cfRule type="expression" dxfId="716" priority="374" stopIfTrue="1">
      <formula>OR(AND(ISNUMBER($C77),$C77=0),$C77=2,$C77=3,$C77=4)</formula>
    </cfRule>
  </conditionalFormatting>
  <conditionalFormatting sqref="M86:M94">
    <cfRule type="cellIs" dxfId="715" priority="341" stopIfTrue="1" operator="notEqual">
      <formula>$N86</formula>
    </cfRule>
  </conditionalFormatting>
  <conditionalFormatting sqref="N86:O94 R86:R94 W86:X94">
    <cfRule type="expression" dxfId="714" priority="342" stopIfTrue="1">
      <formula>$C86=1</formula>
    </cfRule>
    <cfRule type="expression" dxfId="713" priority="343" stopIfTrue="1">
      <formula>OR($C86=0,$C86=2,$C86=3,$C86=4)</formula>
    </cfRule>
  </conditionalFormatting>
  <conditionalFormatting sqref="U86:V94">
    <cfRule type="expression" dxfId="712" priority="344" stopIfTrue="1">
      <formula>$C86=1</formula>
    </cfRule>
    <cfRule type="expression" dxfId="711" priority="345" stopIfTrue="1">
      <formula>OR($C86=0,$C86=2,$C86=3,$C86=4)</formula>
    </cfRule>
    <cfRule type="expression" dxfId="710" priority="346" stopIfTrue="1">
      <formula>AND(TIPOORCAMENTO="Licitado",$C86&lt;&gt;"L",$C86&lt;&gt;-1)</formula>
    </cfRule>
  </conditionalFormatting>
  <conditionalFormatting sqref="P86:Q94 S86:T94 Y86:Y94 AG86:AH94">
    <cfRule type="expression" dxfId="709" priority="347" stopIfTrue="1">
      <formula>$C86=1</formula>
    </cfRule>
    <cfRule type="expression" dxfId="708" priority="348" stopIfTrue="1">
      <formula>OR($C86=0,$C86=2,$C86=3,$C86=4)</formula>
    </cfRule>
  </conditionalFormatting>
  <conditionalFormatting sqref="AJ86:AJ94">
    <cfRule type="expression" dxfId="707" priority="349" stopIfTrue="1">
      <formula>OR(ACOMPANHAMENTO&lt;&gt;"BM",TIPOORCAMENTO="Licitado")</formula>
    </cfRule>
    <cfRule type="expression" dxfId="706" priority="350" stopIfTrue="1">
      <formula>$C86=1</formula>
    </cfRule>
    <cfRule type="expression" dxfId="705" priority="351" stopIfTrue="1">
      <formula>OR(AND(ISNUMBER($C86),$C86=0),$C86=2,$C86=3,$C86=4)</formula>
    </cfRule>
  </conditionalFormatting>
  <conditionalFormatting sqref="AL86:AL94">
    <cfRule type="expression" dxfId="704" priority="352" stopIfTrue="1">
      <formula>TIPOORCAMENTO="PROPOSTO"</formula>
    </cfRule>
    <cfRule type="expression" dxfId="703" priority="353" stopIfTrue="1">
      <formula>$C86=1</formula>
    </cfRule>
    <cfRule type="expression" dxfId="702" priority="354" stopIfTrue="1">
      <formula>OR(AND(ISNUMBER($C86),$C86=0),$C86=2,$C86=3,$C86=4)</formula>
    </cfRule>
  </conditionalFormatting>
  <conditionalFormatting sqref="AM86:AN94">
    <cfRule type="expression" dxfId="701" priority="355" stopIfTrue="1">
      <formula>TIPOORCAMENTO="PROPOSTO"</formula>
    </cfRule>
    <cfRule type="expression" dxfId="700" priority="356" stopIfTrue="1">
      <formula>$C86=1</formula>
    </cfRule>
    <cfRule type="expression" dxfId="699" priority="357" stopIfTrue="1">
      <formula>OR(AND(ISNUMBER($C86),$C86=0),$C86=2,$C86=3,$C86=4)</formula>
    </cfRule>
  </conditionalFormatting>
  <conditionalFormatting sqref="M95:M103">
    <cfRule type="cellIs" dxfId="698" priority="324" stopIfTrue="1" operator="notEqual">
      <formula>$N95</formula>
    </cfRule>
  </conditionalFormatting>
  <conditionalFormatting sqref="N95:O103 R95:R103 W95:X103">
    <cfRule type="expression" dxfId="697" priority="325" stopIfTrue="1">
      <formula>$C95=1</formula>
    </cfRule>
    <cfRule type="expression" dxfId="696" priority="326" stopIfTrue="1">
      <formula>OR($C95=0,$C95=2,$C95=3,$C95=4)</formula>
    </cfRule>
  </conditionalFormatting>
  <conditionalFormatting sqref="U95:V103">
    <cfRule type="expression" dxfId="695" priority="327" stopIfTrue="1">
      <formula>$C95=1</formula>
    </cfRule>
    <cfRule type="expression" dxfId="694" priority="328" stopIfTrue="1">
      <formula>OR($C95=0,$C95=2,$C95=3,$C95=4)</formula>
    </cfRule>
    <cfRule type="expression" dxfId="693" priority="329" stopIfTrue="1">
      <formula>AND(TIPOORCAMENTO="Licitado",$C95&lt;&gt;"L",$C95&lt;&gt;-1)</formula>
    </cfRule>
  </conditionalFormatting>
  <conditionalFormatting sqref="P95:Q103 S95:T103 Y95:Y103 AG95:AH103">
    <cfRule type="expression" dxfId="692" priority="330" stopIfTrue="1">
      <formula>$C95=1</formula>
    </cfRule>
    <cfRule type="expression" dxfId="691" priority="331" stopIfTrue="1">
      <formula>OR($C95=0,$C95=2,$C95=3,$C95=4)</formula>
    </cfRule>
  </conditionalFormatting>
  <conditionalFormatting sqref="AJ95:AJ103">
    <cfRule type="expression" dxfId="690" priority="332" stopIfTrue="1">
      <formula>OR(ACOMPANHAMENTO&lt;&gt;"BM",TIPOORCAMENTO="Licitado")</formula>
    </cfRule>
    <cfRule type="expression" dxfId="689" priority="333" stopIfTrue="1">
      <formula>$C95=1</formula>
    </cfRule>
    <cfRule type="expression" dxfId="688" priority="334" stopIfTrue="1">
      <formula>OR(AND(ISNUMBER($C95),$C95=0),$C95=2,$C95=3,$C95=4)</formula>
    </cfRule>
  </conditionalFormatting>
  <conditionalFormatting sqref="AL95:AL103">
    <cfRule type="expression" dxfId="687" priority="335" stopIfTrue="1">
      <formula>TIPOORCAMENTO="PROPOSTO"</formula>
    </cfRule>
    <cfRule type="expression" dxfId="686" priority="336" stopIfTrue="1">
      <formula>$C95=1</formula>
    </cfRule>
    <cfRule type="expression" dxfId="685" priority="337" stopIfTrue="1">
      <formula>OR(AND(ISNUMBER($C95),$C95=0),$C95=2,$C95=3,$C95=4)</formula>
    </cfRule>
  </conditionalFormatting>
  <conditionalFormatting sqref="AM95:AN103">
    <cfRule type="expression" dxfId="684" priority="338" stopIfTrue="1">
      <formula>TIPOORCAMENTO="PROPOSTO"</formula>
    </cfRule>
    <cfRule type="expression" dxfId="683" priority="339" stopIfTrue="1">
      <formula>$C95=1</formula>
    </cfRule>
    <cfRule type="expression" dxfId="682" priority="340" stopIfTrue="1">
      <formula>OR(AND(ISNUMBER($C95),$C95=0),$C95=2,$C95=3,$C95=4)</formula>
    </cfRule>
  </conditionalFormatting>
  <conditionalFormatting sqref="M104:M112">
    <cfRule type="cellIs" dxfId="681" priority="307" stopIfTrue="1" operator="notEqual">
      <formula>$N104</formula>
    </cfRule>
  </conditionalFormatting>
  <conditionalFormatting sqref="N104:O112 R104:R112 W104:X112">
    <cfRule type="expression" dxfId="680" priority="308" stopIfTrue="1">
      <formula>$C104=1</formula>
    </cfRule>
    <cfRule type="expression" dxfId="679" priority="309" stopIfTrue="1">
      <formula>OR($C104=0,$C104=2,$C104=3,$C104=4)</formula>
    </cfRule>
  </conditionalFormatting>
  <conditionalFormatting sqref="U104:V112">
    <cfRule type="expression" dxfId="678" priority="310" stopIfTrue="1">
      <formula>$C104=1</formula>
    </cfRule>
    <cfRule type="expression" dxfId="677" priority="311" stopIfTrue="1">
      <formula>OR($C104=0,$C104=2,$C104=3,$C104=4)</formula>
    </cfRule>
    <cfRule type="expression" dxfId="676" priority="312" stopIfTrue="1">
      <formula>AND(TIPOORCAMENTO="Licitado",$C104&lt;&gt;"L",$C104&lt;&gt;-1)</formula>
    </cfRule>
  </conditionalFormatting>
  <conditionalFormatting sqref="P104:Q112 S104:T112 Y104:Y112 AG104:AH112">
    <cfRule type="expression" dxfId="675" priority="313" stopIfTrue="1">
      <formula>$C104=1</formula>
    </cfRule>
    <cfRule type="expression" dxfId="674" priority="314" stopIfTrue="1">
      <formula>OR($C104=0,$C104=2,$C104=3,$C104=4)</formula>
    </cfRule>
  </conditionalFormatting>
  <conditionalFormatting sqref="AJ104:AJ112">
    <cfRule type="expression" dxfId="673" priority="315" stopIfTrue="1">
      <formula>OR(ACOMPANHAMENTO&lt;&gt;"BM",TIPOORCAMENTO="Licitado")</formula>
    </cfRule>
    <cfRule type="expression" dxfId="672" priority="316" stopIfTrue="1">
      <formula>$C104=1</formula>
    </cfRule>
    <cfRule type="expression" dxfId="671" priority="317" stopIfTrue="1">
      <formula>OR(AND(ISNUMBER($C104),$C104=0),$C104=2,$C104=3,$C104=4)</formula>
    </cfRule>
  </conditionalFormatting>
  <conditionalFormatting sqref="AL104:AL112">
    <cfRule type="expression" dxfId="670" priority="318" stopIfTrue="1">
      <formula>TIPOORCAMENTO="PROPOSTO"</formula>
    </cfRule>
    <cfRule type="expression" dxfId="669" priority="319" stopIfTrue="1">
      <formula>$C104=1</formula>
    </cfRule>
    <cfRule type="expression" dxfId="668" priority="320" stopIfTrue="1">
      <formula>OR(AND(ISNUMBER($C104),$C104=0),$C104=2,$C104=3,$C104=4)</formula>
    </cfRule>
  </conditionalFormatting>
  <conditionalFormatting sqref="AM104:AN112">
    <cfRule type="expression" dxfId="667" priority="321" stopIfTrue="1">
      <formula>TIPOORCAMENTO="PROPOSTO"</formula>
    </cfRule>
    <cfRule type="expression" dxfId="666" priority="322" stopIfTrue="1">
      <formula>$C104=1</formula>
    </cfRule>
    <cfRule type="expression" dxfId="665" priority="323" stopIfTrue="1">
      <formula>OR(AND(ISNUMBER($C104),$C104=0),$C104=2,$C104=3,$C104=4)</formula>
    </cfRule>
  </conditionalFormatting>
  <conditionalFormatting sqref="M113:M121">
    <cfRule type="cellIs" dxfId="664" priority="290" stopIfTrue="1" operator="notEqual">
      <formula>$N113</formula>
    </cfRule>
  </conditionalFormatting>
  <conditionalFormatting sqref="N113:O121 R113:R121 W113:X121">
    <cfRule type="expression" dxfId="663" priority="291" stopIfTrue="1">
      <formula>$C113=1</formula>
    </cfRule>
    <cfRule type="expression" dxfId="662" priority="292" stopIfTrue="1">
      <formula>OR($C113=0,$C113=2,$C113=3,$C113=4)</formula>
    </cfRule>
  </conditionalFormatting>
  <conditionalFormatting sqref="U113:V121">
    <cfRule type="expression" dxfId="661" priority="293" stopIfTrue="1">
      <formula>$C113=1</formula>
    </cfRule>
    <cfRule type="expression" dxfId="660" priority="294" stopIfTrue="1">
      <formula>OR($C113=0,$C113=2,$C113=3,$C113=4)</formula>
    </cfRule>
    <cfRule type="expression" dxfId="659" priority="295" stopIfTrue="1">
      <formula>AND(TIPOORCAMENTO="Licitado",$C113&lt;&gt;"L",$C113&lt;&gt;-1)</formula>
    </cfRule>
  </conditionalFormatting>
  <conditionalFormatting sqref="P113:Q121 S113:T121 Y113:Y121 AG113:AH121">
    <cfRule type="expression" dxfId="658" priority="296" stopIfTrue="1">
      <formula>$C113=1</formula>
    </cfRule>
    <cfRule type="expression" dxfId="657" priority="297" stopIfTrue="1">
      <formula>OR($C113=0,$C113=2,$C113=3,$C113=4)</formula>
    </cfRule>
  </conditionalFormatting>
  <conditionalFormatting sqref="AJ113:AJ121">
    <cfRule type="expression" dxfId="656" priority="298" stopIfTrue="1">
      <formula>OR(ACOMPANHAMENTO&lt;&gt;"BM",TIPOORCAMENTO="Licitado")</formula>
    </cfRule>
    <cfRule type="expression" dxfId="655" priority="299" stopIfTrue="1">
      <formula>$C113=1</formula>
    </cfRule>
    <cfRule type="expression" dxfId="654" priority="300" stopIfTrue="1">
      <formula>OR(AND(ISNUMBER($C113),$C113=0),$C113=2,$C113=3,$C113=4)</formula>
    </cfRule>
  </conditionalFormatting>
  <conditionalFormatting sqref="AL113:AL121">
    <cfRule type="expression" dxfId="653" priority="301" stopIfTrue="1">
      <formula>TIPOORCAMENTO="PROPOSTO"</formula>
    </cfRule>
    <cfRule type="expression" dxfId="652" priority="302" stopIfTrue="1">
      <formula>$C113=1</formula>
    </cfRule>
    <cfRule type="expression" dxfId="651" priority="303" stopIfTrue="1">
      <formula>OR(AND(ISNUMBER($C113),$C113=0),$C113=2,$C113=3,$C113=4)</formula>
    </cfRule>
  </conditionalFormatting>
  <conditionalFormatting sqref="AM113:AN121">
    <cfRule type="expression" dxfId="650" priority="304" stopIfTrue="1">
      <formula>TIPOORCAMENTO="PROPOSTO"</formula>
    </cfRule>
    <cfRule type="expression" dxfId="649" priority="305" stopIfTrue="1">
      <formula>$C113=1</formula>
    </cfRule>
    <cfRule type="expression" dxfId="648" priority="306" stopIfTrue="1">
      <formula>OR(AND(ISNUMBER($C113),$C113=0),$C113=2,$C113=3,$C113=4)</formula>
    </cfRule>
  </conditionalFormatting>
  <conditionalFormatting sqref="M122:M130">
    <cfRule type="cellIs" dxfId="647" priority="273" stopIfTrue="1" operator="notEqual">
      <formula>$N122</formula>
    </cfRule>
  </conditionalFormatting>
  <conditionalFormatting sqref="N122:O130 R122:R130 W122:X130">
    <cfRule type="expression" dxfId="646" priority="274" stopIfTrue="1">
      <formula>$C122=1</formula>
    </cfRule>
    <cfRule type="expression" dxfId="645" priority="275" stopIfTrue="1">
      <formula>OR($C122=0,$C122=2,$C122=3,$C122=4)</formula>
    </cfRule>
  </conditionalFormatting>
  <conditionalFormatting sqref="U122:V130">
    <cfRule type="expression" dxfId="644" priority="276" stopIfTrue="1">
      <formula>$C122=1</formula>
    </cfRule>
    <cfRule type="expression" dxfId="643" priority="277" stopIfTrue="1">
      <formula>OR($C122=0,$C122=2,$C122=3,$C122=4)</formula>
    </cfRule>
    <cfRule type="expression" dxfId="642" priority="278" stopIfTrue="1">
      <formula>AND(TIPOORCAMENTO="Licitado",$C122&lt;&gt;"L",$C122&lt;&gt;-1)</formula>
    </cfRule>
  </conditionalFormatting>
  <conditionalFormatting sqref="P122:Q130 S122:T130 Y122:Y130 AG122:AH130">
    <cfRule type="expression" dxfId="641" priority="279" stopIfTrue="1">
      <formula>$C122=1</formula>
    </cfRule>
    <cfRule type="expression" dxfId="640" priority="280" stopIfTrue="1">
      <formula>OR($C122=0,$C122=2,$C122=3,$C122=4)</formula>
    </cfRule>
  </conditionalFormatting>
  <conditionalFormatting sqref="AJ122:AJ130">
    <cfRule type="expression" dxfId="639" priority="281" stopIfTrue="1">
      <formula>OR(ACOMPANHAMENTO&lt;&gt;"BM",TIPOORCAMENTO="Licitado")</formula>
    </cfRule>
    <cfRule type="expression" dxfId="638" priority="282" stopIfTrue="1">
      <formula>$C122=1</formula>
    </cfRule>
    <cfRule type="expression" dxfId="637" priority="283" stopIfTrue="1">
      <formula>OR(AND(ISNUMBER($C122),$C122=0),$C122=2,$C122=3,$C122=4)</formula>
    </cfRule>
  </conditionalFormatting>
  <conditionalFormatting sqref="AL122:AL130">
    <cfRule type="expression" dxfId="636" priority="284" stopIfTrue="1">
      <formula>TIPOORCAMENTO="PROPOSTO"</formula>
    </cfRule>
    <cfRule type="expression" dxfId="635" priority="285" stopIfTrue="1">
      <formula>$C122=1</formula>
    </cfRule>
    <cfRule type="expression" dxfId="634" priority="286" stopIfTrue="1">
      <formula>OR(AND(ISNUMBER($C122),$C122=0),$C122=2,$C122=3,$C122=4)</formula>
    </cfRule>
  </conditionalFormatting>
  <conditionalFormatting sqref="AM122:AN130">
    <cfRule type="expression" dxfId="633" priority="287" stopIfTrue="1">
      <formula>TIPOORCAMENTO="PROPOSTO"</formula>
    </cfRule>
    <cfRule type="expression" dxfId="632" priority="288" stopIfTrue="1">
      <formula>$C122=1</formula>
    </cfRule>
    <cfRule type="expression" dxfId="631" priority="289" stopIfTrue="1">
      <formula>OR(AND(ISNUMBER($C122),$C122=0),$C122=2,$C122=3,$C122=4)</formula>
    </cfRule>
  </conditionalFormatting>
  <conditionalFormatting sqref="M131:M139">
    <cfRule type="cellIs" dxfId="630" priority="256" stopIfTrue="1" operator="notEqual">
      <formula>$N131</formula>
    </cfRule>
  </conditionalFormatting>
  <conditionalFormatting sqref="N131:O139 R131:R139 W131:X139">
    <cfRule type="expression" dxfId="629" priority="257" stopIfTrue="1">
      <formula>$C131=1</formula>
    </cfRule>
    <cfRule type="expression" dxfId="628" priority="258" stopIfTrue="1">
      <formula>OR($C131=0,$C131=2,$C131=3,$C131=4)</formula>
    </cfRule>
  </conditionalFormatting>
  <conditionalFormatting sqref="U131:V139">
    <cfRule type="expression" dxfId="627" priority="259" stopIfTrue="1">
      <formula>$C131=1</formula>
    </cfRule>
    <cfRule type="expression" dxfId="626" priority="260" stopIfTrue="1">
      <formula>OR($C131=0,$C131=2,$C131=3,$C131=4)</formula>
    </cfRule>
    <cfRule type="expression" dxfId="625" priority="261" stopIfTrue="1">
      <formula>AND(TIPOORCAMENTO="Licitado",$C131&lt;&gt;"L",$C131&lt;&gt;-1)</formula>
    </cfRule>
  </conditionalFormatting>
  <conditionalFormatting sqref="P131:Q139 S131:T139 Y131:Y139 AG131:AH139">
    <cfRule type="expression" dxfId="624" priority="262" stopIfTrue="1">
      <formula>$C131=1</formula>
    </cfRule>
    <cfRule type="expression" dxfId="623" priority="263" stopIfTrue="1">
      <formula>OR($C131=0,$C131=2,$C131=3,$C131=4)</formula>
    </cfRule>
  </conditionalFormatting>
  <conditionalFormatting sqref="AJ131:AJ139">
    <cfRule type="expression" dxfId="622" priority="264" stopIfTrue="1">
      <formula>OR(ACOMPANHAMENTO&lt;&gt;"BM",TIPOORCAMENTO="Licitado")</formula>
    </cfRule>
    <cfRule type="expression" dxfId="621" priority="265" stopIfTrue="1">
      <formula>$C131=1</formula>
    </cfRule>
    <cfRule type="expression" dxfId="620" priority="266" stopIfTrue="1">
      <formula>OR(AND(ISNUMBER($C131),$C131=0),$C131=2,$C131=3,$C131=4)</formula>
    </cfRule>
  </conditionalFormatting>
  <conditionalFormatting sqref="AL131:AL139">
    <cfRule type="expression" dxfId="619" priority="267" stopIfTrue="1">
      <formula>TIPOORCAMENTO="PROPOSTO"</formula>
    </cfRule>
    <cfRule type="expression" dxfId="618" priority="268" stopIfTrue="1">
      <formula>$C131=1</formula>
    </cfRule>
    <cfRule type="expression" dxfId="617" priority="269" stopIfTrue="1">
      <formula>OR(AND(ISNUMBER($C131),$C131=0),$C131=2,$C131=3,$C131=4)</formula>
    </cfRule>
  </conditionalFormatting>
  <conditionalFormatting sqref="AM131:AN139">
    <cfRule type="expression" dxfId="616" priority="270" stopIfTrue="1">
      <formula>TIPOORCAMENTO="PROPOSTO"</formula>
    </cfRule>
    <cfRule type="expression" dxfId="615" priority="271" stopIfTrue="1">
      <formula>$C131=1</formula>
    </cfRule>
    <cfRule type="expression" dxfId="614" priority="272" stopIfTrue="1">
      <formula>OR(AND(ISNUMBER($C131),$C131=0),$C131=2,$C131=3,$C131=4)</formula>
    </cfRule>
  </conditionalFormatting>
  <conditionalFormatting sqref="M140:M148">
    <cfRule type="cellIs" dxfId="613" priority="239" stopIfTrue="1" operator="notEqual">
      <formula>$N140</formula>
    </cfRule>
  </conditionalFormatting>
  <conditionalFormatting sqref="N140:O148 R140:R148 W140:X148">
    <cfRule type="expression" dxfId="612" priority="240" stopIfTrue="1">
      <formula>$C140=1</formula>
    </cfRule>
    <cfRule type="expression" dxfId="611" priority="241" stopIfTrue="1">
      <formula>OR($C140=0,$C140=2,$C140=3,$C140=4)</formula>
    </cfRule>
  </conditionalFormatting>
  <conditionalFormatting sqref="U140:V148">
    <cfRule type="expression" dxfId="610" priority="242" stopIfTrue="1">
      <formula>$C140=1</formula>
    </cfRule>
    <cfRule type="expression" dxfId="609" priority="243" stopIfTrue="1">
      <formula>OR($C140=0,$C140=2,$C140=3,$C140=4)</formula>
    </cfRule>
    <cfRule type="expression" dxfId="608" priority="244" stopIfTrue="1">
      <formula>AND(TIPOORCAMENTO="Licitado",$C140&lt;&gt;"L",$C140&lt;&gt;-1)</formula>
    </cfRule>
  </conditionalFormatting>
  <conditionalFormatting sqref="P140:Q148 S140:T148 Y140:Y148 AG140:AH148">
    <cfRule type="expression" dxfId="607" priority="245" stopIfTrue="1">
      <formula>$C140=1</formula>
    </cfRule>
    <cfRule type="expression" dxfId="606" priority="246" stopIfTrue="1">
      <formula>OR($C140=0,$C140=2,$C140=3,$C140=4)</formula>
    </cfRule>
  </conditionalFormatting>
  <conditionalFormatting sqref="AJ140:AJ148">
    <cfRule type="expression" dxfId="605" priority="247" stopIfTrue="1">
      <formula>OR(ACOMPANHAMENTO&lt;&gt;"BM",TIPOORCAMENTO="Licitado")</formula>
    </cfRule>
    <cfRule type="expression" dxfId="604" priority="248" stopIfTrue="1">
      <formula>$C140=1</formula>
    </cfRule>
    <cfRule type="expression" dxfId="603" priority="249" stopIfTrue="1">
      <formula>OR(AND(ISNUMBER($C140),$C140=0),$C140=2,$C140=3,$C140=4)</formula>
    </cfRule>
  </conditionalFormatting>
  <conditionalFormatting sqref="AL140:AL148">
    <cfRule type="expression" dxfId="602" priority="250" stopIfTrue="1">
      <formula>TIPOORCAMENTO="PROPOSTO"</formula>
    </cfRule>
    <cfRule type="expression" dxfId="601" priority="251" stopIfTrue="1">
      <formula>$C140=1</formula>
    </cfRule>
    <cfRule type="expression" dxfId="600" priority="252" stopIfTrue="1">
      <formula>OR(AND(ISNUMBER($C140),$C140=0),$C140=2,$C140=3,$C140=4)</formula>
    </cfRule>
  </conditionalFormatting>
  <conditionalFormatting sqref="AM140:AN148">
    <cfRule type="expression" dxfId="599" priority="253" stopIfTrue="1">
      <formula>TIPOORCAMENTO="PROPOSTO"</formula>
    </cfRule>
    <cfRule type="expression" dxfId="598" priority="254" stopIfTrue="1">
      <formula>$C140=1</formula>
    </cfRule>
    <cfRule type="expression" dxfId="597" priority="255" stopIfTrue="1">
      <formula>OR(AND(ISNUMBER($C140),$C140=0),$C140=2,$C140=3,$C140=4)</formula>
    </cfRule>
  </conditionalFormatting>
  <conditionalFormatting sqref="M149:M157">
    <cfRule type="cellIs" dxfId="596" priority="222" stopIfTrue="1" operator="notEqual">
      <formula>$N149</formula>
    </cfRule>
  </conditionalFormatting>
  <conditionalFormatting sqref="N149:O157 R149:R157 W149:X157">
    <cfRule type="expression" dxfId="595" priority="223" stopIfTrue="1">
      <formula>$C149=1</formula>
    </cfRule>
    <cfRule type="expression" dxfId="594" priority="224" stopIfTrue="1">
      <formula>OR($C149=0,$C149=2,$C149=3,$C149=4)</formula>
    </cfRule>
  </conditionalFormatting>
  <conditionalFormatting sqref="U149:V157">
    <cfRule type="expression" dxfId="593" priority="225" stopIfTrue="1">
      <formula>$C149=1</formula>
    </cfRule>
    <cfRule type="expression" dxfId="592" priority="226" stopIfTrue="1">
      <formula>OR($C149=0,$C149=2,$C149=3,$C149=4)</formula>
    </cfRule>
    <cfRule type="expression" dxfId="591" priority="227" stopIfTrue="1">
      <formula>AND(TIPOORCAMENTO="Licitado",$C149&lt;&gt;"L",$C149&lt;&gt;-1)</formula>
    </cfRule>
  </conditionalFormatting>
  <conditionalFormatting sqref="P149:Q157 S149:T157 Y149:Y157 AG149:AH157">
    <cfRule type="expression" dxfId="590" priority="228" stopIfTrue="1">
      <formula>$C149=1</formula>
    </cfRule>
    <cfRule type="expression" dxfId="589" priority="229" stopIfTrue="1">
      <formula>OR($C149=0,$C149=2,$C149=3,$C149=4)</formula>
    </cfRule>
  </conditionalFormatting>
  <conditionalFormatting sqref="AJ149:AJ157">
    <cfRule type="expression" dxfId="588" priority="230" stopIfTrue="1">
      <formula>OR(ACOMPANHAMENTO&lt;&gt;"BM",TIPOORCAMENTO="Licitado")</formula>
    </cfRule>
    <cfRule type="expression" dxfId="587" priority="231" stopIfTrue="1">
      <formula>$C149=1</formula>
    </cfRule>
    <cfRule type="expression" dxfId="586" priority="232" stopIfTrue="1">
      <formula>OR(AND(ISNUMBER($C149),$C149=0),$C149=2,$C149=3,$C149=4)</formula>
    </cfRule>
  </conditionalFormatting>
  <conditionalFormatting sqref="AL149:AL157">
    <cfRule type="expression" dxfId="585" priority="233" stopIfTrue="1">
      <formula>TIPOORCAMENTO="PROPOSTO"</formula>
    </cfRule>
    <cfRule type="expression" dxfId="584" priority="234" stopIfTrue="1">
      <formula>$C149=1</formula>
    </cfRule>
    <cfRule type="expression" dxfId="583" priority="235" stopIfTrue="1">
      <formula>OR(AND(ISNUMBER($C149),$C149=0),$C149=2,$C149=3,$C149=4)</formula>
    </cfRule>
  </conditionalFormatting>
  <conditionalFormatting sqref="AM149:AN157">
    <cfRule type="expression" dxfId="582" priority="236" stopIfTrue="1">
      <formula>TIPOORCAMENTO="PROPOSTO"</formula>
    </cfRule>
    <cfRule type="expression" dxfId="581" priority="237" stopIfTrue="1">
      <formula>$C149=1</formula>
    </cfRule>
    <cfRule type="expression" dxfId="580" priority="238" stopIfTrue="1">
      <formula>OR(AND(ISNUMBER($C149),$C149=0),$C149=2,$C149=3,$C149=4)</formula>
    </cfRule>
  </conditionalFormatting>
  <conditionalFormatting sqref="M158:M166">
    <cfRule type="cellIs" dxfId="579" priority="205" stopIfTrue="1" operator="notEqual">
      <formula>$N158</formula>
    </cfRule>
  </conditionalFormatting>
  <conditionalFormatting sqref="N158:O166 R158:R166 W158:X166">
    <cfRule type="expression" dxfId="578" priority="206" stopIfTrue="1">
      <formula>$C158=1</formula>
    </cfRule>
    <cfRule type="expression" dxfId="577" priority="207" stopIfTrue="1">
      <formula>OR($C158=0,$C158=2,$C158=3,$C158=4)</formula>
    </cfRule>
  </conditionalFormatting>
  <conditionalFormatting sqref="U158:V166">
    <cfRule type="expression" dxfId="576" priority="208" stopIfTrue="1">
      <formula>$C158=1</formula>
    </cfRule>
    <cfRule type="expression" dxfId="575" priority="209" stopIfTrue="1">
      <formula>OR($C158=0,$C158=2,$C158=3,$C158=4)</formula>
    </cfRule>
    <cfRule type="expression" dxfId="574" priority="210" stopIfTrue="1">
      <formula>AND(TIPOORCAMENTO="Licitado",$C158&lt;&gt;"L",$C158&lt;&gt;-1)</formula>
    </cfRule>
  </conditionalFormatting>
  <conditionalFormatting sqref="P158:Q166 S158:T166 Y158:Y166 AG158:AH166">
    <cfRule type="expression" dxfId="573" priority="211" stopIfTrue="1">
      <formula>$C158=1</formula>
    </cfRule>
    <cfRule type="expression" dxfId="572" priority="212" stopIfTrue="1">
      <formula>OR($C158=0,$C158=2,$C158=3,$C158=4)</formula>
    </cfRule>
  </conditionalFormatting>
  <conditionalFormatting sqref="AJ158:AJ166">
    <cfRule type="expression" dxfId="571" priority="213" stopIfTrue="1">
      <formula>OR(ACOMPANHAMENTO&lt;&gt;"BM",TIPOORCAMENTO="Licitado")</formula>
    </cfRule>
    <cfRule type="expression" dxfId="570" priority="214" stopIfTrue="1">
      <formula>$C158=1</formula>
    </cfRule>
    <cfRule type="expression" dxfId="569" priority="215" stopIfTrue="1">
      <formula>OR(AND(ISNUMBER($C158),$C158=0),$C158=2,$C158=3,$C158=4)</formula>
    </cfRule>
  </conditionalFormatting>
  <conditionalFormatting sqref="AL158:AL166">
    <cfRule type="expression" dxfId="568" priority="216" stopIfTrue="1">
      <formula>TIPOORCAMENTO="PROPOSTO"</formula>
    </cfRule>
    <cfRule type="expression" dxfId="567" priority="217" stopIfTrue="1">
      <formula>$C158=1</formula>
    </cfRule>
    <cfRule type="expression" dxfId="566" priority="218" stopIfTrue="1">
      <formula>OR(AND(ISNUMBER($C158),$C158=0),$C158=2,$C158=3,$C158=4)</formula>
    </cfRule>
  </conditionalFormatting>
  <conditionalFormatting sqref="AM158:AN166">
    <cfRule type="expression" dxfId="565" priority="219" stopIfTrue="1">
      <formula>TIPOORCAMENTO="PROPOSTO"</formula>
    </cfRule>
    <cfRule type="expression" dxfId="564" priority="220" stopIfTrue="1">
      <formula>$C158=1</formula>
    </cfRule>
    <cfRule type="expression" dxfId="563" priority="221" stopIfTrue="1">
      <formula>OR(AND(ISNUMBER($C158),$C158=0),$C158=2,$C158=3,$C158=4)</formula>
    </cfRule>
  </conditionalFormatting>
  <conditionalFormatting sqref="M167:M175">
    <cfRule type="cellIs" dxfId="562" priority="188" stopIfTrue="1" operator="notEqual">
      <formula>$N167</formula>
    </cfRule>
  </conditionalFormatting>
  <conditionalFormatting sqref="N167:O175 R167:R175 W167:X175">
    <cfRule type="expression" dxfId="561" priority="189" stopIfTrue="1">
      <formula>$C167=1</formula>
    </cfRule>
    <cfRule type="expression" dxfId="560" priority="190" stopIfTrue="1">
      <formula>OR($C167=0,$C167=2,$C167=3,$C167=4)</formula>
    </cfRule>
  </conditionalFormatting>
  <conditionalFormatting sqref="U167:V175">
    <cfRule type="expression" dxfId="559" priority="191" stopIfTrue="1">
      <formula>$C167=1</formula>
    </cfRule>
    <cfRule type="expression" dxfId="558" priority="192" stopIfTrue="1">
      <formula>OR($C167=0,$C167=2,$C167=3,$C167=4)</formula>
    </cfRule>
    <cfRule type="expression" dxfId="557" priority="193" stopIfTrue="1">
      <formula>AND(TIPOORCAMENTO="Licitado",$C167&lt;&gt;"L",$C167&lt;&gt;-1)</formula>
    </cfRule>
  </conditionalFormatting>
  <conditionalFormatting sqref="P167:Q175 S167:T175 Y167:Y175 AG167:AH175">
    <cfRule type="expression" dxfId="556" priority="194" stopIfTrue="1">
      <formula>$C167=1</formula>
    </cfRule>
    <cfRule type="expression" dxfId="555" priority="195" stopIfTrue="1">
      <formula>OR($C167=0,$C167=2,$C167=3,$C167=4)</formula>
    </cfRule>
  </conditionalFormatting>
  <conditionalFormatting sqref="AJ167:AJ175">
    <cfRule type="expression" dxfId="554" priority="196" stopIfTrue="1">
      <formula>OR(ACOMPANHAMENTO&lt;&gt;"BM",TIPOORCAMENTO="Licitado")</formula>
    </cfRule>
    <cfRule type="expression" dxfId="553" priority="197" stopIfTrue="1">
      <formula>$C167=1</formula>
    </cfRule>
    <cfRule type="expression" dxfId="552" priority="198" stopIfTrue="1">
      <formula>OR(AND(ISNUMBER($C167),$C167=0),$C167=2,$C167=3,$C167=4)</formula>
    </cfRule>
  </conditionalFormatting>
  <conditionalFormatting sqref="AL167:AL175">
    <cfRule type="expression" dxfId="551" priority="199" stopIfTrue="1">
      <formula>TIPOORCAMENTO="PROPOSTO"</formula>
    </cfRule>
    <cfRule type="expression" dxfId="550" priority="200" stopIfTrue="1">
      <formula>$C167=1</formula>
    </cfRule>
    <cfRule type="expression" dxfId="549" priority="201" stopIfTrue="1">
      <formula>OR(AND(ISNUMBER($C167),$C167=0),$C167=2,$C167=3,$C167=4)</formula>
    </cfRule>
  </conditionalFormatting>
  <conditionalFormatting sqref="AM167:AN175">
    <cfRule type="expression" dxfId="548" priority="202" stopIfTrue="1">
      <formula>TIPOORCAMENTO="PROPOSTO"</formula>
    </cfRule>
    <cfRule type="expression" dxfId="547" priority="203" stopIfTrue="1">
      <formula>$C167=1</formula>
    </cfRule>
    <cfRule type="expression" dxfId="546" priority="204" stopIfTrue="1">
      <formula>OR(AND(ISNUMBER($C167),$C167=0),$C167=2,$C167=3,$C167=4)</formula>
    </cfRule>
  </conditionalFormatting>
  <conditionalFormatting sqref="M176:M184">
    <cfRule type="cellIs" dxfId="545" priority="171" stopIfTrue="1" operator="notEqual">
      <formula>$N176</formula>
    </cfRule>
  </conditionalFormatting>
  <conditionalFormatting sqref="N176:O184 R176:R184 W176:X184">
    <cfRule type="expression" dxfId="544" priority="172" stopIfTrue="1">
      <formula>$C176=1</formula>
    </cfRule>
    <cfRule type="expression" dxfId="543" priority="173" stopIfTrue="1">
      <formula>OR($C176=0,$C176=2,$C176=3,$C176=4)</formula>
    </cfRule>
  </conditionalFormatting>
  <conditionalFormatting sqref="U176:V184">
    <cfRule type="expression" dxfId="542" priority="174" stopIfTrue="1">
      <formula>$C176=1</formula>
    </cfRule>
    <cfRule type="expression" dxfId="541" priority="175" stopIfTrue="1">
      <formula>OR($C176=0,$C176=2,$C176=3,$C176=4)</formula>
    </cfRule>
    <cfRule type="expression" dxfId="540" priority="176" stopIfTrue="1">
      <formula>AND(TIPOORCAMENTO="Licitado",$C176&lt;&gt;"L",$C176&lt;&gt;-1)</formula>
    </cfRule>
  </conditionalFormatting>
  <conditionalFormatting sqref="P176:Q184 S176:T184 Y176:Y184 AG176:AH184">
    <cfRule type="expression" dxfId="539" priority="177" stopIfTrue="1">
      <formula>$C176=1</formula>
    </cfRule>
    <cfRule type="expression" dxfId="538" priority="178" stopIfTrue="1">
      <formula>OR($C176=0,$C176=2,$C176=3,$C176=4)</formula>
    </cfRule>
  </conditionalFormatting>
  <conditionalFormatting sqref="AJ176:AJ184">
    <cfRule type="expression" dxfId="537" priority="179" stopIfTrue="1">
      <formula>OR(ACOMPANHAMENTO&lt;&gt;"BM",TIPOORCAMENTO="Licitado")</formula>
    </cfRule>
    <cfRule type="expression" dxfId="536" priority="180" stopIfTrue="1">
      <formula>$C176=1</formula>
    </cfRule>
    <cfRule type="expression" dxfId="535" priority="181" stopIfTrue="1">
      <formula>OR(AND(ISNUMBER($C176),$C176=0),$C176=2,$C176=3,$C176=4)</formula>
    </cfRule>
  </conditionalFormatting>
  <conditionalFormatting sqref="AL176:AL184">
    <cfRule type="expression" dxfId="534" priority="182" stopIfTrue="1">
      <formula>TIPOORCAMENTO="PROPOSTO"</formula>
    </cfRule>
    <cfRule type="expression" dxfId="533" priority="183" stopIfTrue="1">
      <formula>$C176=1</formula>
    </cfRule>
    <cfRule type="expression" dxfId="532" priority="184" stopIfTrue="1">
      <formula>OR(AND(ISNUMBER($C176),$C176=0),$C176=2,$C176=3,$C176=4)</formula>
    </cfRule>
  </conditionalFormatting>
  <conditionalFormatting sqref="AM176:AN184">
    <cfRule type="expression" dxfId="531" priority="185" stopIfTrue="1">
      <formula>TIPOORCAMENTO="PROPOSTO"</formula>
    </cfRule>
    <cfRule type="expression" dxfId="530" priority="186" stopIfTrue="1">
      <formula>$C176=1</formula>
    </cfRule>
    <cfRule type="expression" dxfId="529" priority="187" stopIfTrue="1">
      <formula>OR(AND(ISNUMBER($C176),$C176=0),$C176=2,$C176=3,$C176=4)</formula>
    </cfRule>
  </conditionalFormatting>
  <conditionalFormatting sqref="M185:M193">
    <cfRule type="cellIs" dxfId="528" priority="154" stopIfTrue="1" operator="notEqual">
      <formula>$N185</formula>
    </cfRule>
  </conditionalFormatting>
  <conditionalFormatting sqref="N185:O193 R185:R193 W185:X193">
    <cfRule type="expression" dxfId="527" priority="155" stopIfTrue="1">
      <formula>$C185=1</formula>
    </cfRule>
    <cfRule type="expression" dxfId="526" priority="156" stopIfTrue="1">
      <formula>OR($C185=0,$C185=2,$C185=3,$C185=4)</formula>
    </cfRule>
  </conditionalFormatting>
  <conditionalFormatting sqref="U185:V193">
    <cfRule type="expression" dxfId="525" priority="157" stopIfTrue="1">
      <formula>$C185=1</formula>
    </cfRule>
    <cfRule type="expression" dxfId="524" priority="158" stopIfTrue="1">
      <formula>OR($C185=0,$C185=2,$C185=3,$C185=4)</formula>
    </cfRule>
    <cfRule type="expression" dxfId="523" priority="159" stopIfTrue="1">
      <formula>AND(TIPOORCAMENTO="Licitado",$C185&lt;&gt;"L",$C185&lt;&gt;-1)</formula>
    </cfRule>
  </conditionalFormatting>
  <conditionalFormatting sqref="P185:Q193 S185:T193 Y185:Y193 AG185:AH193">
    <cfRule type="expression" dxfId="522" priority="160" stopIfTrue="1">
      <formula>$C185=1</formula>
    </cfRule>
    <cfRule type="expression" dxfId="521" priority="161" stopIfTrue="1">
      <formula>OR($C185=0,$C185=2,$C185=3,$C185=4)</formula>
    </cfRule>
  </conditionalFormatting>
  <conditionalFormatting sqref="AJ185:AJ193">
    <cfRule type="expression" dxfId="520" priority="162" stopIfTrue="1">
      <formula>OR(ACOMPANHAMENTO&lt;&gt;"BM",TIPOORCAMENTO="Licitado")</formula>
    </cfRule>
    <cfRule type="expression" dxfId="519" priority="163" stopIfTrue="1">
      <formula>$C185=1</formula>
    </cfRule>
    <cfRule type="expression" dxfId="518" priority="164" stopIfTrue="1">
      <formula>OR(AND(ISNUMBER($C185),$C185=0),$C185=2,$C185=3,$C185=4)</formula>
    </cfRule>
  </conditionalFormatting>
  <conditionalFormatting sqref="AL185:AL193">
    <cfRule type="expression" dxfId="517" priority="165" stopIfTrue="1">
      <formula>TIPOORCAMENTO="PROPOSTO"</formula>
    </cfRule>
    <cfRule type="expression" dxfId="516" priority="166" stopIfTrue="1">
      <formula>$C185=1</formula>
    </cfRule>
    <cfRule type="expression" dxfId="515" priority="167" stopIfTrue="1">
      <formula>OR(AND(ISNUMBER($C185),$C185=0),$C185=2,$C185=3,$C185=4)</formula>
    </cfRule>
  </conditionalFormatting>
  <conditionalFormatting sqref="AM185:AN193">
    <cfRule type="expression" dxfId="514" priority="168" stopIfTrue="1">
      <formula>TIPOORCAMENTO="PROPOSTO"</formula>
    </cfRule>
    <cfRule type="expression" dxfId="513" priority="169" stopIfTrue="1">
      <formula>$C185=1</formula>
    </cfRule>
    <cfRule type="expression" dxfId="512" priority="170" stopIfTrue="1">
      <formula>OR(AND(ISNUMBER($C185),$C185=0),$C185=2,$C185=3,$C185=4)</formula>
    </cfRule>
  </conditionalFormatting>
  <conditionalFormatting sqref="M194:M202">
    <cfRule type="cellIs" dxfId="511" priority="137" stopIfTrue="1" operator="notEqual">
      <formula>$N194</formula>
    </cfRule>
  </conditionalFormatting>
  <conditionalFormatting sqref="N194:O202 R194:R202 W194:X202">
    <cfRule type="expression" dxfId="510" priority="138" stopIfTrue="1">
      <formula>$C194=1</formula>
    </cfRule>
    <cfRule type="expression" dxfId="509" priority="139" stopIfTrue="1">
      <formula>OR($C194=0,$C194=2,$C194=3,$C194=4)</formula>
    </cfRule>
  </conditionalFormatting>
  <conditionalFormatting sqref="U194:V202">
    <cfRule type="expression" dxfId="508" priority="140" stopIfTrue="1">
      <formula>$C194=1</formula>
    </cfRule>
    <cfRule type="expression" dxfId="507" priority="141" stopIfTrue="1">
      <formula>OR($C194=0,$C194=2,$C194=3,$C194=4)</formula>
    </cfRule>
    <cfRule type="expression" dxfId="506" priority="142" stopIfTrue="1">
      <formula>AND(TIPOORCAMENTO="Licitado",$C194&lt;&gt;"L",$C194&lt;&gt;-1)</formula>
    </cfRule>
  </conditionalFormatting>
  <conditionalFormatting sqref="P194:Q202 S194:T202 Y194:Y202 AG194:AH202">
    <cfRule type="expression" dxfId="505" priority="143" stopIfTrue="1">
      <formula>$C194=1</formula>
    </cfRule>
    <cfRule type="expression" dxfId="504" priority="144" stopIfTrue="1">
      <formula>OR($C194=0,$C194=2,$C194=3,$C194=4)</formula>
    </cfRule>
  </conditionalFormatting>
  <conditionalFormatting sqref="AJ194:AJ202">
    <cfRule type="expression" dxfId="503" priority="145" stopIfTrue="1">
      <formula>OR(ACOMPANHAMENTO&lt;&gt;"BM",TIPOORCAMENTO="Licitado")</formula>
    </cfRule>
    <cfRule type="expression" dxfId="502" priority="146" stopIfTrue="1">
      <formula>$C194=1</formula>
    </cfRule>
    <cfRule type="expression" dxfId="501" priority="147" stopIfTrue="1">
      <formula>OR(AND(ISNUMBER($C194),$C194=0),$C194=2,$C194=3,$C194=4)</formula>
    </cfRule>
  </conditionalFormatting>
  <conditionalFormatting sqref="AL194:AL202">
    <cfRule type="expression" dxfId="500" priority="148" stopIfTrue="1">
      <formula>TIPOORCAMENTO="PROPOSTO"</formula>
    </cfRule>
    <cfRule type="expression" dxfId="499" priority="149" stopIfTrue="1">
      <formula>$C194=1</formula>
    </cfRule>
    <cfRule type="expression" dxfId="498" priority="150" stopIfTrue="1">
      <formula>OR(AND(ISNUMBER($C194),$C194=0),$C194=2,$C194=3,$C194=4)</formula>
    </cfRule>
  </conditionalFormatting>
  <conditionalFormatting sqref="AM194:AN202">
    <cfRule type="expression" dxfId="497" priority="151" stopIfTrue="1">
      <formula>TIPOORCAMENTO="PROPOSTO"</formula>
    </cfRule>
    <cfRule type="expression" dxfId="496" priority="152" stopIfTrue="1">
      <formula>$C194=1</formula>
    </cfRule>
    <cfRule type="expression" dxfId="495" priority="153" stopIfTrue="1">
      <formula>OR(AND(ISNUMBER($C194),$C194=0),$C194=2,$C194=3,$C194=4)</formula>
    </cfRule>
  </conditionalFormatting>
  <conditionalFormatting sqref="M203:M211">
    <cfRule type="cellIs" dxfId="494" priority="120" stopIfTrue="1" operator="notEqual">
      <formula>$N203</formula>
    </cfRule>
  </conditionalFormatting>
  <conditionalFormatting sqref="N203:O211 R203:R211 W203:X211">
    <cfRule type="expression" dxfId="493" priority="121" stopIfTrue="1">
      <formula>$C203=1</formula>
    </cfRule>
    <cfRule type="expression" dxfId="492" priority="122" stopIfTrue="1">
      <formula>OR($C203=0,$C203=2,$C203=3,$C203=4)</formula>
    </cfRule>
  </conditionalFormatting>
  <conditionalFormatting sqref="U203:V211">
    <cfRule type="expression" dxfId="491" priority="123" stopIfTrue="1">
      <formula>$C203=1</formula>
    </cfRule>
    <cfRule type="expression" dxfId="490" priority="124" stopIfTrue="1">
      <formula>OR($C203=0,$C203=2,$C203=3,$C203=4)</formula>
    </cfRule>
    <cfRule type="expression" dxfId="489" priority="125" stopIfTrue="1">
      <formula>AND(TIPOORCAMENTO="Licitado",$C203&lt;&gt;"L",$C203&lt;&gt;-1)</formula>
    </cfRule>
  </conditionalFormatting>
  <conditionalFormatting sqref="P203:Q211 S203:T211 Y203:Y211 AG203:AH211">
    <cfRule type="expression" dxfId="488" priority="126" stopIfTrue="1">
      <formula>$C203=1</formula>
    </cfRule>
    <cfRule type="expression" dxfId="487" priority="127" stopIfTrue="1">
      <formula>OR($C203=0,$C203=2,$C203=3,$C203=4)</formula>
    </cfRule>
  </conditionalFormatting>
  <conditionalFormatting sqref="AJ203:AJ211">
    <cfRule type="expression" dxfId="486" priority="128" stopIfTrue="1">
      <formula>OR(ACOMPANHAMENTO&lt;&gt;"BM",TIPOORCAMENTO="Licitado")</formula>
    </cfRule>
    <cfRule type="expression" dxfId="485" priority="129" stopIfTrue="1">
      <formula>$C203=1</formula>
    </cfRule>
    <cfRule type="expression" dxfId="484" priority="130" stopIfTrue="1">
      <formula>OR(AND(ISNUMBER($C203),$C203=0),$C203=2,$C203=3,$C203=4)</formula>
    </cfRule>
  </conditionalFormatting>
  <conditionalFormatting sqref="AL203:AL211">
    <cfRule type="expression" dxfId="483" priority="131" stopIfTrue="1">
      <formula>TIPOORCAMENTO="PROPOSTO"</formula>
    </cfRule>
    <cfRule type="expression" dxfId="482" priority="132" stopIfTrue="1">
      <formula>$C203=1</formula>
    </cfRule>
    <cfRule type="expression" dxfId="481" priority="133" stopIfTrue="1">
      <formula>OR(AND(ISNUMBER($C203),$C203=0),$C203=2,$C203=3,$C203=4)</formula>
    </cfRule>
  </conditionalFormatting>
  <conditionalFormatting sqref="AM203:AN211">
    <cfRule type="expression" dxfId="480" priority="134" stopIfTrue="1">
      <formula>TIPOORCAMENTO="PROPOSTO"</formula>
    </cfRule>
    <cfRule type="expression" dxfId="479" priority="135" stopIfTrue="1">
      <formula>$C203=1</formula>
    </cfRule>
    <cfRule type="expression" dxfId="478" priority="136" stopIfTrue="1">
      <formula>OR(AND(ISNUMBER($C203),$C203=0),$C203=2,$C203=3,$C203=4)</formula>
    </cfRule>
  </conditionalFormatting>
  <conditionalFormatting sqref="M212:M220">
    <cfRule type="cellIs" dxfId="477" priority="103" stopIfTrue="1" operator="notEqual">
      <formula>$N212</formula>
    </cfRule>
  </conditionalFormatting>
  <conditionalFormatting sqref="N212:O220 R212:R220 W212:X220">
    <cfRule type="expression" dxfId="476" priority="104" stopIfTrue="1">
      <formula>$C212=1</formula>
    </cfRule>
    <cfRule type="expression" dxfId="475" priority="105" stopIfTrue="1">
      <formula>OR($C212=0,$C212=2,$C212=3,$C212=4)</formula>
    </cfRule>
  </conditionalFormatting>
  <conditionalFormatting sqref="U212:V220">
    <cfRule type="expression" dxfId="474" priority="106" stopIfTrue="1">
      <formula>$C212=1</formula>
    </cfRule>
    <cfRule type="expression" dxfId="473" priority="107" stopIfTrue="1">
      <formula>OR($C212=0,$C212=2,$C212=3,$C212=4)</formula>
    </cfRule>
    <cfRule type="expression" dxfId="472" priority="108" stopIfTrue="1">
      <formula>AND(TIPOORCAMENTO="Licitado",$C212&lt;&gt;"L",$C212&lt;&gt;-1)</formula>
    </cfRule>
  </conditionalFormatting>
  <conditionalFormatting sqref="P212:Q220 S212:T220 Y212:Y220 AG212:AH220">
    <cfRule type="expression" dxfId="471" priority="109" stopIfTrue="1">
      <formula>$C212=1</formula>
    </cfRule>
    <cfRule type="expression" dxfId="470" priority="110" stopIfTrue="1">
      <formula>OR($C212=0,$C212=2,$C212=3,$C212=4)</formula>
    </cfRule>
  </conditionalFormatting>
  <conditionalFormatting sqref="AJ212:AJ220">
    <cfRule type="expression" dxfId="469" priority="111" stopIfTrue="1">
      <formula>OR(ACOMPANHAMENTO&lt;&gt;"BM",TIPOORCAMENTO="Licitado")</formula>
    </cfRule>
    <cfRule type="expression" dxfId="468" priority="112" stopIfTrue="1">
      <formula>$C212=1</formula>
    </cfRule>
    <cfRule type="expression" dxfId="467" priority="113" stopIfTrue="1">
      <formula>OR(AND(ISNUMBER($C212),$C212=0),$C212=2,$C212=3,$C212=4)</formula>
    </cfRule>
  </conditionalFormatting>
  <conditionalFormatting sqref="AL212:AL220">
    <cfRule type="expression" dxfId="466" priority="114" stopIfTrue="1">
      <formula>TIPOORCAMENTO="PROPOSTO"</formula>
    </cfRule>
    <cfRule type="expression" dxfId="465" priority="115" stopIfTrue="1">
      <formula>$C212=1</formula>
    </cfRule>
    <cfRule type="expression" dxfId="464" priority="116" stopIfTrue="1">
      <formula>OR(AND(ISNUMBER($C212),$C212=0),$C212=2,$C212=3,$C212=4)</formula>
    </cfRule>
  </conditionalFormatting>
  <conditionalFormatting sqref="AM212:AN220">
    <cfRule type="expression" dxfId="463" priority="117" stopIfTrue="1">
      <formula>TIPOORCAMENTO="PROPOSTO"</formula>
    </cfRule>
    <cfRule type="expression" dxfId="462" priority="118" stopIfTrue="1">
      <formula>$C212=1</formula>
    </cfRule>
    <cfRule type="expression" dxfId="461" priority="119" stopIfTrue="1">
      <formula>OR(AND(ISNUMBER($C212),$C212=0),$C212=2,$C212=3,$C212=4)</formula>
    </cfRule>
  </conditionalFormatting>
  <conditionalFormatting sqref="M221:M229">
    <cfRule type="cellIs" dxfId="460" priority="86" stopIfTrue="1" operator="notEqual">
      <formula>$N221</formula>
    </cfRule>
  </conditionalFormatting>
  <conditionalFormatting sqref="N221:O229 R221:R229 W221:X229">
    <cfRule type="expression" dxfId="459" priority="87" stopIfTrue="1">
      <formula>$C221=1</formula>
    </cfRule>
    <cfRule type="expression" dxfId="458" priority="88" stopIfTrue="1">
      <formula>OR($C221=0,$C221=2,$C221=3,$C221=4)</formula>
    </cfRule>
  </conditionalFormatting>
  <conditionalFormatting sqref="U221:V229">
    <cfRule type="expression" dxfId="457" priority="89" stopIfTrue="1">
      <formula>$C221=1</formula>
    </cfRule>
    <cfRule type="expression" dxfId="456" priority="90" stopIfTrue="1">
      <formula>OR($C221=0,$C221=2,$C221=3,$C221=4)</formula>
    </cfRule>
    <cfRule type="expression" dxfId="455" priority="91" stopIfTrue="1">
      <formula>AND(TIPOORCAMENTO="Licitado",$C221&lt;&gt;"L",$C221&lt;&gt;-1)</formula>
    </cfRule>
  </conditionalFormatting>
  <conditionalFormatting sqref="P221:Q229 S221:T229 Y221:Y229 AG221:AH229">
    <cfRule type="expression" dxfId="454" priority="92" stopIfTrue="1">
      <formula>$C221=1</formula>
    </cfRule>
    <cfRule type="expression" dxfId="453" priority="93" stopIfTrue="1">
      <formula>OR($C221=0,$C221=2,$C221=3,$C221=4)</formula>
    </cfRule>
  </conditionalFormatting>
  <conditionalFormatting sqref="AJ221:AJ229">
    <cfRule type="expression" dxfId="452" priority="94" stopIfTrue="1">
      <formula>OR(ACOMPANHAMENTO&lt;&gt;"BM",TIPOORCAMENTO="Licitado")</formula>
    </cfRule>
    <cfRule type="expression" dxfId="451" priority="95" stopIfTrue="1">
      <formula>$C221=1</formula>
    </cfRule>
    <cfRule type="expression" dxfId="450" priority="96" stopIfTrue="1">
      <formula>OR(AND(ISNUMBER($C221),$C221=0),$C221=2,$C221=3,$C221=4)</formula>
    </cfRule>
  </conditionalFormatting>
  <conditionalFormatting sqref="AL221:AL229">
    <cfRule type="expression" dxfId="449" priority="97" stopIfTrue="1">
      <formula>TIPOORCAMENTO="PROPOSTO"</formula>
    </cfRule>
    <cfRule type="expression" dxfId="448" priority="98" stopIfTrue="1">
      <formula>$C221=1</formula>
    </cfRule>
    <cfRule type="expression" dxfId="447" priority="99" stopIfTrue="1">
      <formula>OR(AND(ISNUMBER($C221),$C221=0),$C221=2,$C221=3,$C221=4)</formula>
    </cfRule>
  </conditionalFormatting>
  <conditionalFormatting sqref="AM221:AN229">
    <cfRule type="expression" dxfId="446" priority="100" stopIfTrue="1">
      <formula>TIPOORCAMENTO="PROPOSTO"</formula>
    </cfRule>
    <cfRule type="expression" dxfId="445" priority="101" stopIfTrue="1">
      <formula>$C221=1</formula>
    </cfRule>
    <cfRule type="expression" dxfId="444" priority="102" stopIfTrue="1">
      <formula>OR(AND(ISNUMBER($C221),$C221=0),$C221=2,$C221=3,$C221=4)</formula>
    </cfRule>
  </conditionalFormatting>
  <conditionalFormatting sqref="M230:M238">
    <cfRule type="cellIs" dxfId="443" priority="69" stopIfTrue="1" operator="notEqual">
      <formula>$N230</formula>
    </cfRule>
  </conditionalFormatting>
  <conditionalFormatting sqref="N230:O238 R230:R238 W230:X238">
    <cfRule type="expression" dxfId="442" priority="70" stopIfTrue="1">
      <formula>$C230=1</formula>
    </cfRule>
    <cfRule type="expression" dxfId="441" priority="71" stopIfTrue="1">
      <formula>OR($C230=0,$C230=2,$C230=3,$C230=4)</formula>
    </cfRule>
  </conditionalFormatting>
  <conditionalFormatting sqref="U230:V238">
    <cfRule type="expression" dxfId="440" priority="72" stopIfTrue="1">
      <formula>$C230=1</formula>
    </cfRule>
    <cfRule type="expression" dxfId="439" priority="73" stopIfTrue="1">
      <formula>OR($C230=0,$C230=2,$C230=3,$C230=4)</formula>
    </cfRule>
    <cfRule type="expression" dxfId="438" priority="74" stopIfTrue="1">
      <formula>AND(TIPOORCAMENTO="Licitado",$C230&lt;&gt;"L",$C230&lt;&gt;-1)</formula>
    </cfRule>
  </conditionalFormatting>
  <conditionalFormatting sqref="P230:Q238 S230:T238 Y230:Y238 AG230:AH238">
    <cfRule type="expression" dxfId="437" priority="75" stopIfTrue="1">
      <formula>$C230=1</formula>
    </cfRule>
    <cfRule type="expression" dxfId="436" priority="76" stopIfTrue="1">
      <formula>OR($C230=0,$C230=2,$C230=3,$C230=4)</formula>
    </cfRule>
  </conditionalFormatting>
  <conditionalFormatting sqref="AJ230:AJ238">
    <cfRule type="expression" dxfId="435" priority="77" stopIfTrue="1">
      <formula>OR(ACOMPANHAMENTO&lt;&gt;"BM",TIPOORCAMENTO="Licitado")</formula>
    </cfRule>
    <cfRule type="expression" dxfId="434" priority="78" stopIfTrue="1">
      <formula>$C230=1</formula>
    </cfRule>
    <cfRule type="expression" dxfId="433" priority="79" stopIfTrue="1">
      <formula>OR(AND(ISNUMBER($C230),$C230=0),$C230=2,$C230=3,$C230=4)</formula>
    </cfRule>
  </conditionalFormatting>
  <conditionalFormatting sqref="AL230:AL238">
    <cfRule type="expression" dxfId="432" priority="80" stopIfTrue="1">
      <formula>TIPOORCAMENTO="PROPOSTO"</formula>
    </cfRule>
    <cfRule type="expression" dxfId="431" priority="81" stopIfTrue="1">
      <formula>$C230=1</formula>
    </cfRule>
    <cfRule type="expression" dxfId="430" priority="82" stopIfTrue="1">
      <formula>OR(AND(ISNUMBER($C230),$C230=0),$C230=2,$C230=3,$C230=4)</formula>
    </cfRule>
  </conditionalFormatting>
  <conditionalFormatting sqref="AM230:AN238">
    <cfRule type="expression" dxfId="429" priority="83" stopIfTrue="1">
      <formula>TIPOORCAMENTO="PROPOSTO"</formula>
    </cfRule>
    <cfRule type="expression" dxfId="428" priority="84" stopIfTrue="1">
      <formula>$C230=1</formula>
    </cfRule>
    <cfRule type="expression" dxfId="427" priority="85" stopIfTrue="1">
      <formula>OR(AND(ISNUMBER($C230),$C230=0),$C230=2,$C230=3,$C230=4)</formula>
    </cfRule>
  </conditionalFormatting>
  <conditionalFormatting sqref="M239:M247">
    <cfRule type="cellIs" dxfId="426" priority="52" stopIfTrue="1" operator="notEqual">
      <formula>$N239</formula>
    </cfRule>
  </conditionalFormatting>
  <conditionalFormatting sqref="N239:O247 R239:R247 W239:X247">
    <cfRule type="expression" dxfId="425" priority="53" stopIfTrue="1">
      <formula>$C239=1</formula>
    </cfRule>
    <cfRule type="expression" dxfId="424" priority="54" stopIfTrue="1">
      <formula>OR($C239=0,$C239=2,$C239=3,$C239=4)</formula>
    </cfRule>
  </conditionalFormatting>
  <conditionalFormatting sqref="U239:V247">
    <cfRule type="expression" dxfId="423" priority="55" stopIfTrue="1">
      <formula>$C239=1</formula>
    </cfRule>
    <cfRule type="expression" dxfId="422" priority="56" stopIfTrue="1">
      <formula>OR($C239=0,$C239=2,$C239=3,$C239=4)</formula>
    </cfRule>
    <cfRule type="expression" dxfId="421" priority="57" stopIfTrue="1">
      <formula>AND(TIPOORCAMENTO="Licitado",$C239&lt;&gt;"L",$C239&lt;&gt;-1)</formula>
    </cfRule>
  </conditionalFormatting>
  <conditionalFormatting sqref="P239:Q247 S239:T247 Y239:Y247 AG239:AH247">
    <cfRule type="expression" dxfId="420" priority="58" stopIfTrue="1">
      <formula>$C239=1</formula>
    </cfRule>
    <cfRule type="expression" dxfId="419" priority="59" stopIfTrue="1">
      <formula>OR($C239=0,$C239=2,$C239=3,$C239=4)</formula>
    </cfRule>
  </conditionalFormatting>
  <conditionalFormatting sqref="AJ239:AJ247">
    <cfRule type="expression" dxfId="418" priority="60" stopIfTrue="1">
      <formula>OR(ACOMPANHAMENTO&lt;&gt;"BM",TIPOORCAMENTO="Licitado")</formula>
    </cfRule>
    <cfRule type="expression" dxfId="417" priority="61" stopIfTrue="1">
      <formula>$C239=1</formula>
    </cfRule>
    <cfRule type="expression" dxfId="416" priority="62" stopIfTrue="1">
      <formula>OR(AND(ISNUMBER($C239),$C239=0),$C239=2,$C239=3,$C239=4)</formula>
    </cfRule>
  </conditionalFormatting>
  <conditionalFormatting sqref="AL239:AL247">
    <cfRule type="expression" dxfId="415" priority="63" stopIfTrue="1">
      <formula>TIPOORCAMENTO="PROPOSTO"</formula>
    </cfRule>
    <cfRule type="expression" dxfId="414" priority="64" stopIfTrue="1">
      <formula>$C239=1</formula>
    </cfRule>
    <cfRule type="expression" dxfId="413" priority="65" stopIfTrue="1">
      <formula>OR(AND(ISNUMBER($C239),$C239=0),$C239=2,$C239=3,$C239=4)</formula>
    </cfRule>
  </conditionalFormatting>
  <conditionalFormatting sqref="AM239:AN247">
    <cfRule type="expression" dxfId="412" priority="66" stopIfTrue="1">
      <formula>TIPOORCAMENTO="PROPOSTO"</formula>
    </cfRule>
    <cfRule type="expression" dxfId="411" priority="67" stopIfTrue="1">
      <formula>$C239=1</formula>
    </cfRule>
    <cfRule type="expression" dxfId="410" priority="68" stopIfTrue="1">
      <formula>OR(AND(ISNUMBER($C239),$C239=0),$C239=2,$C239=3,$C239=4)</formula>
    </cfRule>
  </conditionalFormatting>
  <conditionalFormatting sqref="M248:M256">
    <cfRule type="cellIs" dxfId="409" priority="35" stopIfTrue="1" operator="notEqual">
      <formula>$N248</formula>
    </cfRule>
  </conditionalFormatting>
  <conditionalFormatting sqref="N248:O256 R248:R256 W248:X256">
    <cfRule type="expression" dxfId="408" priority="36" stopIfTrue="1">
      <formula>$C248=1</formula>
    </cfRule>
    <cfRule type="expression" dxfId="407" priority="37" stopIfTrue="1">
      <formula>OR($C248=0,$C248=2,$C248=3,$C248=4)</formula>
    </cfRule>
  </conditionalFormatting>
  <conditionalFormatting sqref="U248:V256">
    <cfRule type="expression" dxfId="406" priority="38" stopIfTrue="1">
      <formula>$C248=1</formula>
    </cfRule>
    <cfRule type="expression" dxfId="405" priority="39" stopIfTrue="1">
      <formula>OR($C248=0,$C248=2,$C248=3,$C248=4)</formula>
    </cfRule>
    <cfRule type="expression" dxfId="404" priority="40" stopIfTrue="1">
      <formula>AND(TIPOORCAMENTO="Licitado",$C248&lt;&gt;"L",$C248&lt;&gt;-1)</formula>
    </cfRule>
  </conditionalFormatting>
  <conditionalFormatting sqref="P248:Q256 S248:T256 Y248:Y256 AG248:AH256">
    <cfRule type="expression" dxfId="403" priority="41" stopIfTrue="1">
      <formula>$C248=1</formula>
    </cfRule>
    <cfRule type="expression" dxfId="402" priority="42" stopIfTrue="1">
      <formula>OR($C248=0,$C248=2,$C248=3,$C248=4)</formula>
    </cfRule>
  </conditionalFormatting>
  <conditionalFormatting sqref="AJ248:AJ256">
    <cfRule type="expression" dxfId="401" priority="43" stopIfTrue="1">
      <formula>OR(ACOMPANHAMENTO&lt;&gt;"BM",TIPOORCAMENTO="Licitado")</formula>
    </cfRule>
    <cfRule type="expression" dxfId="400" priority="44" stopIfTrue="1">
      <formula>$C248=1</formula>
    </cfRule>
    <cfRule type="expression" dxfId="399" priority="45" stopIfTrue="1">
      <formula>OR(AND(ISNUMBER($C248),$C248=0),$C248=2,$C248=3,$C248=4)</formula>
    </cfRule>
  </conditionalFormatting>
  <conditionalFormatting sqref="AL248:AL256">
    <cfRule type="expression" dxfId="398" priority="46" stopIfTrue="1">
      <formula>TIPOORCAMENTO="PROPOSTO"</formula>
    </cfRule>
    <cfRule type="expression" dxfId="397" priority="47" stopIfTrue="1">
      <formula>$C248=1</formula>
    </cfRule>
    <cfRule type="expression" dxfId="396" priority="48" stopIfTrue="1">
      <formula>OR(AND(ISNUMBER($C248),$C248=0),$C248=2,$C248=3,$C248=4)</formula>
    </cfRule>
  </conditionalFormatting>
  <conditionalFormatting sqref="AM248:AN256">
    <cfRule type="expression" dxfId="395" priority="49" stopIfTrue="1">
      <formula>TIPOORCAMENTO="PROPOSTO"</formula>
    </cfRule>
    <cfRule type="expression" dxfId="394" priority="50" stopIfTrue="1">
      <formula>$C248=1</formula>
    </cfRule>
    <cfRule type="expression" dxfId="393" priority="51" stopIfTrue="1">
      <formula>OR(AND(ISNUMBER($C248),$C248=0),$C248=2,$C248=3,$C248=4)</formula>
    </cfRule>
  </conditionalFormatting>
  <conditionalFormatting sqref="M257:M263">
    <cfRule type="cellIs" dxfId="392" priority="18" stopIfTrue="1" operator="notEqual">
      <formula>$N257</formula>
    </cfRule>
  </conditionalFormatting>
  <conditionalFormatting sqref="N257:O263 R257:R263 W257:X263">
    <cfRule type="expression" dxfId="391" priority="19" stopIfTrue="1">
      <formula>$C257=1</formula>
    </cfRule>
    <cfRule type="expression" dxfId="390" priority="20" stopIfTrue="1">
      <formula>OR($C257=0,$C257=2,$C257=3,$C257=4)</formula>
    </cfRule>
  </conditionalFormatting>
  <conditionalFormatting sqref="U257:V263">
    <cfRule type="expression" dxfId="389" priority="21" stopIfTrue="1">
      <formula>$C257=1</formula>
    </cfRule>
    <cfRule type="expression" dxfId="388" priority="22" stopIfTrue="1">
      <formula>OR($C257=0,$C257=2,$C257=3,$C257=4)</formula>
    </cfRule>
    <cfRule type="expression" dxfId="387" priority="23" stopIfTrue="1">
      <formula>AND(TIPOORCAMENTO="Licitado",$C257&lt;&gt;"L",$C257&lt;&gt;-1)</formula>
    </cfRule>
  </conditionalFormatting>
  <conditionalFormatting sqref="P257:Q263 S257:T263 Y257:Y263 AG257:AH263">
    <cfRule type="expression" dxfId="386" priority="24" stopIfTrue="1">
      <formula>$C257=1</formula>
    </cfRule>
    <cfRule type="expression" dxfId="385" priority="25" stopIfTrue="1">
      <formula>OR($C257=0,$C257=2,$C257=3,$C257=4)</formula>
    </cfRule>
  </conditionalFormatting>
  <conditionalFormatting sqref="AJ257:AJ263">
    <cfRule type="expression" dxfId="384" priority="26" stopIfTrue="1">
      <formula>OR(ACOMPANHAMENTO&lt;&gt;"BM",TIPOORCAMENTO="Licitado")</formula>
    </cfRule>
    <cfRule type="expression" dxfId="383" priority="27" stopIfTrue="1">
      <formula>$C257=1</formula>
    </cfRule>
    <cfRule type="expression" dxfId="382" priority="28" stopIfTrue="1">
      <formula>OR(AND(ISNUMBER($C257),$C257=0),$C257=2,$C257=3,$C257=4)</formula>
    </cfRule>
  </conditionalFormatting>
  <conditionalFormatting sqref="AL257:AL263">
    <cfRule type="expression" dxfId="381" priority="29" stopIfTrue="1">
      <formula>TIPOORCAMENTO="PROPOSTO"</formula>
    </cfRule>
    <cfRule type="expression" dxfId="380" priority="30" stopIfTrue="1">
      <formula>$C257=1</formula>
    </cfRule>
    <cfRule type="expression" dxfId="379" priority="31" stopIfTrue="1">
      <formula>OR(AND(ISNUMBER($C257),$C257=0),$C257=2,$C257=3,$C257=4)</formula>
    </cfRule>
  </conditionalFormatting>
  <conditionalFormatting sqref="AM257:AN263">
    <cfRule type="expression" dxfId="378" priority="32" stopIfTrue="1">
      <formula>TIPOORCAMENTO="PROPOSTO"</formula>
    </cfRule>
    <cfRule type="expression" dxfId="377" priority="33" stopIfTrue="1">
      <formula>$C257=1</formula>
    </cfRule>
    <cfRule type="expression" dxfId="376" priority="34" stopIfTrue="1">
      <formula>OR(AND(ISNUMBER($C257),$C257=0),$C257=2,$C257=3,$C257=4)</formula>
    </cfRule>
  </conditionalFormatting>
  <conditionalFormatting sqref="M22:M27">
    <cfRule type="cellIs" dxfId="375" priority="17" stopIfTrue="1" operator="notEqual">
      <formula>$N22</formula>
    </cfRule>
  </conditionalFormatting>
  <conditionalFormatting sqref="N22:O27 R22:R27 W22:X27">
    <cfRule type="expression" dxfId="374" priority="15" stopIfTrue="1">
      <formula>$C22=1</formula>
    </cfRule>
    <cfRule type="expression" dxfId="373" priority="16" stopIfTrue="1">
      <formula>OR($C22=0,$C22=2,$C22=3,$C22=4)</formula>
    </cfRule>
  </conditionalFormatting>
  <conditionalFormatting sqref="U22:V27">
    <cfRule type="expression" dxfId="372" priority="12" stopIfTrue="1">
      <formula>$C22=1</formula>
    </cfRule>
    <cfRule type="expression" dxfId="371" priority="13" stopIfTrue="1">
      <formula>OR($C22=0,$C22=2,$C22=3,$C22=4)</formula>
    </cfRule>
    <cfRule type="expression" dxfId="370" priority="14" stopIfTrue="1">
      <formula>AND(TIPOORCAMENTO="Licitado",$C22&lt;&gt;"L",$C22&lt;&gt;-1)</formula>
    </cfRule>
  </conditionalFormatting>
  <conditionalFormatting sqref="P22:Q27 S22:T27 Y22:Y27 AG22:AH27">
    <cfRule type="expression" dxfId="369" priority="10" stopIfTrue="1">
      <formula>$C22=1</formula>
    </cfRule>
    <cfRule type="expression" dxfId="368" priority="11" stopIfTrue="1">
      <formula>OR($C22=0,$C22=2,$C22=3,$C22=4)</formula>
    </cfRule>
  </conditionalFormatting>
  <conditionalFormatting sqref="AJ22:AJ27">
    <cfRule type="expression" dxfId="367" priority="7" stopIfTrue="1">
      <formula>OR(ACOMPANHAMENTO&lt;&gt;"BM",TIPOORCAMENTO="Licitado")</formula>
    </cfRule>
    <cfRule type="expression" dxfId="366" priority="8" stopIfTrue="1">
      <formula>$C22=1</formula>
    </cfRule>
    <cfRule type="expression" dxfId="365" priority="9" stopIfTrue="1">
      <formula>OR(AND(ISNUMBER($C22),$C22=0),$C22=2,$C22=3,$C22=4)</formula>
    </cfRule>
  </conditionalFormatting>
  <conditionalFormatting sqref="AL22:AL27">
    <cfRule type="expression" dxfId="364" priority="4" stopIfTrue="1">
      <formula>TIPOORCAMENTO="PROPOSTO"</formula>
    </cfRule>
    <cfRule type="expression" dxfId="363" priority="5" stopIfTrue="1">
      <formula>$C22=1</formula>
    </cfRule>
    <cfRule type="expression" dxfId="362" priority="6" stopIfTrue="1">
      <formula>OR(AND(ISNUMBER($C22),$C22=0),$C22=2,$C22=3,$C22=4)</formula>
    </cfRule>
  </conditionalFormatting>
  <conditionalFormatting sqref="AM22:AN27">
    <cfRule type="expression" dxfId="361" priority="1" stopIfTrue="1">
      <formula>TIPOORCAMENTO="PROPOSTO"</formula>
    </cfRule>
    <cfRule type="expression" dxfId="360" priority="2" stopIfTrue="1">
      <formula>$C22=1</formula>
    </cfRule>
    <cfRule type="expression" dxfId="359" priority="3" stopIfTrue="1">
      <formula>OR(AND(ISNUMBER($C22),$C22=0),$C22=2,$C22=3,$C22=4)</formula>
    </cfRule>
  </conditionalFormatting>
  <dataValidations count="7">
    <dataValidation type="decimal" operator="greaterThan" allowBlank="1" showErrorMessage="1" error="Apenas números decimais maiores que zero." sqref="U14 U16:U263 AL16:AL263 AJ16:AJ263 AJ14 AL14">
      <formula1>0</formula1>
      <formula2>0</formula2>
    </dataValidation>
    <dataValidation type="list" allowBlank="1" sqref="P14 P16:P263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&#10;&#10;Caso tenha mais de 3 BDI nesta Planilha Orçamentária digite apenas valor percentual." promptTitle="Legenda:" prompt="RA: Rateio proporcional entre Repasse e Contrapartida.&#10;RP: 100% Repasse&#10;CP: 100% Contrapartida&#10;OU: 100% Outros." sqref="Y14 Y16:Y263">
      <formula1>"RA,RP,CP,OU"</formula1>
      <formula2>0</formula2>
    </dataValidation>
    <dataValidation type="list" errorStyle="warning" allowBlank="1" showErrorMessage="1" errorTitle="Aviso BDI" error="Selecione um dos 3 BDI da lista.&#10;&#10;Caso tenha mais de 3 BDI nesta Planilha Orçamentária digite apenas valor percentual." sqref="V14 V16:V263">
      <formula1>"BDI 1,BDI 2,BDI 3,0,00%"</formula1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263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263"/>
    <dataValidation allowBlank="1" showInputMessage="1" showErrorMessage="1" prompt="Para Orçamento Proposto, o Preço Unitário é resultado do produto do Custo Unitário pelo BDI.&#10;Para Orçamento Licitado, deve ser preenchido na Coluna AL." sqref="W14 W16:W263"/>
  </dataValidations>
  <pageMargins left="0.78740157480314998" right="0.78740157480314998" top="0.78740157480314998" bottom="0.78740157480314998" header="0.59055118110236204" footer="0.59055118110236204"/>
  <pageSetup paperSize="9" scale="67" firstPageNumber="0" fitToHeight="0" orientation="landscape" r:id="rId1"/>
  <headerFooter alignWithMargins="0">
    <oddHeader>&amp;C&amp;14I</oddHeader>
    <oddFooter>&amp;LPMv3.0.6&amp;R&amp;P / &amp;N</oddFooter>
  </headerFooter>
  <colBreaks count="1" manualBreakCount="1">
    <brk id="25" max="1048575" man="1"/>
  </col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sheetPr codeName="Plan6"/>
  <dimension ref="A1:BG65532"/>
  <sheetViews>
    <sheetView showGridLines="0" zoomScale="80" zoomScaleNormal="80" zoomScaleSheetLayoutView="90" workbookViewId="0">
      <pane xSplit="8" ySplit="15" topLeftCell="I16" activePane="bottomRight" state="frozen"/>
      <selection activeCell="C1" sqref="C1"/>
      <selection pane="topRight" activeCell="I1" sqref="I1"/>
      <selection pane="bottomLeft" activeCell="C16" sqref="C16"/>
      <selection pane="bottomRight" activeCell="S26" sqref="S26"/>
    </sheetView>
  </sheetViews>
  <sheetFormatPr defaultRowHeight="0" customHeight="1" zeroHeight="1"/>
  <cols>
    <col min="1" max="2" width="0" style="9" hidden="1" customWidth="1"/>
    <col min="3" max="3" width="3.6640625" style="9" customWidth="1"/>
    <col min="4" max="4" width="8.6640625" customWidth="1"/>
    <col min="5" max="5" width="12.6640625" customWidth="1"/>
    <col min="6" max="6" width="65.6640625" customWidth="1"/>
    <col min="7" max="7" width="10.6640625" customWidth="1"/>
    <col min="8" max="8" width="14.6640625" customWidth="1"/>
    <col min="9" max="9" width="29.6640625" customWidth="1"/>
    <col min="10" max="10" width="1.6640625" customWidth="1"/>
    <col min="11" max="11" width="4.6640625" customWidth="1"/>
    <col min="12" max="12" width="0.88671875" customWidth="1"/>
    <col min="13" max="13" width="9.109375" style="9" hidden="1" customWidth="1"/>
    <col min="14" max="14" width="31.6640625" customWidth="1"/>
    <col min="15" max="15" width="0" hidden="1" customWidth="1"/>
    <col min="16" max="16" width="1.6640625" customWidth="1"/>
    <col min="17" max="26" width="11.6640625" customWidth="1"/>
    <col min="27" max="27" width="0.109375" customWidth="1"/>
    <col min="28" max="59" width="9.109375" customWidth="1"/>
    <col min="60" max="60" width="1.6640625" customWidth="1"/>
  </cols>
  <sheetData>
    <row r="1" spans="1:59" ht="15.75" customHeight="1">
      <c r="F1" s="718" t="str">
        <f>IF(ACOMPANHAMENTO="BM","MEMÓRIA DE CÁLCULO","PLQ - PLANILHA DE LEVANTAMENTO DE QUANTIDADES")</f>
        <v>PLQ - PLANILHA DE LEVANTAMENTO DE QUANTIDADES</v>
      </c>
      <c r="G1" s="718"/>
      <c r="H1" s="718"/>
      <c r="I1" s="175"/>
      <c r="K1" s="175"/>
      <c r="L1" s="175"/>
      <c r="M1" s="176"/>
      <c r="N1" s="175"/>
      <c r="P1" s="175"/>
      <c r="Q1" s="675" t="s">
        <v>140</v>
      </c>
      <c r="R1" s="675"/>
      <c r="Y1" s="675" t="s">
        <v>140</v>
      </c>
      <c r="Z1" s="675"/>
    </row>
    <row r="2" spans="1:59" ht="15" customHeight="1">
      <c r="F2" s="719" t="str">
        <f>IF(ACOMPANHAMENTO="BM","","Memória de Cálculo")&amp;" - "&amp;import.recurso</f>
        <v>Memória de Cálculo - OGU</v>
      </c>
      <c r="G2" s="719"/>
      <c r="H2" s="719"/>
      <c r="I2" s="177"/>
      <c r="K2" s="177"/>
      <c r="L2" s="177"/>
      <c r="M2" s="178"/>
      <c r="N2" s="177"/>
      <c r="P2" s="177"/>
      <c r="Q2" s="676" t="s">
        <v>143</v>
      </c>
      <c r="R2" s="676"/>
      <c r="Y2" s="676" t="s">
        <v>143</v>
      </c>
      <c r="Z2" s="676"/>
    </row>
    <row r="3" spans="1:59" ht="12.75" customHeight="1">
      <c r="AB3" t="e">
        <f ca="1">ROUND(ROUND(OFFSET(#REF!,0,AB$13),15-13*ORÇAMENTO!$AF$7)*OFFSET(ORÇAMENTO!$W$15,ROW(#REF!)-ROW(AB$15),0),15-13*ORÇAMENTO!$AF$11)</f>
        <v>#REF!</v>
      </c>
      <c r="AC3" t="e">
        <f ca="1">ROUND(ROUND(OFFSET(#REF!,0,AC$13),15-13*ORÇAMENTO!$AF$7)*OFFSET(ORÇAMENTO!$W$15,ROW(#REF!)-ROW(AC$15),0),15-13*ORÇAMENTO!$AF$11)</f>
        <v>#REF!</v>
      </c>
      <c r="AD3" t="e">
        <f ca="1">ROUND(ROUND(OFFSET(#REF!,0,AD$13),15-13*ORÇAMENTO!$AF$7)*OFFSET(ORÇAMENTO!$W$15,ROW(#REF!)-ROW(AD$15),0),15-13*ORÇAMENTO!$AF$11)</f>
        <v>#REF!</v>
      </c>
      <c r="AE3" s="659" t="e">
        <f ca="1">SUM(AB3:AD3)-SUM(#REF!)</f>
        <v>#REF!</v>
      </c>
    </row>
    <row r="4" spans="1:59" ht="12.75" customHeight="1">
      <c r="E4" s="677" t="s">
        <v>202</v>
      </c>
      <c r="F4" s="677"/>
      <c r="G4" s="677" t="s">
        <v>443</v>
      </c>
      <c r="H4" s="677"/>
      <c r="I4" s="107" t="s">
        <v>146</v>
      </c>
      <c r="K4" s="179" t="s">
        <v>147</v>
      </c>
      <c r="L4" s="180"/>
      <c r="M4" s="180"/>
      <c r="N4" s="180"/>
      <c r="O4" s="180"/>
      <c r="P4" s="180"/>
      <c r="Q4" s="180"/>
      <c r="R4" s="181"/>
      <c r="S4" s="677" t="s">
        <v>146</v>
      </c>
      <c r="T4" s="677"/>
      <c r="U4" s="677" t="s">
        <v>147</v>
      </c>
      <c r="V4" s="677"/>
      <c r="W4" s="677"/>
      <c r="X4" s="677"/>
      <c r="Y4" s="677"/>
      <c r="Z4" s="677"/>
    </row>
    <row r="5" spans="1:59" ht="12.75" customHeight="1">
      <c r="E5" s="674" t="str">
        <f>Import.Apelido</f>
        <v>RECAPE FEDERAL</v>
      </c>
      <c r="F5" s="674"/>
      <c r="G5" s="674" t="str" cm="1">
        <f t="array" ref="G5">Import.TransfereGOV</f>
        <v>953208-2023</v>
      </c>
      <c r="H5" s="674"/>
      <c r="I5" s="113">
        <f>Import.CR</f>
        <v>0</v>
      </c>
      <c r="K5" s="182" t="str">
        <f>Import.Proponente</f>
        <v>PREFEITURA MUNICIPAL DE PONTAL</v>
      </c>
      <c r="L5" s="183"/>
      <c r="M5" s="125"/>
      <c r="N5" s="183"/>
      <c r="O5" s="183"/>
      <c r="P5" s="183"/>
      <c r="Q5" s="183"/>
      <c r="R5" s="114"/>
      <c r="S5" s="674">
        <f>Import.CR</f>
        <v>0</v>
      </c>
      <c r="T5" s="674"/>
      <c r="U5" s="674" t="str">
        <f>Import.Proponente</f>
        <v>PREFEITURA MUNICIPAL DE PONTAL</v>
      </c>
      <c r="V5" s="674"/>
      <c r="W5" s="674"/>
      <c r="X5" s="674"/>
      <c r="Y5" s="674"/>
      <c r="Z5" s="674"/>
    </row>
    <row r="6" spans="1:59" ht="12.75" customHeight="1">
      <c r="T6" s="659" t="e">
        <f ca="1">AE3</f>
        <v>#REF!</v>
      </c>
      <c r="AB6" t="s">
        <v>251</v>
      </c>
      <c r="AM6" t="s">
        <v>252</v>
      </c>
      <c r="AX6" t="s">
        <v>253</v>
      </c>
    </row>
    <row r="7" spans="1:59" ht="12.75" hidden="1" customHeight="1"/>
    <row r="8" spans="1:59" ht="12.75" hidden="1" customHeight="1"/>
    <row r="9" spans="1:59" ht="12.75" hidden="1" customHeight="1"/>
    <row r="10" spans="1:59" ht="12.75" hidden="1" customHeight="1"/>
    <row r="11" spans="1:59" ht="12.75" hidden="1" customHeight="1"/>
    <row r="12" spans="1:59" ht="69.900000000000006" customHeight="1">
      <c r="A12" s="184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2</v>
      </c>
      <c r="B12" s="9" t="s">
        <v>254</v>
      </c>
      <c r="H12" s="185"/>
      <c r="I12" s="186"/>
      <c r="J12" s="187" t="s">
        <v>255</v>
      </c>
      <c r="K12" s="188" t="s">
        <v>256</v>
      </c>
      <c r="L12" s="187" t="s">
        <v>255</v>
      </c>
      <c r="M12" s="189">
        <f ca="1">IF(ACOMPANHAMENTO="BM",0,COUNTIF(M15:M264,0))</f>
        <v>0</v>
      </c>
      <c r="N12" s="186" t="s">
        <v>257</v>
      </c>
      <c r="O12" s="190"/>
      <c r="P12" s="187" t="s">
        <v>255</v>
      </c>
      <c r="Q12" s="625" t="s">
        <v>459</v>
      </c>
      <c r="R12" s="190" t="s">
        <v>460</v>
      </c>
      <c r="S12" s="190" t="s">
        <v>461</v>
      </c>
      <c r="T12" s="190" t="s">
        <v>478</v>
      </c>
      <c r="U12" s="190"/>
      <c r="V12" s="190"/>
      <c r="W12" s="190"/>
      <c r="X12" s="190"/>
      <c r="Y12" s="190"/>
      <c r="Z12" s="191"/>
      <c r="AA12" s="187" t="s">
        <v>255</v>
      </c>
      <c r="AB12" s="192" t="str">
        <f ca="1">OFFSET($P$12,0,AB$13)</f>
        <v>SETOR 1</v>
      </c>
      <c r="AC12" s="193" t="str">
        <f t="shared" ref="AC12:AK12" ca="1" si="0">OFFSET($P$12,0,AC$13)</f>
        <v>SETOR 2</v>
      </c>
      <c r="AD12" s="193" t="str">
        <f t="shared" ca="1" si="0"/>
        <v>SETOR 3</v>
      </c>
      <c r="AE12" s="193" t="str">
        <f t="shared" ca="1" si="0"/>
        <v>SETOR 4</v>
      </c>
      <c r="AF12" s="193">
        <f t="shared" ca="1" si="0"/>
        <v>0</v>
      </c>
      <c r="AG12" s="193">
        <f t="shared" ca="1" si="0"/>
        <v>0</v>
      </c>
      <c r="AH12" s="193">
        <f t="shared" ca="1" si="0"/>
        <v>0</v>
      </c>
      <c r="AI12" s="193">
        <f t="shared" ca="1" si="0"/>
        <v>0</v>
      </c>
      <c r="AJ12" s="193">
        <f t="shared" ca="1" si="0"/>
        <v>0</v>
      </c>
      <c r="AK12" s="194">
        <f t="shared" ca="1" si="0"/>
        <v>0</v>
      </c>
      <c r="AM12" s="192" t="str">
        <f ca="1">OFFSET($P$12,0,AM$13)</f>
        <v>SETOR 1</v>
      </c>
      <c r="AN12" s="193" t="str">
        <f t="shared" ref="AN12:AV12" ca="1" si="1">OFFSET($P$12,0,AN$13)</f>
        <v>SETOR 2</v>
      </c>
      <c r="AO12" s="193" t="str">
        <f t="shared" ca="1" si="1"/>
        <v>SETOR 3</v>
      </c>
      <c r="AP12" s="193" t="str">
        <f t="shared" ca="1" si="1"/>
        <v>SETOR 4</v>
      </c>
      <c r="AQ12" s="193">
        <f t="shared" ca="1" si="1"/>
        <v>0</v>
      </c>
      <c r="AR12" s="193">
        <f t="shared" ca="1" si="1"/>
        <v>0</v>
      </c>
      <c r="AS12" s="193">
        <f t="shared" ca="1" si="1"/>
        <v>0</v>
      </c>
      <c r="AT12" s="193">
        <f t="shared" ca="1" si="1"/>
        <v>0</v>
      </c>
      <c r="AU12" s="193">
        <f t="shared" ca="1" si="1"/>
        <v>0</v>
      </c>
      <c r="AV12" s="194">
        <f t="shared" ca="1" si="1"/>
        <v>0</v>
      </c>
      <c r="AX12" s="192" t="str">
        <f ca="1">OFFSET($P$12,0,AX$13)</f>
        <v>SETOR 1</v>
      </c>
      <c r="AY12" s="193" t="str">
        <f t="shared" ref="AY12:BG12" ca="1" si="2">OFFSET($P$12,0,AY$13)</f>
        <v>SETOR 2</v>
      </c>
      <c r="AZ12" s="193" t="str">
        <f t="shared" ca="1" si="2"/>
        <v>SETOR 3</v>
      </c>
      <c r="BA12" s="193" t="str">
        <f t="shared" ca="1" si="2"/>
        <v>SETOR 4</v>
      </c>
      <c r="BB12" s="193">
        <f t="shared" ca="1" si="2"/>
        <v>0</v>
      </c>
      <c r="BC12" s="193">
        <f t="shared" ca="1" si="2"/>
        <v>0</v>
      </c>
      <c r="BD12" s="193">
        <f t="shared" ca="1" si="2"/>
        <v>0</v>
      </c>
      <c r="BE12" s="193">
        <f t="shared" ca="1" si="2"/>
        <v>0</v>
      </c>
      <c r="BF12" s="193">
        <f t="shared" ca="1" si="2"/>
        <v>0</v>
      </c>
      <c r="BG12" s="194">
        <f t="shared" ca="1" si="2"/>
        <v>0</v>
      </c>
    </row>
    <row r="13" spans="1:59" ht="12.75" customHeight="1">
      <c r="A13" s="195" t="s">
        <v>258</v>
      </c>
      <c r="B13" s="9" t="s">
        <v>254</v>
      </c>
      <c r="D13" s="132" t="s">
        <v>229</v>
      </c>
      <c r="E13" s="132" t="s">
        <v>231</v>
      </c>
      <c r="F13" s="132" t="s">
        <v>234</v>
      </c>
      <c r="G13" s="134" t="s">
        <v>235</v>
      </c>
      <c r="H13" s="132" t="s">
        <v>203</v>
      </c>
      <c r="I13" s="132" t="s">
        <v>259</v>
      </c>
      <c r="K13" s="132" t="s">
        <v>260</v>
      </c>
      <c r="L13" s="187"/>
      <c r="M13" s="132" t="s">
        <v>261</v>
      </c>
      <c r="N13" s="132" t="s">
        <v>262</v>
      </c>
      <c r="O13" s="196" t="e">
        <f ca="1">OFFSET(O13,0,-1)+1</f>
        <v>#VALUE!</v>
      </c>
      <c r="Q13" s="197">
        <f t="shared" ref="Q13:Z13" ca="1" si="3">OFFSET(Q13,0,-1)+1</f>
        <v>1</v>
      </c>
      <c r="R13" s="196">
        <f t="shared" ca="1" si="3"/>
        <v>2</v>
      </c>
      <c r="S13" s="196">
        <f t="shared" ca="1" si="3"/>
        <v>3</v>
      </c>
      <c r="T13" s="196">
        <f t="shared" ca="1" si="3"/>
        <v>4</v>
      </c>
      <c r="U13" s="196">
        <f t="shared" ca="1" si="3"/>
        <v>5</v>
      </c>
      <c r="V13" s="196">
        <f t="shared" ca="1" si="3"/>
        <v>6</v>
      </c>
      <c r="W13" s="196">
        <f t="shared" ca="1" si="3"/>
        <v>7</v>
      </c>
      <c r="X13" s="196">
        <f t="shared" ca="1" si="3"/>
        <v>8</v>
      </c>
      <c r="Y13" s="196">
        <f t="shared" ca="1" si="3"/>
        <v>9</v>
      </c>
      <c r="Z13" s="198">
        <f t="shared" ca="1" si="3"/>
        <v>10</v>
      </c>
      <c r="AB13" s="138">
        <f t="shared" ref="AB13:BG13" ca="1" si="4">OFFSET(AB13,0,-1)+1</f>
        <v>1</v>
      </c>
      <c r="AC13" s="199">
        <f t="shared" ca="1" si="4"/>
        <v>2</v>
      </c>
      <c r="AD13" s="199">
        <f t="shared" ca="1" si="4"/>
        <v>3</v>
      </c>
      <c r="AE13" s="199">
        <f t="shared" ca="1" si="4"/>
        <v>4</v>
      </c>
      <c r="AF13" s="199">
        <f t="shared" ca="1" si="4"/>
        <v>5</v>
      </c>
      <c r="AG13" s="199">
        <f t="shared" ca="1" si="4"/>
        <v>6</v>
      </c>
      <c r="AH13" s="199">
        <f t="shared" ca="1" si="4"/>
        <v>7</v>
      </c>
      <c r="AI13" s="199">
        <f t="shared" ca="1" si="4"/>
        <v>8</v>
      </c>
      <c r="AJ13" s="199">
        <f t="shared" ca="1" si="4"/>
        <v>9</v>
      </c>
      <c r="AK13" s="200">
        <f t="shared" ca="1" si="4"/>
        <v>10</v>
      </c>
      <c r="AM13" s="138">
        <f t="shared" ca="1" si="4"/>
        <v>1</v>
      </c>
      <c r="AN13" s="199">
        <f t="shared" ca="1" si="4"/>
        <v>2</v>
      </c>
      <c r="AO13" s="199">
        <f t="shared" ca="1" si="4"/>
        <v>3</v>
      </c>
      <c r="AP13" s="199">
        <f t="shared" ca="1" si="4"/>
        <v>4</v>
      </c>
      <c r="AQ13" s="199">
        <f t="shared" ca="1" si="4"/>
        <v>5</v>
      </c>
      <c r="AR13" s="199">
        <f t="shared" ca="1" si="4"/>
        <v>6</v>
      </c>
      <c r="AS13" s="199">
        <f t="shared" ca="1" si="4"/>
        <v>7</v>
      </c>
      <c r="AT13" s="199">
        <f t="shared" ca="1" si="4"/>
        <v>8</v>
      </c>
      <c r="AU13" s="199">
        <f t="shared" ca="1" si="4"/>
        <v>9</v>
      </c>
      <c r="AV13" s="200">
        <f t="shared" ca="1" si="4"/>
        <v>10</v>
      </c>
      <c r="AX13" s="138">
        <f t="shared" ca="1" si="4"/>
        <v>1</v>
      </c>
      <c r="AY13" s="199">
        <f t="shared" ca="1" si="4"/>
        <v>2</v>
      </c>
      <c r="AZ13" s="199">
        <f t="shared" ca="1" si="4"/>
        <v>3</v>
      </c>
      <c r="BA13" s="199">
        <f t="shared" ca="1" si="4"/>
        <v>4</v>
      </c>
      <c r="BB13" s="199">
        <f t="shared" ca="1" si="4"/>
        <v>5</v>
      </c>
      <c r="BC13" s="199">
        <f t="shared" ca="1" si="4"/>
        <v>6</v>
      </c>
      <c r="BD13" s="199">
        <f t="shared" ca="1" si="4"/>
        <v>7</v>
      </c>
      <c r="BE13" s="199">
        <f t="shared" ca="1" si="4"/>
        <v>8</v>
      </c>
      <c r="BF13" s="199">
        <f t="shared" ca="1" si="4"/>
        <v>9</v>
      </c>
      <c r="BG13" s="200">
        <f t="shared" ca="1" si="4"/>
        <v>10</v>
      </c>
    </row>
    <row r="14" spans="1:59" ht="13.2" hidden="1">
      <c r="A14" s="9" t="str">
        <f ca="1">IF(AUTOEVENTO="Manual",IF(K14&lt;&gt;"",MIN(VALUE(LEFT(K14,FIND(".",K14)-1)),COUNTA(EVENTOS.Lista)),0),IF(OR($B14&gt;AUTOEVENTO,$B14="S",$B14=0),SUBSTITUTE(OFFSET($A14,-1,0),IF($D14="Serviço",".",""),""),ROW(A14)-ROW($A$15)&amp;"."))</f>
        <v>AUTOEVENTO</v>
      </c>
      <c r="B14" s="9" t="str">
        <f ca="1">OFFSET(ORÇAMENTO!C$15,ROW(B14)-ROW(B$15),0)</f>
        <v>S</v>
      </c>
      <c r="C14" s="9" t="str">
        <f ca="1">OFFSET(ORÇAMENTO!L$15,ROW(C14)-ROW(C$15),0)</f>
        <v/>
      </c>
      <c r="D14" s="141" t="str">
        <f ca="1">OFFSET(ORÇAMENTO!N$15,ROW(D14)-ROW(D$15),0)</f>
        <v>Serviço</v>
      </c>
      <c r="E14" s="201" t="str">
        <f ca="1">OFFSET(ORÇAMENTO!O$15,ROW(E14)-ROW(E$15),0)</f>
        <v>-</v>
      </c>
      <c r="F14" s="202" t="str">
        <f ca="1">OFFSET(ORÇAMENTO!R$15,ROW(F14)-ROW(F$15),0)</f>
        <v>(abra o arquivo 'Referência 11-2024.xlsm)</v>
      </c>
      <c r="G14" s="203" t="str">
        <f ca="1">IF($D14&lt;&gt;"Serviço","",OFFSET(ORÇAMENTO!S$15,ROW(G14)-ROW(G$15),0))</f>
        <v>-</v>
      </c>
      <c r="H14" s="147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645"/>
      <c r="K14" s="204"/>
      <c r="L14" s="205" t="s">
        <v>255</v>
      </c>
      <c r="M14" s="206" t="str">
        <f ca="1">IF($D14&lt;&gt;"Serviço","",IF(AUTOEVENTO="manual",$A14,IF(ISERROR(MATCH($A14,$A$15:OFFSET($A14,-1,0),0)),MAX($M$15:OFFSET(M14,-1,0))+1,INDEX($M$15:OFFSET(M14,-1,0),MATCH($A14,$A$15:OFFSET($A14,-1,0),0)))))</f>
        <v># Evento</v>
      </c>
      <c r="N14" s="207" t="e">
        <f ca="1">IF($D14&lt;&gt;"Serviço","",IF(AUTOEVENTO="Manual",IF($A14=0,"&lt;-- defina o número do agrupador",OFFSET(EVENTOS!$D$14,$A14,0)),OFFSET($F$15,$A14,0)))</f>
        <v>#VALUE!</v>
      </c>
      <c r="O14" s="208"/>
      <c r="Q14" s="208"/>
      <c r="R14" s="209"/>
      <c r="S14" s="209"/>
      <c r="T14" s="209"/>
      <c r="U14" s="209"/>
      <c r="V14" s="209"/>
      <c r="W14" s="209"/>
      <c r="X14" s="209"/>
      <c r="Y14" s="209"/>
      <c r="Z14" s="210"/>
      <c r="AB14" s="626">
        <f ca="1">IF(AND($D14="Serviço",AB$12&lt;&gt;0,$H14&gt;0,OR(AUTOEVENTO&lt;&gt;"manual",$M14&lt;&gt;1)),
IF(Import.TipoArredondamento&lt;&gt;"TransfereGOV",
ROUND(OFFSET($P14,0,AB$13),15-13*ORÇAMENTO!$AF$7)/$H14*OFFSET(ORÇAMENTO!$X$15,ROW(AB14)-ROW(AB$15),0),
ROUND(ROUND(OFFSET($P14,0,AB$13),15-13*ORÇAMENTO!$AF$7)*OFFSET(ORÇAMENTO!$W$15,ROW(AB14)-ROW(AB$15),0),15-13*ORÇAMENTO!$AF$11)),0)</f>
        <v>0</v>
      </c>
      <c r="AC14" s="627">
        <f ca="1">IF(AND($D14="Serviço",AC$12&lt;&gt;0,$H14&gt;0,OR(AUTOEVENTO&lt;&gt;"manual",$M14&lt;&gt;1)),
IF(Import.TipoArredondamento&lt;&gt;"TransfereGOV",
ROUND(OFFSET($P14,0,AC$13),15-13*ORÇAMENTO!$AF$7)/$H14*OFFSET(ORÇAMENTO!$X$15,ROW(AC14)-ROW(AC$15),0),
ROUND(ROUND(OFFSET($P14,0,AC$13),15-13*ORÇAMENTO!$AF$7)*OFFSET(ORÇAMENTO!$W$15,ROW(AC14)-ROW(AC$15),0),15-13*ORÇAMENTO!$AF$11)),0)</f>
        <v>0</v>
      </c>
      <c r="AD14" s="627">
        <f ca="1">IF(AND($D14="Serviço",AD$12&lt;&gt;0,$H14&gt;0,OR(AUTOEVENTO&lt;&gt;"manual",$M14&lt;&gt;1)),
IF(Import.TipoArredondamento&lt;&gt;"TransfereGOV",
ROUND(OFFSET($P14,0,AD$13),15-13*ORÇAMENTO!$AF$7)/$H14*OFFSET(ORÇAMENTO!$X$15,ROW(AD14)-ROW(AD$15),0),
ROUND(ROUND(OFFSET($P14,0,AD$13),15-13*ORÇAMENTO!$AF$7)*OFFSET(ORÇAMENTO!$W$15,ROW(AD14)-ROW(AD$15),0),15-13*ORÇAMENTO!$AF$11)),0)</f>
        <v>0</v>
      </c>
      <c r="AE14" s="627">
        <f ca="1">IF(AND($D14="Serviço",AE$12&lt;&gt;0,$H14&gt;0,OR(AUTOEVENTO&lt;&gt;"manual",$M14&lt;&gt;1)),
IF(Import.TipoArredondamento&lt;&gt;"TransfereGOV",
ROUND(OFFSET($P14,0,AE$13),15-13*ORÇAMENTO!$AF$7)/$H14*OFFSET(ORÇAMENTO!$X$15,ROW(AE14)-ROW(AE$15),0),
ROUND(ROUND(OFFSET($P14,0,AE$13),15-13*ORÇAMENTO!$AF$7)*OFFSET(ORÇAMENTO!$W$15,ROW(AE14)-ROW(AE$15),0),15-13*ORÇAMENTO!$AF$11)),0)</f>
        <v>0</v>
      </c>
      <c r="AF14" s="627">
        <f ca="1">IF(AND($D14="Serviço",AF$12&lt;&gt;0,$H14&gt;0,OR(AUTOEVENTO&lt;&gt;"manual",$M14&lt;&gt;1)),
IF(Import.TipoArredondamento&lt;&gt;"TransfereGOV",
ROUND(OFFSET($P14,0,AF$13),15-13*ORÇAMENTO!$AF$7)/$H14*OFFSET(ORÇAMENTO!$X$15,ROW(AF14)-ROW(AF$15),0),
ROUND(ROUND(OFFSET($P14,0,AF$13),15-13*ORÇAMENTO!$AF$7)*OFFSET(ORÇAMENTO!$W$15,ROW(AF14)-ROW(AF$15),0),15-13*ORÇAMENTO!$AF$11)),0)</f>
        <v>0</v>
      </c>
      <c r="AG14" s="627">
        <f ca="1">IF(AND($D14="Serviço",AG$12&lt;&gt;0,$H14&gt;0,OR(AUTOEVENTO&lt;&gt;"manual",$M14&lt;&gt;1)),
IF(Import.TipoArredondamento&lt;&gt;"TransfereGOV",
ROUND(OFFSET($P14,0,AG$13),15-13*ORÇAMENTO!$AF$7)/$H14*OFFSET(ORÇAMENTO!$X$15,ROW(AG14)-ROW(AG$15),0),
ROUND(ROUND(OFFSET($P14,0,AG$13),15-13*ORÇAMENTO!$AF$7)*OFFSET(ORÇAMENTO!$W$15,ROW(AG14)-ROW(AG$15),0),15-13*ORÇAMENTO!$AF$11)),0)</f>
        <v>0</v>
      </c>
      <c r="AH14" s="627">
        <f ca="1">IF(AND($D14="Serviço",AH$12&lt;&gt;0,$H14&gt;0,OR(AUTOEVENTO&lt;&gt;"manual",$M14&lt;&gt;1)),
IF(Import.TipoArredondamento&lt;&gt;"TransfereGOV",
ROUND(OFFSET($P14,0,AH$13),15-13*ORÇAMENTO!$AF$7)/$H14*OFFSET(ORÇAMENTO!$X$15,ROW(AH14)-ROW(AH$15),0),
ROUND(ROUND(OFFSET($P14,0,AH$13),15-13*ORÇAMENTO!$AF$7)*OFFSET(ORÇAMENTO!$W$15,ROW(AH14)-ROW(AH$15),0),15-13*ORÇAMENTO!$AF$11)),0)</f>
        <v>0</v>
      </c>
      <c r="AI14" s="627">
        <f ca="1">IF(AND($D14="Serviço",AI$12&lt;&gt;0,$H14&gt;0,OR(AUTOEVENTO&lt;&gt;"manual",$M14&lt;&gt;1)),
IF(Import.TipoArredondamento&lt;&gt;"TransfereGOV",
ROUND(OFFSET($P14,0,AI$13),15-13*ORÇAMENTO!$AF$7)/$H14*OFFSET(ORÇAMENTO!$X$15,ROW(AI14)-ROW(AI$15),0),
ROUND(ROUND(OFFSET($P14,0,AI$13),15-13*ORÇAMENTO!$AF$7)*OFFSET(ORÇAMENTO!$W$15,ROW(AI14)-ROW(AI$15),0),15-13*ORÇAMENTO!$AF$11)),0)</f>
        <v>0</v>
      </c>
      <c r="AJ14" s="627">
        <f ca="1">IF(AND($D14="Serviço",AJ$12&lt;&gt;0,$H14&gt;0,OR(AUTOEVENTO&lt;&gt;"manual",$M14&lt;&gt;1)),
IF(Import.TipoArredondamento&lt;&gt;"TransfereGOV",
ROUND(OFFSET($P14,0,AJ$13),15-13*ORÇAMENTO!$AF$7)/$H14*OFFSET(ORÇAMENTO!$X$15,ROW(AJ14)-ROW(AJ$15),0),
ROUND(ROUND(OFFSET($P14,0,AJ$13),15-13*ORÇAMENTO!$AF$7)*OFFSET(ORÇAMENTO!$W$15,ROW(AJ14)-ROW(AJ$15),0),15-13*ORÇAMENTO!$AF$11)),0)</f>
        <v>0</v>
      </c>
      <c r="AK14" s="628">
        <f ca="1">IF(AND($D14="Serviço",AK$12&lt;&gt;0,$H14&gt;0,OR(AUTOEVENTO&lt;&gt;"manual",$M14&lt;&gt;1)),
IF(Import.TipoArredondamento&lt;&gt;"TransfereGOV",
ROUND(OFFSET($P14,0,AK$13),15-13*ORÇAMENTO!$AF$7)/$H14*OFFSET(ORÇAMENTO!$X$15,ROW(AK14)-ROW(AK$15),0),
ROUND(ROUND(OFFSET($P14,0,AK$13),15-13*ORÇAMENTO!$AF$7)*OFFSET(ORÇAMENTO!$W$15,ROW(AK14)-ROW(AK$15),0),15-13*ORÇAMENTO!$AF$11)),0)</f>
        <v>0</v>
      </c>
      <c r="AM14" s="211" t="e">
        <f ca="1">IF($D14&lt;&gt;"Serviço",0,IF(AND(AUTOEVENTO="Manual",$M14=1),0,IF(OFFSET(CRONOPLE!$F$14,$M14,AM$13)="",10^12,OFFSET(CRONOPLE!$F$14,$M14,AM$13))))</f>
        <v>#VALUE!</v>
      </c>
      <c r="AN14" s="211" t="e">
        <f ca="1">IF($D14&lt;&gt;"Serviço",0,IF(AND(AUTOEVENTO="Manual",$M14=1),0,IF(OFFSET(CRONOPLE!$F$14,$M14,AN$13)="",10^12,OFFSET(CRONOPLE!$F$14,$M14,AN$13))))</f>
        <v>#VALUE!</v>
      </c>
      <c r="AO14" s="211" t="e">
        <f ca="1">IF($D14&lt;&gt;"Serviço",0,IF(AND(AUTOEVENTO="Manual",$M14=1),0,IF(OFFSET(CRONOPLE!$F$14,$M14,AO$13)="",10^12,OFFSET(CRONOPLE!$F$14,$M14,AO$13))))</f>
        <v>#VALUE!</v>
      </c>
      <c r="AP14" s="211" t="e">
        <f ca="1">IF($D14&lt;&gt;"Serviço",0,IF(AND(AUTOEVENTO="Manual",$M14=1),0,IF(OFFSET(CRONOPLE!$F$14,$M14,AP$13)="",10^12,OFFSET(CRONOPLE!$F$14,$M14,AP$13))))</f>
        <v>#VALUE!</v>
      </c>
      <c r="AQ14" s="211" t="e">
        <f ca="1">IF($D14&lt;&gt;"Serviço",0,IF(AND(AUTOEVENTO="Manual",$M14=1),0,IF(OFFSET(CRONOPLE!$F$14,$M14,AQ$13)="",10^12,OFFSET(CRONOPLE!$F$14,$M14,AQ$13))))</f>
        <v>#VALUE!</v>
      </c>
      <c r="AR14" s="211" t="e">
        <f ca="1">IF($D14&lt;&gt;"Serviço",0,IF(AND(AUTOEVENTO="Manual",$M14=1),0,IF(OFFSET(CRONOPLE!$F$14,$M14,AR$13)="",10^12,OFFSET(CRONOPLE!$F$14,$M14,AR$13))))</f>
        <v>#VALUE!</v>
      </c>
      <c r="AS14" s="211" t="e">
        <f ca="1">IF($D14&lt;&gt;"Serviço",0,IF(AND(AUTOEVENTO="Manual",$M14=1),0,IF(OFFSET(CRONOPLE!$F$14,$M14,AS$13)="",10^12,OFFSET(CRONOPLE!$F$14,$M14,AS$13))))</f>
        <v>#VALUE!</v>
      </c>
      <c r="AT14" s="211" t="e">
        <f ca="1">IF($D14&lt;&gt;"Serviço",0,IF(AND(AUTOEVENTO="Manual",$M14=1),0,IF(OFFSET(CRONOPLE!$F$14,$M14,AT$13)="",10^12,OFFSET(CRONOPLE!$F$14,$M14,AT$13))))</f>
        <v>#VALUE!</v>
      </c>
      <c r="AU14" s="211" t="e">
        <f ca="1">IF($D14&lt;&gt;"Serviço",0,IF(AND(AUTOEVENTO="Manual",$M14=1),0,IF(OFFSET(CRONOPLE!$F$14,$M14,AU$13)="",10^12,OFFSET(CRONOPLE!$F$14,$M14,AU$13))))</f>
        <v>#VALUE!</v>
      </c>
      <c r="AV14" s="211" t="e">
        <f ca="1">IF($D14&lt;&gt;"Serviço",0,IF(AND(AUTOEVENTO="Manual",$M14=1),0,IF(OFFSET(CRONOPLE!$F$14,$M14,AV$13)="",10^12,OFFSET(CRONOPLE!$F$14,$M14,AV$13))))</f>
        <v>#VALUE!</v>
      </c>
      <c r="AX14" s="212">
        <f ca="1">IF($D14&lt;&gt;"Serviço",0,IF(OR(AND(AUTOEVENTO="Manual",$M14=1),$M14&gt;(ROW(PLE.lastrow)-ROW(PLE.firstrow))),0,IF(OFFSET(PLE!$G$14,$M14,AX$13)="",10^12,OFFSET(PLE!$G$14,$M14,AX$13))))</f>
        <v>0</v>
      </c>
      <c r="AY14" s="212">
        <f ca="1">IF($D14&lt;&gt;"Serviço",0,IF(OR(AND(AUTOEVENTO="Manual",$M14=1),$M14&gt;(ROW(PLE.lastrow)-ROW(PLE.firstrow))),0,IF(OFFSET(PLE!$G$14,$M14,AY$13)="",10^12,OFFSET(PLE!$G$14,$M14,AY$13))))</f>
        <v>0</v>
      </c>
      <c r="AZ14" s="212">
        <f ca="1">IF($D14&lt;&gt;"Serviço",0,IF(OR(AND(AUTOEVENTO="Manual",$M14=1),$M14&gt;(ROW(PLE.lastrow)-ROW(PLE.firstrow))),0,IF(OFFSET(PLE!$G$14,$M14,AZ$13)="",10^12,OFFSET(PLE!$G$14,$M14,AZ$13))))</f>
        <v>0</v>
      </c>
      <c r="BA14" s="212">
        <f ca="1">IF($D14&lt;&gt;"Serviço",0,IF(OR(AND(AUTOEVENTO="Manual",$M14=1),$M14&gt;(ROW(PLE.lastrow)-ROW(PLE.firstrow))),0,IF(OFFSET(PLE!$G$14,$M14,BA$13)="",10^12,OFFSET(PLE!$G$14,$M14,BA$13))))</f>
        <v>0</v>
      </c>
      <c r="BB14" s="212">
        <f ca="1">IF($D14&lt;&gt;"Serviço",0,IF(OR(AND(AUTOEVENTO="Manual",$M14=1),$M14&gt;(ROW(PLE.lastrow)-ROW(PLE.firstrow))),0,IF(OFFSET(PLE!$G$14,$M14,BB$13)="",10^12,OFFSET(PLE!$G$14,$M14,BB$13))))</f>
        <v>0</v>
      </c>
      <c r="BC14" s="212">
        <f ca="1">IF($D14&lt;&gt;"Serviço",0,IF(OR(AND(AUTOEVENTO="Manual",$M14=1),$M14&gt;(ROW(PLE.lastrow)-ROW(PLE.firstrow))),0,IF(OFFSET(PLE!$G$14,$M14,BC$13)="",10^12,OFFSET(PLE!$G$14,$M14,BC$13))))</f>
        <v>0</v>
      </c>
      <c r="BD14" s="212">
        <f ca="1">IF($D14&lt;&gt;"Serviço",0,IF(OR(AND(AUTOEVENTO="Manual",$M14=1),$M14&gt;(ROW(PLE.lastrow)-ROW(PLE.firstrow))),0,IF(OFFSET(PLE!$G$14,$M14,BD$13)="",10^12,OFFSET(PLE!$G$14,$M14,BD$13))))</f>
        <v>0</v>
      </c>
      <c r="BE14" s="212">
        <f ca="1">IF($D14&lt;&gt;"Serviço",0,IF(OR(AND(AUTOEVENTO="Manual",$M14=1),$M14&gt;(ROW(PLE.lastrow)-ROW(PLE.firstrow))),0,IF(OFFSET(PLE!$G$14,$M14,BE$13)="",10^12,OFFSET(PLE!$G$14,$M14,BE$13))))</f>
        <v>0</v>
      </c>
      <c r="BF14" s="212">
        <f ca="1">IF($D14&lt;&gt;"Serviço",0,IF(OR(AND(AUTOEVENTO="Manual",$M14=1),$M14&gt;(ROW(PLE.lastrow)-ROW(PLE.firstrow))),0,IF(OFFSET(PLE!$G$14,$M14,BF$13)="",10^12,OFFSET(PLE!$G$14,$M14,BF$13))))</f>
        <v>0</v>
      </c>
      <c r="BG14" s="212">
        <f ca="1">IF($D14&lt;&gt;"Serviço",0,IF(OR(AND(AUTOEVENTO="Manual",$M14=1),$M14&gt;(ROW(PLE.lastrow)-ROW(PLE.firstrow))),0,IF(OFFSET(PLE!$G$14,$M14,BG$13)="",10^12,OFFSET(PLE!$G$14,$M14,BG$13))))</f>
        <v>0</v>
      </c>
    </row>
    <row r="15" spans="1:59" ht="12.75" customHeight="1">
      <c r="B15" s="9" t="str">
        <f ca="1">OFFSET(ORÇAMENTO!C$15,ROW(B15)-ROW(B$15),0)</f>
        <v>L</v>
      </c>
      <c r="C15" s="9" t="str">
        <f ca="1">OFFSET(ORÇAMENTO!L$15,ROW(C15)-ROW(C$15),0)</f>
        <v>F</v>
      </c>
      <c r="D15" s="156" t="str">
        <f>IF(TIPOORCAMENTO="LICITADO","CTEF","LOTE")</f>
        <v>LOTE</v>
      </c>
      <c r="E15" s="720">
        <f>Import.DescLote</f>
        <v>0</v>
      </c>
      <c r="F15" s="720"/>
      <c r="G15" s="720"/>
      <c r="H15" s="720"/>
      <c r="I15" s="646"/>
      <c r="K15" s="213"/>
      <c r="L15" s="205" t="s">
        <v>255</v>
      </c>
      <c r="M15" s="214">
        <f ca="1">IF(AUTOEVENTO="MANUAL",0,1)</f>
        <v>1</v>
      </c>
      <c r="N15" s="215" t="s">
        <v>263</v>
      </c>
      <c r="O15" s="216" t="e">
        <f ca="1">OFFSET($AA$15,0,O$13)</f>
        <v>#VALUE!</v>
      </c>
      <c r="Q15" s="217">
        <f t="shared" ref="Q15:Z15" ca="1" si="5">OFFSET($AA$15,0,Q$13)</f>
        <v>104936.76</v>
      </c>
      <c r="R15" s="216">
        <f t="shared" ca="1" si="5"/>
        <v>573038.85002530226</v>
      </c>
      <c r="S15" s="216">
        <f t="shared" ca="1" si="5"/>
        <v>271519.54663179943</v>
      </c>
      <c r="T15" s="216">
        <f t="shared" ca="1" si="5"/>
        <v>98598.647132793354</v>
      </c>
      <c r="U15" s="216">
        <f t="shared" ca="1" si="5"/>
        <v>0</v>
      </c>
      <c r="V15" s="216">
        <f t="shared" ca="1" si="5"/>
        <v>0</v>
      </c>
      <c r="W15" s="216">
        <f t="shared" ca="1" si="5"/>
        <v>0</v>
      </c>
      <c r="X15" s="216">
        <f t="shared" ca="1" si="5"/>
        <v>0</v>
      </c>
      <c r="Y15" s="216">
        <f t="shared" ca="1" si="5"/>
        <v>0</v>
      </c>
      <c r="Z15" s="218">
        <f t="shared" ca="1" si="5"/>
        <v>0</v>
      </c>
      <c r="AB15" s="219">
        <f ca="1">ROUND(SUM(OFFSET(AB$15,1,0):AB$264),2)</f>
        <v>104936.76</v>
      </c>
      <c r="AC15" s="219">
        <f ca="1">SUM(OFFSET(AC$15,1,0):AC$264)</f>
        <v>573038.85002530226</v>
      </c>
      <c r="AD15" s="219">
        <f ca="1">SUM(OFFSET(AD$15,1,0):AD$264)</f>
        <v>271519.54663179943</v>
      </c>
      <c r="AE15" s="219">
        <f ca="1">SUM(OFFSET(AE$15,1,0):AE$264)</f>
        <v>98598.647132793354</v>
      </c>
      <c r="AF15" s="219">
        <f ca="1">SUM(OFFSET(AF$15,1,0):AF$264)</f>
        <v>0</v>
      </c>
      <c r="AG15" s="219">
        <f ca="1">SUM(OFFSET(AG$15,1,0):AG$264)</f>
        <v>0</v>
      </c>
      <c r="AH15" s="219">
        <f ca="1">SUM(OFFSET(AH$15,1,0):AH$264)</f>
        <v>0</v>
      </c>
      <c r="AI15" s="219">
        <f ca="1">SUM(OFFSET(AI$15,1,0):AI$264)</f>
        <v>0</v>
      </c>
      <c r="AJ15" s="219">
        <f ca="1">SUM(OFFSET(AJ$15,1,0):AJ$264)</f>
        <v>0</v>
      </c>
      <c r="AK15" s="219">
        <f ca="1">SUM(OFFSET(AK$15,1,0):AK$264)</f>
        <v>0</v>
      </c>
      <c r="AM15" s="220">
        <f>10^12</f>
        <v>1000000000000</v>
      </c>
      <c r="AN15" s="220">
        <f t="shared" ref="AN15:AV15" si="6">10^12</f>
        <v>1000000000000</v>
      </c>
      <c r="AO15" s="220">
        <f t="shared" si="6"/>
        <v>1000000000000</v>
      </c>
      <c r="AP15" s="220">
        <f t="shared" si="6"/>
        <v>1000000000000</v>
      </c>
      <c r="AQ15" s="220">
        <f t="shared" si="6"/>
        <v>1000000000000</v>
      </c>
      <c r="AR15" s="220">
        <f t="shared" si="6"/>
        <v>1000000000000</v>
      </c>
      <c r="AS15" s="220">
        <f t="shared" si="6"/>
        <v>1000000000000</v>
      </c>
      <c r="AT15" s="220">
        <f t="shared" si="6"/>
        <v>1000000000000</v>
      </c>
      <c r="AU15" s="220">
        <f t="shared" si="6"/>
        <v>1000000000000</v>
      </c>
      <c r="AV15" s="220">
        <f t="shared" si="6"/>
        <v>1000000000000</v>
      </c>
      <c r="AX15" s="220">
        <f t="shared" ref="AX15:BG15" si="7">10^12</f>
        <v>1000000000000</v>
      </c>
      <c r="AY15" s="220">
        <f t="shared" si="7"/>
        <v>1000000000000</v>
      </c>
      <c r="AZ15" s="220">
        <f t="shared" si="7"/>
        <v>1000000000000</v>
      </c>
      <c r="BA15" s="220">
        <f t="shared" si="7"/>
        <v>1000000000000</v>
      </c>
      <c r="BB15" s="220">
        <f t="shared" si="7"/>
        <v>1000000000000</v>
      </c>
      <c r="BC15" s="220">
        <f t="shared" si="7"/>
        <v>1000000000000</v>
      </c>
      <c r="BD15" s="220">
        <f t="shared" si="7"/>
        <v>1000000000000</v>
      </c>
      <c r="BE15" s="220">
        <f t="shared" si="7"/>
        <v>1000000000000</v>
      </c>
      <c r="BF15" s="220">
        <f t="shared" si="7"/>
        <v>1000000000000</v>
      </c>
      <c r="BG15" s="220">
        <f t="shared" si="7"/>
        <v>1000000000000</v>
      </c>
    </row>
    <row r="16" spans="1:59" ht="13.2">
      <c r="A16" s="9" t="str">
        <f t="shared" ref="A16:A77" ca="1" si="8">IF(AUTOEVENTO="Manual",IF(K16&lt;&gt;"",MIN(VALUE(LEFT(K16,FIND(".",K16)-1)),COUNTA(EVENTOS.Lista)),0),IF(OR($B16&gt;AUTOEVENTO,$B16="S",$B16=0),SUBSTITUTE(OFFSET($A16,-1,0),IF($D16="Serviço",".",""),""),ROW(A16)-ROW($A$15)&amp;"."))</f>
        <v>1.</v>
      </c>
      <c r="B16" s="9">
        <f ca="1">OFFSET(ORÇAMENTO!C$15,ROW(B16)-ROW(B$15),0)</f>
        <v>1</v>
      </c>
      <c r="C16" s="9" t="str">
        <f ca="1">OFFSET(ORÇAMENTO!L$15,ROW(C16)-ROW(C$15),0)</f>
        <v>F</v>
      </c>
      <c r="D16" s="141" t="str">
        <f ca="1">OFFSET(ORÇAMENTO!N$15,ROW(D16)-ROW(D$15),0)</f>
        <v>Meta</v>
      </c>
      <c r="E16" s="201" t="str">
        <f ca="1">OFFSET(ORÇAMENTO!O$15,ROW(E16)-ROW(E$15),0)</f>
        <v>1.</v>
      </c>
      <c r="F16" s="202" t="str">
        <f ca="1">OFFSET(ORÇAMENTO!R$15,ROW(F16)-ROW(F$15),0)</f>
        <v>RECAPEAMENTO ASFALTICO EM DIVERSAS RUAS</v>
      </c>
      <c r="G16" s="203" t="str">
        <f ca="1">IF($D16&lt;&gt;"Serviço","",OFFSET(ORÇAMENTO!S$15,ROW(G16)-ROW(G$15),0))</f>
        <v/>
      </c>
      <c r="H16" s="147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645"/>
      <c r="K16" s="204"/>
      <c r="L16" s="205" t="s">
        <v>255</v>
      </c>
      <c r="M16" s="206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207" t="str">
        <f ca="1">IF($D16&lt;&gt;"Serviço","",IF(AUTOEVENTO="Manual",IF($A16=0,"&lt;-- defina o número do agrupador",OFFSET(EVENTOS!$D$14,$A16,0)),OFFSET($F$15,$A16,0)))</f>
        <v/>
      </c>
      <c r="O16" s="208"/>
      <c r="Q16" s="208"/>
      <c r="R16" s="209"/>
      <c r="S16" s="209"/>
      <c r="T16" s="209"/>
      <c r="U16" s="209"/>
      <c r="V16" s="209"/>
      <c r="W16" s="209"/>
      <c r="X16" s="209"/>
      <c r="Y16" s="209"/>
      <c r="Z16" s="210"/>
      <c r="AB16" s="626">
        <f ca="1">IF(AND($D16="Serviço",AB$12&lt;&gt;0,$H16&gt;0,OR(AUTOEVENTO&lt;&gt;"manual",$M16&lt;&gt;1)),
IF(Import.TipoArredondamento&lt;&gt;"TransfereGOV",
ROUND(OFFSET($P16,0,AB$13),15-13*ORÇAMENTO!$AF$7)/$H16*OFFSET(ORÇAMENTO!$X$15,ROW(AB16)-ROW(AB$15),0),
ROUND(ROUND(OFFSET($P16,0,AB$13),15-13*ORÇAMENTO!$AF$7)*OFFSET(ORÇAMENTO!$W$15,ROW(AB16)-ROW(AB$15),0),15-13*ORÇAMENTO!$AF$11)),0)</f>
        <v>0</v>
      </c>
      <c r="AC16" s="627">
        <f ca="1">IF(AND($D16="Serviço",AC$12&lt;&gt;0,$H16&gt;0,OR(AUTOEVENTO&lt;&gt;"manual",$M16&lt;&gt;1)),
IF(Import.TipoArredondamento&lt;&gt;"TransfereGOV",
ROUND(OFFSET($P16,0,AC$13),15-13*ORÇAMENTO!$AF$7)/$H16*OFFSET(ORÇAMENTO!$X$15,ROW(AC16)-ROW(AC$15),0),
ROUND(ROUND(OFFSET($P16,0,AC$13),15-13*ORÇAMENTO!$AF$7)*OFFSET(ORÇAMENTO!$W$15,ROW(AC16)-ROW(AC$15),0),15-13*ORÇAMENTO!$AF$11)),0)</f>
        <v>0</v>
      </c>
      <c r="AD16" s="627">
        <f ca="1">IF(AND($D16="Serviço",AD$12&lt;&gt;0,$H16&gt;0,OR(AUTOEVENTO&lt;&gt;"manual",$M16&lt;&gt;1)),
IF(Import.TipoArredondamento&lt;&gt;"TransfereGOV",
ROUND(OFFSET($P16,0,AD$13),15-13*ORÇAMENTO!$AF$7)/$H16*OFFSET(ORÇAMENTO!$X$15,ROW(AD16)-ROW(AD$15),0),
ROUND(ROUND(OFFSET($P16,0,AD$13),15-13*ORÇAMENTO!$AF$7)*OFFSET(ORÇAMENTO!$W$15,ROW(AD16)-ROW(AD$15),0),15-13*ORÇAMENTO!$AF$11)),0)</f>
        <v>0</v>
      </c>
      <c r="AE16" s="627">
        <f ca="1">IF(AND($D16="Serviço",AE$12&lt;&gt;0,$H16&gt;0,OR(AUTOEVENTO&lt;&gt;"manual",$M16&lt;&gt;1)),
IF(Import.TipoArredondamento&lt;&gt;"TransfereGOV",
ROUND(OFFSET($P16,0,AE$13),15-13*ORÇAMENTO!$AF$7)/$H16*OFFSET(ORÇAMENTO!$X$15,ROW(AE16)-ROW(AE$15),0),
ROUND(ROUND(OFFSET($P16,0,AE$13),15-13*ORÇAMENTO!$AF$7)*OFFSET(ORÇAMENTO!$W$15,ROW(AE16)-ROW(AE$15),0),15-13*ORÇAMENTO!$AF$11)),0)</f>
        <v>0</v>
      </c>
      <c r="AF16" s="627">
        <f ca="1">IF(AND($D16="Serviço",AF$12&lt;&gt;0,$H16&gt;0,OR(AUTOEVENTO&lt;&gt;"manual",$M16&lt;&gt;1)),
IF(Import.TipoArredondamento&lt;&gt;"TransfereGOV",
ROUND(OFFSET($P16,0,AF$13),15-13*ORÇAMENTO!$AF$7)/$H16*OFFSET(ORÇAMENTO!$X$15,ROW(AF16)-ROW(AF$15),0),
ROUND(ROUND(OFFSET($P16,0,AF$13),15-13*ORÇAMENTO!$AF$7)*OFFSET(ORÇAMENTO!$W$15,ROW(AF16)-ROW(AF$15),0),15-13*ORÇAMENTO!$AF$11)),0)</f>
        <v>0</v>
      </c>
      <c r="AG16" s="627">
        <f ca="1">IF(AND($D16="Serviço",AG$12&lt;&gt;0,$H16&gt;0,OR(AUTOEVENTO&lt;&gt;"manual",$M16&lt;&gt;1)),
IF(Import.TipoArredondamento&lt;&gt;"TransfereGOV",
ROUND(OFFSET($P16,0,AG$13),15-13*ORÇAMENTO!$AF$7)/$H16*OFFSET(ORÇAMENTO!$X$15,ROW(AG16)-ROW(AG$15),0),
ROUND(ROUND(OFFSET($P16,0,AG$13),15-13*ORÇAMENTO!$AF$7)*OFFSET(ORÇAMENTO!$W$15,ROW(AG16)-ROW(AG$15),0),15-13*ORÇAMENTO!$AF$11)),0)</f>
        <v>0</v>
      </c>
      <c r="AH16" s="627">
        <f ca="1">IF(AND($D16="Serviço",AH$12&lt;&gt;0,$H16&gt;0,OR(AUTOEVENTO&lt;&gt;"manual",$M16&lt;&gt;1)),
IF(Import.TipoArredondamento&lt;&gt;"TransfereGOV",
ROUND(OFFSET($P16,0,AH$13),15-13*ORÇAMENTO!$AF$7)/$H16*OFFSET(ORÇAMENTO!$X$15,ROW(AH16)-ROW(AH$15),0),
ROUND(ROUND(OFFSET($P16,0,AH$13),15-13*ORÇAMENTO!$AF$7)*OFFSET(ORÇAMENTO!$W$15,ROW(AH16)-ROW(AH$15),0),15-13*ORÇAMENTO!$AF$11)),0)</f>
        <v>0</v>
      </c>
      <c r="AI16" s="627">
        <f ca="1">IF(AND($D16="Serviço",AI$12&lt;&gt;0,$H16&gt;0,OR(AUTOEVENTO&lt;&gt;"manual",$M16&lt;&gt;1)),
IF(Import.TipoArredondamento&lt;&gt;"TransfereGOV",
ROUND(OFFSET($P16,0,AI$13),15-13*ORÇAMENTO!$AF$7)/$H16*OFFSET(ORÇAMENTO!$X$15,ROW(AI16)-ROW(AI$15),0),
ROUND(ROUND(OFFSET($P16,0,AI$13),15-13*ORÇAMENTO!$AF$7)*OFFSET(ORÇAMENTO!$W$15,ROW(AI16)-ROW(AI$15),0),15-13*ORÇAMENTO!$AF$11)),0)</f>
        <v>0</v>
      </c>
      <c r="AJ16" s="627">
        <f ca="1">IF(AND($D16="Serviço",AJ$12&lt;&gt;0,$H16&gt;0,OR(AUTOEVENTO&lt;&gt;"manual",$M16&lt;&gt;1)),
IF(Import.TipoArredondamento&lt;&gt;"TransfereGOV",
ROUND(OFFSET($P16,0,AJ$13),15-13*ORÇAMENTO!$AF$7)/$H16*OFFSET(ORÇAMENTO!$X$15,ROW(AJ16)-ROW(AJ$15),0),
ROUND(ROUND(OFFSET($P16,0,AJ$13),15-13*ORÇAMENTO!$AF$7)*OFFSET(ORÇAMENTO!$W$15,ROW(AJ16)-ROW(AJ$15),0),15-13*ORÇAMENTO!$AF$11)),0)</f>
        <v>0</v>
      </c>
      <c r="AK16" s="628">
        <f ca="1">IF(AND($D16="Serviço",AK$12&lt;&gt;0,$H16&gt;0,OR(AUTOEVENTO&lt;&gt;"manual",$M16&lt;&gt;1)),
IF(Import.TipoArredondamento&lt;&gt;"TransfereGOV",
ROUND(OFFSET($P16,0,AK$13),15-13*ORÇAMENTO!$AF$7)/$H16*OFFSET(ORÇAMENTO!$X$15,ROW(AK16)-ROW(AK$15),0),
ROUND(ROUND(OFFSET($P16,0,AK$13),15-13*ORÇAMENTO!$AF$7)*OFFSET(ORÇAMENTO!$W$15,ROW(AK16)-ROW(AK$15),0),15-13*ORÇAMENTO!$AF$11)),0)</f>
        <v>0</v>
      </c>
      <c r="AM16" s="211">
        <f ca="1">IF($D16&lt;&gt;"Serviço",0,IF(AND(AUTOEVENTO="Manual",$M16=1),0,IF(OFFSET(CRONOPLE!$F$14,$M16,AM$13)="",10^12,OFFSET(CRONOPLE!$F$14,$M16,AM$13))))</f>
        <v>0</v>
      </c>
      <c r="AN16" s="211">
        <f ca="1">IF($D16&lt;&gt;"Serviço",0,IF(AND(AUTOEVENTO="Manual",$M16=1),0,IF(OFFSET(CRONOPLE!$F$14,$M16,AN$13)="",10^12,OFFSET(CRONOPLE!$F$14,$M16,AN$13))))</f>
        <v>0</v>
      </c>
      <c r="AO16" s="211">
        <f ca="1">IF($D16&lt;&gt;"Serviço",0,IF(AND(AUTOEVENTO="Manual",$M16=1),0,IF(OFFSET(CRONOPLE!$F$14,$M16,AO$13)="",10^12,OFFSET(CRONOPLE!$F$14,$M16,AO$13))))</f>
        <v>0</v>
      </c>
      <c r="AP16" s="211">
        <f ca="1">IF($D16&lt;&gt;"Serviço",0,IF(AND(AUTOEVENTO="Manual",$M16=1),0,IF(OFFSET(CRONOPLE!$F$14,$M16,AP$13)="",10^12,OFFSET(CRONOPLE!$F$14,$M16,AP$13))))</f>
        <v>0</v>
      </c>
      <c r="AQ16" s="211">
        <f ca="1">IF($D16&lt;&gt;"Serviço",0,IF(AND(AUTOEVENTO="Manual",$M16=1),0,IF(OFFSET(CRONOPLE!$F$14,$M16,AQ$13)="",10^12,OFFSET(CRONOPLE!$F$14,$M16,AQ$13))))</f>
        <v>0</v>
      </c>
      <c r="AR16" s="211">
        <f ca="1">IF($D16&lt;&gt;"Serviço",0,IF(AND(AUTOEVENTO="Manual",$M16=1),0,IF(OFFSET(CRONOPLE!$F$14,$M16,AR$13)="",10^12,OFFSET(CRONOPLE!$F$14,$M16,AR$13))))</f>
        <v>0</v>
      </c>
      <c r="AS16" s="211">
        <f ca="1">IF($D16&lt;&gt;"Serviço",0,IF(AND(AUTOEVENTO="Manual",$M16=1),0,IF(OFFSET(CRONOPLE!$F$14,$M16,AS$13)="",10^12,OFFSET(CRONOPLE!$F$14,$M16,AS$13))))</f>
        <v>0</v>
      </c>
      <c r="AT16" s="211">
        <f ca="1">IF($D16&lt;&gt;"Serviço",0,IF(AND(AUTOEVENTO="Manual",$M16=1),0,IF(OFFSET(CRONOPLE!$F$14,$M16,AT$13)="",10^12,OFFSET(CRONOPLE!$F$14,$M16,AT$13))))</f>
        <v>0</v>
      </c>
      <c r="AU16" s="211">
        <f ca="1">IF($D16&lt;&gt;"Serviço",0,IF(AND(AUTOEVENTO="Manual",$M16=1),0,IF(OFFSET(CRONOPLE!$F$14,$M16,AU$13)="",10^12,OFFSET(CRONOPLE!$F$14,$M16,AU$13))))</f>
        <v>0</v>
      </c>
      <c r="AV16" s="211">
        <f ca="1">IF($D16&lt;&gt;"Serviço",0,IF(AND(AUTOEVENTO="Manual",$M16=1),0,IF(OFFSET(CRONOPLE!$F$14,$M16,AV$13)="",10^12,OFFSET(CRONOPLE!$F$14,$M16,AV$13))))</f>
        <v>0</v>
      </c>
      <c r="AX16" s="212">
        <f ca="1">IF($D16&lt;&gt;"Serviço",0,IF(OR(AND(AUTOEVENTO="Manual",$M16=1),$M16&gt;(ROW(PLE.lastrow)-ROW(PLE.firstrow))),0,IF(OFFSET(PLE!$G$14,$M16,AX$13)="",10^12,OFFSET(PLE!$G$14,$M16,AX$13))))</f>
        <v>0</v>
      </c>
      <c r="AY16" s="212">
        <f ca="1">IF($D16&lt;&gt;"Serviço",0,IF(OR(AND(AUTOEVENTO="Manual",$M16=1),$M16&gt;(ROW(PLE.lastrow)-ROW(PLE.firstrow))),0,IF(OFFSET(PLE!$G$14,$M16,AY$13)="",10^12,OFFSET(PLE!$G$14,$M16,AY$13))))</f>
        <v>0</v>
      </c>
      <c r="AZ16" s="212">
        <f ca="1">IF($D16&lt;&gt;"Serviço",0,IF(OR(AND(AUTOEVENTO="Manual",$M16=1),$M16&gt;(ROW(PLE.lastrow)-ROW(PLE.firstrow))),0,IF(OFFSET(PLE!$G$14,$M16,AZ$13)="",10^12,OFFSET(PLE!$G$14,$M16,AZ$13))))</f>
        <v>0</v>
      </c>
      <c r="BA16" s="212">
        <f ca="1">IF($D16&lt;&gt;"Serviço",0,IF(OR(AND(AUTOEVENTO="Manual",$M16=1),$M16&gt;(ROW(PLE.lastrow)-ROW(PLE.firstrow))),0,IF(OFFSET(PLE!$G$14,$M16,BA$13)="",10^12,OFFSET(PLE!$G$14,$M16,BA$13))))</f>
        <v>0</v>
      </c>
      <c r="BB16" s="212">
        <f ca="1">IF($D16&lt;&gt;"Serviço",0,IF(OR(AND(AUTOEVENTO="Manual",$M16=1),$M16&gt;(ROW(PLE.lastrow)-ROW(PLE.firstrow))),0,IF(OFFSET(PLE!$G$14,$M16,BB$13)="",10^12,OFFSET(PLE!$G$14,$M16,BB$13))))</f>
        <v>0</v>
      </c>
      <c r="BC16" s="212">
        <f ca="1">IF($D16&lt;&gt;"Serviço",0,IF(OR(AND(AUTOEVENTO="Manual",$M16=1),$M16&gt;(ROW(PLE.lastrow)-ROW(PLE.firstrow))),0,IF(OFFSET(PLE!$G$14,$M16,BC$13)="",10^12,OFFSET(PLE!$G$14,$M16,BC$13))))</f>
        <v>0</v>
      </c>
      <c r="BD16" s="212">
        <f ca="1">IF($D16&lt;&gt;"Serviço",0,IF(OR(AND(AUTOEVENTO="Manual",$M16=1),$M16&gt;(ROW(PLE.lastrow)-ROW(PLE.firstrow))),0,IF(OFFSET(PLE!$G$14,$M16,BD$13)="",10^12,OFFSET(PLE!$G$14,$M16,BD$13))))</f>
        <v>0</v>
      </c>
      <c r="BE16" s="212">
        <f ca="1">IF($D16&lt;&gt;"Serviço",0,IF(OR(AND(AUTOEVENTO="Manual",$M16=1),$M16&gt;(ROW(PLE.lastrow)-ROW(PLE.firstrow))),0,IF(OFFSET(PLE!$G$14,$M16,BE$13)="",10^12,OFFSET(PLE!$G$14,$M16,BE$13))))</f>
        <v>0</v>
      </c>
      <c r="BF16" s="212">
        <f ca="1">IF($D16&lt;&gt;"Serviço",0,IF(OR(AND(AUTOEVENTO="Manual",$M16=1),$M16&gt;(ROW(PLE.lastrow)-ROW(PLE.firstrow))),0,IF(OFFSET(PLE!$G$14,$M16,BF$13)="",10^12,OFFSET(PLE!$G$14,$M16,BF$13))))</f>
        <v>0</v>
      </c>
      <c r="BG16" s="212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3.2">
      <c r="A17" s="9" t="str">
        <f t="shared" ca="1" si="8"/>
        <v>2.</v>
      </c>
      <c r="B17" s="9">
        <f ca="1">OFFSET(ORÇAMENTO!C$15,ROW(B17)-ROW(B$15),0)</f>
        <v>2</v>
      </c>
      <c r="C17" s="9" t="str">
        <f ca="1">OFFSET(ORÇAMENTO!L$15,ROW(C17)-ROW(C$15),0)</f>
        <v>F</v>
      </c>
      <c r="D17" s="141" t="str">
        <f ca="1">OFFSET(ORÇAMENTO!N$15,ROW(D17)-ROW(D$15),0)</f>
        <v>Nível 2</v>
      </c>
      <c r="E17" s="201" t="str">
        <f ca="1">OFFSET(ORÇAMENTO!O$15,ROW(E17)-ROW(E$15),0)</f>
        <v>1.1.</v>
      </c>
      <c r="F17" s="202" t="str">
        <f ca="1">OFFSET(ORÇAMENTO!R$15,ROW(F17)-ROW(F$15),0)</f>
        <v>SERVIÇOS PRELIMINARES</v>
      </c>
      <c r="G17" s="203" t="str">
        <f ca="1">IF($D17&lt;&gt;"Serviço","",OFFSET(ORÇAMENTO!S$15,ROW(G17)-ROW(G$15),0))</f>
        <v/>
      </c>
      <c r="H17" s="147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645"/>
      <c r="K17" s="204"/>
      <c r="L17" s="205" t="s">
        <v>255</v>
      </c>
      <c r="M17" s="206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207" t="str">
        <f ca="1">IF($D17&lt;&gt;"Serviço","",IF(AUTOEVENTO="Manual",IF($A17=0,"&lt;-- defina o número do agrupador",OFFSET(EVENTOS!$D$14,$A17,0)),OFFSET($F$15,$A17,0)))</f>
        <v/>
      </c>
      <c r="O17" s="208"/>
      <c r="Q17" s="208"/>
      <c r="R17" s="209"/>
      <c r="S17" s="209"/>
      <c r="T17" s="209"/>
      <c r="U17" s="209"/>
      <c r="V17" s="209"/>
      <c r="W17" s="209"/>
      <c r="X17" s="209"/>
      <c r="Y17" s="209"/>
      <c r="Z17" s="210"/>
      <c r="AB17" s="626">
        <f ca="1">IF(AND($D17="Serviço",AB$12&lt;&gt;0,$H17&gt;0,OR(AUTOEVENTO&lt;&gt;"manual",$M17&lt;&gt;1)),
IF(Import.TipoArredondamento&lt;&gt;"TransfereGOV",
ROUND(OFFSET($P17,0,AB$13),15-13*ORÇAMENTO!$AF$7)/$H17*OFFSET(ORÇAMENTO!$X$15,ROW(AB17)-ROW(AB$15),0),
ROUND(ROUND(OFFSET($P17,0,AB$13),15-13*ORÇAMENTO!$AF$7)*OFFSET(ORÇAMENTO!$W$15,ROW(AB17)-ROW(AB$15),0),15-13*ORÇAMENTO!$AF$11)),0)</f>
        <v>0</v>
      </c>
      <c r="AC17" s="627">
        <f ca="1">IF(AND($D17="Serviço",AC$12&lt;&gt;0,$H17&gt;0,OR(AUTOEVENTO&lt;&gt;"manual",$M17&lt;&gt;1)),
IF(Import.TipoArredondamento&lt;&gt;"TransfereGOV",
ROUND(OFFSET($P17,0,AC$13),15-13*ORÇAMENTO!$AF$7)/$H17*OFFSET(ORÇAMENTO!$X$15,ROW(AC17)-ROW(AC$15),0),
ROUND(ROUND(OFFSET($P17,0,AC$13),15-13*ORÇAMENTO!$AF$7)*OFFSET(ORÇAMENTO!$W$15,ROW(AC17)-ROW(AC$15),0),15-13*ORÇAMENTO!$AF$11)),0)</f>
        <v>0</v>
      </c>
      <c r="AD17" s="627">
        <f ca="1">IF(AND($D17="Serviço",AD$12&lt;&gt;0,$H17&gt;0,OR(AUTOEVENTO&lt;&gt;"manual",$M17&lt;&gt;1)),
IF(Import.TipoArredondamento&lt;&gt;"TransfereGOV",
ROUND(OFFSET($P17,0,AD$13),15-13*ORÇAMENTO!$AF$7)/$H17*OFFSET(ORÇAMENTO!$X$15,ROW(AD17)-ROW(AD$15),0),
ROUND(ROUND(OFFSET($P17,0,AD$13),15-13*ORÇAMENTO!$AF$7)*OFFSET(ORÇAMENTO!$W$15,ROW(AD17)-ROW(AD$15),0),15-13*ORÇAMENTO!$AF$11)),0)</f>
        <v>0</v>
      </c>
      <c r="AE17" s="627">
        <f ca="1">IF(AND($D17="Serviço",AE$12&lt;&gt;0,$H17&gt;0,OR(AUTOEVENTO&lt;&gt;"manual",$M17&lt;&gt;1)),
IF(Import.TipoArredondamento&lt;&gt;"TransfereGOV",
ROUND(OFFSET($P17,0,AE$13),15-13*ORÇAMENTO!$AF$7)/$H17*OFFSET(ORÇAMENTO!$X$15,ROW(AE17)-ROW(AE$15),0),
ROUND(ROUND(OFFSET($P17,0,AE$13),15-13*ORÇAMENTO!$AF$7)*OFFSET(ORÇAMENTO!$W$15,ROW(AE17)-ROW(AE$15),0),15-13*ORÇAMENTO!$AF$11)),0)</f>
        <v>0</v>
      </c>
      <c r="AF17" s="627">
        <f ca="1">IF(AND($D17="Serviço",AF$12&lt;&gt;0,$H17&gt;0,OR(AUTOEVENTO&lt;&gt;"manual",$M17&lt;&gt;1)),
IF(Import.TipoArredondamento&lt;&gt;"TransfereGOV",
ROUND(OFFSET($P17,0,AF$13),15-13*ORÇAMENTO!$AF$7)/$H17*OFFSET(ORÇAMENTO!$X$15,ROW(AF17)-ROW(AF$15),0),
ROUND(ROUND(OFFSET($P17,0,AF$13),15-13*ORÇAMENTO!$AF$7)*OFFSET(ORÇAMENTO!$W$15,ROW(AF17)-ROW(AF$15),0),15-13*ORÇAMENTO!$AF$11)),0)</f>
        <v>0</v>
      </c>
      <c r="AG17" s="627">
        <f ca="1">IF(AND($D17="Serviço",AG$12&lt;&gt;0,$H17&gt;0,OR(AUTOEVENTO&lt;&gt;"manual",$M17&lt;&gt;1)),
IF(Import.TipoArredondamento&lt;&gt;"TransfereGOV",
ROUND(OFFSET($P17,0,AG$13),15-13*ORÇAMENTO!$AF$7)/$H17*OFFSET(ORÇAMENTO!$X$15,ROW(AG17)-ROW(AG$15),0),
ROUND(ROUND(OFFSET($P17,0,AG$13),15-13*ORÇAMENTO!$AF$7)*OFFSET(ORÇAMENTO!$W$15,ROW(AG17)-ROW(AG$15),0),15-13*ORÇAMENTO!$AF$11)),0)</f>
        <v>0</v>
      </c>
      <c r="AH17" s="627">
        <f ca="1">IF(AND($D17="Serviço",AH$12&lt;&gt;0,$H17&gt;0,OR(AUTOEVENTO&lt;&gt;"manual",$M17&lt;&gt;1)),
IF(Import.TipoArredondamento&lt;&gt;"TransfereGOV",
ROUND(OFFSET($P17,0,AH$13),15-13*ORÇAMENTO!$AF$7)/$H17*OFFSET(ORÇAMENTO!$X$15,ROW(AH17)-ROW(AH$15),0),
ROUND(ROUND(OFFSET($P17,0,AH$13),15-13*ORÇAMENTO!$AF$7)*OFFSET(ORÇAMENTO!$W$15,ROW(AH17)-ROW(AH$15),0),15-13*ORÇAMENTO!$AF$11)),0)</f>
        <v>0</v>
      </c>
      <c r="AI17" s="627">
        <f ca="1">IF(AND($D17="Serviço",AI$12&lt;&gt;0,$H17&gt;0,OR(AUTOEVENTO&lt;&gt;"manual",$M17&lt;&gt;1)),
IF(Import.TipoArredondamento&lt;&gt;"TransfereGOV",
ROUND(OFFSET($P17,0,AI$13),15-13*ORÇAMENTO!$AF$7)/$H17*OFFSET(ORÇAMENTO!$X$15,ROW(AI17)-ROW(AI$15),0),
ROUND(ROUND(OFFSET($P17,0,AI$13),15-13*ORÇAMENTO!$AF$7)*OFFSET(ORÇAMENTO!$W$15,ROW(AI17)-ROW(AI$15),0),15-13*ORÇAMENTO!$AF$11)),0)</f>
        <v>0</v>
      </c>
      <c r="AJ17" s="627">
        <f ca="1">IF(AND($D17="Serviço",AJ$12&lt;&gt;0,$H17&gt;0,OR(AUTOEVENTO&lt;&gt;"manual",$M17&lt;&gt;1)),
IF(Import.TipoArredondamento&lt;&gt;"TransfereGOV",
ROUND(OFFSET($P17,0,AJ$13),15-13*ORÇAMENTO!$AF$7)/$H17*OFFSET(ORÇAMENTO!$X$15,ROW(AJ17)-ROW(AJ$15),0),
ROUND(ROUND(OFFSET($P17,0,AJ$13),15-13*ORÇAMENTO!$AF$7)*OFFSET(ORÇAMENTO!$W$15,ROW(AJ17)-ROW(AJ$15),0),15-13*ORÇAMENTO!$AF$11)),0)</f>
        <v>0</v>
      </c>
      <c r="AK17" s="628">
        <f ca="1">IF(AND($D17="Serviço",AK$12&lt;&gt;0,$H17&gt;0,OR(AUTOEVENTO&lt;&gt;"manual",$M17&lt;&gt;1)),
IF(Import.TipoArredondamento&lt;&gt;"TransfereGOV",
ROUND(OFFSET($P17,0,AK$13),15-13*ORÇAMENTO!$AF$7)/$H17*OFFSET(ORÇAMENTO!$X$15,ROW(AK17)-ROW(AK$15),0),
ROUND(ROUND(OFFSET($P17,0,AK$13),15-13*ORÇAMENTO!$AF$7)*OFFSET(ORÇAMENTO!$W$15,ROW(AK17)-ROW(AK$15),0),15-13*ORÇAMENTO!$AF$11)),0)</f>
        <v>0</v>
      </c>
      <c r="AM17" s="211">
        <f ca="1">IF($D17&lt;&gt;"Serviço",0,IF(AND(AUTOEVENTO="Manual",$M17=1),0,IF(OFFSET(CRONOPLE!$F$14,$M17,AM$13)="",10^12,OFFSET(CRONOPLE!$F$14,$M17,AM$13))))</f>
        <v>0</v>
      </c>
      <c r="AN17" s="211">
        <f ca="1">IF($D17&lt;&gt;"Serviço",0,IF(AND(AUTOEVENTO="Manual",$M17=1),0,IF(OFFSET(CRONOPLE!$F$14,$M17,AN$13)="",10^12,OFFSET(CRONOPLE!$F$14,$M17,AN$13))))</f>
        <v>0</v>
      </c>
      <c r="AO17" s="211">
        <f ca="1">IF($D17&lt;&gt;"Serviço",0,IF(AND(AUTOEVENTO="Manual",$M17=1),0,IF(OFFSET(CRONOPLE!$F$14,$M17,AO$13)="",10^12,OFFSET(CRONOPLE!$F$14,$M17,AO$13))))</f>
        <v>0</v>
      </c>
      <c r="AP17" s="211">
        <f ca="1">IF($D17&lt;&gt;"Serviço",0,IF(AND(AUTOEVENTO="Manual",$M17=1),0,IF(OFFSET(CRONOPLE!$F$14,$M17,AP$13)="",10^12,OFFSET(CRONOPLE!$F$14,$M17,AP$13))))</f>
        <v>0</v>
      </c>
      <c r="AQ17" s="211">
        <f ca="1">IF($D17&lt;&gt;"Serviço",0,IF(AND(AUTOEVENTO="Manual",$M17=1),0,IF(OFFSET(CRONOPLE!$F$14,$M17,AQ$13)="",10^12,OFFSET(CRONOPLE!$F$14,$M17,AQ$13))))</f>
        <v>0</v>
      </c>
      <c r="AR17" s="211">
        <f ca="1">IF($D17&lt;&gt;"Serviço",0,IF(AND(AUTOEVENTO="Manual",$M17=1),0,IF(OFFSET(CRONOPLE!$F$14,$M17,AR$13)="",10^12,OFFSET(CRONOPLE!$F$14,$M17,AR$13))))</f>
        <v>0</v>
      </c>
      <c r="AS17" s="211">
        <f ca="1">IF($D17&lt;&gt;"Serviço",0,IF(AND(AUTOEVENTO="Manual",$M17=1),0,IF(OFFSET(CRONOPLE!$F$14,$M17,AS$13)="",10^12,OFFSET(CRONOPLE!$F$14,$M17,AS$13))))</f>
        <v>0</v>
      </c>
      <c r="AT17" s="211">
        <f ca="1">IF($D17&lt;&gt;"Serviço",0,IF(AND(AUTOEVENTO="Manual",$M17=1),0,IF(OFFSET(CRONOPLE!$F$14,$M17,AT$13)="",10^12,OFFSET(CRONOPLE!$F$14,$M17,AT$13))))</f>
        <v>0</v>
      </c>
      <c r="AU17" s="211">
        <f ca="1">IF($D17&lt;&gt;"Serviço",0,IF(AND(AUTOEVENTO="Manual",$M17=1),0,IF(OFFSET(CRONOPLE!$F$14,$M17,AU$13)="",10^12,OFFSET(CRONOPLE!$F$14,$M17,AU$13))))</f>
        <v>0</v>
      </c>
      <c r="AV17" s="211">
        <f ca="1">IF($D17&lt;&gt;"Serviço",0,IF(AND(AUTOEVENTO="Manual",$M17=1),0,IF(OFFSET(CRONOPLE!$F$14,$M17,AV$13)="",10^12,OFFSET(CRONOPLE!$F$14,$M17,AV$13))))</f>
        <v>0</v>
      </c>
      <c r="AX17" s="212">
        <f ca="1">IF($D17&lt;&gt;"Serviço",0,IF(OR(AND(AUTOEVENTO="Manual",$M17=1),$M17&gt;(ROW(PLE.lastrow)-ROW(PLE.firstrow))),0,IF(OFFSET(PLE!$G$14,$M17,AX$13)="",10^12,OFFSET(PLE!$G$14,$M17,AX$13))))</f>
        <v>0</v>
      </c>
      <c r="AY17" s="212">
        <f ca="1">IF($D17&lt;&gt;"Serviço",0,IF(OR(AND(AUTOEVENTO="Manual",$M17=1),$M17&gt;(ROW(PLE.lastrow)-ROW(PLE.firstrow))),0,IF(OFFSET(PLE!$G$14,$M17,AY$13)="",10^12,OFFSET(PLE!$G$14,$M17,AY$13))))</f>
        <v>0</v>
      </c>
      <c r="AZ17" s="212">
        <f ca="1">IF($D17&lt;&gt;"Serviço",0,IF(OR(AND(AUTOEVENTO="Manual",$M17=1),$M17&gt;(ROW(PLE.lastrow)-ROW(PLE.firstrow))),0,IF(OFFSET(PLE!$G$14,$M17,AZ$13)="",10^12,OFFSET(PLE!$G$14,$M17,AZ$13))))</f>
        <v>0</v>
      </c>
      <c r="BA17" s="212">
        <f ca="1">IF($D17&lt;&gt;"Serviço",0,IF(OR(AND(AUTOEVENTO="Manual",$M17=1),$M17&gt;(ROW(PLE.lastrow)-ROW(PLE.firstrow))),0,IF(OFFSET(PLE!$G$14,$M17,BA$13)="",10^12,OFFSET(PLE!$G$14,$M17,BA$13))))</f>
        <v>0</v>
      </c>
      <c r="BB17" s="212">
        <f ca="1">IF($D17&lt;&gt;"Serviço",0,IF(OR(AND(AUTOEVENTO="Manual",$M17=1),$M17&gt;(ROW(PLE.lastrow)-ROW(PLE.firstrow))),0,IF(OFFSET(PLE!$G$14,$M17,BB$13)="",10^12,OFFSET(PLE!$G$14,$M17,BB$13))))</f>
        <v>0</v>
      </c>
      <c r="BC17" s="212">
        <f ca="1">IF($D17&lt;&gt;"Serviço",0,IF(OR(AND(AUTOEVENTO="Manual",$M17=1),$M17&gt;(ROW(PLE.lastrow)-ROW(PLE.firstrow))),0,IF(OFFSET(PLE!$G$14,$M17,BC$13)="",10^12,OFFSET(PLE!$G$14,$M17,BC$13))))</f>
        <v>0</v>
      </c>
      <c r="BD17" s="212">
        <f ca="1">IF($D17&lt;&gt;"Serviço",0,IF(OR(AND(AUTOEVENTO="Manual",$M17=1),$M17&gt;(ROW(PLE.lastrow)-ROW(PLE.firstrow))),0,IF(OFFSET(PLE!$G$14,$M17,BD$13)="",10^12,OFFSET(PLE!$G$14,$M17,BD$13))))</f>
        <v>0</v>
      </c>
      <c r="BE17" s="212">
        <f ca="1">IF($D17&lt;&gt;"Serviço",0,IF(OR(AND(AUTOEVENTO="Manual",$M17=1),$M17&gt;(ROW(PLE.lastrow)-ROW(PLE.firstrow))),0,IF(OFFSET(PLE!$G$14,$M17,BE$13)="",10^12,OFFSET(PLE!$G$14,$M17,BE$13))))</f>
        <v>0</v>
      </c>
      <c r="BF17" s="212">
        <f ca="1">IF($D17&lt;&gt;"Serviço",0,IF(OR(AND(AUTOEVENTO="Manual",$M17=1),$M17&gt;(ROW(PLE.lastrow)-ROW(PLE.firstrow))),0,IF(OFFSET(PLE!$G$14,$M17,BF$13)="",10^12,OFFSET(PLE!$G$14,$M17,BF$13))))</f>
        <v>0</v>
      </c>
      <c r="BG17" s="212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26.4">
      <c r="A18" s="9" t="str">
        <f t="shared" ca="1" si="8"/>
        <v>2</v>
      </c>
      <c r="B18" s="9" t="str">
        <f ca="1">OFFSET(ORÇAMENTO!C$15,ROW(B18)-ROW(B$15),0)</f>
        <v>S</v>
      </c>
      <c r="C18" s="9" t="str">
        <f ca="1">OFFSET(ORÇAMENTO!L$15,ROW(C18)-ROW(C$15),0)</f>
        <v>F</v>
      </c>
      <c r="D18" s="141" t="str">
        <f ca="1">OFFSET(ORÇAMENTO!N$15,ROW(D18)-ROW(D$15),0)</f>
        <v>Serviço</v>
      </c>
      <c r="E18" s="201" t="str">
        <f ca="1">OFFSET(ORÇAMENTO!O$15,ROW(E18)-ROW(E$15),0)</f>
        <v>1.1.1.</v>
      </c>
      <c r="F18" s="202" t="str">
        <f ca="1">OFFSET(ORÇAMENTO!R$15,ROW(F18)-ROW(F$15),0)</f>
        <v>FORNECIMENTO E INSTALAÇÃO DE PLACA DE OBRA COM CHAPA GALVANIZADA E ESTRUTURA DE MADEIRA. AF_03/2022_PS</v>
      </c>
      <c r="G18" s="203" t="str">
        <f ca="1">IF($D18&lt;&gt;"Serviço","",OFFSET(ORÇAMENTO!S$15,ROW(G18)-ROW(G$15),0))</f>
        <v>M2</v>
      </c>
      <c r="H18" s="147">
        <f ca="1">IF($D18&lt;&gt;"Serviço",0,IF(ACOMPANHAMENTO="BM",ROUND(OFFSET(ORÇAMENTO!AJ$15,ROW(H18)-ROW(H$15),0),15-13*ORÇAMENTO!$AF$7),SUMPRODUCT(($Q$12:$AA$12&lt;&gt;"")*ROUND($Q18:$AA18,15-13*ORÇAMENTO!$AF$7))))</f>
        <v>8</v>
      </c>
      <c r="I18" s="645" t="s">
        <v>475</v>
      </c>
      <c r="K18" s="204"/>
      <c r="L18" s="205" t="s">
        <v>255</v>
      </c>
      <c r="M18" s="206">
        <f ca="1">IF($D18&lt;&gt;"Serviço","",IF(AUTOEVENTO="manual",$A18,IF(ISERROR(MATCH($A18,$A$15:OFFSET($A18,-1,0),0)),MAX($M$15:OFFSET(M18,-1,0))+1,INDEX($M$15:OFFSET(M18,-1,0),MATCH($A18,$A$15:OFFSET($A18,-1,0),0)))))</f>
        <v>2</v>
      </c>
      <c r="N18" s="207" t="str">
        <f ca="1">IF($D18&lt;&gt;"Serviço","",IF(AUTOEVENTO="Manual",IF($A18=0,"&lt;-- defina o número do agrupador",OFFSET(EVENTOS!$D$14,$A18,0)),OFFSET($F$15,$A18,0)))</f>
        <v>SERVIÇOS PRELIMINARES</v>
      </c>
      <c r="O18" s="208"/>
      <c r="Q18" s="208">
        <v>8</v>
      </c>
      <c r="R18" s="209"/>
      <c r="S18" s="209"/>
      <c r="T18" s="209"/>
      <c r="U18" s="209"/>
      <c r="V18" s="209"/>
      <c r="W18" s="209"/>
      <c r="X18" s="209"/>
      <c r="Y18" s="209"/>
      <c r="Z18" s="210"/>
      <c r="AB18" s="626">
        <f ca="1">IF(AND($D18="Serviço",AB$12&lt;&gt;0,$H18&gt;0,OR(AUTOEVENTO&lt;&gt;"manual",$M18&lt;&gt;1)),
IF(Import.TipoArredondamento&lt;&gt;"TransfereGOV",
ROUND(OFFSET($P18,0,AB$13),15-13*ORÇAMENTO!$AF$7)/$H18*OFFSET(ORÇAMENTO!$X$15,ROW(AB18)-ROW(AB$15),0),
ROUND(ROUND(OFFSET($P18,0,AB$13),15-13*ORÇAMENTO!$AF$7)*OFFSET(ORÇAMENTO!$W$15,ROW(AB18)-ROW(AB$15),0),15-13*ORÇAMENTO!$AF$11)),0)</f>
        <v>4588</v>
      </c>
      <c r="AC18" s="627">
        <f ca="1">IF(AND($D18="Serviço",AC$12&lt;&gt;0,$H18&gt;0,OR(AUTOEVENTO&lt;&gt;"manual",$M18&lt;&gt;1)),
IF(Import.TipoArredondamento&lt;&gt;"TransfereGOV",
ROUND(OFFSET($P18,0,AC$13),15-13*ORÇAMENTO!$AF$7)/$H18*OFFSET(ORÇAMENTO!$X$15,ROW(AC18)-ROW(AC$15),0),
ROUND(ROUND(OFFSET($P18,0,AC$13),15-13*ORÇAMENTO!$AF$7)*OFFSET(ORÇAMENTO!$W$15,ROW(AC18)-ROW(AC$15),0),15-13*ORÇAMENTO!$AF$11)),0)</f>
        <v>0</v>
      </c>
      <c r="AD18" s="627">
        <f ca="1">IF(AND($D18="Serviço",AD$12&lt;&gt;0,$H18&gt;0,OR(AUTOEVENTO&lt;&gt;"manual",$M18&lt;&gt;1)),
IF(Import.TipoArredondamento&lt;&gt;"TransfereGOV",
ROUND(OFFSET($P18,0,AD$13),15-13*ORÇAMENTO!$AF$7)/$H18*OFFSET(ORÇAMENTO!$X$15,ROW(AD18)-ROW(AD$15),0),
ROUND(ROUND(OFFSET($P18,0,AD$13),15-13*ORÇAMENTO!$AF$7)*OFFSET(ORÇAMENTO!$W$15,ROW(AD18)-ROW(AD$15),0),15-13*ORÇAMENTO!$AF$11)),0)</f>
        <v>0</v>
      </c>
      <c r="AE18" s="627">
        <f ca="1">IF(AND($D18="Serviço",AE$12&lt;&gt;0,$H18&gt;0,OR(AUTOEVENTO&lt;&gt;"manual",$M18&lt;&gt;1)),
IF(Import.TipoArredondamento&lt;&gt;"TransfereGOV",
ROUND(OFFSET($P18,0,AE$13),15-13*ORÇAMENTO!$AF$7)/$H18*OFFSET(ORÇAMENTO!$X$15,ROW(AE18)-ROW(AE$15),0),
ROUND(ROUND(OFFSET($P18,0,AE$13),15-13*ORÇAMENTO!$AF$7)*OFFSET(ORÇAMENTO!$W$15,ROW(AE18)-ROW(AE$15),0),15-13*ORÇAMENTO!$AF$11)),0)</f>
        <v>0</v>
      </c>
      <c r="AF18" s="627">
        <f ca="1">IF(AND($D18="Serviço",AF$12&lt;&gt;0,$H18&gt;0,OR(AUTOEVENTO&lt;&gt;"manual",$M18&lt;&gt;1)),
IF(Import.TipoArredondamento&lt;&gt;"TransfereGOV",
ROUND(OFFSET($P18,0,AF$13),15-13*ORÇAMENTO!$AF$7)/$H18*OFFSET(ORÇAMENTO!$X$15,ROW(AF18)-ROW(AF$15),0),
ROUND(ROUND(OFFSET($P18,0,AF$13),15-13*ORÇAMENTO!$AF$7)*OFFSET(ORÇAMENTO!$W$15,ROW(AF18)-ROW(AF$15),0),15-13*ORÇAMENTO!$AF$11)),0)</f>
        <v>0</v>
      </c>
      <c r="AG18" s="627">
        <f ca="1">IF(AND($D18="Serviço",AG$12&lt;&gt;0,$H18&gt;0,OR(AUTOEVENTO&lt;&gt;"manual",$M18&lt;&gt;1)),
IF(Import.TipoArredondamento&lt;&gt;"TransfereGOV",
ROUND(OFFSET($P18,0,AG$13),15-13*ORÇAMENTO!$AF$7)/$H18*OFFSET(ORÇAMENTO!$X$15,ROW(AG18)-ROW(AG$15),0),
ROUND(ROUND(OFFSET($P18,0,AG$13),15-13*ORÇAMENTO!$AF$7)*OFFSET(ORÇAMENTO!$W$15,ROW(AG18)-ROW(AG$15),0),15-13*ORÇAMENTO!$AF$11)),0)</f>
        <v>0</v>
      </c>
      <c r="AH18" s="627">
        <f ca="1">IF(AND($D18="Serviço",AH$12&lt;&gt;0,$H18&gt;0,OR(AUTOEVENTO&lt;&gt;"manual",$M18&lt;&gt;1)),
IF(Import.TipoArredondamento&lt;&gt;"TransfereGOV",
ROUND(OFFSET($P18,0,AH$13),15-13*ORÇAMENTO!$AF$7)/$H18*OFFSET(ORÇAMENTO!$X$15,ROW(AH18)-ROW(AH$15),0),
ROUND(ROUND(OFFSET($P18,0,AH$13),15-13*ORÇAMENTO!$AF$7)*OFFSET(ORÇAMENTO!$W$15,ROW(AH18)-ROW(AH$15),0),15-13*ORÇAMENTO!$AF$11)),0)</f>
        <v>0</v>
      </c>
      <c r="AI18" s="627">
        <f ca="1">IF(AND($D18="Serviço",AI$12&lt;&gt;0,$H18&gt;0,OR(AUTOEVENTO&lt;&gt;"manual",$M18&lt;&gt;1)),
IF(Import.TipoArredondamento&lt;&gt;"TransfereGOV",
ROUND(OFFSET($P18,0,AI$13),15-13*ORÇAMENTO!$AF$7)/$H18*OFFSET(ORÇAMENTO!$X$15,ROW(AI18)-ROW(AI$15),0),
ROUND(ROUND(OFFSET($P18,0,AI$13),15-13*ORÇAMENTO!$AF$7)*OFFSET(ORÇAMENTO!$W$15,ROW(AI18)-ROW(AI$15),0),15-13*ORÇAMENTO!$AF$11)),0)</f>
        <v>0</v>
      </c>
      <c r="AJ18" s="627">
        <f ca="1">IF(AND($D18="Serviço",AJ$12&lt;&gt;0,$H18&gt;0,OR(AUTOEVENTO&lt;&gt;"manual",$M18&lt;&gt;1)),
IF(Import.TipoArredondamento&lt;&gt;"TransfereGOV",
ROUND(OFFSET($P18,0,AJ$13),15-13*ORÇAMENTO!$AF$7)/$H18*OFFSET(ORÇAMENTO!$X$15,ROW(AJ18)-ROW(AJ$15),0),
ROUND(ROUND(OFFSET($P18,0,AJ$13),15-13*ORÇAMENTO!$AF$7)*OFFSET(ORÇAMENTO!$W$15,ROW(AJ18)-ROW(AJ$15),0),15-13*ORÇAMENTO!$AF$11)),0)</f>
        <v>0</v>
      </c>
      <c r="AK18" s="628">
        <f ca="1">IF(AND($D18="Serviço",AK$12&lt;&gt;0,$H18&gt;0,OR(AUTOEVENTO&lt;&gt;"manual",$M18&lt;&gt;1)),
IF(Import.TipoArredondamento&lt;&gt;"TransfereGOV",
ROUND(OFFSET($P18,0,AK$13),15-13*ORÇAMENTO!$AF$7)/$H18*OFFSET(ORÇAMENTO!$X$15,ROW(AK18)-ROW(AK$15),0),
ROUND(ROUND(OFFSET($P18,0,AK$13),15-13*ORÇAMENTO!$AF$7)*OFFSET(ORÇAMENTO!$W$15,ROW(AK18)-ROW(AK$15),0),15-13*ORÇAMENTO!$AF$11)),0)</f>
        <v>0</v>
      </c>
      <c r="AM18" s="211">
        <f ca="1">IF($D18&lt;&gt;"Serviço",0,IF(AND(AUTOEVENTO="Manual",$M18=1),0,IF(OFFSET(CRONOPLE!$F$14,$M18,AM$13)="",10^12,OFFSET(CRONOPLE!$F$14,$M18,AM$13))))</f>
        <v>1</v>
      </c>
      <c r="AN18" s="211">
        <f ca="1">IF($D18&lt;&gt;"Serviço",0,IF(AND(AUTOEVENTO="Manual",$M18=1),0,IF(OFFSET(CRONOPLE!$F$14,$M18,AN$13)="",10^12,OFFSET(CRONOPLE!$F$14,$M18,AN$13))))</f>
        <v>1000000000000</v>
      </c>
      <c r="AO18" s="211">
        <f ca="1">IF($D18&lt;&gt;"Serviço",0,IF(AND(AUTOEVENTO="Manual",$M18=1),0,IF(OFFSET(CRONOPLE!$F$14,$M18,AO$13)="",10^12,OFFSET(CRONOPLE!$F$14,$M18,AO$13))))</f>
        <v>1000000000000</v>
      </c>
      <c r="AP18" s="211">
        <f ca="1">IF($D18&lt;&gt;"Serviço",0,IF(AND(AUTOEVENTO="Manual",$M18=1),0,IF(OFFSET(CRONOPLE!$F$14,$M18,AP$13)="",10^12,OFFSET(CRONOPLE!$F$14,$M18,AP$13))))</f>
        <v>1000000000000</v>
      </c>
      <c r="AQ18" s="211">
        <f ca="1">IF($D18&lt;&gt;"Serviço",0,IF(AND(AUTOEVENTO="Manual",$M18=1),0,IF(OFFSET(CRONOPLE!$F$14,$M18,AQ$13)="",10^12,OFFSET(CRONOPLE!$F$14,$M18,AQ$13))))</f>
        <v>1000000000000</v>
      </c>
      <c r="AR18" s="211">
        <f ca="1">IF($D18&lt;&gt;"Serviço",0,IF(AND(AUTOEVENTO="Manual",$M18=1),0,IF(OFFSET(CRONOPLE!$F$14,$M18,AR$13)="",10^12,OFFSET(CRONOPLE!$F$14,$M18,AR$13))))</f>
        <v>1000000000000</v>
      </c>
      <c r="AS18" s="211">
        <f ca="1">IF($D18&lt;&gt;"Serviço",0,IF(AND(AUTOEVENTO="Manual",$M18=1),0,IF(OFFSET(CRONOPLE!$F$14,$M18,AS$13)="",10^12,OFFSET(CRONOPLE!$F$14,$M18,AS$13))))</f>
        <v>1000000000000</v>
      </c>
      <c r="AT18" s="211">
        <f ca="1">IF($D18&lt;&gt;"Serviço",0,IF(AND(AUTOEVENTO="Manual",$M18=1),0,IF(OFFSET(CRONOPLE!$F$14,$M18,AT$13)="",10^12,OFFSET(CRONOPLE!$F$14,$M18,AT$13))))</f>
        <v>1000000000000</v>
      </c>
      <c r="AU18" s="211">
        <f ca="1">IF($D18&lt;&gt;"Serviço",0,IF(AND(AUTOEVENTO="Manual",$M18=1),0,IF(OFFSET(CRONOPLE!$F$14,$M18,AU$13)="",10^12,OFFSET(CRONOPLE!$F$14,$M18,AU$13))))</f>
        <v>1000000000000</v>
      </c>
      <c r="AV18" s="211">
        <f ca="1">IF($D18&lt;&gt;"Serviço",0,IF(AND(AUTOEVENTO="Manual",$M18=1),0,IF(OFFSET(CRONOPLE!$F$14,$M18,AV$13)="",10^12,OFFSET(CRONOPLE!$F$14,$M18,AV$13))))</f>
        <v>1000000000000</v>
      </c>
      <c r="AX18" s="212">
        <f ca="1">IF($D18&lt;&gt;"Serviço",0,IF(OR(AND(AUTOEVENTO="Manual",$M18=1),$M18&gt;(ROW(PLE.lastrow)-ROW(PLE.firstrow))),0,IF(OFFSET(PLE!$G$14,$M18,AX$13)="",10^12,OFFSET(PLE!$G$14,$M18,AX$13))))</f>
        <v>1000000000000</v>
      </c>
      <c r="AY18" s="212">
        <f ca="1">IF($D18&lt;&gt;"Serviço",0,IF(OR(AND(AUTOEVENTO="Manual",$M18=1),$M18&gt;(ROW(PLE.lastrow)-ROW(PLE.firstrow))),0,IF(OFFSET(PLE!$G$14,$M18,AY$13)="",10^12,OFFSET(PLE!$G$14,$M18,AY$13))))</f>
        <v>1000000000000</v>
      </c>
      <c r="AZ18" s="212">
        <f ca="1">IF($D18&lt;&gt;"Serviço",0,IF(OR(AND(AUTOEVENTO="Manual",$M18=1),$M18&gt;(ROW(PLE.lastrow)-ROW(PLE.firstrow))),0,IF(OFFSET(PLE!$G$14,$M18,AZ$13)="",10^12,OFFSET(PLE!$G$14,$M18,AZ$13))))</f>
        <v>1000000000000</v>
      </c>
      <c r="BA18" s="212">
        <f ca="1">IF($D18&lt;&gt;"Serviço",0,IF(OR(AND(AUTOEVENTO="Manual",$M18=1),$M18&gt;(ROW(PLE.lastrow)-ROW(PLE.firstrow))),0,IF(OFFSET(PLE!$G$14,$M18,BA$13)="",10^12,OFFSET(PLE!$G$14,$M18,BA$13))))</f>
        <v>1000000000000</v>
      </c>
      <c r="BB18" s="212">
        <f ca="1">IF($D18&lt;&gt;"Serviço",0,IF(OR(AND(AUTOEVENTO="Manual",$M18=1),$M18&gt;(ROW(PLE.lastrow)-ROW(PLE.firstrow))),0,IF(OFFSET(PLE!$G$14,$M18,BB$13)="",10^12,OFFSET(PLE!$G$14,$M18,BB$13))))</f>
        <v>1000000000000</v>
      </c>
      <c r="BC18" s="212">
        <f ca="1">IF($D18&lt;&gt;"Serviço",0,IF(OR(AND(AUTOEVENTO="Manual",$M18=1),$M18&gt;(ROW(PLE.lastrow)-ROW(PLE.firstrow))),0,IF(OFFSET(PLE!$G$14,$M18,BC$13)="",10^12,OFFSET(PLE!$G$14,$M18,BC$13))))</f>
        <v>1000000000000</v>
      </c>
      <c r="BD18" s="212">
        <f ca="1">IF($D18&lt;&gt;"Serviço",0,IF(OR(AND(AUTOEVENTO="Manual",$M18=1),$M18&gt;(ROW(PLE.lastrow)-ROW(PLE.firstrow))),0,IF(OFFSET(PLE!$G$14,$M18,BD$13)="",10^12,OFFSET(PLE!$G$14,$M18,BD$13))))</f>
        <v>1000000000000</v>
      </c>
      <c r="BE18" s="212">
        <f ca="1">IF($D18&lt;&gt;"Serviço",0,IF(OR(AND(AUTOEVENTO="Manual",$M18=1),$M18&gt;(ROW(PLE.lastrow)-ROW(PLE.firstrow))),0,IF(OFFSET(PLE!$G$14,$M18,BE$13)="",10^12,OFFSET(PLE!$G$14,$M18,BE$13))))</f>
        <v>1000000000000</v>
      </c>
      <c r="BF18" s="212">
        <f ca="1">IF($D18&lt;&gt;"Serviço",0,IF(OR(AND(AUTOEVENTO="Manual",$M18=1),$M18&gt;(ROW(PLE.lastrow)-ROW(PLE.firstrow))),0,IF(OFFSET(PLE!$G$14,$M18,BF$13)="",10^12,OFFSET(PLE!$G$14,$M18,BF$13))))</f>
        <v>1000000000000</v>
      </c>
      <c r="BG18" s="212">
        <f ca="1">IF($D18&lt;&gt;"Serviço",0,IF(OR(AND(AUTOEVENTO="Manual",$M18=1),$M18&gt;(ROW(PLE.lastrow)-ROW(PLE.firstrow))),0,IF(OFFSET(PLE!$G$14,$M18,BG$13)="",10^12,OFFSET(PLE!$G$14,$M18,BG$13))))</f>
        <v>1000000000000</v>
      </c>
    </row>
    <row r="19" spans="1:59" ht="13.2">
      <c r="A19" s="9" t="str">
        <f t="shared" ca="1" si="8"/>
        <v>4.</v>
      </c>
      <c r="B19" s="9">
        <f ca="1">OFFSET(ORÇAMENTO!C$15,ROW(B19)-ROW(B$15),0)</f>
        <v>2</v>
      </c>
      <c r="C19" s="9" t="str">
        <f ca="1">OFFSET(ORÇAMENTO!L$15,ROW(C19)-ROW(C$15),0)</f>
        <v>F</v>
      </c>
      <c r="D19" s="141" t="str">
        <f ca="1">OFFSET(ORÇAMENTO!N$15,ROW(D19)-ROW(D$15),0)</f>
        <v>Nível 2</v>
      </c>
      <c r="E19" s="201" t="str">
        <f ca="1">OFFSET(ORÇAMENTO!O$15,ROW(E19)-ROW(E$15),0)</f>
        <v>1.2.</v>
      </c>
      <c r="F19" s="202" t="str">
        <f ca="1">OFFSET(ORÇAMENTO!R$15,ROW(F19)-ROW(F$15),0)</f>
        <v>RECAPEAMENTO ASFÁLTICO</v>
      </c>
      <c r="G19" s="203" t="str">
        <f ca="1">IF($D19&lt;&gt;"Serviço","",OFFSET(ORÇAMENTO!S$15,ROW(G19)-ROW(G$15),0))</f>
        <v/>
      </c>
      <c r="H19" s="147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645"/>
      <c r="K19" s="204"/>
      <c r="L19" s="205" t="s">
        <v>255</v>
      </c>
      <c r="M19" s="206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207" t="str">
        <f ca="1">IF($D19&lt;&gt;"Serviço","",IF(AUTOEVENTO="Manual",IF($A19=0,"&lt;-- defina o número do agrupador",OFFSET(EVENTOS!$D$14,$A19,0)),OFFSET($F$15,$A19,0)))</f>
        <v/>
      </c>
      <c r="O19" s="208"/>
      <c r="Q19" s="208"/>
      <c r="R19" s="209"/>
      <c r="S19" s="209"/>
      <c r="T19" s="209"/>
      <c r="U19" s="209"/>
      <c r="V19" s="209"/>
      <c r="W19" s="209"/>
      <c r="X19" s="209"/>
      <c r="Y19" s="209"/>
      <c r="Z19" s="210"/>
      <c r="AB19" s="626">
        <f ca="1">IF(AND($D19="Serviço",AB$12&lt;&gt;0,$H19&gt;0,OR(AUTOEVENTO&lt;&gt;"manual",$M19&lt;&gt;1)),
IF(Import.TipoArredondamento&lt;&gt;"TransfereGOV",
ROUND(OFFSET($P19,0,AB$13),15-13*ORÇAMENTO!$AF$7)/$H19*OFFSET(ORÇAMENTO!$X$15,ROW(AB19)-ROW(AB$15),0),
ROUND(ROUND(OFFSET($P19,0,AB$13),15-13*ORÇAMENTO!$AF$7)*OFFSET(ORÇAMENTO!$W$15,ROW(AB19)-ROW(AB$15),0),15-13*ORÇAMENTO!$AF$11)),0)</f>
        <v>0</v>
      </c>
      <c r="AC19" s="627">
        <f ca="1">IF(AND($D19="Serviço",AC$12&lt;&gt;0,$H19&gt;0,OR(AUTOEVENTO&lt;&gt;"manual",$M19&lt;&gt;1)),
IF(Import.TipoArredondamento&lt;&gt;"TransfereGOV",
ROUND(OFFSET($P19,0,AC$13),15-13*ORÇAMENTO!$AF$7)/$H19*OFFSET(ORÇAMENTO!$X$15,ROW(AC19)-ROW(AC$15),0),
ROUND(ROUND(OFFSET($P19,0,AC$13),15-13*ORÇAMENTO!$AF$7)*OFFSET(ORÇAMENTO!$W$15,ROW(AC19)-ROW(AC$15),0),15-13*ORÇAMENTO!$AF$11)),0)</f>
        <v>0</v>
      </c>
      <c r="AD19" s="627">
        <f ca="1">IF(AND($D19="Serviço",AD$12&lt;&gt;0,$H19&gt;0,OR(AUTOEVENTO&lt;&gt;"manual",$M19&lt;&gt;1)),
IF(Import.TipoArredondamento&lt;&gt;"TransfereGOV",
ROUND(OFFSET($P19,0,AD$13),15-13*ORÇAMENTO!$AF$7)/$H19*OFFSET(ORÇAMENTO!$X$15,ROW(AD19)-ROW(AD$15),0),
ROUND(ROUND(OFFSET($P19,0,AD$13),15-13*ORÇAMENTO!$AF$7)*OFFSET(ORÇAMENTO!$W$15,ROW(AD19)-ROW(AD$15),0),15-13*ORÇAMENTO!$AF$11)),0)</f>
        <v>0</v>
      </c>
      <c r="AE19" s="627">
        <f ca="1">IF(AND($D19="Serviço",AE$12&lt;&gt;0,$H19&gt;0,OR(AUTOEVENTO&lt;&gt;"manual",$M19&lt;&gt;1)),
IF(Import.TipoArredondamento&lt;&gt;"TransfereGOV",
ROUND(OFFSET($P19,0,AE$13),15-13*ORÇAMENTO!$AF$7)/$H19*OFFSET(ORÇAMENTO!$X$15,ROW(AE19)-ROW(AE$15),0),
ROUND(ROUND(OFFSET($P19,0,AE$13),15-13*ORÇAMENTO!$AF$7)*OFFSET(ORÇAMENTO!$W$15,ROW(AE19)-ROW(AE$15),0),15-13*ORÇAMENTO!$AF$11)),0)</f>
        <v>0</v>
      </c>
      <c r="AF19" s="627">
        <f ca="1">IF(AND($D19="Serviço",AF$12&lt;&gt;0,$H19&gt;0,OR(AUTOEVENTO&lt;&gt;"manual",$M19&lt;&gt;1)),
IF(Import.TipoArredondamento&lt;&gt;"TransfereGOV",
ROUND(OFFSET($P19,0,AF$13),15-13*ORÇAMENTO!$AF$7)/$H19*OFFSET(ORÇAMENTO!$X$15,ROW(AF19)-ROW(AF$15),0),
ROUND(ROUND(OFFSET($P19,0,AF$13),15-13*ORÇAMENTO!$AF$7)*OFFSET(ORÇAMENTO!$W$15,ROW(AF19)-ROW(AF$15),0),15-13*ORÇAMENTO!$AF$11)),0)</f>
        <v>0</v>
      </c>
      <c r="AG19" s="627">
        <f ca="1">IF(AND($D19="Serviço",AG$12&lt;&gt;0,$H19&gt;0,OR(AUTOEVENTO&lt;&gt;"manual",$M19&lt;&gt;1)),
IF(Import.TipoArredondamento&lt;&gt;"TransfereGOV",
ROUND(OFFSET($P19,0,AG$13),15-13*ORÇAMENTO!$AF$7)/$H19*OFFSET(ORÇAMENTO!$X$15,ROW(AG19)-ROW(AG$15),0),
ROUND(ROUND(OFFSET($P19,0,AG$13),15-13*ORÇAMENTO!$AF$7)*OFFSET(ORÇAMENTO!$W$15,ROW(AG19)-ROW(AG$15),0),15-13*ORÇAMENTO!$AF$11)),0)</f>
        <v>0</v>
      </c>
      <c r="AH19" s="627">
        <f ca="1">IF(AND($D19="Serviço",AH$12&lt;&gt;0,$H19&gt;0,OR(AUTOEVENTO&lt;&gt;"manual",$M19&lt;&gt;1)),
IF(Import.TipoArredondamento&lt;&gt;"TransfereGOV",
ROUND(OFFSET($P19,0,AH$13),15-13*ORÇAMENTO!$AF$7)/$H19*OFFSET(ORÇAMENTO!$X$15,ROW(AH19)-ROW(AH$15),0),
ROUND(ROUND(OFFSET($P19,0,AH$13),15-13*ORÇAMENTO!$AF$7)*OFFSET(ORÇAMENTO!$W$15,ROW(AH19)-ROW(AH$15),0),15-13*ORÇAMENTO!$AF$11)),0)</f>
        <v>0</v>
      </c>
      <c r="AI19" s="627">
        <f ca="1">IF(AND($D19="Serviço",AI$12&lt;&gt;0,$H19&gt;0,OR(AUTOEVENTO&lt;&gt;"manual",$M19&lt;&gt;1)),
IF(Import.TipoArredondamento&lt;&gt;"TransfereGOV",
ROUND(OFFSET($P19,0,AI$13),15-13*ORÇAMENTO!$AF$7)/$H19*OFFSET(ORÇAMENTO!$X$15,ROW(AI19)-ROW(AI$15),0),
ROUND(ROUND(OFFSET($P19,0,AI$13),15-13*ORÇAMENTO!$AF$7)*OFFSET(ORÇAMENTO!$W$15,ROW(AI19)-ROW(AI$15),0),15-13*ORÇAMENTO!$AF$11)),0)</f>
        <v>0</v>
      </c>
      <c r="AJ19" s="627">
        <f ca="1">IF(AND($D19="Serviço",AJ$12&lt;&gt;0,$H19&gt;0,OR(AUTOEVENTO&lt;&gt;"manual",$M19&lt;&gt;1)),
IF(Import.TipoArredondamento&lt;&gt;"TransfereGOV",
ROUND(OFFSET($P19,0,AJ$13),15-13*ORÇAMENTO!$AF$7)/$H19*OFFSET(ORÇAMENTO!$X$15,ROW(AJ19)-ROW(AJ$15),0),
ROUND(ROUND(OFFSET($P19,0,AJ$13),15-13*ORÇAMENTO!$AF$7)*OFFSET(ORÇAMENTO!$W$15,ROW(AJ19)-ROW(AJ$15),0),15-13*ORÇAMENTO!$AF$11)),0)</f>
        <v>0</v>
      </c>
      <c r="AK19" s="628">
        <f ca="1">IF(AND($D19="Serviço",AK$12&lt;&gt;0,$H19&gt;0,OR(AUTOEVENTO&lt;&gt;"manual",$M19&lt;&gt;1)),
IF(Import.TipoArredondamento&lt;&gt;"TransfereGOV",
ROUND(OFFSET($P19,0,AK$13),15-13*ORÇAMENTO!$AF$7)/$H19*OFFSET(ORÇAMENTO!$X$15,ROW(AK19)-ROW(AK$15),0),
ROUND(ROUND(OFFSET($P19,0,AK$13),15-13*ORÇAMENTO!$AF$7)*OFFSET(ORÇAMENTO!$W$15,ROW(AK19)-ROW(AK$15),0),15-13*ORÇAMENTO!$AF$11)),0)</f>
        <v>0</v>
      </c>
      <c r="AM19" s="211">
        <f ca="1">IF($D19&lt;&gt;"Serviço",0,IF(AND(AUTOEVENTO="Manual",$M19=1),0,IF(OFFSET(CRONOPLE!$F$14,$M19,AM$13)="",10^12,OFFSET(CRONOPLE!$F$14,$M19,AM$13))))</f>
        <v>0</v>
      </c>
      <c r="AN19" s="211">
        <f ca="1">IF($D19&lt;&gt;"Serviço",0,IF(AND(AUTOEVENTO="Manual",$M19=1),0,IF(OFFSET(CRONOPLE!$F$14,$M19,AN$13)="",10^12,OFFSET(CRONOPLE!$F$14,$M19,AN$13))))</f>
        <v>0</v>
      </c>
      <c r="AO19" s="211">
        <f ca="1">IF($D19&lt;&gt;"Serviço",0,IF(AND(AUTOEVENTO="Manual",$M19=1),0,IF(OFFSET(CRONOPLE!$F$14,$M19,AO$13)="",10^12,OFFSET(CRONOPLE!$F$14,$M19,AO$13))))</f>
        <v>0</v>
      </c>
      <c r="AP19" s="211">
        <f ca="1">IF($D19&lt;&gt;"Serviço",0,IF(AND(AUTOEVENTO="Manual",$M19=1),0,IF(OFFSET(CRONOPLE!$F$14,$M19,AP$13)="",10^12,OFFSET(CRONOPLE!$F$14,$M19,AP$13))))</f>
        <v>0</v>
      </c>
      <c r="AQ19" s="211">
        <f ca="1">IF($D19&lt;&gt;"Serviço",0,IF(AND(AUTOEVENTO="Manual",$M19=1),0,IF(OFFSET(CRONOPLE!$F$14,$M19,AQ$13)="",10^12,OFFSET(CRONOPLE!$F$14,$M19,AQ$13))))</f>
        <v>0</v>
      </c>
      <c r="AR19" s="211">
        <f ca="1">IF($D19&lt;&gt;"Serviço",0,IF(AND(AUTOEVENTO="Manual",$M19=1),0,IF(OFFSET(CRONOPLE!$F$14,$M19,AR$13)="",10^12,OFFSET(CRONOPLE!$F$14,$M19,AR$13))))</f>
        <v>0</v>
      </c>
      <c r="AS19" s="211">
        <f ca="1">IF($D19&lt;&gt;"Serviço",0,IF(AND(AUTOEVENTO="Manual",$M19=1),0,IF(OFFSET(CRONOPLE!$F$14,$M19,AS$13)="",10^12,OFFSET(CRONOPLE!$F$14,$M19,AS$13))))</f>
        <v>0</v>
      </c>
      <c r="AT19" s="211">
        <f ca="1">IF($D19&lt;&gt;"Serviço",0,IF(AND(AUTOEVENTO="Manual",$M19=1),0,IF(OFFSET(CRONOPLE!$F$14,$M19,AT$13)="",10^12,OFFSET(CRONOPLE!$F$14,$M19,AT$13))))</f>
        <v>0</v>
      </c>
      <c r="AU19" s="211">
        <f ca="1">IF($D19&lt;&gt;"Serviço",0,IF(AND(AUTOEVENTO="Manual",$M19=1),0,IF(OFFSET(CRONOPLE!$F$14,$M19,AU$13)="",10^12,OFFSET(CRONOPLE!$F$14,$M19,AU$13))))</f>
        <v>0</v>
      </c>
      <c r="AV19" s="211">
        <f ca="1">IF($D19&lt;&gt;"Serviço",0,IF(AND(AUTOEVENTO="Manual",$M19=1),0,IF(OFFSET(CRONOPLE!$F$14,$M19,AV$13)="",10^12,OFFSET(CRONOPLE!$F$14,$M19,AV$13))))</f>
        <v>0</v>
      </c>
      <c r="AX19" s="212">
        <f ca="1">IF($D19&lt;&gt;"Serviço",0,IF(OR(AND(AUTOEVENTO="Manual",$M19=1),$M19&gt;(ROW(PLE.lastrow)-ROW(PLE.firstrow))),0,IF(OFFSET(PLE!$G$14,$M19,AX$13)="",10^12,OFFSET(PLE!$G$14,$M19,AX$13))))</f>
        <v>0</v>
      </c>
      <c r="AY19" s="212">
        <f ca="1">IF($D19&lt;&gt;"Serviço",0,IF(OR(AND(AUTOEVENTO="Manual",$M19=1),$M19&gt;(ROW(PLE.lastrow)-ROW(PLE.firstrow))),0,IF(OFFSET(PLE!$G$14,$M19,AY$13)="",10^12,OFFSET(PLE!$G$14,$M19,AY$13))))</f>
        <v>0</v>
      </c>
      <c r="AZ19" s="212">
        <f ca="1">IF($D19&lt;&gt;"Serviço",0,IF(OR(AND(AUTOEVENTO="Manual",$M19=1),$M19&gt;(ROW(PLE.lastrow)-ROW(PLE.firstrow))),0,IF(OFFSET(PLE!$G$14,$M19,AZ$13)="",10^12,OFFSET(PLE!$G$14,$M19,AZ$13))))</f>
        <v>0</v>
      </c>
      <c r="BA19" s="212">
        <f ca="1">IF($D19&lt;&gt;"Serviço",0,IF(OR(AND(AUTOEVENTO="Manual",$M19=1),$M19&gt;(ROW(PLE.lastrow)-ROW(PLE.firstrow))),0,IF(OFFSET(PLE!$G$14,$M19,BA$13)="",10^12,OFFSET(PLE!$G$14,$M19,BA$13))))</f>
        <v>0</v>
      </c>
      <c r="BB19" s="212">
        <f ca="1">IF($D19&lt;&gt;"Serviço",0,IF(OR(AND(AUTOEVENTO="Manual",$M19=1),$M19&gt;(ROW(PLE.lastrow)-ROW(PLE.firstrow))),0,IF(OFFSET(PLE!$G$14,$M19,BB$13)="",10^12,OFFSET(PLE!$G$14,$M19,BB$13))))</f>
        <v>0</v>
      </c>
      <c r="BC19" s="212">
        <f ca="1">IF($D19&lt;&gt;"Serviço",0,IF(OR(AND(AUTOEVENTO="Manual",$M19=1),$M19&gt;(ROW(PLE.lastrow)-ROW(PLE.firstrow))),0,IF(OFFSET(PLE!$G$14,$M19,BC$13)="",10^12,OFFSET(PLE!$G$14,$M19,BC$13))))</f>
        <v>0</v>
      </c>
      <c r="BD19" s="212">
        <f ca="1">IF($D19&lt;&gt;"Serviço",0,IF(OR(AND(AUTOEVENTO="Manual",$M19=1),$M19&gt;(ROW(PLE.lastrow)-ROW(PLE.firstrow))),0,IF(OFFSET(PLE!$G$14,$M19,BD$13)="",10^12,OFFSET(PLE!$G$14,$M19,BD$13))))</f>
        <v>0</v>
      </c>
      <c r="BE19" s="212">
        <f ca="1">IF($D19&lt;&gt;"Serviço",0,IF(OR(AND(AUTOEVENTO="Manual",$M19=1),$M19&gt;(ROW(PLE.lastrow)-ROW(PLE.firstrow))),0,IF(OFFSET(PLE!$G$14,$M19,BE$13)="",10^12,OFFSET(PLE!$G$14,$M19,BE$13))))</f>
        <v>0</v>
      </c>
      <c r="BF19" s="212">
        <f ca="1">IF($D19&lt;&gt;"Serviço",0,IF(OR(AND(AUTOEVENTO="Manual",$M19=1),$M19&gt;(ROW(PLE.lastrow)-ROW(PLE.firstrow))),0,IF(OFFSET(PLE!$G$14,$M19,BF$13)="",10^12,OFFSET(PLE!$G$14,$M19,BF$13))))</f>
        <v>0</v>
      </c>
      <c r="BG19" s="212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13.2">
      <c r="A20" s="9" t="str">
        <f t="shared" ca="1" si="8"/>
        <v>4</v>
      </c>
      <c r="B20" s="9" t="str">
        <f ca="1">OFFSET(ORÇAMENTO!C$15,ROW(B20)-ROW(B$15),0)</f>
        <v>S</v>
      </c>
      <c r="C20" s="9" t="str">
        <f ca="1">OFFSET(ORÇAMENTO!L$15,ROW(C20)-ROW(C$15),0)</f>
        <v>F</v>
      </c>
      <c r="D20" s="141" t="str">
        <f ca="1">OFFSET(ORÇAMENTO!N$15,ROW(D20)-ROW(D$15),0)</f>
        <v>Serviço</v>
      </c>
      <c r="E20" s="201" t="str">
        <f ca="1">OFFSET(ORÇAMENTO!O$15,ROW(E20)-ROW(E$15),0)</f>
        <v>1.2.1.</v>
      </c>
      <c r="F20" s="202" t="str">
        <f ca="1">OFFSET(ORÇAMENTO!R$15,ROW(F20)-ROW(F$15),0)</f>
        <v>Varrição de pavimento para recapeamento</v>
      </c>
      <c r="G20" s="203" t="str">
        <f ca="1">IF($D20&lt;&gt;"Serviço","",OFFSET(ORÇAMENTO!S$15,ROW(G20)-ROW(G$15),0))</f>
        <v>M2</v>
      </c>
      <c r="H20" s="147">
        <f ca="1">IF($D20&lt;&gt;"Serviço",0,IF(ACOMPANHAMENTO="BM",ROUND(OFFSET(ORÇAMENTO!AJ$15,ROW(H20)-ROW(H$15),0),15-13*ORÇAMENTO!$AF$7),SUMPRODUCT(($Q$12:$AA$12&lt;&gt;"")*ROUND($Q20:$AA20,15-13*ORÇAMENTO!$AF$7))))</f>
        <v>18511.060000000001</v>
      </c>
      <c r="I20" s="645"/>
      <c r="K20" s="204"/>
      <c r="L20" s="205" t="s">
        <v>255</v>
      </c>
      <c r="M20" s="206">
        <f ca="1">IF($D20&lt;&gt;"Serviço","",IF(AUTOEVENTO="manual",$A20,IF(ISERROR(MATCH($A20,$A$15:OFFSET($A20,-1,0),0)),MAX($M$15:OFFSET(M20,-1,0))+1,INDEX($M$15:OFFSET(M20,-1,0),MATCH($A20,$A$15:OFFSET($A20,-1,0),0)))))</f>
        <v>3</v>
      </c>
      <c r="N20" s="207" t="str">
        <f ca="1">IF($D20&lt;&gt;"Serviço","",IF(AUTOEVENTO="Manual",IF($A20=0,"&lt;-- defina o número do agrupador",OFFSET(EVENTOS!$D$14,$A20,0)),OFFSET($F$15,$A20,0)))</f>
        <v>RECAPEAMENTO ASFÁLTICO</v>
      </c>
      <c r="O20" s="208"/>
      <c r="Q20" s="208">
        <v>1862.26</v>
      </c>
      <c r="R20" s="209">
        <v>10515.84</v>
      </c>
      <c r="S20" s="209">
        <v>4582.1400000000003</v>
      </c>
      <c r="T20" s="209">
        <v>1550.82</v>
      </c>
      <c r="U20" s="209"/>
      <c r="V20" s="209"/>
      <c r="W20" s="209"/>
      <c r="X20" s="209"/>
      <c r="Y20" s="209"/>
      <c r="Z20" s="210"/>
      <c r="AB20" s="626">
        <f ca="1">IF(AND($D20="Serviço",AB$12&lt;&gt;0,$H20&gt;0,OR(AUTOEVENTO&lt;&gt;"manual",$M20&lt;&gt;1)),
IF(Import.TipoArredondamento&lt;&gt;"TransfereGOV",
ROUND(OFFSET($P20,0,AB$13),15-13*ORÇAMENTO!$AF$7)/$H20*OFFSET(ORÇAMENTO!$X$15,ROW(AB20)-ROW(AB$15),0),
ROUND(ROUND(OFFSET($P20,0,AB$13),15-13*ORÇAMENTO!$AF$7)*OFFSET(ORÇAMENTO!$W$15,ROW(AB20)-ROW(AB$15),0),15-13*ORÇAMENTO!$AF$11)),0)</f>
        <v>1955.3726981923239</v>
      </c>
      <c r="AC20" s="627">
        <f ca="1">IF(AND($D20="Serviço",AC$12&lt;&gt;0,$H20&gt;0,OR(AUTOEVENTO&lt;&gt;"manual",$M20&lt;&gt;1)),
IF(Import.TipoArredondamento&lt;&gt;"TransfereGOV",
ROUND(OFFSET($P20,0,AC$13),15-13*ORÇAMENTO!$AF$7)/$H20*OFFSET(ORÇAMENTO!$X$15,ROW(AC20)-ROW(AC$15),0),
ROUND(ROUND(OFFSET($P20,0,AC$13),15-13*ORÇAMENTO!$AF$7)*OFFSET(ORÇAMENTO!$W$15,ROW(AC20)-ROW(AC$15),0),15-13*ORÇAMENTO!$AF$11)),0)</f>
        <v>11041.630295747515</v>
      </c>
      <c r="AD20" s="627">
        <f ca="1">IF(AND($D20="Serviço",AD$12&lt;&gt;0,$H20&gt;0,OR(AUTOEVENTO&lt;&gt;"manual",$M20&lt;&gt;1)),
IF(Import.TipoArredondamento&lt;&gt;"TransfereGOV",
ROUND(OFFSET($P20,0,AD$13),15-13*ORÇAMENTO!$AF$7)/$H20*OFFSET(ORÇAMENTO!$X$15,ROW(AD20)-ROW(AD$15),0),
ROUND(ROUND(OFFSET($P20,0,AD$13),15-13*ORÇAMENTO!$AF$7)*OFFSET(ORÇAMENTO!$W$15,ROW(AD20)-ROW(AD$15),0),15-13*ORÇAMENTO!$AF$11)),0)</f>
        <v>4811.2462573942285</v>
      </c>
      <c r="AE20" s="627">
        <f ca="1">IF(AND($D20="Serviço",AE$12&lt;&gt;0,$H20&gt;0,OR(AUTOEVENTO&lt;&gt;"manual",$M20&lt;&gt;1)),
IF(Import.TipoArredondamento&lt;&gt;"TransfereGOV",
ROUND(OFFSET($P20,0,AE$13),15-13*ORÇAMENTO!$AF$7)/$H20*OFFSET(ORÇAMENTO!$X$15,ROW(AE20)-ROW(AE$15),0),
ROUND(ROUND(OFFSET($P20,0,AE$13),15-13*ORÇAMENTO!$AF$7)*OFFSET(ORÇAMENTO!$W$15,ROW(AE20)-ROW(AE$15),0),15-13*ORÇAMENTO!$AF$11)),0)</f>
        <v>1628.3607486659325</v>
      </c>
      <c r="AF20" s="627">
        <f ca="1">IF(AND($D20="Serviço",AF$12&lt;&gt;0,$H20&gt;0,OR(AUTOEVENTO&lt;&gt;"manual",$M20&lt;&gt;1)),
IF(Import.TipoArredondamento&lt;&gt;"TransfereGOV",
ROUND(OFFSET($P20,0,AF$13),15-13*ORÇAMENTO!$AF$7)/$H20*OFFSET(ORÇAMENTO!$X$15,ROW(AF20)-ROW(AF$15),0),
ROUND(ROUND(OFFSET($P20,0,AF$13),15-13*ORÇAMENTO!$AF$7)*OFFSET(ORÇAMENTO!$W$15,ROW(AF20)-ROW(AF$15),0),15-13*ORÇAMENTO!$AF$11)),0)</f>
        <v>0</v>
      </c>
      <c r="AG20" s="627">
        <f ca="1">IF(AND($D20="Serviço",AG$12&lt;&gt;0,$H20&gt;0,OR(AUTOEVENTO&lt;&gt;"manual",$M20&lt;&gt;1)),
IF(Import.TipoArredondamento&lt;&gt;"TransfereGOV",
ROUND(OFFSET($P20,0,AG$13),15-13*ORÇAMENTO!$AF$7)/$H20*OFFSET(ORÇAMENTO!$X$15,ROW(AG20)-ROW(AG$15),0),
ROUND(ROUND(OFFSET($P20,0,AG$13),15-13*ORÇAMENTO!$AF$7)*OFFSET(ORÇAMENTO!$W$15,ROW(AG20)-ROW(AG$15),0),15-13*ORÇAMENTO!$AF$11)),0)</f>
        <v>0</v>
      </c>
      <c r="AH20" s="627">
        <f ca="1">IF(AND($D20="Serviço",AH$12&lt;&gt;0,$H20&gt;0,OR(AUTOEVENTO&lt;&gt;"manual",$M20&lt;&gt;1)),
IF(Import.TipoArredondamento&lt;&gt;"TransfereGOV",
ROUND(OFFSET($P20,0,AH$13),15-13*ORÇAMENTO!$AF$7)/$H20*OFFSET(ORÇAMENTO!$X$15,ROW(AH20)-ROW(AH$15),0),
ROUND(ROUND(OFFSET($P20,0,AH$13),15-13*ORÇAMENTO!$AF$7)*OFFSET(ORÇAMENTO!$W$15,ROW(AH20)-ROW(AH$15),0),15-13*ORÇAMENTO!$AF$11)),0)</f>
        <v>0</v>
      </c>
      <c r="AI20" s="627">
        <f ca="1">IF(AND($D20="Serviço",AI$12&lt;&gt;0,$H20&gt;0,OR(AUTOEVENTO&lt;&gt;"manual",$M20&lt;&gt;1)),
IF(Import.TipoArredondamento&lt;&gt;"TransfereGOV",
ROUND(OFFSET($P20,0,AI$13),15-13*ORÇAMENTO!$AF$7)/$H20*OFFSET(ORÇAMENTO!$X$15,ROW(AI20)-ROW(AI$15),0),
ROUND(ROUND(OFFSET($P20,0,AI$13),15-13*ORÇAMENTO!$AF$7)*OFFSET(ORÇAMENTO!$W$15,ROW(AI20)-ROW(AI$15),0),15-13*ORÇAMENTO!$AF$11)),0)</f>
        <v>0</v>
      </c>
      <c r="AJ20" s="627">
        <f ca="1">IF(AND($D20="Serviço",AJ$12&lt;&gt;0,$H20&gt;0,OR(AUTOEVENTO&lt;&gt;"manual",$M20&lt;&gt;1)),
IF(Import.TipoArredondamento&lt;&gt;"TransfereGOV",
ROUND(OFFSET($P20,0,AJ$13),15-13*ORÇAMENTO!$AF$7)/$H20*OFFSET(ORÇAMENTO!$X$15,ROW(AJ20)-ROW(AJ$15),0),
ROUND(ROUND(OFFSET($P20,0,AJ$13),15-13*ORÇAMENTO!$AF$7)*OFFSET(ORÇAMENTO!$W$15,ROW(AJ20)-ROW(AJ$15),0),15-13*ORÇAMENTO!$AF$11)),0)</f>
        <v>0</v>
      </c>
      <c r="AK20" s="628">
        <f ca="1">IF(AND($D20="Serviço",AK$12&lt;&gt;0,$H20&gt;0,OR(AUTOEVENTO&lt;&gt;"manual",$M20&lt;&gt;1)),
IF(Import.TipoArredondamento&lt;&gt;"TransfereGOV",
ROUND(OFFSET($P20,0,AK$13),15-13*ORÇAMENTO!$AF$7)/$H20*OFFSET(ORÇAMENTO!$X$15,ROW(AK20)-ROW(AK$15),0),
ROUND(ROUND(OFFSET($P20,0,AK$13),15-13*ORÇAMENTO!$AF$7)*OFFSET(ORÇAMENTO!$W$15,ROW(AK20)-ROW(AK$15),0),15-13*ORÇAMENTO!$AF$11)),0)</f>
        <v>0</v>
      </c>
      <c r="AM20" s="211">
        <f ca="1">IF($D20&lt;&gt;"Serviço",0,IF(AND(AUTOEVENTO="Manual",$M20=1),0,IF(OFFSET(CRONOPLE!$F$14,$M20,AM$13)="",10^12,OFFSET(CRONOPLE!$F$14,$M20,AM$13))))</f>
        <v>2</v>
      </c>
      <c r="AN20" s="211">
        <f ca="1">IF($D20&lt;&gt;"Serviço",0,IF(AND(AUTOEVENTO="Manual",$M20=1),0,IF(OFFSET(CRONOPLE!$F$14,$M20,AN$13)="",10^12,OFFSET(CRONOPLE!$F$14,$M20,AN$13))))</f>
        <v>1</v>
      </c>
      <c r="AO20" s="211">
        <f ca="1">IF($D20&lt;&gt;"Serviço",0,IF(AND(AUTOEVENTO="Manual",$M20=1),0,IF(OFFSET(CRONOPLE!$F$14,$M20,AO$13)="",10^12,OFFSET(CRONOPLE!$F$14,$M20,AO$13))))</f>
        <v>2</v>
      </c>
      <c r="AP20" s="211">
        <f ca="1">IF($D20&lt;&gt;"Serviço",0,IF(AND(AUTOEVENTO="Manual",$M20=1),0,IF(OFFSET(CRONOPLE!$F$14,$M20,AP$13)="",10^12,OFFSET(CRONOPLE!$F$14,$M20,AP$13))))</f>
        <v>2</v>
      </c>
      <c r="AQ20" s="211">
        <f ca="1">IF($D20&lt;&gt;"Serviço",0,IF(AND(AUTOEVENTO="Manual",$M20=1),0,IF(OFFSET(CRONOPLE!$F$14,$M20,AQ$13)="",10^12,OFFSET(CRONOPLE!$F$14,$M20,AQ$13))))</f>
        <v>1000000000000</v>
      </c>
      <c r="AR20" s="211">
        <f ca="1">IF($D20&lt;&gt;"Serviço",0,IF(AND(AUTOEVENTO="Manual",$M20=1),0,IF(OFFSET(CRONOPLE!$F$14,$M20,AR$13)="",10^12,OFFSET(CRONOPLE!$F$14,$M20,AR$13))))</f>
        <v>1000000000000</v>
      </c>
      <c r="AS20" s="211">
        <f ca="1">IF($D20&lt;&gt;"Serviço",0,IF(AND(AUTOEVENTO="Manual",$M20=1),0,IF(OFFSET(CRONOPLE!$F$14,$M20,AS$13)="",10^12,OFFSET(CRONOPLE!$F$14,$M20,AS$13))))</f>
        <v>1000000000000</v>
      </c>
      <c r="AT20" s="211">
        <f ca="1">IF($D20&lt;&gt;"Serviço",0,IF(AND(AUTOEVENTO="Manual",$M20=1),0,IF(OFFSET(CRONOPLE!$F$14,$M20,AT$13)="",10^12,OFFSET(CRONOPLE!$F$14,$M20,AT$13))))</f>
        <v>1000000000000</v>
      </c>
      <c r="AU20" s="211">
        <f ca="1">IF($D20&lt;&gt;"Serviço",0,IF(AND(AUTOEVENTO="Manual",$M20=1),0,IF(OFFSET(CRONOPLE!$F$14,$M20,AU$13)="",10^12,OFFSET(CRONOPLE!$F$14,$M20,AU$13))))</f>
        <v>1000000000000</v>
      </c>
      <c r="AV20" s="211">
        <f ca="1">IF($D20&lt;&gt;"Serviço",0,IF(AND(AUTOEVENTO="Manual",$M20=1),0,IF(OFFSET(CRONOPLE!$F$14,$M20,AV$13)="",10^12,OFFSET(CRONOPLE!$F$14,$M20,AV$13))))</f>
        <v>1000000000000</v>
      </c>
      <c r="AX20" s="212">
        <f ca="1">IF($D20&lt;&gt;"Serviço",0,IF(OR(AND(AUTOEVENTO="Manual",$M20=1),$M20&gt;(ROW(PLE.lastrow)-ROW(PLE.firstrow))),0,IF(OFFSET(PLE!$G$14,$M20,AX$13)="",10^12,OFFSET(PLE!$G$14,$M20,AX$13))))</f>
        <v>1000000000000</v>
      </c>
      <c r="AY20" s="212">
        <f ca="1">IF($D20&lt;&gt;"Serviço",0,IF(OR(AND(AUTOEVENTO="Manual",$M20=1),$M20&gt;(ROW(PLE.lastrow)-ROW(PLE.firstrow))),0,IF(OFFSET(PLE!$G$14,$M20,AY$13)="",10^12,OFFSET(PLE!$G$14,$M20,AY$13))))</f>
        <v>1000000000000</v>
      </c>
      <c r="AZ20" s="212">
        <f ca="1">IF($D20&lt;&gt;"Serviço",0,IF(OR(AND(AUTOEVENTO="Manual",$M20=1),$M20&gt;(ROW(PLE.lastrow)-ROW(PLE.firstrow))),0,IF(OFFSET(PLE!$G$14,$M20,AZ$13)="",10^12,OFFSET(PLE!$G$14,$M20,AZ$13))))</f>
        <v>1000000000000</v>
      </c>
      <c r="BA20" s="212">
        <f ca="1">IF($D20&lt;&gt;"Serviço",0,IF(OR(AND(AUTOEVENTO="Manual",$M20=1),$M20&gt;(ROW(PLE.lastrow)-ROW(PLE.firstrow))),0,IF(OFFSET(PLE!$G$14,$M20,BA$13)="",10^12,OFFSET(PLE!$G$14,$M20,BA$13))))</f>
        <v>1000000000000</v>
      </c>
      <c r="BB20" s="212">
        <f ca="1">IF($D20&lt;&gt;"Serviço",0,IF(OR(AND(AUTOEVENTO="Manual",$M20=1),$M20&gt;(ROW(PLE.lastrow)-ROW(PLE.firstrow))),0,IF(OFFSET(PLE!$G$14,$M20,BB$13)="",10^12,OFFSET(PLE!$G$14,$M20,BB$13))))</f>
        <v>1000000000000</v>
      </c>
      <c r="BC20" s="212">
        <f ca="1">IF($D20&lt;&gt;"Serviço",0,IF(OR(AND(AUTOEVENTO="Manual",$M20=1),$M20&gt;(ROW(PLE.lastrow)-ROW(PLE.firstrow))),0,IF(OFFSET(PLE!$G$14,$M20,BC$13)="",10^12,OFFSET(PLE!$G$14,$M20,BC$13))))</f>
        <v>1000000000000</v>
      </c>
      <c r="BD20" s="212">
        <f ca="1">IF($D20&lt;&gt;"Serviço",0,IF(OR(AND(AUTOEVENTO="Manual",$M20=1),$M20&gt;(ROW(PLE.lastrow)-ROW(PLE.firstrow))),0,IF(OFFSET(PLE!$G$14,$M20,BD$13)="",10^12,OFFSET(PLE!$G$14,$M20,BD$13))))</f>
        <v>1000000000000</v>
      </c>
      <c r="BE20" s="212">
        <f ca="1">IF($D20&lt;&gt;"Serviço",0,IF(OR(AND(AUTOEVENTO="Manual",$M20=1),$M20&gt;(ROW(PLE.lastrow)-ROW(PLE.firstrow))),0,IF(OFFSET(PLE!$G$14,$M20,BE$13)="",10^12,OFFSET(PLE!$G$14,$M20,BE$13))))</f>
        <v>1000000000000</v>
      </c>
      <c r="BF20" s="212">
        <f ca="1">IF($D20&lt;&gt;"Serviço",0,IF(OR(AND(AUTOEVENTO="Manual",$M20=1),$M20&gt;(ROW(PLE.lastrow)-ROW(PLE.firstrow))),0,IF(OFFSET(PLE!$G$14,$M20,BF$13)="",10^12,OFFSET(PLE!$G$14,$M20,BF$13))))</f>
        <v>1000000000000</v>
      </c>
      <c r="BG20" s="212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13.2">
      <c r="A21" s="9" t="str">
        <f t="shared" ca="1" si="8"/>
        <v>4</v>
      </c>
      <c r="B21" s="9" t="str">
        <f ca="1">OFFSET(ORÇAMENTO!C$15,ROW(B21)-ROW(B$15),0)</f>
        <v>S</v>
      </c>
      <c r="C21" s="9" t="str">
        <f ca="1">OFFSET(ORÇAMENTO!L$15,ROW(C21)-ROW(C$15),0)</f>
        <v>F</v>
      </c>
      <c r="D21" s="141" t="str">
        <f ca="1">OFFSET(ORÇAMENTO!N$15,ROW(D21)-ROW(D$15),0)</f>
        <v>Serviço</v>
      </c>
      <c r="E21" s="201" t="str">
        <f ca="1">OFFSET(ORÇAMENTO!O$15,ROW(E21)-ROW(E$15),0)</f>
        <v>1.2.2.</v>
      </c>
      <c r="F21" s="202" t="str">
        <f ca="1">OFFSET(ORÇAMENTO!R$15,ROW(F21)-ROW(F$15),0)</f>
        <v>Imprimação betuminosa ligante</v>
      </c>
      <c r="G21" s="203" t="str">
        <f ca="1">IF($D21&lt;&gt;"Serviço","",OFFSET(ORÇAMENTO!S$15,ROW(G21)-ROW(G$15),0))</f>
        <v>M2</v>
      </c>
      <c r="H21" s="147">
        <f ca="1">IF($D21&lt;&gt;"Serviço",0,IF(ACOMPANHAMENTO="BM",ROUND(OFFSET(ORÇAMENTO!AJ$15,ROW(H21)-ROW(H$15),0),15-13*ORÇAMENTO!$AF$7),SUMPRODUCT(($Q$12:$AA$12&lt;&gt;"")*ROUND($Q21:$AA21,15-13*ORÇAMENTO!$AF$7))))</f>
        <v>18511.060000000001</v>
      </c>
      <c r="I21" s="645"/>
      <c r="K21" s="204"/>
      <c r="L21" s="205" t="s">
        <v>255</v>
      </c>
      <c r="M21" s="206">
        <f ca="1">IF($D21&lt;&gt;"Serviço","",IF(AUTOEVENTO="manual",$A21,IF(ISERROR(MATCH($A21,$A$15:OFFSET($A21,-1,0),0)),MAX($M$15:OFFSET(M21,-1,0))+1,INDEX($M$15:OFFSET(M21,-1,0),MATCH($A21,$A$15:OFFSET($A21,-1,0),0)))))</f>
        <v>3</v>
      </c>
      <c r="N21" s="207" t="str">
        <f ca="1">IF($D21&lt;&gt;"Serviço","",IF(AUTOEVENTO="Manual",IF($A21=0,"&lt;-- defina o número do agrupador",OFFSET(EVENTOS!$D$14,$A21,0)),OFFSET($F$15,$A21,0)))</f>
        <v>RECAPEAMENTO ASFÁLTICO</v>
      </c>
      <c r="O21" s="208"/>
      <c r="Q21" s="208">
        <v>1862.26</v>
      </c>
      <c r="R21" s="209">
        <v>10515.84</v>
      </c>
      <c r="S21" s="209">
        <v>4582.1400000000003</v>
      </c>
      <c r="T21" s="209">
        <v>1550.82</v>
      </c>
      <c r="U21" s="209"/>
      <c r="V21" s="209"/>
      <c r="W21" s="209"/>
      <c r="X21" s="209"/>
      <c r="Y21" s="209"/>
      <c r="Z21" s="210"/>
      <c r="AB21" s="626">
        <f ca="1">IF(AND($D21="Serviço",AB$12&lt;&gt;0,$H21&gt;0,OR(AUTOEVENTO&lt;&gt;"manual",$M21&lt;&gt;1)),
IF(Import.TipoArredondamento&lt;&gt;"TransfereGOV",
ROUND(OFFSET($P21,0,AB$13),15-13*ORÇAMENTO!$AF$7)/$H21*OFFSET(ORÇAMENTO!$X$15,ROW(AB21)-ROW(AB$15),0),
ROUND(ROUND(OFFSET($P21,0,AB$13),15-13*ORÇAMENTO!$AF$7)*OFFSET(ORÇAMENTO!$W$15,ROW(AB21)-ROW(AB$15),0),15-13*ORÇAMENTO!$AF$11)),0)</f>
        <v>14693.231057951301</v>
      </c>
      <c r="AC21" s="627">
        <f ca="1">IF(AND($D21="Serviço",AC$12&lt;&gt;0,$H21&gt;0,OR(AUTOEVENTO&lt;&gt;"manual",$M21&lt;&gt;1)),
IF(Import.TipoArredondamento&lt;&gt;"TransfereGOV",
ROUND(OFFSET($P21,0,AC$13),15-13*ORÇAMENTO!$AF$7)/$H21*OFFSET(ORÇAMENTO!$X$15,ROW(AC21)-ROW(AC$15),0),
ROUND(ROUND(OFFSET($P21,0,AC$13),15-13*ORÇAMENTO!$AF$7)*OFFSET(ORÇAMENTO!$W$15,ROW(AC21)-ROW(AC$15),0),15-13*ORÇAMENTO!$AF$11)),0)</f>
        <v>82969.975668513842</v>
      </c>
      <c r="AD21" s="627">
        <f ca="1">IF(AND($D21="Serviço",AD$12&lt;&gt;0,$H21&gt;0,OR(AUTOEVENTO&lt;&gt;"manual",$M21&lt;&gt;1)),
IF(Import.TipoArredondamento&lt;&gt;"TransfereGOV",
ROUND(OFFSET($P21,0,AD$13),15-13*ORÇAMENTO!$AF$7)/$H21*OFFSET(ORÇAMENTO!$X$15,ROW(AD21)-ROW(AD$15),0),
ROUND(ROUND(OFFSET($P21,0,AD$13),15-13*ORÇAMENTO!$AF$7)*OFFSET(ORÇAMENTO!$W$15,ROW(AD21)-ROW(AD$15),0),15-13*ORÇAMENTO!$AF$11)),0)</f>
        <v>36153.083758380126</v>
      </c>
      <c r="AE21" s="627">
        <f ca="1">IF(AND($D21="Serviço",AE$12&lt;&gt;0,$H21&gt;0,OR(AUTOEVENTO&lt;&gt;"manual",$M21&lt;&gt;1)),
IF(Import.TipoArredondamento&lt;&gt;"TransfereGOV",
ROUND(OFFSET($P21,0,AE$13),15-13*ORÇAMENTO!$AF$7)/$H21*OFFSET(ORÇAMENTO!$X$15,ROW(AE21)-ROW(AE$15),0),
ROUND(ROUND(OFFSET($P21,0,AE$13),15-13*ORÇAMENTO!$AF$7)*OFFSET(ORÇAMENTO!$W$15,ROW(AE21)-ROW(AE$15),0),15-13*ORÇAMENTO!$AF$11)),0)</f>
        <v>12235.969515154722</v>
      </c>
      <c r="AF21" s="627">
        <f ca="1">IF(AND($D21="Serviço",AF$12&lt;&gt;0,$H21&gt;0,OR(AUTOEVENTO&lt;&gt;"manual",$M21&lt;&gt;1)),
IF(Import.TipoArredondamento&lt;&gt;"TransfereGOV",
ROUND(OFFSET($P21,0,AF$13),15-13*ORÇAMENTO!$AF$7)/$H21*OFFSET(ORÇAMENTO!$X$15,ROW(AF21)-ROW(AF$15),0),
ROUND(ROUND(OFFSET($P21,0,AF$13),15-13*ORÇAMENTO!$AF$7)*OFFSET(ORÇAMENTO!$W$15,ROW(AF21)-ROW(AF$15),0),15-13*ORÇAMENTO!$AF$11)),0)</f>
        <v>0</v>
      </c>
      <c r="AG21" s="627">
        <f ca="1">IF(AND($D21="Serviço",AG$12&lt;&gt;0,$H21&gt;0,OR(AUTOEVENTO&lt;&gt;"manual",$M21&lt;&gt;1)),
IF(Import.TipoArredondamento&lt;&gt;"TransfereGOV",
ROUND(OFFSET($P21,0,AG$13),15-13*ORÇAMENTO!$AF$7)/$H21*OFFSET(ORÇAMENTO!$X$15,ROW(AG21)-ROW(AG$15),0),
ROUND(ROUND(OFFSET($P21,0,AG$13),15-13*ORÇAMENTO!$AF$7)*OFFSET(ORÇAMENTO!$W$15,ROW(AG21)-ROW(AG$15),0),15-13*ORÇAMENTO!$AF$11)),0)</f>
        <v>0</v>
      </c>
      <c r="AH21" s="627">
        <f ca="1">IF(AND($D21="Serviço",AH$12&lt;&gt;0,$H21&gt;0,OR(AUTOEVENTO&lt;&gt;"manual",$M21&lt;&gt;1)),
IF(Import.TipoArredondamento&lt;&gt;"TransfereGOV",
ROUND(OFFSET($P21,0,AH$13),15-13*ORÇAMENTO!$AF$7)/$H21*OFFSET(ORÇAMENTO!$X$15,ROW(AH21)-ROW(AH$15),0),
ROUND(ROUND(OFFSET($P21,0,AH$13),15-13*ORÇAMENTO!$AF$7)*OFFSET(ORÇAMENTO!$W$15,ROW(AH21)-ROW(AH$15),0),15-13*ORÇAMENTO!$AF$11)),0)</f>
        <v>0</v>
      </c>
      <c r="AI21" s="627">
        <f ca="1">IF(AND($D21="Serviço",AI$12&lt;&gt;0,$H21&gt;0,OR(AUTOEVENTO&lt;&gt;"manual",$M21&lt;&gt;1)),
IF(Import.TipoArredondamento&lt;&gt;"TransfereGOV",
ROUND(OFFSET($P21,0,AI$13),15-13*ORÇAMENTO!$AF$7)/$H21*OFFSET(ORÇAMENTO!$X$15,ROW(AI21)-ROW(AI$15),0),
ROUND(ROUND(OFFSET($P21,0,AI$13),15-13*ORÇAMENTO!$AF$7)*OFFSET(ORÇAMENTO!$W$15,ROW(AI21)-ROW(AI$15),0),15-13*ORÇAMENTO!$AF$11)),0)</f>
        <v>0</v>
      </c>
      <c r="AJ21" s="627">
        <f ca="1">IF(AND($D21="Serviço",AJ$12&lt;&gt;0,$H21&gt;0,OR(AUTOEVENTO&lt;&gt;"manual",$M21&lt;&gt;1)),
IF(Import.TipoArredondamento&lt;&gt;"TransfereGOV",
ROUND(OFFSET($P21,0,AJ$13),15-13*ORÇAMENTO!$AF$7)/$H21*OFFSET(ORÇAMENTO!$X$15,ROW(AJ21)-ROW(AJ$15),0),
ROUND(ROUND(OFFSET($P21,0,AJ$13),15-13*ORÇAMENTO!$AF$7)*OFFSET(ORÇAMENTO!$W$15,ROW(AJ21)-ROW(AJ$15),0),15-13*ORÇAMENTO!$AF$11)),0)</f>
        <v>0</v>
      </c>
      <c r="AK21" s="628">
        <f ca="1">IF(AND($D21="Serviço",AK$12&lt;&gt;0,$H21&gt;0,OR(AUTOEVENTO&lt;&gt;"manual",$M21&lt;&gt;1)),
IF(Import.TipoArredondamento&lt;&gt;"TransfereGOV",
ROUND(OFFSET($P21,0,AK$13),15-13*ORÇAMENTO!$AF$7)/$H21*OFFSET(ORÇAMENTO!$X$15,ROW(AK21)-ROW(AK$15),0),
ROUND(ROUND(OFFSET($P21,0,AK$13),15-13*ORÇAMENTO!$AF$7)*OFFSET(ORÇAMENTO!$W$15,ROW(AK21)-ROW(AK$15),0),15-13*ORÇAMENTO!$AF$11)),0)</f>
        <v>0</v>
      </c>
      <c r="AM21" s="211">
        <f ca="1">IF($D21&lt;&gt;"Serviço",0,IF(AND(AUTOEVENTO="Manual",$M21=1),0,IF(OFFSET(CRONOPLE!$F$14,$M21,AM$13)="",10^12,OFFSET(CRONOPLE!$F$14,$M21,AM$13))))</f>
        <v>2</v>
      </c>
      <c r="AN21" s="211">
        <f ca="1">IF($D21&lt;&gt;"Serviço",0,IF(AND(AUTOEVENTO="Manual",$M21=1),0,IF(OFFSET(CRONOPLE!$F$14,$M21,AN$13)="",10^12,OFFSET(CRONOPLE!$F$14,$M21,AN$13))))</f>
        <v>1</v>
      </c>
      <c r="AO21" s="211">
        <f ca="1">IF($D21&lt;&gt;"Serviço",0,IF(AND(AUTOEVENTO="Manual",$M21=1),0,IF(OFFSET(CRONOPLE!$F$14,$M21,AO$13)="",10^12,OFFSET(CRONOPLE!$F$14,$M21,AO$13))))</f>
        <v>2</v>
      </c>
      <c r="AP21" s="211">
        <f ca="1">IF($D21&lt;&gt;"Serviço",0,IF(AND(AUTOEVENTO="Manual",$M21=1),0,IF(OFFSET(CRONOPLE!$F$14,$M21,AP$13)="",10^12,OFFSET(CRONOPLE!$F$14,$M21,AP$13))))</f>
        <v>2</v>
      </c>
      <c r="AQ21" s="211">
        <f ca="1">IF($D21&lt;&gt;"Serviço",0,IF(AND(AUTOEVENTO="Manual",$M21=1),0,IF(OFFSET(CRONOPLE!$F$14,$M21,AQ$13)="",10^12,OFFSET(CRONOPLE!$F$14,$M21,AQ$13))))</f>
        <v>1000000000000</v>
      </c>
      <c r="AR21" s="211">
        <f ca="1">IF($D21&lt;&gt;"Serviço",0,IF(AND(AUTOEVENTO="Manual",$M21=1),0,IF(OFFSET(CRONOPLE!$F$14,$M21,AR$13)="",10^12,OFFSET(CRONOPLE!$F$14,$M21,AR$13))))</f>
        <v>1000000000000</v>
      </c>
      <c r="AS21" s="211">
        <f ca="1">IF($D21&lt;&gt;"Serviço",0,IF(AND(AUTOEVENTO="Manual",$M21=1),0,IF(OFFSET(CRONOPLE!$F$14,$M21,AS$13)="",10^12,OFFSET(CRONOPLE!$F$14,$M21,AS$13))))</f>
        <v>1000000000000</v>
      </c>
      <c r="AT21" s="211">
        <f ca="1">IF($D21&lt;&gt;"Serviço",0,IF(AND(AUTOEVENTO="Manual",$M21=1),0,IF(OFFSET(CRONOPLE!$F$14,$M21,AT$13)="",10^12,OFFSET(CRONOPLE!$F$14,$M21,AT$13))))</f>
        <v>1000000000000</v>
      </c>
      <c r="AU21" s="211">
        <f ca="1">IF($D21&lt;&gt;"Serviço",0,IF(AND(AUTOEVENTO="Manual",$M21=1),0,IF(OFFSET(CRONOPLE!$F$14,$M21,AU$13)="",10^12,OFFSET(CRONOPLE!$F$14,$M21,AU$13))))</f>
        <v>1000000000000</v>
      </c>
      <c r="AV21" s="211">
        <f ca="1">IF($D21&lt;&gt;"Serviço",0,IF(AND(AUTOEVENTO="Manual",$M21=1),0,IF(OFFSET(CRONOPLE!$F$14,$M21,AV$13)="",10^12,OFFSET(CRONOPLE!$F$14,$M21,AV$13))))</f>
        <v>1000000000000</v>
      </c>
      <c r="AX21" s="212">
        <f ca="1">IF($D21&lt;&gt;"Serviço",0,IF(OR(AND(AUTOEVENTO="Manual",$M21=1),$M21&gt;(ROW(PLE.lastrow)-ROW(PLE.firstrow))),0,IF(OFFSET(PLE!$G$14,$M21,AX$13)="",10^12,OFFSET(PLE!$G$14,$M21,AX$13))))</f>
        <v>1000000000000</v>
      </c>
      <c r="AY21" s="212">
        <f ca="1">IF($D21&lt;&gt;"Serviço",0,IF(OR(AND(AUTOEVENTO="Manual",$M21=1),$M21&gt;(ROW(PLE.lastrow)-ROW(PLE.firstrow))),0,IF(OFFSET(PLE!$G$14,$M21,AY$13)="",10^12,OFFSET(PLE!$G$14,$M21,AY$13))))</f>
        <v>1000000000000</v>
      </c>
      <c r="AZ21" s="212">
        <f ca="1">IF($D21&lt;&gt;"Serviço",0,IF(OR(AND(AUTOEVENTO="Manual",$M21=1),$M21&gt;(ROW(PLE.lastrow)-ROW(PLE.firstrow))),0,IF(OFFSET(PLE!$G$14,$M21,AZ$13)="",10^12,OFFSET(PLE!$G$14,$M21,AZ$13))))</f>
        <v>1000000000000</v>
      </c>
      <c r="BA21" s="212">
        <f ca="1">IF($D21&lt;&gt;"Serviço",0,IF(OR(AND(AUTOEVENTO="Manual",$M21=1),$M21&gt;(ROW(PLE.lastrow)-ROW(PLE.firstrow))),0,IF(OFFSET(PLE!$G$14,$M21,BA$13)="",10^12,OFFSET(PLE!$G$14,$M21,BA$13))))</f>
        <v>1000000000000</v>
      </c>
      <c r="BB21" s="212">
        <f ca="1">IF($D21&lt;&gt;"Serviço",0,IF(OR(AND(AUTOEVENTO="Manual",$M21=1),$M21&gt;(ROW(PLE.lastrow)-ROW(PLE.firstrow))),0,IF(OFFSET(PLE!$G$14,$M21,BB$13)="",10^12,OFFSET(PLE!$G$14,$M21,BB$13))))</f>
        <v>1000000000000</v>
      </c>
      <c r="BC21" s="212">
        <f ca="1">IF($D21&lt;&gt;"Serviço",0,IF(OR(AND(AUTOEVENTO="Manual",$M21=1),$M21&gt;(ROW(PLE.lastrow)-ROW(PLE.firstrow))),0,IF(OFFSET(PLE!$G$14,$M21,BC$13)="",10^12,OFFSET(PLE!$G$14,$M21,BC$13))))</f>
        <v>1000000000000</v>
      </c>
      <c r="BD21" s="212">
        <f ca="1">IF($D21&lt;&gt;"Serviço",0,IF(OR(AND(AUTOEVENTO="Manual",$M21=1),$M21&gt;(ROW(PLE.lastrow)-ROW(PLE.firstrow))),0,IF(OFFSET(PLE!$G$14,$M21,BD$13)="",10^12,OFFSET(PLE!$G$14,$M21,BD$13))))</f>
        <v>1000000000000</v>
      </c>
      <c r="BE21" s="212">
        <f ca="1">IF($D21&lt;&gt;"Serviço",0,IF(OR(AND(AUTOEVENTO="Manual",$M21=1),$M21&gt;(ROW(PLE.lastrow)-ROW(PLE.firstrow))),0,IF(OFFSET(PLE!$G$14,$M21,BE$13)="",10^12,OFFSET(PLE!$G$14,$M21,BE$13))))</f>
        <v>1000000000000</v>
      </c>
      <c r="BF21" s="212">
        <f ca="1">IF($D21&lt;&gt;"Serviço",0,IF(OR(AND(AUTOEVENTO="Manual",$M21=1),$M21&gt;(ROW(PLE.lastrow)-ROW(PLE.firstrow))),0,IF(OFFSET(PLE!$G$14,$M21,BF$13)="",10^12,OFFSET(PLE!$G$14,$M21,BF$13))))</f>
        <v>1000000000000</v>
      </c>
      <c r="BG21" s="212">
        <f ca="1">IF($D21&lt;&gt;"Serviço",0,IF(OR(AND(AUTOEVENTO="Manual",$M21=1),$M21&gt;(ROW(PLE.lastrow)-ROW(PLE.firstrow))),0,IF(OFFSET(PLE!$G$14,$M21,BG$13)="",10^12,OFFSET(PLE!$G$14,$M21,BG$13))))</f>
        <v>1000000000000</v>
      </c>
    </row>
    <row r="22" spans="1:59" ht="39.6">
      <c r="A22" s="9" t="str">
        <f t="shared" ref="A22:A27" ca="1" si="9">IF(AUTOEVENTO="Manual",IF(K22&lt;&gt;"",MIN(VALUE(LEFT(K22,FIND(".",K22)-1)),COUNTA(EVENTOS.Lista)),0),IF(OR($B22&gt;AUTOEVENTO,$B22="S",$B22=0),SUBSTITUTE(OFFSET($A22,-1,0),IF($D22="Serviço",".",""),""),ROW(A22)-ROW($A$15)&amp;"."))</f>
        <v>4</v>
      </c>
      <c r="B22" s="9" t="str">
        <f ca="1">OFFSET(ORÇAMENTO!C$15,ROW(B22)-ROW(B$15),0)</f>
        <v>S</v>
      </c>
      <c r="C22" s="9" t="str">
        <f ca="1">OFFSET(ORÇAMENTO!L$15,ROW(C22)-ROW(C$15),0)</f>
        <v>F</v>
      </c>
      <c r="D22" s="141" t="str">
        <f ca="1">OFFSET(ORÇAMENTO!N$15,ROW(D22)-ROW(D$15),0)</f>
        <v>Serviço</v>
      </c>
      <c r="E22" s="201" t="str">
        <f ca="1">OFFSET(ORÇAMENTO!O$15,ROW(E22)-ROW(E$15),0)</f>
        <v>1.2.3.</v>
      </c>
      <c r="F22" s="202" t="str">
        <f ca="1">OFFSET(ORÇAMENTO!R$15,ROW(F22)-ROW(F$15),0)</f>
        <v>EXECUÇÃO DE PAVIMENTO COM APLICAÇÃO DE CONCRETO ASFÁLTICO, CAMADA DE ROLAMENTO - EXCLUSIVE CARGA E TRANSPORTE. AF_11/2019</v>
      </c>
      <c r="G22" s="203" t="str">
        <f ca="1">IF($D22&lt;&gt;"Serviço","",OFFSET(ORÇAMENTO!S$15,ROW(G22)-ROW(G$15),0))</f>
        <v>M3</v>
      </c>
      <c r="H22" s="147">
        <f ca="1">IF($D22&lt;&gt;"Serviço",0,IF(ACOMPANHAMENTO="BM",ROUND(OFFSET(ORÇAMENTO!AJ$15,ROW(H22)-ROW(H$15),0),15-13*ORÇAMENTO!$AF$7),SUMPRODUCT(($Q$12:$AA$12&lt;&gt;"")*ROUND($Q22:$AA22,15-13*ORÇAMENTO!$AF$7))))</f>
        <v>470.53</v>
      </c>
      <c r="I22" s="645"/>
      <c r="K22" s="204"/>
      <c r="L22" s="205" t="s">
        <v>255</v>
      </c>
      <c r="M22" s="206">
        <f ca="1">IF($D22&lt;&gt;"Serviço","",IF(AUTOEVENTO="manual",$A22,IF(ISERROR(MATCH($A22,$A$15:OFFSET($A22,-1,0),0)),MAX($M$15:OFFSET(M22,-1,0))+1,INDEX($M$15:OFFSET(M22,-1,0),MATCH($A22,$A$15:OFFSET($A22,-1,0),0)))))</f>
        <v>3</v>
      </c>
      <c r="N22" s="207" t="str">
        <f ca="1">IF($D22&lt;&gt;"Serviço","",IF(AUTOEVENTO="Manual",IF($A22=0,"&lt;-- defina o número do agrupador",OFFSET(EVENTOS!$D$14,$A22,0)),OFFSET($F$15,$A22,0)))</f>
        <v>RECAPEAMENTO ASFÁLTICO</v>
      </c>
      <c r="O22" s="208"/>
      <c r="Q22" s="208">
        <v>46.5565</v>
      </c>
      <c r="R22" s="209">
        <v>262.89600000000002</v>
      </c>
      <c r="S22" s="209">
        <v>114.55350000000001</v>
      </c>
      <c r="T22" s="209">
        <v>46.5246</v>
      </c>
      <c r="U22" s="209"/>
      <c r="V22" s="209"/>
      <c r="W22" s="209"/>
      <c r="X22" s="209"/>
      <c r="Y22" s="209"/>
      <c r="Z22" s="210"/>
      <c r="AB22" s="626">
        <f ca="1">IF(AND($D22="Serviço",AB$12&lt;&gt;0,$H22&gt;0,OR(AUTOEVENTO&lt;&gt;"manual",$M22&lt;&gt;1)),
IF(Import.TipoArredondamento&lt;&gt;"TransfereGOV",
ROUND(OFFSET($P22,0,AB$13),15-13*ORÇAMENTO!$AF$7)/$H22*OFFSET(ORÇAMENTO!$X$15,ROW(AB22)-ROW(AB$15),0),
ROUND(ROUND(OFFSET($P22,0,AB$13),15-13*ORÇAMENTO!$AF$7)*OFFSET(ORÇAMENTO!$W$15,ROW(AB22)-ROW(AB$15),0),15-13*ORÇAMENTO!$AF$11)),0)</f>
        <v>81692.778992200299</v>
      </c>
      <c r="AC22" s="627">
        <f ca="1">IF(AND($D22="Serviço",AC$12&lt;&gt;0,$H22&gt;0,OR(AUTOEVENTO&lt;&gt;"manual",$M22&lt;&gt;1)),
IF(Import.TipoArredondamento&lt;&gt;"TransfereGOV",
ROUND(OFFSET($P22,0,AC$13),15-13*ORÇAMENTO!$AF$7)/$H22*OFFSET(ORÇAMENTO!$X$15,ROW(AC22)-ROW(AC$15),0),
ROUND(ROUND(OFFSET($P22,0,AC$13),15-13*ORÇAMENTO!$AF$7)*OFFSET(ORÇAMENTO!$W$15,ROW(AC22)-ROW(AC$15),0),15-13*ORÇAMENTO!$AF$11)),0)</f>
        <v>461276.45182666345</v>
      </c>
      <c r="AD22" s="627">
        <f ca="1">IF(AND($D22="Serviço",AD$12&lt;&gt;0,$H22&gt;0,OR(AUTOEVENTO&lt;&gt;"manual",$M22&lt;&gt;1)),
IF(Import.TipoArredondamento&lt;&gt;"TransfereGOV",
ROUND(OFFSET($P22,0,AD$13),15-13*ORÇAMENTO!$AF$7)/$H22*OFFSET(ORÇAMENTO!$X$15,ROW(AD22)-ROW(AD$15),0),
ROUND(ROUND(OFFSET($P22,0,AD$13),15-13*ORÇAMENTO!$AF$7)*OFFSET(ORÇAMENTO!$W$15,ROW(AD22)-ROW(AD$15),0),15-13*ORÇAMENTO!$AF$11)),0)</f>
        <v>200985.99298875735</v>
      </c>
      <c r="AE22" s="627">
        <f ca="1">IF(AND($D22="Serviço",AE$12&lt;&gt;0,$H22&gt;0,OR(AUTOEVENTO&lt;&gt;"manual",$M22&lt;&gt;1)),
IF(Import.TipoArredondamento&lt;&gt;"TransfereGOV",
ROUND(OFFSET($P22,0,AE$13),15-13*ORÇAMENTO!$AF$7)/$H22*OFFSET(ORÇAMENTO!$X$15,ROW(AE22)-ROW(AE$15),0),
ROUND(ROUND(OFFSET($P22,0,AE$13),15-13*ORÇAMENTO!$AF$7)*OFFSET(ORÇAMENTO!$W$15,ROW(AE22)-ROW(AE$15),0),15-13*ORÇAMENTO!$AF$11)),0)</f>
        <v>81622.596192378813</v>
      </c>
      <c r="AF22" s="627">
        <f ca="1">IF(AND($D22="Serviço",AF$12&lt;&gt;0,$H22&gt;0,OR(AUTOEVENTO&lt;&gt;"manual",$M22&lt;&gt;1)),
IF(Import.TipoArredondamento&lt;&gt;"TransfereGOV",
ROUND(OFFSET($P22,0,AF$13),15-13*ORÇAMENTO!$AF$7)/$H22*OFFSET(ORÇAMENTO!$X$15,ROW(AF22)-ROW(AF$15),0),
ROUND(ROUND(OFFSET($P22,0,AF$13),15-13*ORÇAMENTO!$AF$7)*OFFSET(ORÇAMENTO!$W$15,ROW(AF22)-ROW(AF$15),0),15-13*ORÇAMENTO!$AF$11)),0)</f>
        <v>0</v>
      </c>
      <c r="AG22" s="627">
        <f ca="1">IF(AND($D22="Serviço",AG$12&lt;&gt;0,$H22&gt;0,OR(AUTOEVENTO&lt;&gt;"manual",$M22&lt;&gt;1)),
IF(Import.TipoArredondamento&lt;&gt;"TransfereGOV",
ROUND(OFFSET($P22,0,AG$13),15-13*ORÇAMENTO!$AF$7)/$H22*OFFSET(ORÇAMENTO!$X$15,ROW(AG22)-ROW(AG$15),0),
ROUND(ROUND(OFFSET($P22,0,AG$13),15-13*ORÇAMENTO!$AF$7)*OFFSET(ORÇAMENTO!$W$15,ROW(AG22)-ROW(AG$15),0),15-13*ORÇAMENTO!$AF$11)),0)</f>
        <v>0</v>
      </c>
      <c r="AH22" s="627">
        <f ca="1">IF(AND($D22="Serviço",AH$12&lt;&gt;0,$H22&gt;0,OR(AUTOEVENTO&lt;&gt;"manual",$M22&lt;&gt;1)),
IF(Import.TipoArredondamento&lt;&gt;"TransfereGOV",
ROUND(OFFSET($P22,0,AH$13),15-13*ORÇAMENTO!$AF$7)/$H22*OFFSET(ORÇAMENTO!$X$15,ROW(AH22)-ROW(AH$15),0),
ROUND(ROUND(OFFSET($P22,0,AH$13),15-13*ORÇAMENTO!$AF$7)*OFFSET(ORÇAMENTO!$W$15,ROW(AH22)-ROW(AH$15),0),15-13*ORÇAMENTO!$AF$11)),0)</f>
        <v>0</v>
      </c>
      <c r="AI22" s="627">
        <f ca="1">IF(AND($D22="Serviço",AI$12&lt;&gt;0,$H22&gt;0,OR(AUTOEVENTO&lt;&gt;"manual",$M22&lt;&gt;1)),
IF(Import.TipoArredondamento&lt;&gt;"TransfereGOV",
ROUND(OFFSET($P22,0,AI$13),15-13*ORÇAMENTO!$AF$7)/$H22*OFFSET(ORÇAMENTO!$X$15,ROW(AI22)-ROW(AI$15),0),
ROUND(ROUND(OFFSET($P22,0,AI$13),15-13*ORÇAMENTO!$AF$7)*OFFSET(ORÇAMENTO!$W$15,ROW(AI22)-ROW(AI$15),0),15-13*ORÇAMENTO!$AF$11)),0)</f>
        <v>0</v>
      </c>
      <c r="AJ22" s="627">
        <f ca="1">IF(AND($D22="Serviço",AJ$12&lt;&gt;0,$H22&gt;0,OR(AUTOEVENTO&lt;&gt;"manual",$M22&lt;&gt;1)),
IF(Import.TipoArredondamento&lt;&gt;"TransfereGOV",
ROUND(OFFSET($P22,0,AJ$13),15-13*ORÇAMENTO!$AF$7)/$H22*OFFSET(ORÇAMENTO!$X$15,ROW(AJ22)-ROW(AJ$15),0),
ROUND(ROUND(OFFSET($P22,0,AJ$13),15-13*ORÇAMENTO!$AF$7)*OFFSET(ORÇAMENTO!$W$15,ROW(AJ22)-ROW(AJ$15),0),15-13*ORÇAMENTO!$AF$11)),0)</f>
        <v>0</v>
      </c>
      <c r="AK22" s="628">
        <f ca="1">IF(AND($D22="Serviço",AK$12&lt;&gt;0,$H22&gt;0,OR(AUTOEVENTO&lt;&gt;"manual",$M22&lt;&gt;1)),
IF(Import.TipoArredondamento&lt;&gt;"TransfereGOV",
ROUND(OFFSET($P22,0,AK$13),15-13*ORÇAMENTO!$AF$7)/$H22*OFFSET(ORÇAMENTO!$X$15,ROW(AK22)-ROW(AK$15),0),
ROUND(ROUND(OFFSET($P22,0,AK$13),15-13*ORÇAMENTO!$AF$7)*OFFSET(ORÇAMENTO!$W$15,ROW(AK22)-ROW(AK$15),0),15-13*ORÇAMENTO!$AF$11)),0)</f>
        <v>0</v>
      </c>
      <c r="AM22" s="211">
        <f ca="1">IF($D22&lt;&gt;"Serviço",0,IF(AND(AUTOEVENTO="Manual",$M22=1),0,IF(OFFSET(CRONOPLE!$F$14,$M22,AM$13)="",10^12,OFFSET(CRONOPLE!$F$14,$M22,AM$13))))</f>
        <v>2</v>
      </c>
      <c r="AN22" s="211">
        <f ca="1">IF($D22&lt;&gt;"Serviço",0,IF(AND(AUTOEVENTO="Manual",$M22=1),0,IF(OFFSET(CRONOPLE!$F$14,$M22,AN$13)="",10^12,OFFSET(CRONOPLE!$F$14,$M22,AN$13))))</f>
        <v>1</v>
      </c>
      <c r="AO22" s="211">
        <f ca="1">IF($D22&lt;&gt;"Serviço",0,IF(AND(AUTOEVENTO="Manual",$M22=1),0,IF(OFFSET(CRONOPLE!$F$14,$M22,AO$13)="",10^12,OFFSET(CRONOPLE!$F$14,$M22,AO$13))))</f>
        <v>2</v>
      </c>
      <c r="AP22" s="211">
        <f ca="1">IF($D22&lt;&gt;"Serviço",0,IF(AND(AUTOEVENTO="Manual",$M22=1),0,IF(OFFSET(CRONOPLE!$F$14,$M22,AP$13)="",10^12,OFFSET(CRONOPLE!$F$14,$M22,AP$13))))</f>
        <v>2</v>
      </c>
      <c r="AQ22" s="211">
        <f ca="1">IF($D22&lt;&gt;"Serviço",0,IF(AND(AUTOEVENTO="Manual",$M22=1),0,IF(OFFSET(CRONOPLE!$F$14,$M22,AQ$13)="",10^12,OFFSET(CRONOPLE!$F$14,$M22,AQ$13))))</f>
        <v>1000000000000</v>
      </c>
      <c r="AR22" s="211">
        <f ca="1">IF($D22&lt;&gt;"Serviço",0,IF(AND(AUTOEVENTO="Manual",$M22=1),0,IF(OFFSET(CRONOPLE!$F$14,$M22,AR$13)="",10^12,OFFSET(CRONOPLE!$F$14,$M22,AR$13))))</f>
        <v>1000000000000</v>
      </c>
      <c r="AS22" s="211">
        <f ca="1">IF($D22&lt;&gt;"Serviço",0,IF(AND(AUTOEVENTO="Manual",$M22=1),0,IF(OFFSET(CRONOPLE!$F$14,$M22,AS$13)="",10^12,OFFSET(CRONOPLE!$F$14,$M22,AS$13))))</f>
        <v>1000000000000</v>
      </c>
      <c r="AT22" s="211">
        <f ca="1">IF($D22&lt;&gt;"Serviço",0,IF(AND(AUTOEVENTO="Manual",$M22=1),0,IF(OFFSET(CRONOPLE!$F$14,$M22,AT$13)="",10^12,OFFSET(CRONOPLE!$F$14,$M22,AT$13))))</f>
        <v>1000000000000</v>
      </c>
      <c r="AU22" s="211">
        <f ca="1">IF($D22&lt;&gt;"Serviço",0,IF(AND(AUTOEVENTO="Manual",$M22=1),0,IF(OFFSET(CRONOPLE!$F$14,$M22,AU$13)="",10^12,OFFSET(CRONOPLE!$F$14,$M22,AU$13))))</f>
        <v>1000000000000</v>
      </c>
      <c r="AV22" s="211">
        <f ca="1">IF($D22&lt;&gt;"Serviço",0,IF(AND(AUTOEVENTO="Manual",$M22=1),0,IF(OFFSET(CRONOPLE!$F$14,$M22,AV$13)="",10^12,OFFSET(CRONOPLE!$F$14,$M22,AV$13))))</f>
        <v>1000000000000</v>
      </c>
      <c r="AX22" s="212">
        <f ca="1">IF($D22&lt;&gt;"Serviço",0,IF(OR(AND(AUTOEVENTO="Manual",$M22=1),$M22&gt;(ROW(PLE.lastrow)-ROW(PLE.firstrow))),0,IF(OFFSET(PLE!$G$14,$M22,AX$13)="",10^12,OFFSET(PLE!$G$14,$M22,AX$13))))</f>
        <v>1000000000000</v>
      </c>
      <c r="AY22" s="212">
        <f ca="1">IF($D22&lt;&gt;"Serviço",0,IF(OR(AND(AUTOEVENTO="Manual",$M22=1),$M22&gt;(ROW(PLE.lastrow)-ROW(PLE.firstrow))),0,IF(OFFSET(PLE!$G$14,$M22,AY$13)="",10^12,OFFSET(PLE!$G$14,$M22,AY$13))))</f>
        <v>1000000000000</v>
      </c>
      <c r="AZ22" s="212">
        <f ca="1">IF($D22&lt;&gt;"Serviço",0,IF(OR(AND(AUTOEVENTO="Manual",$M22=1),$M22&gt;(ROW(PLE.lastrow)-ROW(PLE.firstrow))),0,IF(OFFSET(PLE!$G$14,$M22,AZ$13)="",10^12,OFFSET(PLE!$G$14,$M22,AZ$13))))</f>
        <v>1000000000000</v>
      </c>
      <c r="BA22" s="212">
        <f ca="1">IF($D22&lt;&gt;"Serviço",0,IF(OR(AND(AUTOEVENTO="Manual",$M22=1),$M22&gt;(ROW(PLE.lastrow)-ROW(PLE.firstrow))),0,IF(OFFSET(PLE!$G$14,$M22,BA$13)="",10^12,OFFSET(PLE!$G$14,$M22,BA$13))))</f>
        <v>1000000000000</v>
      </c>
      <c r="BB22" s="212">
        <f ca="1">IF($D22&lt;&gt;"Serviço",0,IF(OR(AND(AUTOEVENTO="Manual",$M22=1),$M22&gt;(ROW(PLE.lastrow)-ROW(PLE.firstrow))),0,IF(OFFSET(PLE!$G$14,$M22,BB$13)="",10^12,OFFSET(PLE!$G$14,$M22,BB$13))))</f>
        <v>1000000000000</v>
      </c>
      <c r="BC22" s="212">
        <f ca="1">IF($D22&lt;&gt;"Serviço",0,IF(OR(AND(AUTOEVENTO="Manual",$M22=1),$M22&gt;(ROW(PLE.lastrow)-ROW(PLE.firstrow))),0,IF(OFFSET(PLE!$G$14,$M22,BC$13)="",10^12,OFFSET(PLE!$G$14,$M22,BC$13))))</f>
        <v>1000000000000</v>
      </c>
      <c r="BD22" s="212">
        <f ca="1">IF($D22&lt;&gt;"Serviço",0,IF(OR(AND(AUTOEVENTO="Manual",$M22=1),$M22&gt;(ROW(PLE.lastrow)-ROW(PLE.firstrow))),0,IF(OFFSET(PLE!$G$14,$M22,BD$13)="",10^12,OFFSET(PLE!$G$14,$M22,BD$13))))</f>
        <v>1000000000000</v>
      </c>
      <c r="BE22" s="212">
        <f ca="1">IF($D22&lt;&gt;"Serviço",0,IF(OR(AND(AUTOEVENTO="Manual",$M22=1),$M22&gt;(ROW(PLE.lastrow)-ROW(PLE.firstrow))),0,IF(OFFSET(PLE!$G$14,$M22,BE$13)="",10^12,OFFSET(PLE!$G$14,$M22,BE$13))))</f>
        <v>1000000000000</v>
      </c>
      <c r="BF22" s="212">
        <f ca="1">IF($D22&lt;&gt;"Serviço",0,IF(OR(AND(AUTOEVENTO="Manual",$M22=1),$M22&gt;(ROW(PLE.lastrow)-ROW(PLE.firstrow))),0,IF(OFFSET(PLE!$G$14,$M22,BF$13)="",10^12,OFFSET(PLE!$G$14,$M22,BF$13))))</f>
        <v>1000000000000</v>
      </c>
      <c r="BG22" s="212">
        <f ca="1">IF($D22&lt;&gt;"Serviço",0,IF(OR(AND(AUTOEVENTO="Manual",$M22=1),$M22&gt;(ROW(PLE.lastrow)-ROW(PLE.firstrow))),0,IF(OFFSET(PLE!$G$14,$M22,BG$13)="",10^12,OFFSET(PLE!$G$14,$M22,BG$13))))</f>
        <v>1000000000000</v>
      </c>
    </row>
    <row r="23" spans="1:59" ht="13.2">
      <c r="A23" s="9" t="str">
        <f t="shared" ca="1" si="9"/>
        <v>8.</v>
      </c>
      <c r="B23" s="9">
        <f ca="1">OFFSET(ORÇAMENTO!C$15,ROW(B23)-ROW(B$15),0)</f>
        <v>2</v>
      </c>
      <c r="C23" s="9" t="str">
        <f ca="1">OFFSET(ORÇAMENTO!L$15,ROW(C23)-ROW(C$15),0)</f>
        <v>F</v>
      </c>
      <c r="D23" s="141" t="str">
        <f ca="1">OFFSET(ORÇAMENTO!N$15,ROW(D23)-ROW(D$15),0)</f>
        <v>Nível 2</v>
      </c>
      <c r="E23" s="201" t="str">
        <f ca="1">OFFSET(ORÇAMENTO!O$15,ROW(E23)-ROW(E$15),0)</f>
        <v>1.3.</v>
      </c>
      <c r="F23" s="202" t="str">
        <f ca="1">OFFSET(ORÇAMENTO!R$15,ROW(F23)-ROW(F$15),0)</f>
        <v>CALÇADAS</v>
      </c>
      <c r="G23" s="203" t="str">
        <f ca="1">IF($D23&lt;&gt;"Serviço","",OFFSET(ORÇAMENTO!S$15,ROW(G23)-ROW(G$15),0))</f>
        <v/>
      </c>
      <c r="H23" s="147">
        <f ca="1">IF($D23&lt;&gt;"Serviço",0,IF(ACOMPANHAMENTO="BM",ROUND(OFFSET(ORÇAMENTO!AJ$15,ROW(H23)-ROW(H$15),0),15-13*ORÇAMENTO!$AF$7),SUMPRODUCT(($Q$12:$AA$12&lt;&gt;"")*ROUND($Q23:$AA23,15-13*ORÇAMENTO!$AF$7))))</f>
        <v>0</v>
      </c>
      <c r="I23" s="645"/>
      <c r="K23" s="204"/>
      <c r="L23" s="205" t="s">
        <v>255</v>
      </c>
      <c r="M23" s="206" t="str">
        <f ca="1">IF($D23&lt;&gt;"Serviço","",IF(AUTOEVENTO="manual",$A23,IF(ISERROR(MATCH($A23,$A$15:OFFSET($A23,-1,0),0)),MAX($M$15:OFFSET(M23,-1,0))+1,INDEX($M$15:OFFSET(M23,-1,0),MATCH($A23,$A$15:OFFSET($A23,-1,0),0)))))</f>
        <v/>
      </c>
      <c r="N23" s="207" t="str">
        <f ca="1">IF($D23&lt;&gt;"Serviço","",IF(AUTOEVENTO="Manual",IF($A23=0,"&lt;-- defina o número do agrupador",OFFSET(EVENTOS!$D$14,$A23,0)),OFFSET($F$15,$A23,0)))</f>
        <v/>
      </c>
      <c r="O23" s="208"/>
      <c r="Q23" s="208"/>
      <c r="R23" s="209"/>
      <c r="S23" s="209"/>
      <c r="T23" s="209"/>
      <c r="U23" s="209"/>
      <c r="V23" s="209"/>
      <c r="W23" s="209"/>
      <c r="X23" s="209"/>
      <c r="Y23" s="209"/>
      <c r="Z23" s="210"/>
      <c r="AB23" s="626">
        <f ca="1">IF(AND($D23="Serviço",AB$12&lt;&gt;0,$H23&gt;0,OR(AUTOEVENTO&lt;&gt;"manual",$M23&lt;&gt;1)),
IF(Import.TipoArredondamento&lt;&gt;"TransfereGOV",
ROUND(OFFSET($P23,0,AB$13),15-13*ORÇAMENTO!$AF$7)/$H23*OFFSET(ORÇAMENTO!$X$15,ROW(AB23)-ROW(AB$15),0),
ROUND(ROUND(OFFSET($P23,0,AB$13),15-13*ORÇAMENTO!$AF$7)*OFFSET(ORÇAMENTO!$W$15,ROW(AB23)-ROW(AB$15),0),15-13*ORÇAMENTO!$AF$11)),0)</f>
        <v>0</v>
      </c>
      <c r="AC23" s="627">
        <f ca="1">IF(AND($D23="Serviço",AC$12&lt;&gt;0,$H23&gt;0,OR(AUTOEVENTO&lt;&gt;"manual",$M23&lt;&gt;1)),
IF(Import.TipoArredondamento&lt;&gt;"TransfereGOV",
ROUND(OFFSET($P23,0,AC$13),15-13*ORÇAMENTO!$AF$7)/$H23*OFFSET(ORÇAMENTO!$X$15,ROW(AC23)-ROW(AC$15),0),
ROUND(ROUND(OFFSET($P23,0,AC$13),15-13*ORÇAMENTO!$AF$7)*OFFSET(ORÇAMENTO!$W$15,ROW(AC23)-ROW(AC$15),0),15-13*ORÇAMENTO!$AF$11)),0)</f>
        <v>0</v>
      </c>
      <c r="AD23" s="627">
        <f ca="1">IF(AND($D23="Serviço",AD$12&lt;&gt;0,$H23&gt;0,OR(AUTOEVENTO&lt;&gt;"manual",$M23&lt;&gt;1)),
IF(Import.TipoArredondamento&lt;&gt;"TransfereGOV",
ROUND(OFFSET($P23,0,AD$13),15-13*ORÇAMENTO!$AF$7)/$H23*OFFSET(ORÇAMENTO!$X$15,ROW(AD23)-ROW(AD$15),0),
ROUND(ROUND(OFFSET($P23,0,AD$13),15-13*ORÇAMENTO!$AF$7)*OFFSET(ORÇAMENTO!$W$15,ROW(AD23)-ROW(AD$15),0),15-13*ORÇAMENTO!$AF$11)),0)</f>
        <v>0</v>
      </c>
      <c r="AE23" s="627">
        <f ca="1">IF(AND($D23="Serviço",AE$12&lt;&gt;0,$H23&gt;0,OR(AUTOEVENTO&lt;&gt;"manual",$M23&lt;&gt;1)),
IF(Import.TipoArredondamento&lt;&gt;"TransfereGOV",
ROUND(OFFSET($P23,0,AE$13),15-13*ORÇAMENTO!$AF$7)/$H23*OFFSET(ORÇAMENTO!$X$15,ROW(AE23)-ROW(AE$15),0),
ROUND(ROUND(OFFSET($P23,0,AE$13),15-13*ORÇAMENTO!$AF$7)*OFFSET(ORÇAMENTO!$W$15,ROW(AE23)-ROW(AE$15),0),15-13*ORÇAMENTO!$AF$11)),0)</f>
        <v>0</v>
      </c>
      <c r="AF23" s="627">
        <f ca="1">IF(AND($D23="Serviço",AF$12&lt;&gt;0,$H23&gt;0,OR(AUTOEVENTO&lt;&gt;"manual",$M23&lt;&gt;1)),
IF(Import.TipoArredondamento&lt;&gt;"TransfereGOV",
ROUND(OFFSET($P23,0,AF$13),15-13*ORÇAMENTO!$AF$7)/$H23*OFFSET(ORÇAMENTO!$X$15,ROW(AF23)-ROW(AF$15),0),
ROUND(ROUND(OFFSET($P23,0,AF$13),15-13*ORÇAMENTO!$AF$7)*OFFSET(ORÇAMENTO!$W$15,ROW(AF23)-ROW(AF$15),0),15-13*ORÇAMENTO!$AF$11)),0)</f>
        <v>0</v>
      </c>
      <c r="AG23" s="627">
        <f ca="1">IF(AND($D23="Serviço",AG$12&lt;&gt;0,$H23&gt;0,OR(AUTOEVENTO&lt;&gt;"manual",$M23&lt;&gt;1)),
IF(Import.TipoArredondamento&lt;&gt;"TransfereGOV",
ROUND(OFFSET($P23,0,AG$13),15-13*ORÇAMENTO!$AF$7)/$H23*OFFSET(ORÇAMENTO!$X$15,ROW(AG23)-ROW(AG$15),0),
ROUND(ROUND(OFFSET($P23,0,AG$13),15-13*ORÇAMENTO!$AF$7)*OFFSET(ORÇAMENTO!$W$15,ROW(AG23)-ROW(AG$15),0),15-13*ORÇAMENTO!$AF$11)),0)</f>
        <v>0</v>
      </c>
      <c r="AH23" s="627">
        <f ca="1">IF(AND($D23="Serviço",AH$12&lt;&gt;0,$H23&gt;0,OR(AUTOEVENTO&lt;&gt;"manual",$M23&lt;&gt;1)),
IF(Import.TipoArredondamento&lt;&gt;"TransfereGOV",
ROUND(OFFSET($P23,0,AH$13),15-13*ORÇAMENTO!$AF$7)/$H23*OFFSET(ORÇAMENTO!$X$15,ROW(AH23)-ROW(AH$15),0),
ROUND(ROUND(OFFSET($P23,0,AH$13),15-13*ORÇAMENTO!$AF$7)*OFFSET(ORÇAMENTO!$W$15,ROW(AH23)-ROW(AH$15),0),15-13*ORÇAMENTO!$AF$11)),0)</f>
        <v>0</v>
      </c>
      <c r="AI23" s="627">
        <f ca="1">IF(AND($D23="Serviço",AI$12&lt;&gt;0,$H23&gt;0,OR(AUTOEVENTO&lt;&gt;"manual",$M23&lt;&gt;1)),
IF(Import.TipoArredondamento&lt;&gt;"TransfereGOV",
ROUND(OFFSET($P23,0,AI$13),15-13*ORÇAMENTO!$AF$7)/$H23*OFFSET(ORÇAMENTO!$X$15,ROW(AI23)-ROW(AI$15),0),
ROUND(ROUND(OFFSET($P23,0,AI$13),15-13*ORÇAMENTO!$AF$7)*OFFSET(ORÇAMENTO!$W$15,ROW(AI23)-ROW(AI$15),0),15-13*ORÇAMENTO!$AF$11)),0)</f>
        <v>0</v>
      </c>
      <c r="AJ23" s="627">
        <f ca="1">IF(AND($D23="Serviço",AJ$12&lt;&gt;0,$H23&gt;0,OR(AUTOEVENTO&lt;&gt;"manual",$M23&lt;&gt;1)),
IF(Import.TipoArredondamento&lt;&gt;"TransfereGOV",
ROUND(OFFSET($P23,0,AJ$13),15-13*ORÇAMENTO!$AF$7)/$H23*OFFSET(ORÇAMENTO!$X$15,ROW(AJ23)-ROW(AJ$15),0),
ROUND(ROUND(OFFSET($P23,0,AJ$13),15-13*ORÇAMENTO!$AF$7)*OFFSET(ORÇAMENTO!$W$15,ROW(AJ23)-ROW(AJ$15),0),15-13*ORÇAMENTO!$AF$11)),0)</f>
        <v>0</v>
      </c>
      <c r="AK23" s="628">
        <f ca="1">IF(AND($D23="Serviço",AK$12&lt;&gt;0,$H23&gt;0,OR(AUTOEVENTO&lt;&gt;"manual",$M23&lt;&gt;1)),
IF(Import.TipoArredondamento&lt;&gt;"TransfereGOV",
ROUND(OFFSET($P23,0,AK$13),15-13*ORÇAMENTO!$AF$7)/$H23*OFFSET(ORÇAMENTO!$X$15,ROW(AK23)-ROW(AK$15),0),
ROUND(ROUND(OFFSET($P23,0,AK$13),15-13*ORÇAMENTO!$AF$7)*OFFSET(ORÇAMENTO!$W$15,ROW(AK23)-ROW(AK$15),0),15-13*ORÇAMENTO!$AF$11)),0)</f>
        <v>0</v>
      </c>
      <c r="AM23" s="211">
        <f ca="1">IF($D23&lt;&gt;"Serviço",0,IF(AND(AUTOEVENTO="Manual",$M23=1),0,IF(OFFSET(CRONOPLE!$F$14,$M23,AM$13)="",10^12,OFFSET(CRONOPLE!$F$14,$M23,AM$13))))</f>
        <v>0</v>
      </c>
      <c r="AN23" s="211">
        <f ca="1">IF($D23&lt;&gt;"Serviço",0,IF(AND(AUTOEVENTO="Manual",$M23=1),0,IF(OFFSET(CRONOPLE!$F$14,$M23,AN$13)="",10^12,OFFSET(CRONOPLE!$F$14,$M23,AN$13))))</f>
        <v>0</v>
      </c>
      <c r="AO23" s="211">
        <f ca="1">IF($D23&lt;&gt;"Serviço",0,IF(AND(AUTOEVENTO="Manual",$M23=1),0,IF(OFFSET(CRONOPLE!$F$14,$M23,AO$13)="",10^12,OFFSET(CRONOPLE!$F$14,$M23,AO$13))))</f>
        <v>0</v>
      </c>
      <c r="AP23" s="211">
        <f ca="1">IF($D23&lt;&gt;"Serviço",0,IF(AND(AUTOEVENTO="Manual",$M23=1),0,IF(OFFSET(CRONOPLE!$F$14,$M23,AP$13)="",10^12,OFFSET(CRONOPLE!$F$14,$M23,AP$13))))</f>
        <v>0</v>
      </c>
      <c r="AQ23" s="211">
        <f ca="1">IF($D23&lt;&gt;"Serviço",0,IF(AND(AUTOEVENTO="Manual",$M23=1),0,IF(OFFSET(CRONOPLE!$F$14,$M23,AQ$13)="",10^12,OFFSET(CRONOPLE!$F$14,$M23,AQ$13))))</f>
        <v>0</v>
      </c>
      <c r="AR23" s="211">
        <f ca="1">IF($D23&lt;&gt;"Serviço",0,IF(AND(AUTOEVENTO="Manual",$M23=1),0,IF(OFFSET(CRONOPLE!$F$14,$M23,AR$13)="",10^12,OFFSET(CRONOPLE!$F$14,$M23,AR$13))))</f>
        <v>0</v>
      </c>
      <c r="AS23" s="211">
        <f ca="1">IF($D23&lt;&gt;"Serviço",0,IF(AND(AUTOEVENTO="Manual",$M23=1),0,IF(OFFSET(CRONOPLE!$F$14,$M23,AS$13)="",10^12,OFFSET(CRONOPLE!$F$14,$M23,AS$13))))</f>
        <v>0</v>
      </c>
      <c r="AT23" s="211">
        <f ca="1">IF($D23&lt;&gt;"Serviço",0,IF(AND(AUTOEVENTO="Manual",$M23=1),0,IF(OFFSET(CRONOPLE!$F$14,$M23,AT$13)="",10^12,OFFSET(CRONOPLE!$F$14,$M23,AT$13))))</f>
        <v>0</v>
      </c>
      <c r="AU23" s="211">
        <f ca="1">IF($D23&lt;&gt;"Serviço",0,IF(AND(AUTOEVENTO="Manual",$M23=1),0,IF(OFFSET(CRONOPLE!$F$14,$M23,AU$13)="",10^12,OFFSET(CRONOPLE!$F$14,$M23,AU$13))))</f>
        <v>0</v>
      </c>
      <c r="AV23" s="211">
        <f ca="1">IF($D23&lt;&gt;"Serviço",0,IF(AND(AUTOEVENTO="Manual",$M23=1),0,IF(OFFSET(CRONOPLE!$F$14,$M23,AV$13)="",10^12,OFFSET(CRONOPLE!$F$14,$M23,AV$13))))</f>
        <v>0</v>
      </c>
      <c r="AX23" s="212">
        <f ca="1">IF($D23&lt;&gt;"Serviço",0,IF(OR(AND(AUTOEVENTO="Manual",$M23=1),$M23&gt;(ROW(PLE.lastrow)-ROW(PLE.firstrow))),0,IF(OFFSET(PLE!$G$14,$M23,AX$13)="",10^12,OFFSET(PLE!$G$14,$M23,AX$13))))</f>
        <v>0</v>
      </c>
      <c r="AY23" s="212">
        <f ca="1">IF($D23&lt;&gt;"Serviço",0,IF(OR(AND(AUTOEVENTO="Manual",$M23=1),$M23&gt;(ROW(PLE.lastrow)-ROW(PLE.firstrow))),0,IF(OFFSET(PLE!$G$14,$M23,AY$13)="",10^12,OFFSET(PLE!$G$14,$M23,AY$13))))</f>
        <v>0</v>
      </c>
      <c r="AZ23" s="212">
        <f ca="1">IF($D23&lt;&gt;"Serviço",0,IF(OR(AND(AUTOEVENTO="Manual",$M23=1),$M23&gt;(ROW(PLE.lastrow)-ROW(PLE.firstrow))),0,IF(OFFSET(PLE!$G$14,$M23,AZ$13)="",10^12,OFFSET(PLE!$G$14,$M23,AZ$13))))</f>
        <v>0</v>
      </c>
      <c r="BA23" s="212">
        <f ca="1">IF($D23&lt;&gt;"Serviço",0,IF(OR(AND(AUTOEVENTO="Manual",$M23=1),$M23&gt;(ROW(PLE.lastrow)-ROW(PLE.firstrow))),0,IF(OFFSET(PLE!$G$14,$M23,BA$13)="",10^12,OFFSET(PLE!$G$14,$M23,BA$13))))</f>
        <v>0</v>
      </c>
      <c r="BB23" s="212">
        <f ca="1">IF($D23&lt;&gt;"Serviço",0,IF(OR(AND(AUTOEVENTO="Manual",$M23=1),$M23&gt;(ROW(PLE.lastrow)-ROW(PLE.firstrow))),0,IF(OFFSET(PLE!$G$14,$M23,BB$13)="",10^12,OFFSET(PLE!$G$14,$M23,BB$13))))</f>
        <v>0</v>
      </c>
      <c r="BC23" s="212">
        <f ca="1">IF($D23&lt;&gt;"Serviço",0,IF(OR(AND(AUTOEVENTO="Manual",$M23=1),$M23&gt;(ROW(PLE.lastrow)-ROW(PLE.firstrow))),0,IF(OFFSET(PLE!$G$14,$M23,BC$13)="",10^12,OFFSET(PLE!$G$14,$M23,BC$13))))</f>
        <v>0</v>
      </c>
      <c r="BD23" s="212">
        <f ca="1">IF($D23&lt;&gt;"Serviço",0,IF(OR(AND(AUTOEVENTO="Manual",$M23=1),$M23&gt;(ROW(PLE.lastrow)-ROW(PLE.firstrow))),0,IF(OFFSET(PLE!$G$14,$M23,BD$13)="",10^12,OFFSET(PLE!$G$14,$M23,BD$13))))</f>
        <v>0</v>
      </c>
      <c r="BE23" s="212">
        <f ca="1">IF($D23&lt;&gt;"Serviço",0,IF(OR(AND(AUTOEVENTO="Manual",$M23=1),$M23&gt;(ROW(PLE.lastrow)-ROW(PLE.firstrow))),0,IF(OFFSET(PLE!$G$14,$M23,BE$13)="",10^12,OFFSET(PLE!$G$14,$M23,BE$13))))</f>
        <v>0</v>
      </c>
      <c r="BF23" s="212">
        <f ca="1">IF($D23&lt;&gt;"Serviço",0,IF(OR(AND(AUTOEVENTO="Manual",$M23=1),$M23&gt;(ROW(PLE.lastrow)-ROW(PLE.firstrow))),0,IF(OFFSET(PLE!$G$14,$M23,BF$13)="",10^12,OFFSET(PLE!$G$14,$M23,BF$13))))</f>
        <v>0</v>
      </c>
      <c r="BG23" s="212">
        <f ca="1">IF($D23&lt;&gt;"Serviço",0,IF(OR(AND(AUTOEVENTO="Manual",$M23=1),$M23&gt;(ROW(PLE.lastrow)-ROW(PLE.firstrow))),0,IF(OFFSET(PLE!$G$14,$M23,BG$13)="",10^12,OFFSET(PLE!$G$14,$M23,BG$13))))</f>
        <v>0</v>
      </c>
    </row>
    <row r="24" spans="1:59" ht="26.4">
      <c r="A24" s="9" t="str">
        <f t="shared" ca="1" si="9"/>
        <v>8</v>
      </c>
      <c r="B24" s="9" t="str">
        <f ca="1">OFFSET(ORÇAMENTO!C$15,ROW(B24)-ROW(B$15),0)</f>
        <v>S</v>
      </c>
      <c r="C24" s="9" t="str">
        <f ca="1">OFFSET(ORÇAMENTO!L$15,ROW(C24)-ROW(C$15),0)</f>
        <v>F</v>
      </c>
      <c r="D24" s="141" t="str">
        <f ca="1">OFFSET(ORÇAMENTO!N$15,ROW(D24)-ROW(D$15),0)</f>
        <v>Serviço</v>
      </c>
      <c r="E24" s="201" t="str">
        <f ca="1">OFFSET(ORÇAMENTO!O$15,ROW(E24)-ROW(E$15),0)</f>
        <v>1.3.1.</v>
      </c>
      <c r="F24" s="202" t="str">
        <f ca="1">OFFSET(ORÇAMENTO!R$15,ROW(F24)-ROW(F$15),0)</f>
        <v>Regularização e compactação mecanizada de superfície, sem controle do proctor normal</v>
      </c>
      <c r="G24" s="203" t="str">
        <f ca="1">IF($D24&lt;&gt;"Serviço","",OFFSET(ORÇAMENTO!S$15,ROW(G24)-ROW(G$15),0))</f>
        <v>M2</v>
      </c>
      <c r="H24" s="147">
        <f ca="1">IF($D24&lt;&gt;"Serviço",0,IF(ACOMPANHAMENTO="BM",ROUND(OFFSET(ORÇAMENTO!AJ$15,ROW(H24)-ROW(H$15),0),15-13*ORÇAMENTO!$AF$7),SUMPRODUCT(($Q$12:$AA$12&lt;&gt;"")*ROUND($Q24:$AA24,15-13*ORÇAMENTO!$AF$7))))</f>
        <v>290.82</v>
      </c>
      <c r="I24" s="645"/>
      <c r="K24" s="204"/>
      <c r="L24" s="205" t="s">
        <v>255</v>
      </c>
      <c r="M24" s="206">
        <f ca="1">IF($D24&lt;&gt;"Serviço","",IF(AUTOEVENTO="manual",$A24,IF(ISERROR(MATCH($A24,$A$15:OFFSET($A24,-1,0),0)),MAX($M$15:OFFSET(M24,-1,0))+1,INDEX($M$15:OFFSET(M24,-1,0),MATCH($A24,$A$15:OFFSET($A24,-1,0),0)))))</f>
        <v>4</v>
      </c>
      <c r="N24" s="207" t="str">
        <f ca="1">IF($D24&lt;&gt;"Serviço","",IF(AUTOEVENTO="Manual",IF($A24=0,"&lt;-- defina o número do agrupador",OFFSET(EVENTOS!$D$14,$A24,0)),OFFSET($F$15,$A24,0)))</f>
        <v>CALÇADAS</v>
      </c>
      <c r="O24" s="208"/>
      <c r="Q24" s="208"/>
      <c r="R24" s="209">
        <v>96</v>
      </c>
      <c r="S24" s="209">
        <v>194.82</v>
      </c>
      <c r="T24" s="209"/>
      <c r="U24" s="209"/>
      <c r="V24" s="209"/>
      <c r="W24" s="209"/>
      <c r="X24" s="209"/>
      <c r="Y24" s="209"/>
      <c r="Z24" s="210"/>
      <c r="AB24" s="626">
        <f ca="1">IF(AND($D24="Serviço",AB$12&lt;&gt;0,$H24&gt;0,OR(AUTOEVENTO&lt;&gt;"manual",$M24&lt;&gt;1)),
IF(Import.TipoArredondamento&lt;&gt;"TransfereGOV",
ROUND(OFFSET($P24,0,AB$13),15-13*ORÇAMENTO!$AF$7)/$H24*OFFSET(ORÇAMENTO!$X$15,ROW(AB24)-ROW(AB$15),0),
ROUND(ROUND(OFFSET($P24,0,AB$13),15-13*ORÇAMENTO!$AF$7)*OFFSET(ORÇAMENTO!$W$15,ROW(AB24)-ROW(AB$15),0),15-13*ORÇAMENTO!$AF$11)),0)</f>
        <v>0</v>
      </c>
      <c r="AC24" s="627">
        <f ca="1">IF(AND($D24="Serviço",AC$12&lt;&gt;0,$H24&gt;0,OR(AUTOEVENTO&lt;&gt;"manual",$M24&lt;&gt;1)),
IF(Import.TipoArredondamento&lt;&gt;"TransfereGOV",
ROUND(OFFSET($P24,0,AC$13),15-13*ORÇAMENTO!$AF$7)/$H24*OFFSET(ORÇAMENTO!$X$15,ROW(AC24)-ROW(AC$15),0),
ROUND(ROUND(OFFSET($P24,0,AC$13),15-13*ORÇAMENTO!$AF$7)*OFFSET(ORÇAMENTO!$W$15,ROW(AC24)-ROW(AC$15),0),15-13*ORÇAMENTO!$AF$11)),0)</f>
        <v>414.71920775737567</v>
      </c>
      <c r="AD24" s="627">
        <f ca="1">IF(AND($D24="Serviço",AD$12&lt;&gt;0,$H24&gt;0,OR(AUTOEVENTO&lt;&gt;"manual",$M24&lt;&gt;1)),
IF(Import.TipoArredondamento&lt;&gt;"TransfereGOV",
ROUND(OFFSET($P24,0,AD$13),15-13*ORÇAMENTO!$AF$7)/$H24*OFFSET(ORÇAMENTO!$X$15,ROW(AD24)-ROW(AD$15),0),
ROUND(ROUND(OFFSET($P24,0,AD$13),15-13*ORÇAMENTO!$AF$7)*OFFSET(ORÇAMENTO!$W$15,ROW(AD24)-ROW(AD$15),0),15-13*ORÇAMENTO!$AF$11)),0)</f>
        <v>841.62079224262436</v>
      </c>
      <c r="AE24" s="627">
        <f ca="1">IF(AND($D24="Serviço",AE$12&lt;&gt;0,$H24&gt;0,OR(AUTOEVENTO&lt;&gt;"manual",$M24&lt;&gt;1)),
IF(Import.TipoArredondamento&lt;&gt;"TransfereGOV",
ROUND(OFFSET($P24,0,AE$13),15-13*ORÇAMENTO!$AF$7)/$H24*OFFSET(ORÇAMENTO!$X$15,ROW(AE24)-ROW(AE$15),0),
ROUND(ROUND(OFFSET($P24,0,AE$13),15-13*ORÇAMENTO!$AF$7)*OFFSET(ORÇAMENTO!$W$15,ROW(AE24)-ROW(AE$15),0),15-13*ORÇAMENTO!$AF$11)),0)</f>
        <v>0</v>
      </c>
      <c r="AF24" s="627">
        <f ca="1">IF(AND($D24="Serviço",AF$12&lt;&gt;0,$H24&gt;0,OR(AUTOEVENTO&lt;&gt;"manual",$M24&lt;&gt;1)),
IF(Import.TipoArredondamento&lt;&gt;"TransfereGOV",
ROUND(OFFSET($P24,0,AF$13),15-13*ORÇAMENTO!$AF$7)/$H24*OFFSET(ORÇAMENTO!$X$15,ROW(AF24)-ROW(AF$15),0),
ROUND(ROUND(OFFSET($P24,0,AF$13),15-13*ORÇAMENTO!$AF$7)*OFFSET(ORÇAMENTO!$W$15,ROW(AF24)-ROW(AF$15),0),15-13*ORÇAMENTO!$AF$11)),0)</f>
        <v>0</v>
      </c>
      <c r="AG24" s="627">
        <f ca="1">IF(AND($D24="Serviço",AG$12&lt;&gt;0,$H24&gt;0,OR(AUTOEVENTO&lt;&gt;"manual",$M24&lt;&gt;1)),
IF(Import.TipoArredondamento&lt;&gt;"TransfereGOV",
ROUND(OFFSET($P24,0,AG$13),15-13*ORÇAMENTO!$AF$7)/$H24*OFFSET(ORÇAMENTO!$X$15,ROW(AG24)-ROW(AG$15),0),
ROUND(ROUND(OFFSET($P24,0,AG$13),15-13*ORÇAMENTO!$AF$7)*OFFSET(ORÇAMENTO!$W$15,ROW(AG24)-ROW(AG$15),0),15-13*ORÇAMENTO!$AF$11)),0)</f>
        <v>0</v>
      </c>
      <c r="AH24" s="627">
        <f ca="1">IF(AND($D24="Serviço",AH$12&lt;&gt;0,$H24&gt;0,OR(AUTOEVENTO&lt;&gt;"manual",$M24&lt;&gt;1)),
IF(Import.TipoArredondamento&lt;&gt;"TransfereGOV",
ROUND(OFFSET($P24,0,AH$13),15-13*ORÇAMENTO!$AF$7)/$H24*OFFSET(ORÇAMENTO!$X$15,ROW(AH24)-ROW(AH$15),0),
ROUND(ROUND(OFFSET($P24,0,AH$13),15-13*ORÇAMENTO!$AF$7)*OFFSET(ORÇAMENTO!$W$15,ROW(AH24)-ROW(AH$15),0),15-13*ORÇAMENTO!$AF$11)),0)</f>
        <v>0</v>
      </c>
      <c r="AI24" s="627">
        <f ca="1">IF(AND($D24="Serviço",AI$12&lt;&gt;0,$H24&gt;0,OR(AUTOEVENTO&lt;&gt;"manual",$M24&lt;&gt;1)),
IF(Import.TipoArredondamento&lt;&gt;"TransfereGOV",
ROUND(OFFSET($P24,0,AI$13),15-13*ORÇAMENTO!$AF$7)/$H24*OFFSET(ORÇAMENTO!$X$15,ROW(AI24)-ROW(AI$15),0),
ROUND(ROUND(OFFSET($P24,0,AI$13),15-13*ORÇAMENTO!$AF$7)*OFFSET(ORÇAMENTO!$W$15,ROW(AI24)-ROW(AI$15),0),15-13*ORÇAMENTO!$AF$11)),0)</f>
        <v>0</v>
      </c>
      <c r="AJ24" s="627">
        <f ca="1">IF(AND($D24="Serviço",AJ$12&lt;&gt;0,$H24&gt;0,OR(AUTOEVENTO&lt;&gt;"manual",$M24&lt;&gt;1)),
IF(Import.TipoArredondamento&lt;&gt;"TransfereGOV",
ROUND(OFFSET($P24,0,AJ$13),15-13*ORÇAMENTO!$AF$7)/$H24*OFFSET(ORÇAMENTO!$X$15,ROW(AJ24)-ROW(AJ$15),0),
ROUND(ROUND(OFFSET($P24,0,AJ$13),15-13*ORÇAMENTO!$AF$7)*OFFSET(ORÇAMENTO!$W$15,ROW(AJ24)-ROW(AJ$15),0),15-13*ORÇAMENTO!$AF$11)),0)</f>
        <v>0</v>
      </c>
      <c r="AK24" s="628">
        <f ca="1">IF(AND($D24="Serviço",AK$12&lt;&gt;0,$H24&gt;0,OR(AUTOEVENTO&lt;&gt;"manual",$M24&lt;&gt;1)),
IF(Import.TipoArredondamento&lt;&gt;"TransfereGOV",
ROUND(OFFSET($P24,0,AK$13),15-13*ORÇAMENTO!$AF$7)/$H24*OFFSET(ORÇAMENTO!$X$15,ROW(AK24)-ROW(AK$15),0),
ROUND(ROUND(OFFSET($P24,0,AK$13),15-13*ORÇAMENTO!$AF$7)*OFFSET(ORÇAMENTO!$W$15,ROW(AK24)-ROW(AK$15),0),15-13*ORÇAMENTO!$AF$11)),0)</f>
        <v>0</v>
      </c>
      <c r="AM24" s="211">
        <f ca="1">IF($D24&lt;&gt;"Serviço",0,IF(AND(AUTOEVENTO="Manual",$M24=1),0,IF(OFFSET(CRONOPLE!$F$14,$M24,AM$13)="",10^12,OFFSET(CRONOPLE!$F$14,$M24,AM$13))))</f>
        <v>2</v>
      </c>
      <c r="AN24" s="211">
        <f ca="1">IF($D24&lt;&gt;"Serviço",0,IF(AND(AUTOEVENTO="Manual",$M24=1),0,IF(OFFSET(CRONOPLE!$F$14,$M24,AN$13)="",10^12,OFFSET(CRONOPLE!$F$14,$M24,AN$13))))</f>
        <v>1</v>
      </c>
      <c r="AO24" s="211">
        <f ca="1">IF($D24&lt;&gt;"Serviço",0,IF(AND(AUTOEVENTO="Manual",$M24=1),0,IF(OFFSET(CRONOPLE!$F$14,$M24,AO$13)="",10^12,OFFSET(CRONOPLE!$F$14,$M24,AO$13))))</f>
        <v>2</v>
      </c>
      <c r="AP24" s="211">
        <f ca="1">IF($D24&lt;&gt;"Serviço",0,IF(AND(AUTOEVENTO="Manual",$M24=1),0,IF(OFFSET(CRONOPLE!$F$14,$M24,AP$13)="",10^12,OFFSET(CRONOPLE!$F$14,$M24,AP$13))))</f>
        <v>2</v>
      </c>
      <c r="AQ24" s="211">
        <f ca="1">IF($D24&lt;&gt;"Serviço",0,IF(AND(AUTOEVENTO="Manual",$M24=1),0,IF(OFFSET(CRONOPLE!$F$14,$M24,AQ$13)="",10^12,OFFSET(CRONOPLE!$F$14,$M24,AQ$13))))</f>
        <v>1000000000000</v>
      </c>
      <c r="AR24" s="211">
        <f ca="1">IF($D24&lt;&gt;"Serviço",0,IF(AND(AUTOEVENTO="Manual",$M24=1),0,IF(OFFSET(CRONOPLE!$F$14,$M24,AR$13)="",10^12,OFFSET(CRONOPLE!$F$14,$M24,AR$13))))</f>
        <v>1000000000000</v>
      </c>
      <c r="AS24" s="211">
        <f ca="1">IF($D24&lt;&gt;"Serviço",0,IF(AND(AUTOEVENTO="Manual",$M24=1),0,IF(OFFSET(CRONOPLE!$F$14,$M24,AS$13)="",10^12,OFFSET(CRONOPLE!$F$14,$M24,AS$13))))</f>
        <v>1000000000000</v>
      </c>
      <c r="AT24" s="211">
        <f ca="1">IF($D24&lt;&gt;"Serviço",0,IF(AND(AUTOEVENTO="Manual",$M24=1),0,IF(OFFSET(CRONOPLE!$F$14,$M24,AT$13)="",10^12,OFFSET(CRONOPLE!$F$14,$M24,AT$13))))</f>
        <v>1000000000000</v>
      </c>
      <c r="AU24" s="211">
        <f ca="1">IF($D24&lt;&gt;"Serviço",0,IF(AND(AUTOEVENTO="Manual",$M24=1),0,IF(OFFSET(CRONOPLE!$F$14,$M24,AU$13)="",10^12,OFFSET(CRONOPLE!$F$14,$M24,AU$13))))</f>
        <v>1000000000000</v>
      </c>
      <c r="AV24" s="211">
        <f ca="1">IF($D24&lt;&gt;"Serviço",0,IF(AND(AUTOEVENTO="Manual",$M24=1),0,IF(OFFSET(CRONOPLE!$F$14,$M24,AV$13)="",10^12,OFFSET(CRONOPLE!$F$14,$M24,AV$13))))</f>
        <v>1000000000000</v>
      </c>
      <c r="AX24" s="212">
        <f ca="1">IF($D24&lt;&gt;"Serviço",0,IF(OR(AND(AUTOEVENTO="Manual",$M24=1),$M24&gt;(ROW(PLE.lastrow)-ROW(PLE.firstrow))),0,IF(OFFSET(PLE!$G$14,$M24,AX$13)="",10^12,OFFSET(PLE!$G$14,$M24,AX$13))))</f>
        <v>1000000000000</v>
      </c>
      <c r="AY24" s="212">
        <f ca="1">IF($D24&lt;&gt;"Serviço",0,IF(OR(AND(AUTOEVENTO="Manual",$M24=1),$M24&gt;(ROW(PLE.lastrow)-ROW(PLE.firstrow))),0,IF(OFFSET(PLE!$G$14,$M24,AY$13)="",10^12,OFFSET(PLE!$G$14,$M24,AY$13))))</f>
        <v>1000000000000</v>
      </c>
      <c r="AZ24" s="212">
        <f ca="1">IF($D24&lt;&gt;"Serviço",0,IF(OR(AND(AUTOEVENTO="Manual",$M24=1),$M24&gt;(ROW(PLE.lastrow)-ROW(PLE.firstrow))),0,IF(OFFSET(PLE!$G$14,$M24,AZ$13)="",10^12,OFFSET(PLE!$G$14,$M24,AZ$13))))</f>
        <v>1000000000000</v>
      </c>
      <c r="BA24" s="212">
        <f ca="1">IF($D24&lt;&gt;"Serviço",0,IF(OR(AND(AUTOEVENTO="Manual",$M24=1),$M24&gt;(ROW(PLE.lastrow)-ROW(PLE.firstrow))),0,IF(OFFSET(PLE!$G$14,$M24,BA$13)="",10^12,OFFSET(PLE!$G$14,$M24,BA$13))))</f>
        <v>1000000000000</v>
      </c>
      <c r="BB24" s="212">
        <f ca="1">IF($D24&lt;&gt;"Serviço",0,IF(OR(AND(AUTOEVENTO="Manual",$M24=1),$M24&gt;(ROW(PLE.lastrow)-ROW(PLE.firstrow))),0,IF(OFFSET(PLE!$G$14,$M24,BB$13)="",10^12,OFFSET(PLE!$G$14,$M24,BB$13))))</f>
        <v>1000000000000</v>
      </c>
      <c r="BC24" s="212">
        <f ca="1">IF($D24&lt;&gt;"Serviço",0,IF(OR(AND(AUTOEVENTO="Manual",$M24=1),$M24&gt;(ROW(PLE.lastrow)-ROW(PLE.firstrow))),0,IF(OFFSET(PLE!$G$14,$M24,BC$13)="",10^12,OFFSET(PLE!$G$14,$M24,BC$13))))</f>
        <v>1000000000000</v>
      </c>
      <c r="BD24" s="212">
        <f ca="1">IF($D24&lt;&gt;"Serviço",0,IF(OR(AND(AUTOEVENTO="Manual",$M24=1),$M24&gt;(ROW(PLE.lastrow)-ROW(PLE.firstrow))),0,IF(OFFSET(PLE!$G$14,$M24,BD$13)="",10^12,OFFSET(PLE!$G$14,$M24,BD$13))))</f>
        <v>1000000000000</v>
      </c>
      <c r="BE24" s="212">
        <f ca="1">IF($D24&lt;&gt;"Serviço",0,IF(OR(AND(AUTOEVENTO="Manual",$M24=1),$M24&gt;(ROW(PLE.lastrow)-ROW(PLE.firstrow))),0,IF(OFFSET(PLE!$G$14,$M24,BE$13)="",10^12,OFFSET(PLE!$G$14,$M24,BE$13))))</f>
        <v>1000000000000</v>
      </c>
      <c r="BF24" s="212">
        <f ca="1">IF($D24&lt;&gt;"Serviço",0,IF(OR(AND(AUTOEVENTO="Manual",$M24=1),$M24&gt;(ROW(PLE.lastrow)-ROW(PLE.firstrow))),0,IF(OFFSET(PLE!$G$14,$M24,BF$13)="",10^12,OFFSET(PLE!$G$14,$M24,BF$13))))</f>
        <v>1000000000000</v>
      </c>
      <c r="BG24" s="212">
        <f ca="1">IF($D24&lt;&gt;"Serviço",0,IF(OR(AND(AUTOEVENTO="Manual",$M24=1),$M24&gt;(ROW(PLE.lastrow)-ROW(PLE.firstrow))),0,IF(OFFSET(PLE!$G$14,$M24,BG$13)="",10^12,OFFSET(PLE!$G$14,$M24,BG$13))))</f>
        <v>1000000000000</v>
      </c>
    </row>
    <row r="25" spans="1:59" ht="26.4">
      <c r="A25" s="9" t="str">
        <f t="shared" ca="1" si="9"/>
        <v>8</v>
      </c>
      <c r="B25" s="9" t="str">
        <f ca="1">OFFSET(ORÇAMENTO!C$15,ROW(B25)-ROW(B$15),0)</f>
        <v>S</v>
      </c>
      <c r="C25" s="9" t="str">
        <f ca="1">OFFSET(ORÇAMENTO!L$15,ROW(C25)-ROW(C$15),0)</f>
        <v>F</v>
      </c>
      <c r="D25" s="141" t="str">
        <f ca="1">OFFSET(ORÇAMENTO!N$15,ROW(D25)-ROW(D$15),0)</f>
        <v>Serviço</v>
      </c>
      <c r="E25" s="201" t="str">
        <f ca="1">OFFSET(ORÇAMENTO!O$15,ROW(E25)-ROW(E$15),0)</f>
        <v>1.3.2.</v>
      </c>
      <c r="F25" s="202" t="str">
        <f ca="1">OFFSET(ORÇAMENTO!R$15,ROW(F25)-ROW(F$15),0)</f>
        <v>LASTRO COM MATERIAL GRANULAR, APLICADO EM PISOS OU LAJES SOBRE SOLO, ESPESSURA DE *5 CM*. AF_01/2024</v>
      </c>
      <c r="G25" s="203" t="str">
        <f ca="1">IF($D25&lt;&gt;"Serviço","",OFFSET(ORÇAMENTO!S$15,ROW(G25)-ROW(G$15),0))</f>
        <v>M3</v>
      </c>
      <c r="H25" s="147">
        <f ca="1">IF($D25&lt;&gt;"Serviço",0,IF(ACOMPANHAMENTO="BM",ROUND(OFFSET(ORÇAMENTO!AJ$15,ROW(H25)-ROW(H$15),0),15-13*ORÇAMENTO!$AF$7),SUMPRODUCT(($Q$12:$AA$12&lt;&gt;"")*ROUND($Q25:$AA25,15-13*ORÇAMENTO!$AF$7))))</f>
        <v>14.54</v>
      </c>
      <c r="I25" s="645"/>
      <c r="K25" s="204"/>
      <c r="L25" s="205" t="s">
        <v>255</v>
      </c>
      <c r="M25" s="206">
        <f ca="1">IF($D25&lt;&gt;"Serviço","",IF(AUTOEVENTO="manual",$A25,IF(ISERROR(MATCH($A25,$A$15:OFFSET($A25,-1,0),0)),MAX($M$15:OFFSET(M25,-1,0))+1,INDEX($M$15:OFFSET(M25,-1,0),MATCH($A25,$A$15:OFFSET($A25,-1,0),0)))))</f>
        <v>4</v>
      </c>
      <c r="N25" s="207" t="str">
        <f ca="1">IF($D25&lt;&gt;"Serviço","",IF(AUTOEVENTO="Manual",IF($A25=0,"&lt;-- defina o número do agrupador",OFFSET(EVENTOS!$D$14,$A25,0)),OFFSET($F$15,$A25,0)))</f>
        <v>CALÇADAS</v>
      </c>
      <c r="O25" s="208"/>
      <c r="Q25" s="208"/>
      <c r="R25" s="209">
        <v>4.8000000000000007</v>
      </c>
      <c r="S25" s="209">
        <v>9.7409999999999997</v>
      </c>
      <c r="T25" s="209"/>
      <c r="U25" s="209"/>
      <c r="V25" s="209"/>
      <c r="W25" s="209"/>
      <c r="X25" s="209"/>
      <c r="Y25" s="209"/>
      <c r="Z25" s="210"/>
      <c r="AB25" s="626">
        <f ca="1">IF(AND($D25="Serviço",AB$12&lt;&gt;0,$H25&gt;0,OR(AUTOEVENTO&lt;&gt;"manual",$M25&lt;&gt;1)),
IF(Import.TipoArredondamento&lt;&gt;"TransfereGOV",
ROUND(OFFSET($P25,0,AB$13),15-13*ORÇAMENTO!$AF$7)/$H25*OFFSET(ORÇAMENTO!$X$15,ROW(AB25)-ROW(AB$15),0),
ROUND(ROUND(OFFSET($P25,0,AB$13),15-13*ORÇAMENTO!$AF$7)*OFFSET(ORÇAMENTO!$W$15,ROW(AB25)-ROW(AB$15),0),15-13*ORÇAMENTO!$AF$11)),0)</f>
        <v>0</v>
      </c>
      <c r="AC25" s="627">
        <f ca="1">IF(AND($D25="Serviço",AC$12&lt;&gt;0,$H25&gt;0,OR(AUTOEVENTO&lt;&gt;"manual",$M25&lt;&gt;1)),
IF(Import.TipoArredondamento&lt;&gt;"TransfereGOV",
ROUND(OFFSET($P25,0,AC$13),15-13*ORÇAMENTO!$AF$7)/$H25*OFFSET(ORÇAMENTO!$X$15,ROW(AC25)-ROW(AC$15),0),
ROUND(ROUND(OFFSET($P25,0,AC$13),15-13*ORÇAMENTO!$AF$7)*OFFSET(ORÇAMENTO!$W$15,ROW(AC25)-ROW(AC$15),0),15-13*ORÇAMENTO!$AF$11)),0)</f>
        <v>1148.1111416781293</v>
      </c>
      <c r="AD25" s="627">
        <f ca="1">IF(AND($D25="Serviço",AD$12&lt;&gt;0,$H25&gt;0,OR(AUTOEVENTO&lt;&gt;"manual",$M25&lt;&gt;1)),
IF(Import.TipoArredondamento&lt;&gt;"TransfereGOV",
ROUND(OFFSET($P25,0,AD$13),15-13*ORÇAMENTO!$AF$7)/$H25*OFFSET(ORÇAMENTO!$X$15,ROW(AD25)-ROW(AD$15),0),
ROUND(ROUND(OFFSET($P25,0,AD$13),15-13*ORÇAMENTO!$AF$7)*OFFSET(ORÇAMENTO!$W$15,ROW(AD25)-ROW(AD$15),0),15-13*ORÇAMENTO!$AF$11)),0)</f>
        <v>2329.708858321871</v>
      </c>
      <c r="AE25" s="627">
        <f ca="1">IF(AND($D25="Serviço",AE$12&lt;&gt;0,$H25&gt;0,OR(AUTOEVENTO&lt;&gt;"manual",$M25&lt;&gt;1)),
IF(Import.TipoArredondamento&lt;&gt;"TransfereGOV",
ROUND(OFFSET($P25,0,AE$13),15-13*ORÇAMENTO!$AF$7)/$H25*OFFSET(ORÇAMENTO!$X$15,ROW(AE25)-ROW(AE$15),0),
ROUND(ROUND(OFFSET($P25,0,AE$13),15-13*ORÇAMENTO!$AF$7)*OFFSET(ORÇAMENTO!$W$15,ROW(AE25)-ROW(AE$15),0),15-13*ORÇAMENTO!$AF$11)),0)</f>
        <v>0</v>
      </c>
      <c r="AF25" s="627">
        <f ca="1">IF(AND($D25="Serviço",AF$12&lt;&gt;0,$H25&gt;0,OR(AUTOEVENTO&lt;&gt;"manual",$M25&lt;&gt;1)),
IF(Import.TipoArredondamento&lt;&gt;"TransfereGOV",
ROUND(OFFSET($P25,0,AF$13),15-13*ORÇAMENTO!$AF$7)/$H25*OFFSET(ORÇAMENTO!$X$15,ROW(AF25)-ROW(AF$15),0),
ROUND(ROUND(OFFSET($P25,0,AF$13),15-13*ORÇAMENTO!$AF$7)*OFFSET(ORÇAMENTO!$W$15,ROW(AF25)-ROW(AF$15),0),15-13*ORÇAMENTO!$AF$11)),0)</f>
        <v>0</v>
      </c>
      <c r="AG25" s="627">
        <f ca="1">IF(AND($D25="Serviço",AG$12&lt;&gt;0,$H25&gt;0,OR(AUTOEVENTO&lt;&gt;"manual",$M25&lt;&gt;1)),
IF(Import.TipoArredondamento&lt;&gt;"TransfereGOV",
ROUND(OFFSET($P25,0,AG$13),15-13*ORÇAMENTO!$AF$7)/$H25*OFFSET(ORÇAMENTO!$X$15,ROW(AG25)-ROW(AG$15),0),
ROUND(ROUND(OFFSET($P25,0,AG$13),15-13*ORÇAMENTO!$AF$7)*OFFSET(ORÇAMENTO!$W$15,ROW(AG25)-ROW(AG$15),0),15-13*ORÇAMENTO!$AF$11)),0)</f>
        <v>0</v>
      </c>
      <c r="AH25" s="627">
        <f ca="1">IF(AND($D25="Serviço",AH$12&lt;&gt;0,$H25&gt;0,OR(AUTOEVENTO&lt;&gt;"manual",$M25&lt;&gt;1)),
IF(Import.TipoArredondamento&lt;&gt;"TransfereGOV",
ROUND(OFFSET($P25,0,AH$13),15-13*ORÇAMENTO!$AF$7)/$H25*OFFSET(ORÇAMENTO!$X$15,ROW(AH25)-ROW(AH$15),0),
ROUND(ROUND(OFFSET($P25,0,AH$13),15-13*ORÇAMENTO!$AF$7)*OFFSET(ORÇAMENTO!$W$15,ROW(AH25)-ROW(AH$15),0),15-13*ORÇAMENTO!$AF$11)),0)</f>
        <v>0</v>
      </c>
      <c r="AI25" s="627">
        <f ca="1">IF(AND($D25="Serviço",AI$12&lt;&gt;0,$H25&gt;0,OR(AUTOEVENTO&lt;&gt;"manual",$M25&lt;&gt;1)),
IF(Import.TipoArredondamento&lt;&gt;"TransfereGOV",
ROUND(OFFSET($P25,0,AI$13),15-13*ORÇAMENTO!$AF$7)/$H25*OFFSET(ORÇAMENTO!$X$15,ROW(AI25)-ROW(AI$15),0),
ROUND(ROUND(OFFSET($P25,0,AI$13),15-13*ORÇAMENTO!$AF$7)*OFFSET(ORÇAMENTO!$W$15,ROW(AI25)-ROW(AI$15),0),15-13*ORÇAMENTO!$AF$11)),0)</f>
        <v>0</v>
      </c>
      <c r="AJ25" s="627">
        <f ca="1">IF(AND($D25="Serviço",AJ$12&lt;&gt;0,$H25&gt;0,OR(AUTOEVENTO&lt;&gt;"manual",$M25&lt;&gt;1)),
IF(Import.TipoArredondamento&lt;&gt;"TransfereGOV",
ROUND(OFFSET($P25,0,AJ$13),15-13*ORÇAMENTO!$AF$7)/$H25*OFFSET(ORÇAMENTO!$X$15,ROW(AJ25)-ROW(AJ$15),0),
ROUND(ROUND(OFFSET($P25,0,AJ$13),15-13*ORÇAMENTO!$AF$7)*OFFSET(ORÇAMENTO!$W$15,ROW(AJ25)-ROW(AJ$15),0),15-13*ORÇAMENTO!$AF$11)),0)</f>
        <v>0</v>
      </c>
      <c r="AK25" s="628">
        <f ca="1">IF(AND($D25="Serviço",AK$12&lt;&gt;0,$H25&gt;0,OR(AUTOEVENTO&lt;&gt;"manual",$M25&lt;&gt;1)),
IF(Import.TipoArredondamento&lt;&gt;"TransfereGOV",
ROUND(OFFSET($P25,0,AK$13),15-13*ORÇAMENTO!$AF$7)/$H25*OFFSET(ORÇAMENTO!$X$15,ROW(AK25)-ROW(AK$15),0),
ROUND(ROUND(OFFSET($P25,0,AK$13),15-13*ORÇAMENTO!$AF$7)*OFFSET(ORÇAMENTO!$W$15,ROW(AK25)-ROW(AK$15),0),15-13*ORÇAMENTO!$AF$11)),0)</f>
        <v>0</v>
      </c>
      <c r="AM25" s="211">
        <f ca="1">IF($D25&lt;&gt;"Serviço",0,IF(AND(AUTOEVENTO="Manual",$M25=1),0,IF(OFFSET(CRONOPLE!$F$14,$M25,AM$13)="",10^12,OFFSET(CRONOPLE!$F$14,$M25,AM$13))))</f>
        <v>2</v>
      </c>
      <c r="AN25" s="211">
        <f ca="1">IF($D25&lt;&gt;"Serviço",0,IF(AND(AUTOEVENTO="Manual",$M25=1),0,IF(OFFSET(CRONOPLE!$F$14,$M25,AN$13)="",10^12,OFFSET(CRONOPLE!$F$14,$M25,AN$13))))</f>
        <v>1</v>
      </c>
      <c r="AO25" s="211">
        <f ca="1">IF($D25&lt;&gt;"Serviço",0,IF(AND(AUTOEVENTO="Manual",$M25=1),0,IF(OFFSET(CRONOPLE!$F$14,$M25,AO$13)="",10^12,OFFSET(CRONOPLE!$F$14,$M25,AO$13))))</f>
        <v>2</v>
      </c>
      <c r="AP25" s="211">
        <f ca="1">IF($D25&lt;&gt;"Serviço",0,IF(AND(AUTOEVENTO="Manual",$M25=1),0,IF(OFFSET(CRONOPLE!$F$14,$M25,AP$13)="",10^12,OFFSET(CRONOPLE!$F$14,$M25,AP$13))))</f>
        <v>2</v>
      </c>
      <c r="AQ25" s="211">
        <f ca="1">IF($D25&lt;&gt;"Serviço",0,IF(AND(AUTOEVENTO="Manual",$M25=1),0,IF(OFFSET(CRONOPLE!$F$14,$M25,AQ$13)="",10^12,OFFSET(CRONOPLE!$F$14,$M25,AQ$13))))</f>
        <v>1000000000000</v>
      </c>
      <c r="AR25" s="211">
        <f ca="1">IF($D25&lt;&gt;"Serviço",0,IF(AND(AUTOEVENTO="Manual",$M25=1),0,IF(OFFSET(CRONOPLE!$F$14,$M25,AR$13)="",10^12,OFFSET(CRONOPLE!$F$14,$M25,AR$13))))</f>
        <v>1000000000000</v>
      </c>
      <c r="AS25" s="211">
        <f ca="1">IF($D25&lt;&gt;"Serviço",0,IF(AND(AUTOEVENTO="Manual",$M25=1),0,IF(OFFSET(CRONOPLE!$F$14,$M25,AS$13)="",10^12,OFFSET(CRONOPLE!$F$14,$M25,AS$13))))</f>
        <v>1000000000000</v>
      </c>
      <c r="AT25" s="211">
        <f ca="1">IF($D25&lt;&gt;"Serviço",0,IF(AND(AUTOEVENTO="Manual",$M25=1),0,IF(OFFSET(CRONOPLE!$F$14,$M25,AT$13)="",10^12,OFFSET(CRONOPLE!$F$14,$M25,AT$13))))</f>
        <v>1000000000000</v>
      </c>
      <c r="AU25" s="211">
        <f ca="1">IF($D25&lt;&gt;"Serviço",0,IF(AND(AUTOEVENTO="Manual",$M25=1),0,IF(OFFSET(CRONOPLE!$F$14,$M25,AU$13)="",10^12,OFFSET(CRONOPLE!$F$14,$M25,AU$13))))</f>
        <v>1000000000000</v>
      </c>
      <c r="AV25" s="211">
        <f ca="1">IF($D25&lt;&gt;"Serviço",0,IF(AND(AUTOEVENTO="Manual",$M25=1),0,IF(OFFSET(CRONOPLE!$F$14,$M25,AV$13)="",10^12,OFFSET(CRONOPLE!$F$14,$M25,AV$13))))</f>
        <v>1000000000000</v>
      </c>
      <c r="AX25" s="212">
        <f ca="1">IF($D25&lt;&gt;"Serviço",0,IF(OR(AND(AUTOEVENTO="Manual",$M25=1),$M25&gt;(ROW(PLE.lastrow)-ROW(PLE.firstrow))),0,IF(OFFSET(PLE!$G$14,$M25,AX$13)="",10^12,OFFSET(PLE!$G$14,$M25,AX$13))))</f>
        <v>1000000000000</v>
      </c>
      <c r="AY25" s="212">
        <f ca="1">IF($D25&lt;&gt;"Serviço",0,IF(OR(AND(AUTOEVENTO="Manual",$M25=1),$M25&gt;(ROW(PLE.lastrow)-ROW(PLE.firstrow))),0,IF(OFFSET(PLE!$G$14,$M25,AY$13)="",10^12,OFFSET(PLE!$G$14,$M25,AY$13))))</f>
        <v>1000000000000</v>
      </c>
      <c r="AZ25" s="212">
        <f ca="1">IF($D25&lt;&gt;"Serviço",0,IF(OR(AND(AUTOEVENTO="Manual",$M25=1),$M25&gt;(ROW(PLE.lastrow)-ROW(PLE.firstrow))),0,IF(OFFSET(PLE!$G$14,$M25,AZ$13)="",10^12,OFFSET(PLE!$G$14,$M25,AZ$13))))</f>
        <v>1000000000000</v>
      </c>
      <c r="BA25" s="212">
        <f ca="1">IF($D25&lt;&gt;"Serviço",0,IF(OR(AND(AUTOEVENTO="Manual",$M25=1),$M25&gt;(ROW(PLE.lastrow)-ROW(PLE.firstrow))),0,IF(OFFSET(PLE!$G$14,$M25,BA$13)="",10^12,OFFSET(PLE!$G$14,$M25,BA$13))))</f>
        <v>1000000000000</v>
      </c>
      <c r="BB25" s="212">
        <f ca="1">IF($D25&lt;&gt;"Serviço",0,IF(OR(AND(AUTOEVENTO="Manual",$M25=1),$M25&gt;(ROW(PLE.lastrow)-ROW(PLE.firstrow))),0,IF(OFFSET(PLE!$G$14,$M25,BB$13)="",10^12,OFFSET(PLE!$G$14,$M25,BB$13))))</f>
        <v>1000000000000</v>
      </c>
      <c r="BC25" s="212">
        <f ca="1">IF($D25&lt;&gt;"Serviço",0,IF(OR(AND(AUTOEVENTO="Manual",$M25=1),$M25&gt;(ROW(PLE.lastrow)-ROW(PLE.firstrow))),0,IF(OFFSET(PLE!$G$14,$M25,BC$13)="",10^12,OFFSET(PLE!$G$14,$M25,BC$13))))</f>
        <v>1000000000000</v>
      </c>
      <c r="BD25" s="212">
        <f ca="1">IF($D25&lt;&gt;"Serviço",0,IF(OR(AND(AUTOEVENTO="Manual",$M25=1),$M25&gt;(ROW(PLE.lastrow)-ROW(PLE.firstrow))),0,IF(OFFSET(PLE!$G$14,$M25,BD$13)="",10^12,OFFSET(PLE!$G$14,$M25,BD$13))))</f>
        <v>1000000000000</v>
      </c>
      <c r="BE25" s="212">
        <f ca="1">IF($D25&lt;&gt;"Serviço",0,IF(OR(AND(AUTOEVENTO="Manual",$M25=1),$M25&gt;(ROW(PLE.lastrow)-ROW(PLE.firstrow))),0,IF(OFFSET(PLE!$G$14,$M25,BE$13)="",10^12,OFFSET(PLE!$G$14,$M25,BE$13))))</f>
        <v>1000000000000</v>
      </c>
      <c r="BF25" s="212">
        <f ca="1">IF($D25&lt;&gt;"Serviço",0,IF(OR(AND(AUTOEVENTO="Manual",$M25=1),$M25&gt;(ROW(PLE.lastrow)-ROW(PLE.firstrow))),0,IF(OFFSET(PLE!$G$14,$M25,BF$13)="",10^12,OFFSET(PLE!$G$14,$M25,BF$13))))</f>
        <v>1000000000000</v>
      </c>
      <c r="BG25" s="212">
        <f ca="1">IF($D25&lt;&gt;"Serviço",0,IF(OR(AND(AUTOEVENTO="Manual",$M25=1),$M25&gt;(ROW(PLE.lastrow)-ROW(PLE.firstrow))),0,IF(OFFSET(PLE!$G$14,$M25,BG$13)="",10^12,OFFSET(PLE!$G$14,$M25,BG$13))))</f>
        <v>1000000000000</v>
      </c>
    </row>
    <row r="26" spans="1:59" ht="39.6">
      <c r="A26" s="9" t="str">
        <f t="shared" ca="1" si="9"/>
        <v>8</v>
      </c>
      <c r="B26" s="9" t="str">
        <f ca="1">OFFSET(ORÇAMENTO!C$15,ROW(B26)-ROW(B$15),0)</f>
        <v>S</v>
      </c>
      <c r="C26" s="9" t="str">
        <f ca="1">OFFSET(ORÇAMENTO!L$15,ROW(C26)-ROW(C$15),0)</f>
        <v>F</v>
      </c>
      <c r="D26" s="141" t="str">
        <f ca="1">OFFSET(ORÇAMENTO!N$15,ROW(D26)-ROW(D$15),0)</f>
        <v>Serviço</v>
      </c>
      <c r="E26" s="201" t="str">
        <f ca="1">OFFSET(ORÇAMENTO!O$15,ROW(E26)-ROW(E$15),0)</f>
        <v>1.3.3.</v>
      </c>
      <c r="F26" s="202" t="str">
        <f ca="1">OFFSET(ORÇAMENTO!R$15,ROW(F26)-ROW(F$15),0)</f>
        <v>EXECUÇÃO DE PASSEIO (CALÇADA) OU PISO DE CONCRETO COM CONCRETO MOLDADO IN LOCO, USINADO C20, ACABAMENTO CONVENCIONAL, NÃO ARMADO. AF_08/2022</v>
      </c>
      <c r="G26" s="203" t="str">
        <f ca="1">IF($D26&lt;&gt;"Serviço","",OFFSET(ORÇAMENTO!S$15,ROW(G26)-ROW(G$15),0))</f>
        <v>M3</v>
      </c>
      <c r="H26" s="147">
        <f ca="1">IF($D26&lt;&gt;"Serviço",0,IF(ACOMPANHAMENTO="BM",ROUND(OFFSET(ORÇAMENTO!AJ$15,ROW(H26)-ROW(H$15),0),15-13*ORÇAMENTO!$AF$7),SUMPRODUCT(($Q$12:$AA$12&lt;&gt;"")*ROUND($Q26:$AA26,15-13*ORÇAMENTO!$AF$7))))</f>
        <v>20.36</v>
      </c>
      <c r="I26" s="645"/>
      <c r="K26" s="204"/>
      <c r="L26" s="205" t="s">
        <v>255</v>
      </c>
      <c r="M26" s="206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207" t="str">
        <f ca="1">IF($D26&lt;&gt;"Serviço","",IF(AUTOEVENTO="Manual",IF($A26=0,"&lt;-- defina o número do agrupador",OFFSET(EVENTOS!$D$14,$A26,0)),OFFSET($F$15,$A26,0)))</f>
        <v>CALÇADAS</v>
      </c>
      <c r="O26" s="208"/>
      <c r="Q26" s="208"/>
      <c r="R26" s="209">
        <v>6.7200000000000006</v>
      </c>
      <c r="S26" s="209">
        <v>13.637400000000001</v>
      </c>
      <c r="T26" s="209"/>
      <c r="U26" s="209"/>
      <c r="V26" s="209"/>
      <c r="W26" s="209"/>
      <c r="X26" s="209"/>
      <c r="Y26" s="209"/>
      <c r="Z26" s="210"/>
      <c r="AB26" s="626">
        <f ca="1">IF(AND($D26="Serviço",AB$12&lt;&gt;0,$H26&gt;0,OR(AUTOEVENTO&lt;&gt;"manual",$M26&lt;&gt;1)),
IF(Import.TipoArredondamento&lt;&gt;"TransfereGOV",
ROUND(OFFSET($P26,0,AB$13),15-13*ORÇAMENTO!$AF$7)/$H26*OFFSET(ORÇAMENTO!$X$15,ROW(AB26)-ROW(AB$15),0),
ROUND(ROUND(OFFSET($P26,0,AB$13),15-13*ORÇAMENTO!$AF$7)*OFFSET(ORÇAMENTO!$W$15,ROW(AB26)-ROW(AB$15),0),15-13*ORÇAMENTO!$AF$11)),0)</f>
        <v>0</v>
      </c>
      <c r="AC26" s="627">
        <f ca="1">IF(AND($D26="Serviço",AC$12&lt;&gt;0,$H26&gt;0,OR(AUTOEVENTO&lt;&gt;"manual",$M26&lt;&gt;1)),
IF(Import.TipoArredondamento&lt;&gt;"TransfereGOV",
ROUND(OFFSET($P26,0,AC$13),15-13*ORÇAMENTO!$AF$7)/$H26*OFFSET(ORÇAMENTO!$X$15,ROW(AC26)-ROW(AC$15),0),
ROUND(ROUND(OFFSET($P26,0,AC$13),15-13*ORÇAMENTO!$AF$7)*OFFSET(ORÇAMENTO!$W$15,ROW(AC26)-ROW(AC$15),0),15-13*ORÇAMENTO!$AF$11)),0)</f>
        <v>5334.8053438113957</v>
      </c>
      <c r="AD26" s="627">
        <f ca="1">IF(AND($D26="Serviço",AD$12&lt;&gt;0,$H26&gt;0,OR(AUTOEVENTO&lt;&gt;"manual",$M26&lt;&gt;1)),
IF(Import.TipoArredondamento&lt;&gt;"TransfereGOV",
ROUND(OFFSET($P26,0,AD$13),15-13*ORÇAMENTO!$AF$7)/$H26*OFFSET(ORÇAMENTO!$X$15,ROW(AD26)-ROW(AD$15),0),
ROUND(ROUND(OFFSET($P26,0,AD$13),15-13*ORÇAMENTO!$AF$7)*OFFSET(ORÇAMENTO!$W$15,ROW(AD26)-ROW(AD$15),0),15-13*ORÇAMENTO!$AF$11)),0)</f>
        <v>10828.384656188606</v>
      </c>
      <c r="AE26" s="627">
        <f ca="1">IF(AND($D26="Serviço",AE$12&lt;&gt;0,$H26&gt;0,OR(AUTOEVENTO&lt;&gt;"manual",$M26&lt;&gt;1)),
IF(Import.TipoArredondamento&lt;&gt;"TransfereGOV",
ROUND(OFFSET($P26,0,AE$13),15-13*ORÇAMENTO!$AF$7)/$H26*OFFSET(ORÇAMENTO!$X$15,ROW(AE26)-ROW(AE$15),0),
ROUND(ROUND(OFFSET($P26,0,AE$13),15-13*ORÇAMENTO!$AF$7)*OFFSET(ORÇAMENTO!$W$15,ROW(AE26)-ROW(AE$15),0),15-13*ORÇAMENTO!$AF$11)),0)</f>
        <v>0</v>
      </c>
      <c r="AF26" s="627">
        <f ca="1">IF(AND($D26="Serviço",AF$12&lt;&gt;0,$H26&gt;0,OR(AUTOEVENTO&lt;&gt;"manual",$M26&lt;&gt;1)),
IF(Import.TipoArredondamento&lt;&gt;"TransfereGOV",
ROUND(OFFSET($P26,0,AF$13),15-13*ORÇAMENTO!$AF$7)/$H26*OFFSET(ORÇAMENTO!$X$15,ROW(AF26)-ROW(AF$15),0),
ROUND(ROUND(OFFSET($P26,0,AF$13),15-13*ORÇAMENTO!$AF$7)*OFFSET(ORÇAMENTO!$W$15,ROW(AF26)-ROW(AF$15),0),15-13*ORÇAMENTO!$AF$11)),0)</f>
        <v>0</v>
      </c>
      <c r="AG26" s="627">
        <f ca="1">IF(AND($D26="Serviço",AG$12&lt;&gt;0,$H26&gt;0,OR(AUTOEVENTO&lt;&gt;"manual",$M26&lt;&gt;1)),
IF(Import.TipoArredondamento&lt;&gt;"TransfereGOV",
ROUND(OFFSET($P26,0,AG$13),15-13*ORÇAMENTO!$AF$7)/$H26*OFFSET(ORÇAMENTO!$X$15,ROW(AG26)-ROW(AG$15),0),
ROUND(ROUND(OFFSET($P26,0,AG$13),15-13*ORÇAMENTO!$AF$7)*OFFSET(ORÇAMENTO!$W$15,ROW(AG26)-ROW(AG$15),0),15-13*ORÇAMENTO!$AF$11)),0)</f>
        <v>0</v>
      </c>
      <c r="AH26" s="627">
        <f ca="1">IF(AND($D26="Serviço",AH$12&lt;&gt;0,$H26&gt;0,OR(AUTOEVENTO&lt;&gt;"manual",$M26&lt;&gt;1)),
IF(Import.TipoArredondamento&lt;&gt;"TransfereGOV",
ROUND(OFFSET($P26,0,AH$13),15-13*ORÇAMENTO!$AF$7)/$H26*OFFSET(ORÇAMENTO!$X$15,ROW(AH26)-ROW(AH$15),0),
ROUND(ROUND(OFFSET($P26,0,AH$13),15-13*ORÇAMENTO!$AF$7)*OFFSET(ORÇAMENTO!$W$15,ROW(AH26)-ROW(AH$15),0),15-13*ORÇAMENTO!$AF$11)),0)</f>
        <v>0</v>
      </c>
      <c r="AI26" s="627">
        <f ca="1">IF(AND($D26="Serviço",AI$12&lt;&gt;0,$H26&gt;0,OR(AUTOEVENTO&lt;&gt;"manual",$M26&lt;&gt;1)),
IF(Import.TipoArredondamento&lt;&gt;"TransfereGOV",
ROUND(OFFSET($P26,0,AI$13),15-13*ORÇAMENTO!$AF$7)/$H26*OFFSET(ORÇAMENTO!$X$15,ROW(AI26)-ROW(AI$15),0),
ROUND(ROUND(OFFSET($P26,0,AI$13),15-13*ORÇAMENTO!$AF$7)*OFFSET(ORÇAMENTO!$W$15,ROW(AI26)-ROW(AI$15),0),15-13*ORÇAMENTO!$AF$11)),0)</f>
        <v>0</v>
      </c>
      <c r="AJ26" s="627">
        <f ca="1">IF(AND($D26="Serviço",AJ$12&lt;&gt;0,$H26&gt;0,OR(AUTOEVENTO&lt;&gt;"manual",$M26&lt;&gt;1)),
IF(Import.TipoArredondamento&lt;&gt;"TransfereGOV",
ROUND(OFFSET($P26,0,AJ$13),15-13*ORÇAMENTO!$AF$7)/$H26*OFFSET(ORÇAMENTO!$X$15,ROW(AJ26)-ROW(AJ$15),0),
ROUND(ROUND(OFFSET($P26,0,AJ$13),15-13*ORÇAMENTO!$AF$7)*OFFSET(ORÇAMENTO!$W$15,ROW(AJ26)-ROW(AJ$15),0),15-13*ORÇAMENTO!$AF$11)),0)</f>
        <v>0</v>
      </c>
      <c r="AK26" s="628">
        <f ca="1">IF(AND($D26="Serviço",AK$12&lt;&gt;0,$H26&gt;0,OR(AUTOEVENTO&lt;&gt;"manual",$M26&lt;&gt;1)),
IF(Import.TipoArredondamento&lt;&gt;"TransfereGOV",
ROUND(OFFSET($P26,0,AK$13),15-13*ORÇAMENTO!$AF$7)/$H26*OFFSET(ORÇAMENTO!$X$15,ROW(AK26)-ROW(AK$15),0),
ROUND(ROUND(OFFSET($P26,0,AK$13),15-13*ORÇAMENTO!$AF$7)*OFFSET(ORÇAMENTO!$W$15,ROW(AK26)-ROW(AK$15),0),15-13*ORÇAMENTO!$AF$11)),0)</f>
        <v>0</v>
      </c>
      <c r="AM26" s="211">
        <f ca="1">IF($D26&lt;&gt;"Serviço",0,IF(AND(AUTOEVENTO="Manual",$M26=1),0,IF(OFFSET(CRONOPLE!$F$14,$M26,AM$13)="",10^12,OFFSET(CRONOPLE!$F$14,$M26,AM$13))))</f>
        <v>2</v>
      </c>
      <c r="AN26" s="211">
        <f ca="1">IF($D26&lt;&gt;"Serviço",0,IF(AND(AUTOEVENTO="Manual",$M26=1),0,IF(OFFSET(CRONOPLE!$F$14,$M26,AN$13)="",10^12,OFFSET(CRONOPLE!$F$14,$M26,AN$13))))</f>
        <v>1</v>
      </c>
      <c r="AO26" s="211">
        <f ca="1">IF($D26&lt;&gt;"Serviço",0,IF(AND(AUTOEVENTO="Manual",$M26=1),0,IF(OFFSET(CRONOPLE!$F$14,$M26,AO$13)="",10^12,OFFSET(CRONOPLE!$F$14,$M26,AO$13))))</f>
        <v>2</v>
      </c>
      <c r="AP26" s="211">
        <f ca="1">IF($D26&lt;&gt;"Serviço",0,IF(AND(AUTOEVENTO="Manual",$M26=1),0,IF(OFFSET(CRONOPLE!$F$14,$M26,AP$13)="",10^12,OFFSET(CRONOPLE!$F$14,$M26,AP$13))))</f>
        <v>2</v>
      </c>
      <c r="AQ26" s="211">
        <f ca="1">IF($D26&lt;&gt;"Serviço",0,IF(AND(AUTOEVENTO="Manual",$M26=1),0,IF(OFFSET(CRONOPLE!$F$14,$M26,AQ$13)="",10^12,OFFSET(CRONOPLE!$F$14,$M26,AQ$13))))</f>
        <v>1000000000000</v>
      </c>
      <c r="AR26" s="211">
        <f ca="1">IF($D26&lt;&gt;"Serviço",0,IF(AND(AUTOEVENTO="Manual",$M26=1),0,IF(OFFSET(CRONOPLE!$F$14,$M26,AR$13)="",10^12,OFFSET(CRONOPLE!$F$14,$M26,AR$13))))</f>
        <v>1000000000000</v>
      </c>
      <c r="AS26" s="211">
        <f ca="1">IF($D26&lt;&gt;"Serviço",0,IF(AND(AUTOEVENTO="Manual",$M26=1),0,IF(OFFSET(CRONOPLE!$F$14,$M26,AS$13)="",10^12,OFFSET(CRONOPLE!$F$14,$M26,AS$13))))</f>
        <v>1000000000000</v>
      </c>
      <c r="AT26" s="211">
        <f ca="1">IF($D26&lt;&gt;"Serviço",0,IF(AND(AUTOEVENTO="Manual",$M26=1),0,IF(OFFSET(CRONOPLE!$F$14,$M26,AT$13)="",10^12,OFFSET(CRONOPLE!$F$14,$M26,AT$13))))</f>
        <v>1000000000000</v>
      </c>
      <c r="AU26" s="211">
        <f ca="1">IF($D26&lt;&gt;"Serviço",0,IF(AND(AUTOEVENTO="Manual",$M26=1),0,IF(OFFSET(CRONOPLE!$F$14,$M26,AU$13)="",10^12,OFFSET(CRONOPLE!$F$14,$M26,AU$13))))</f>
        <v>1000000000000</v>
      </c>
      <c r="AV26" s="211">
        <f ca="1">IF($D26&lt;&gt;"Serviço",0,IF(AND(AUTOEVENTO="Manual",$M26=1),0,IF(OFFSET(CRONOPLE!$F$14,$M26,AV$13)="",10^12,OFFSET(CRONOPLE!$F$14,$M26,AV$13))))</f>
        <v>1000000000000</v>
      </c>
      <c r="AX26" s="212">
        <f ca="1">IF($D26&lt;&gt;"Serviço",0,IF(OR(AND(AUTOEVENTO="Manual",$M26=1),$M26&gt;(ROW(PLE.lastrow)-ROW(PLE.firstrow))),0,IF(OFFSET(PLE!$G$14,$M26,AX$13)="",10^12,OFFSET(PLE!$G$14,$M26,AX$13))))</f>
        <v>1000000000000</v>
      </c>
      <c r="AY26" s="212">
        <f ca="1">IF($D26&lt;&gt;"Serviço",0,IF(OR(AND(AUTOEVENTO="Manual",$M26=1),$M26&gt;(ROW(PLE.lastrow)-ROW(PLE.firstrow))),0,IF(OFFSET(PLE!$G$14,$M26,AY$13)="",10^12,OFFSET(PLE!$G$14,$M26,AY$13))))</f>
        <v>1000000000000</v>
      </c>
      <c r="AZ26" s="212">
        <f ca="1">IF($D26&lt;&gt;"Serviço",0,IF(OR(AND(AUTOEVENTO="Manual",$M26=1),$M26&gt;(ROW(PLE.lastrow)-ROW(PLE.firstrow))),0,IF(OFFSET(PLE!$G$14,$M26,AZ$13)="",10^12,OFFSET(PLE!$G$14,$M26,AZ$13))))</f>
        <v>1000000000000</v>
      </c>
      <c r="BA26" s="212">
        <f ca="1">IF($D26&lt;&gt;"Serviço",0,IF(OR(AND(AUTOEVENTO="Manual",$M26=1),$M26&gt;(ROW(PLE.lastrow)-ROW(PLE.firstrow))),0,IF(OFFSET(PLE!$G$14,$M26,BA$13)="",10^12,OFFSET(PLE!$G$14,$M26,BA$13))))</f>
        <v>1000000000000</v>
      </c>
      <c r="BB26" s="212">
        <f ca="1">IF($D26&lt;&gt;"Serviço",0,IF(OR(AND(AUTOEVENTO="Manual",$M26=1),$M26&gt;(ROW(PLE.lastrow)-ROW(PLE.firstrow))),0,IF(OFFSET(PLE!$G$14,$M26,BB$13)="",10^12,OFFSET(PLE!$G$14,$M26,BB$13))))</f>
        <v>1000000000000</v>
      </c>
      <c r="BC26" s="212">
        <f ca="1">IF($D26&lt;&gt;"Serviço",0,IF(OR(AND(AUTOEVENTO="Manual",$M26=1),$M26&gt;(ROW(PLE.lastrow)-ROW(PLE.firstrow))),0,IF(OFFSET(PLE!$G$14,$M26,BC$13)="",10^12,OFFSET(PLE!$G$14,$M26,BC$13))))</f>
        <v>1000000000000</v>
      </c>
      <c r="BD26" s="212">
        <f ca="1">IF($D26&lt;&gt;"Serviço",0,IF(OR(AND(AUTOEVENTO="Manual",$M26=1),$M26&gt;(ROW(PLE.lastrow)-ROW(PLE.firstrow))),0,IF(OFFSET(PLE!$G$14,$M26,BD$13)="",10^12,OFFSET(PLE!$G$14,$M26,BD$13))))</f>
        <v>1000000000000</v>
      </c>
      <c r="BE26" s="212">
        <f ca="1">IF($D26&lt;&gt;"Serviço",0,IF(OR(AND(AUTOEVENTO="Manual",$M26=1),$M26&gt;(ROW(PLE.lastrow)-ROW(PLE.firstrow))),0,IF(OFFSET(PLE!$G$14,$M26,BE$13)="",10^12,OFFSET(PLE!$G$14,$M26,BE$13))))</f>
        <v>1000000000000</v>
      </c>
      <c r="BF26" s="212">
        <f ca="1">IF($D26&lt;&gt;"Serviço",0,IF(OR(AND(AUTOEVENTO="Manual",$M26=1),$M26&gt;(ROW(PLE.lastrow)-ROW(PLE.firstrow))),0,IF(OFFSET(PLE!$G$14,$M26,BF$13)="",10^12,OFFSET(PLE!$G$14,$M26,BF$13))))</f>
        <v>1000000000000</v>
      </c>
      <c r="BG26" s="212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39.6">
      <c r="A27" s="9" t="str">
        <f t="shared" ca="1" si="9"/>
        <v>8</v>
      </c>
      <c r="B27" s="9" t="str">
        <f ca="1">OFFSET(ORÇAMENTO!C$15,ROW(B27)-ROW(B$15),0)</f>
        <v>S</v>
      </c>
      <c r="C27" s="9" t="str">
        <f ca="1">OFFSET(ORÇAMENTO!L$15,ROW(C27)-ROW(C$15),0)</f>
        <v>F</v>
      </c>
      <c r="D27" s="141" t="str">
        <f ca="1">OFFSET(ORÇAMENTO!N$15,ROW(D27)-ROW(D$15),0)</f>
        <v>Serviço</v>
      </c>
      <c r="E27" s="201" t="str">
        <f ca="1">OFFSET(ORÇAMENTO!O$15,ROW(E27)-ROW(E$15),0)</f>
        <v>1.3.4.</v>
      </c>
      <c r="F27" s="202" t="str">
        <f ca="1">OFFSET(ORÇAMENTO!R$15,ROW(F27)-ROW(F$15),0)</f>
        <v>RAMPA DE ACESSIBILIDADE EM CONCRETO MOLDADO IN LOCO, EM CALÇADA NOVA COM LARGURA MENOR À 3,00 M, FCK 25MPA, COM PISO PODOTÁTIL. AF_03/2024</v>
      </c>
      <c r="G27" s="203" t="str">
        <f ca="1">IF($D27&lt;&gt;"Serviço","",OFFSET(ORÇAMENTO!S$15,ROW(G27)-ROW(G$15),0))</f>
        <v>M2</v>
      </c>
      <c r="H27" s="147">
        <f ca="1">IF($D27&lt;&gt;"Serviço",0,IF(ACOMPANHAMENTO="BM",ROUND(OFFSET(ORÇAMENTO!AJ$15,ROW(H27)-ROW(H$15),0),15-13*ORÇAMENTO!$AF$7),SUMPRODUCT(($Q$12:$AA$12&lt;&gt;"")*ROUND($Q27:$AA27,15-13*ORÇAMENTO!$AF$7))))</f>
        <v>11.52</v>
      </c>
      <c r="I27" s="645" t="s">
        <v>485</v>
      </c>
      <c r="K27" s="204"/>
      <c r="L27" s="205" t="s">
        <v>255</v>
      </c>
      <c r="M27" s="206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207" t="str">
        <f ca="1">IF($D27&lt;&gt;"Serviço","",IF(AUTOEVENTO="Manual",IF($A27=0,"&lt;-- defina o número do agrupador",OFFSET(EVENTOS!$D$14,$A27,0)),OFFSET($F$15,$A27,0)))</f>
        <v>CALÇADAS</v>
      </c>
      <c r="O27" s="208"/>
      <c r="Q27" s="208"/>
      <c r="R27" s="209">
        <v>5.76</v>
      </c>
      <c r="S27" s="209">
        <v>5.76</v>
      </c>
      <c r="T27" s="209"/>
      <c r="U27" s="209"/>
      <c r="V27" s="209"/>
      <c r="W27" s="209"/>
      <c r="X27" s="209"/>
      <c r="Y27" s="209"/>
      <c r="Z27" s="210"/>
      <c r="AB27" s="626">
        <f ca="1">IF(AND($D27="Serviço",AB$12&lt;&gt;0,$H27&gt;0,OR(AUTOEVENTO&lt;&gt;"manual",$M27&lt;&gt;1)),
IF(Import.TipoArredondamento&lt;&gt;"TransfereGOV",
ROUND(OFFSET($P27,0,AB$13),15-13*ORÇAMENTO!$AF$7)/$H27*OFFSET(ORÇAMENTO!$X$15,ROW(AB27)-ROW(AB$15),0),
ROUND(ROUND(OFFSET($P27,0,AB$13),15-13*ORÇAMENTO!$AF$7)*OFFSET(ORÇAMENTO!$W$15,ROW(AB27)-ROW(AB$15),0),15-13*ORÇAMENTO!$AF$11)),0)</f>
        <v>0</v>
      </c>
      <c r="AC27" s="627">
        <f ca="1">IF(AND($D27="Serviço",AC$12&lt;&gt;0,$H27&gt;0,OR(AUTOEVENTO&lt;&gt;"manual",$M27&lt;&gt;1)),
IF(Import.TipoArredondamento&lt;&gt;"TransfereGOV",
ROUND(OFFSET($P27,0,AC$13),15-13*ORÇAMENTO!$AF$7)/$H27*OFFSET(ORÇAMENTO!$X$15,ROW(AC27)-ROW(AC$15),0),
ROUND(ROUND(OFFSET($P27,0,AC$13),15-13*ORÇAMENTO!$AF$7)*OFFSET(ORÇAMENTO!$W$15,ROW(AC27)-ROW(AC$15),0),15-13*ORÇAMENTO!$AF$11)),0)</f>
        <v>878.97500000000002</v>
      </c>
      <c r="AD27" s="627">
        <f ca="1">IF(AND($D27="Serviço",AD$12&lt;&gt;0,$H27&gt;0,OR(AUTOEVENTO&lt;&gt;"manual",$M27&lt;&gt;1)),
IF(Import.TipoArredondamento&lt;&gt;"TransfereGOV",
ROUND(OFFSET($P27,0,AD$13),15-13*ORÇAMENTO!$AF$7)/$H27*OFFSET(ORÇAMENTO!$X$15,ROW(AD27)-ROW(AD$15),0),
ROUND(ROUND(OFFSET($P27,0,AD$13),15-13*ORÇAMENTO!$AF$7)*OFFSET(ORÇAMENTO!$W$15,ROW(AD27)-ROW(AD$15),0),15-13*ORÇAMENTO!$AF$11)),0)</f>
        <v>878.97500000000002</v>
      </c>
      <c r="AE27" s="627">
        <f ca="1">IF(AND($D27="Serviço",AE$12&lt;&gt;0,$H27&gt;0,OR(AUTOEVENTO&lt;&gt;"manual",$M27&lt;&gt;1)),
IF(Import.TipoArredondamento&lt;&gt;"TransfereGOV",
ROUND(OFFSET($P27,0,AE$13),15-13*ORÇAMENTO!$AF$7)/$H27*OFFSET(ORÇAMENTO!$X$15,ROW(AE27)-ROW(AE$15),0),
ROUND(ROUND(OFFSET($P27,0,AE$13),15-13*ORÇAMENTO!$AF$7)*OFFSET(ORÇAMENTO!$W$15,ROW(AE27)-ROW(AE$15),0),15-13*ORÇAMENTO!$AF$11)),0)</f>
        <v>0</v>
      </c>
      <c r="AF27" s="627">
        <f ca="1">IF(AND($D27="Serviço",AF$12&lt;&gt;0,$H27&gt;0,OR(AUTOEVENTO&lt;&gt;"manual",$M27&lt;&gt;1)),
IF(Import.TipoArredondamento&lt;&gt;"TransfereGOV",
ROUND(OFFSET($P27,0,AF$13),15-13*ORÇAMENTO!$AF$7)/$H27*OFFSET(ORÇAMENTO!$X$15,ROW(AF27)-ROW(AF$15),0),
ROUND(ROUND(OFFSET($P27,0,AF$13),15-13*ORÇAMENTO!$AF$7)*OFFSET(ORÇAMENTO!$W$15,ROW(AF27)-ROW(AF$15),0),15-13*ORÇAMENTO!$AF$11)),0)</f>
        <v>0</v>
      </c>
      <c r="AG27" s="627">
        <f ca="1">IF(AND($D27="Serviço",AG$12&lt;&gt;0,$H27&gt;0,OR(AUTOEVENTO&lt;&gt;"manual",$M27&lt;&gt;1)),
IF(Import.TipoArredondamento&lt;&gt;"TransfereGOV",
ROUND(OFFSET($P27,0,AG$13),15-13*ORÇAMENTO!$AF$7)/$H27*OFFSET(ORÇAMENTO!$X$15,ROW(AG27)-ROW(AG$15),0),
ROUND(ROUND(OFFSET($P27,0,AG$13),15-13*ORÇAMENTO!$AF$7)*OFFSET(ORÇAMENTO!$W$15,ROW(AG27)-ROW(AG$15),0),15-13*ORÇAMENTO!$AF$11)),0)</f>
        <v>0</v>
      </c>
      <c r="AH27" s="627">
        <f ca="1">IF(AND($D27="Serviço",AH$12&lt;&gt;0,$H27&gt;0,OR(AUTOEVENTO&lt;&gt;"manual",$M27&lt;&gt;1)),
IF(Import.TipoArredondamento&lt;&gt;"TransfereGOV",
ROUND(OFFSET($P27,0,AH$13),15-13*ORÇAMENTO!$AF$7)/$H27*OFFSET(ORÇAMENTO!$X$15,ROW(AH27)-ROW(AH$15),0),
ROUND(ROUND(OFFSET($P27,0,AH$13),15-13*ORÇAMENTO!$AF$7)*OFFSET(ORÇAMENTO!$W$15,ROW(AH27)-ROW(AH$15),0),15-13*ORÇAMENTO!$AF$11)),0)</f>
        <v>0</v>
      </c>
      <c r="AI27" s="627">
        <f ca="1">IF(AND($D27="Serviço",AI$12&lt;&gt;0,$H27&gt;0,OR(AUTOEVENTO&lt;&gt;"manual",$M27&lt;&gt;1)),
IF(Import.TipoArredondamento&lt;&gt;"TransfereGOV",
ROUND(OFFSET($P27,0,AI$13),15-13*ORÇAMENTO!$AF$7)/$H27*OFFSET(ORÇAMENTO!$X$15,ROW(AI27)-ROW(AI$15),0),
ROUND(ROUND(OFFSET($P27,0,AI$13),15-13*ORÇAMENTO!$AF$7)*OFFSET(ORÇAMENTO!$W$15,ROW(AI27)-ROW(AI$15),0),15-13*ORÇAMENTO!$AF$11)),0)</f>
        <v>0</v>
      </c>
      <c r="AJ27" s="627">
        <f ca="1">IF(AND($D27="Serviço",AJ$12&lt;&gt;0,$H27&gt;0,OR(AUTOEVENTO&lt;&gt;"manual",$M27&lt;&gt;1)),
IF(Import.TipoArredondamento&lt;&gt;"TransfereGOV",
ROUND(OFFSET($P27,0,AJ$13),15-13*ORÇAMENTO!$AF$7)/$H27*OFFSET(ORÇAMENTO!$X$15,ROW(AJ27)-ROW(AJ$15),0),
ROUND(ROUND(OFFSET($P27,0,AJ$13),15-13*ORÇAMENTO!$AF$7)*OFFSET(ORÇAMENTO!$W$15,ROW(AJ27)-ROW(AJ$15),0),15-13*ORÇAMENTO!$AF$11)),0)</f>
        <v>0</v>
      </c>
      <c r="AK27" s="628">
        <f ca="1">IF(AND($D27="Serviço",AK$12&lt;&gt;0,$H27&gt;0,OR(AUTOEVENTO&lt;&gt;"manual",$M27&lt;&gt;1)),
IF(Import.TipoArredondamento&lt;&gt;"TransfereGOV",
ROUND(OFFSET($P27,0,AK$13),15-13*ORÇAMENTO!$AF$7)/$H27*OFFSET(ORÇAMENTO!$X$15,ROW(AK27)-ROW(AK$15),0),
ROUND(ROUND(OFFSET($P27,0,AK$13),15-13*ORÇAMENTO!$AF$7)*OFFSET(ORÇAMENTO!$W$15,ROW(AK27)-ROW(AK$15),0),15-13*ORÇAMENTO!$AF$11)),0)</f>
        <v>0</v>
      </c>
      <c r="AM27" s="211">
        <f ca="1">IF($D27&lt;&gt;"Serviço",0,IF(AND(AUTOEVENTO="Manual",$M27=1),0,IF(OFFSET(CRONOPLE!$F$14,$M27,AM$13)="",10^12,OFFSET(CRONOPLE!$F$14,$M27,AM$13))))</f>
        <v>2</v>
      </c>
      <c r="AN27" s="211">
        <f ca="1">IF($D27&lt;&gt;"Serviço",0,IF(AND(AUTOEVENTO="Manual",$M27=1),0,IF(OFFSET(CRONOPLE!$F$14,$M27,AN$13)="",10^12,OFFSET(CRONOPLE!$F$14,$M27,AN$13))))</f>
        <v>1</v>
      </c>
      <c r="AO27" s="211">
        <f ca="1">IF($D27&lt;&gt;"Serviço",0,IF(AND(AUTOEVENTO="Manual",$M27=1),0,IF(OFFSET(CRONOPLE!$F$14,$M27,AO$13)="",10^12,OFFSET(CRONOPLE!$F$14,$M27,AO$13))))</f>
        <v>2</v>
      </c>
      <c r="AP27" s="211">
        <f ca="1">IF($D27&lt;&gt;"Serviço",0,IF(AND(AUTOEVENTO="Manual",$M27=1),0,IF(OFFSET(CRONOPLE!$F$14,$M27,AP$13)="",10^12,OFFSET(CRONOPLE!$F$14,$M27,AP$13))))</f>
        <v>2</v>
      </c>
      <c r="AQ27" s="211">
        <f ca="1">IF($D27&lt;&gt;"Serviço",0,IF(AND(AUTOEVENTO="Manual",$M27=1),0,IF(OFFSET(CRONOPLE!$F$14,$M27,AQ$13)="",10^12,OFFSET(CRONOPLE!$F$14,$M27,AQ$13))))</f>
        <v>1000000000000</v>
      </c>
      <c r="AR27" s="211">
        <f ca="1">IF($D27&lt;&gt;"Serviço",0,IF(AND(AUTOEVENTO="Manual",$M27=1),0,IF(OFFSET(CRONOPLE!$F$14,$M27,AR$13)="",10^12,OFFSET(CRONOPLE!$F$14,$M27,AR$13))))</f>
        <v>1000000000000</v>
      </c>
      <c r="AS27" s="211">
        <f ca="1">IF($D27&lt;&gt;"Serviço",0,IF(AND(AUTOEVENTO="Manual",$M27=1),0,IF(OFFSET(CRONOPLE!$F$14,$M27,AS$13)="",10^12,OFFSET(CRONOPLE!$F$14,$M27,AS$13))))</f>
        <v>1000000000000</v>
      </c>
      <c r="AT27" s="211">
        <f ca="1">IF($D27&lt;&gt;"Serviço",0,IF(AND(AUTOEVENTO="Manual",$M27=1),0,IF(OFFSET(CRONOPLE!$F$14,$M27,AT$13)="",10^12,OFFSET(CRONOPLE!$F$14,$M27,AT$13))))</f>
        <v>1000000000000</v>
      </c>
      <c r="AU27" s="211">
        <f ca="1">IF($D27&lt;&gt;"Serviço",0,IF(AND(AUTOEVENTO="Manual",$M27=1),0,IF(OFFSET(CRONOPLE!$F$14,$M27,AU$13)="",10^12,OFFSET(CRONOPLE!$F$14,$M27,AU$13))))</f>
        <v>1000000000000</v>
      </c>
      <c r="AV27" s="211">
        <f ca="1">IF($D27&lt;&gt;"Serviço",0,IF(AND(AUTOEVENTO="Manual",$M27=1),0,IF(OFFSET(CRONOPLE!$F$14,$M27,AV$13)="",10^12,OFFSET(CRONOPLE!$F$14,$M27,AV$13))))</f>
        <v>1000000000000</v>
      </c>
      <c r="AX27" s="212">
        <f ca="1">IF($D27&lt;&gt;"Serviço",0,IF(OR(AND(AUTOEVENTO="Manual",$M27=1),$M27&gt;(ROW(PLE.lastrow)-ROW(PLE.firstrow))),0,IF(OFFSET(PLE!$G$14,$M27,AX$13)="",10^12,OFFSET(PLE!$G$14,$M27,AX$13))))</f>
        <v>1000000000000</v>
      </c>
      <c r="AY27" s="212">
        <f ca="1">IF($D27&lt;&gt;"Serviço",0,IF(OR(AND(AUTOEVENTO="Manual",$M27=1),$M27&gt;(ROW(PLE.lastrow)-ROW(PLE.firstrow))),0,IF(OFFSET(PLE!$G$14,$M27,AY$13)="",10^12,OFFSET(PLE!$G$14,$M27,AY$13))))</f>
        <v>1000000000000</v>
      </c>
      <c r="AZ27" s="212">
        <f ca="1">IF($D27&lt;&gt;"Serviço",0,IF(OR(AND(AUTOEVENTO="Manual",$M27=1),$M27&gt;(ROW(PLE.lastrow)-ROW(PLE.firstrow))),0,IF(OFFSET(PLE!$G$14,$M27,AZ$13)="",10^12,OFFSET(PLE!$G$14,$M27,AZ$13))))</f>
        <v>1000000000000</v>
      </c>
      <c r="BA27" s="212">
        <f ca="1">IF($D27&lt;&gt;"Serviço",0,IF(OR(AND(AUTOEVENTO="Manual",$M27=1),$M27&gt;(ROW(PLE.lastrow)-ROW(PLE.firstrow))),0,IF(OFFSET(PLE!$G$14,$M27,BA$13)="",10^12,OFFSET(PLE!$G$14,$M27,BA$13))))</f>
        <v>1000000000000</v>
      </c>
      <c r="BB27" s="212">
        <f ca="1">IF($D27&lt;&gt;"Serviço",0,IF(OR(AND(AUTOEVENTO="Manual",$M27=1),$M27&gt;(ROW(PLE.lastrow)-ROW(PLE.firstrow))),0,IF(OFFSET(PLE!$G$14,$M27,BB$13)="",10^12,OFFSET(PLE!$G$14,$M27,BB$13))))</f>
        <v>1000000000000</v>
      </c>
      <c r="BC27" s="212">
        <f ca="1">IF($D27&lt;&gt;"Serviço",0,IF(OR(AND(AUTOEVENTO="Manual",$M27=1),$M27&gt;(ROW(PLE.lastrow)-ROW(PLE.firstrow))),0,IF(OFFSET(PLE!$G$14,$M27,BC$13)="",10^12,OFFSET(PLE!$G$14,$M27,BC$13))))</f>
        <v>1000000000000</v>
      </c>
      <c r="BD27" s="212">
        <f ca="1">IF($D27&lt;&gt;"Serviço",0,IF(OR(AND(AUTOEVENTO="Manual",$M27=1),$M27&gt;(ROW(PLE.lastrow)-ROW(PLE.firstrow))),0,IF(OFFSET(PLE!$G$14,$M27,BD$13)="",10^12,OFFSET(PLE!$G$14,$M27,BD$13))))</f>
        <v>1000000000000</v>
      </c>
      <c r="BE27" s="212">
        <f ca="1">IF($D27&lt;&gt;"Serviço",0,IF(OR(AND(AUTOEVENTO="Manual",$M27=1),$M27&gt;(ROW(PLE.lastrow)-ROW(PLE.firstrow))),0,IF(OFFSET(PLE!$G$14,$M27,BE$13)="",10^12,OFFSET(PLE!$G$14,$M27,BE$13))))</f>
        <v>1000000000000</v>
      </c>
      <c r="BF27" s="212">
        <f ca="1">IF($D27&lt;&gt;"Serviço",0,IF(OR(AND(AUTOEVENTO="Manual",$M27=1),$M27&gt;(ROW(PLE.lastrow)-ROW(PLE.firstrow))),0,IF(OFFSET(PLE!$G$14,$M27,BF$13)="",10^12,OFFSET(PLE!$G$14,$M27,BF$13))))</f>
        <v>1000000000000</v>
      </c>
      <c r="BG27" s="212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ht="13.2">
      <c r="A28" s="9" t="str">
        <f t="shared" ca="1" si="8"/>
        <v>13.</v>
      </c>
      <c r="B28" s="9">
        <f ca="1">OFFSET(ORÇAMENTO!C$15,ROW(B28)-ROW(B$15),0)</f>
        <v>2</v>
      </c>
      <c r="C28" s="9" t="str">
        <f ca="1">OFFSET(ORÇAMENTO!L$15,ROW(C28)-ROW(C$15),0)</f>
        <v>F</v>
      </c>
      <c r="D28" s="141" t="str">
        <f ca="1">OFFSET(ORÇAMENTO!N$15,ROW(D28)-ROW(D$15),0)</f>
        <v>Nível 2</v>
      </c>
      <c r="E28" s="201" t="str">
        <f ca="1">OFFSET(ORÇAMENTO!O$15,ROW(E28)-ROW(E$15),0)</f>
        <v>1.4.</v>
      </c>
      <c r="F28" s="202" t="str">
        <f ca="1">OFFSET(ORÇAMENTO!R$15,ROW(F28)-ROW(F$15),0)</f>
        <v>SINALIZAÇÃO VIÁRIA</v>
      </c>
      <c r="G28" s="203" t="str">
        <f ca="1">IF($D28&lt;&gt;"Serviço","",OFFSET(ORÇAMENTO!S$15,ROW(G28)-ROW(G$15),0))</f>
        <v/>
      </c>
      <c r="H28" s="147">
        <f ca="1">IF($D28&lt;&gt;"Serviço",0,IF(ACOMPANHAMENTO="BM",ROUND(OFFSET(ORÇAMENTO!AJ$15,ROW(H28)-ROW(H$15),0),15-13*ORÇAMENTO!$AF$7),SUMPRODUCT(($Q$12:$AA$12&lt;&gt;"")*ROUND($Q28:$AA28,15-13*ORÇAMENTO!$AF$7))))</f>
        <v>0</v>
      </c>
      <c r="I28" s="645"/>
      <c r="K28" s="204"/>
      <c r="L28" s="205" t="s">
        <v>255</v>
      </c>
      <c r="M28" s="206" t="str">
        <f ca="1">IF($D28&lt;&gt;"Serviço","",IF(AUTOEVENTO="manual",$A28,IF(ISERROR(MATCH($A28,$A$15:OFFSET($A28,-1,0),0)),MAX($M$15:OFFSET(M28,-1,0))+1,INDEX($M$15:OFFSET(M28,-1,0),MATCH($A28,$A$15:OFFSET($A28,-1,0),0)))))</f>
        <v/>
      </c>
      <c r="N28" s="207" t="str">
        <f ca="1">IF($D28&lt;&gt;"Serviço","",IF(AUTOEVENTO="Manual",IF($A28=0,"&lt;-- defina o número do agrupador",OFFSET(EVENTOS!$D$14,$A28,0)),OFFSET($F$15,$A28,0)))</f>
        <v/>
      </c>
      <c r="O28" s="208"/>
      <c r="Q28" s="208"/>
      <c r="R28" s="209"/>
      <c r="S28" s="209"/>
      <c r="T28" s="209"/>
      <c r="U28" s="209"/>
      <c r="V28" s="209"/>
      <c r="W28" s="209"/>
      <c r="X28" s="209"/>
      <c r="Y28" s="209"/>
      <c r="Z28" s="210"/>
      <c r="AB28" s="626">
        <f ca="1">IF(AND($D28="Serviço",AB$12&lt;&gt;0,$H28&gt;0,OR(AUTOEVENTO&lt;&gt;"manual",$M28&lt;&gt;1)),
IF(Import.TipoArredondamento&lt;&gt;"TransfereGOV",
ROUND(OFFSET($P28,0,AB$13),15-13*ORÇAMENTO!$AF$7)/$H28*OFFSET(ORÇAMENTO!$X$15,ROW(AB28)-ROW(AB$15),0),
ROUND(ROUND(OFFSET($P28,0,AB$13),15-13*ORÇAMENTO!$AF$7)*OFFSET(ORÇAMENTO!$W$15,ROW(AB28)-ROW(AB$15),0),15-13*ORÇAMENTO!$AF$11)),0)</f>
        <v>0</v>
      </c>
      <c r="AC28" s="627">
        <f ca="1">IF(AND($D28="Serviço",AC$12&lt;&gt;0,$H28&gt;0,OR(AUTOEVENTO&lt;&gt;"manual",$M28&lt;&gt;1)),
IF(Import.TipoArredondamento&lt;&gt;"TransfereGOV",
ROUND(OFFSET($P28,0,AC$13),15-13*ORÇAMENTO!$AF$7)/$H28*OFFSET(ORÇAMENTO!$X$15,ROW(AC28)-ROW(AC$15),0),
ROUND(ROUND(OFFSET($P28,0,AC$13),15-13*ORÇAMENTO!$AF$7)*OFFSET(ORÇAMENTO!$W$15,ROW(AC28)-ROW(AC$15),0),15-13*ORÇAMENTO!$AF$11)),0)</f>
        <v>0</v>
      </c>
      <c r="AD28" s="627">
        <f ca="1">IF(AND($D28="Serviço",AD$12&lt;&gt;0,$H28&gt;0,OR(AUTOEVENTO&lt;&gt;"manual",$M28&lt;&gt;1)),
IF(Import.TipoArredondamento&lt;&gt;"TransfereGOV",
ROUND(OFFSET($P28,0,AD$13),15-13*ORÇAMENTO!$AF$7)/$H28*OFFSET(ORÇAMENTO!$X$15,ROW(AD28)-ROW(AD$15),0),
ROUND(ROUND(OFFSET($P28,0,AD$13),15-13*ORÇAMENTO!$AF$7)*OFFSET(ORÇAMENTO!$W$15,ROW(AD28)-ROW(AD$15),0),15-13*ORÇAMENTO!$AF$11)),0)</f>
        <v>0</v>
      </c>
      <c r="AE28" s="627">
        <f ca="1">IF(AND($D28="Serviço",AE$12&lt;&gt;0,$H28&gt;0,OR(AUTOEVENTO&lt;&gt;"manual",$M28&lt;&gt;1)),
IF(Import.TipoArredondamento&lt;&gt;"TransfereGOV",
ROUND(OFFSET($P28,0,AE$13),15-13*ORÇAMENTO!$AF$7)/$H28*OFFSET(ORÇAMENTO!$X$15,ROW(AE28)-ROW(AE$15),0),
ROUND(ROUND(OFFSET($P28,0,AE$13),15-13*ORÇAMENTO!$AF$7)*OFFSET(ORÇAMENTO!$W$15,ROW(AE28)-ROW(AE$15),0),15-13*ORÇAMENTO!$AF$11)),0)</f>
        <v>0</v>
      </c>
      <c r="AF28" s="627">
        <f ca="1">IF(AND($D28="Serviço",AF$12&lt;&gt;0,$H28&gt;0,OR(AUTOEVENTO&lt;&gt;"manual",$M28&lt;&gt;1)),
IF(Import.TipoArredondamento&lt;&gt;"TransfereGOV",
ROUND(OFFSET($P28,0,AF$13),15-13*ORÇAMENTO!$AF$7)/$H28*OFFSET(ORÇAMENTO!$X$15,ROW(AF28)-ROW(AF$15),0),
ROUND(ROUND(OFFSET($P28,0,AF$13),15-13*ORÇAMENTO!$AF$7)*OFFSET(ORÇAMENTO!$W$15,ROW(AF28)-ROW(AF$15),0),15-13*ORÇAMENTO!$AF$11)),0)</f>
        <v>0</v>
      </c>
      <c r="AG28" s="627">
        <f ca="1">IF(AND($D28="Serviço",AG$12&lt;&gt;0,$H28&gt;0,OR(AUTOEVENTO&lt;&gt;"manual",$M28&lt;&gt;1)),
IF(Import.TipoArredondamento&lt;&gt;"TransfereGOV",
ROUND(OFFSET($P28,0,AG$13),15-13*ORÇAMENTO!$AF$7)/$H28*OFFSET(ORÇAMENTO!$X$15,ROW(AG28)-ROW(AG$15),0),
ROUND(ROUND(OFFSET($P28,0,AG$13),15-13*ORÇAMENTO!$AF$7)*OFFSET(ORÇAMENTO!$W$15,ROW(AG28)-ROW(AG$15),0),15-13*ORÇAMENTO!$AF$11)),0)</f>
        <v>0</v>
      </c>
      <c r="AH28" s="627">
        <f ca="1">IF(AND($D28="Serviço",AH$12&lt;&gt;0,$H28&gt;0,OR(AUTOEVENTO&lt;&gt;"manual",$M28&lt;&gt;1)),
IF(Import.TipoArredondamento&lt;&gt;"TransfereGOV",
ROUND(OFFSET($P28,0,AH$13),15-13*ORÇAMENTO!$AF$7)/$H28*OFFSET(ORÇAMENTO!$X$15,ROW(AH28)-ROW(AH$15),0),
ROUND(ROUND(OFFSET($P28,0,AH$13),15-13*ORÇAMENTO!$AF$7)*OFFSET(ORÇAMENTO!$W$15,ROW(AH28)-ROW(AH$15),0),15-13*ORÇAMENTO!$AF$11)),0)</f>
        <v>0</v>
      </c>
      <c r="AI28" s="627">
        <f ca="1">IF(AND($D28="Serviço",AI$12&lt;&gt;0,$H28&gt;0,OR(AUTOEVENTO&lt;&gt;"manual",$M28&lt;&gt;1)),
IF(Import.TipoArredondamento&lt;&gt;"TransfereGOV",
ROUND(OFFSET($P28,0,AI$13),15-13*ORÇAMENTO!$AF$7)/$H28*OFFSET(ORÇAMENTO!$X$15,ROW(AI28)-ROW(AI$15),0),
ROUND(ROUND(OFFSET($P28,0,AI$13),15-13*ORÇAMENTO!$AF$7)*OFFSET(ORÇAMENTO!$W$15,ROW(AI28)-ROW(AI$15),0),15-13*ORÇAMENTO!$AF$11)),0)</f>
        <v>0</v>
      </c>
      <c r="AJ28" s="627">
        <f ca="1">IF(AND($D28="Serviço",AJ$12&lt;&gt;0,$H28&gt;0,OR(AUTOEVENTO&lt;&gt;"manual",$M28&lt;&gt;1)),
IF(Import.TipoArredondamento&lt;&gt;"TransfereGOV",
ROUND(OFFSET($P28,0,AJ$13),15-13*ORÇAMENTO!$AF$7)/$H28*OFFSET(ORÇAMENTO!$X$15,ROW(AJ28)-ROW(AJ$15),0),
ROUND(ROUND(OFFSET($P28,0,AJ$13),15-13*ORÇAMENTO!$AF$7)*OFFSET(ORÇAMENTO!$W$15,ROW(AJ28)-ROW(AJ$15),0),15-13*ORÇAMENTO!$AF$11)),0)</f>
        <v>0</v>
      </c>
      <c r="AK28" s="628">
        <f ca="1">IF(AND($D28="Serviço",AK$12&lt;&gt;0,$H28&gt;0,OR(AUTOEVENTO&lt;&gt;"manual",$M28&lt;&gt;1)),
IF(Import.TipoArredondamento&lt;&gt;"TransfereGOV",
ROUND(OFFSET($P28,0,AK$13),15-13*ORÇAMENTO!$AF$7)/$H28*OFFSET(ORÇAMENTO!$X$15,ROW(AK28)-ROW(AK$15),0),
ROUND(ROUND(OFFSET($P28,0,AK$13),15-13*ORÇAMENTO!$AF$7)*OFFSET(ORÇAMENTO!$W$15,ROW(AK28)-ROW(AK$15),0),15-13*ORÇAMENTO!$AF$11)),0)</f>
        <v>0</v>
      </c>
      <c r="AM28" s="211">
        <f ca="1">IF($D28&lt;&gt;"Serviço",0,IF(AND(AUTOEVENTO="Manual",$M28=1),0,IF(OFFSET(CRONOPLE!$F$14,$M28,AM$13)="",10^12,OFFSET(CRONOPLE!$F$14,$M28,AM$13))))</f>
        <v>0</v>
      </c>
      <c r="AN28" s="211">
        <f ca="1">IF($D28&lt;&gt;"Serviço",0,IF(AND(AUTOEVENTO="Manual",$M28=1),0,IF(OFFSET(CRONOPLE!$F$14,$M28,AN$13)="",10^12,OFFSET(CRONOPLE!$F$14,$M28,AN$13))))</f>
        <v>0</v>
      </c>
      <c r="AO28" s="211">
        <f ca="1">IF($D28&lt;&gt;"Serviço",0,IF(AND(AUTOEVENTO="Manual",$M28=1),0,IF(OFFSET(CRONOPLE!$F$14,$M28,AO$13)="",10^12,OFFSET(CRONOPLE!$F$14,$M28,AO$13))))</f>
        <v>0</v>
      </c>
      <c r="AP28" s="211">
        <f ca="1">IF($D28&lt;&gt;"Serviço",0,IF(AND(AUTOEVENTO="Manual",$M28=1),0,IF(OFFSET(CRONOPLE!$F$14,$M28,AP$13)="",10^12,OFFSET(CRONOPLE!$F$14,$M28,AP$13))))</f>
        <v>0</v>
      </c>
      <c r="AQ28" s="211">
        <f ca="1">IF($D28&lt;&gt;"Serviço",0,IF(AND(AUTOEVENTO="Manual",$M28=1),0,IF(OFFSET(CRONOPLE!$F$14,$M28,AQ$13)="",10^12,OFFSET(CRONOPLE!$F$14,$M28,AQ$13))))</f>
        <v>0</v>
      </c>
      <c r="AR28" s="211">
        <f ca="1">IF($D28&lt;&gt;"Serviço",0,IF(AND(AUTOEVENTO="Manual",$M28=1),0,IF(OFFSET(CRONOPLE!$F$14,$M28,AR$13)="",10^12,OFFSET(CRONOPLE!$F$14,$M28,AR$13))))</f>
        <v>0</v>
      </c>
      <c r="AS28" s="211">
        <f ca="1">IF($D28&lt;&gt;"Serviço",0,IF(AND(AUTOEVENTO="Manual",$M28=1),0,IF(OFFSET(CRONOPLE!$F$14,$M28,AS$13)="",10^12,OFFSET(CRONOPLE!$F$14,$M28,AS$13))))</f>
        <v>0</v>
      </c>
      <c r="AT28" s="211">
        <f ca="1">IF($D28&lt;&gt;"Serviço",0,IF(AND(AUTOEVENTO="Manual",$M28=1),0,IF(OFFSET(CRONOPLE!$F$14,$M28,AT$13)="",10^12,OFFSET(CRONOPLE!$F$14,$M28,AT$13))))</f>
        <v>0</v>
      </c>
      <c r="AU28" s="211">
        <f ca="1">IF($D28&lt;&gt;"Serviço",0,IF(AND(AUTOEVENTO="Manual",$M28=1),0,IF(OFFSET(CRONOPLE!$F$14,$M28,AU$13)="",10^12,OFFSET(CRONOPLE!$F$14,$M28,AU$13))))</f>
        <v>0</v>
      </c>
      <c r="AV28" s="211">
        <f ca="1">IF($D28&lt;&gt;"Serviço",0,IF(AND(AUTOEVENTO="Manual",$M28=1),0,IF(OFFSET(CRONOPLE!$F$14,$M28,AV$13)="",10^12,OFFSET(CRONOPLE!$F$14,$M28,AV$13))))</f>
        <v>0</v>
      </c>
      <c r="AX28" s="212">
        <f ca="1">IF($D28&lt;&gt;"Serviço",0,IF(OR(AND(AUTOEVENTO="Manual",$M28=1),$M28&gt;(ROW(PLE.lastrow)-ROW(PLE.firstrow))),0,IF(OFFSET(PLE!$G$14,$M28,AX$13)="",10^12,OFFSET(PLE!$G$14,$M28,AX$13))))</f>
        <v>0</v>
      </c>
      <c r="AY28" s="212">
        <f ca="1">IF($D28&lt;&gt;"Serviço",0,IF(OR(AND(AUTOEVENTO="Manual",$M28=1),$M28&gt;(ROW(PLE.lastrow)-ROW(PLE.firstrow))),0,IF(OFFSET(PLE!$G$14,$M28,AY$13)="",10^12,OFFSET(PLE!$G$14,$M28,AY$13))))</f>
        <v>0</v>
      </c>
      <c r="AZ28" s="212">
        <f ca="1">IF($D28&lt;&gt;"Serviço",0,IF(OR(AND(AUTOEVENTO="Manual",$M28=1),$M28&gt;(ROW(PLE.lastrow)-ROW(PLE.firstrow))),0,IF(OFFSET(PLE!$G$14,$M28,AZ$13)="",10^12,OFFSET(PLE!$G$14,$M28,AZ$13))))</f>
        <v>0</v>
      </c>
      <c r="BA28" s="212">
        <f ca="1">IF($D28&lt;&gt;"Serviço",0,IF(OR(AND(AUTOEVENTO="Manual",$M28=1),$M28&gt;(ROW(PLE.lastrow)-ROW(PLE.firstrow))),0,IF(OFFSET(PLE!$G$14,$M28,BA$13)="",10^12,OFFSET(PLE!$G$14,$M28,BA$13))))</f>
        <v>0</v>
      </c>
      <c r="BB28" s="212">
        <f ca="1">IF($D28&lt;&gt;"Serviço",0,IF(OR(AND(AUTOEVENTO="Manual",$M28=1),$M28&gt;(ROW(PLE.lastrow)-ROW(PLE.firstrow))),0,IF(OFFSET(PLE!$G$14,$M28,BB$13)="",10^12,OFFSET(PLE!$G$14,$M28,BB$13))))</f>
        <v>0</v>
      </c>
      <c r="BC28" s="212">
        <f ca="1">IF($D28&lt;&gt;"Serviço",0,IF(OR(AND(AUTOEVENTO="Manual",$M28=1),$M28&gt;(ROW(PLE.lastrow)-ROW(PLE.firstrow))),0,IF(OFFSET(PLE!$G$14,$M28,BC$13)="",10^12,OFFSET(PLE!$G$14,$M28,BC$13))))</f>
        <v>0</v>
      </c>
      <c r="BD28" s="212">
        <f ca="1">IF($D28&lt;&gt;"Serviço",0,IF(OR(AND(AUTOEVENTO="Manual",$M28=1),$M28&gt;(ROW(PLE.lastrow)-ROW(PLE.firstrow))),0,IF(OFFSET(PLE!$G$14,$M28,BD$13)="",10^12,OFFSET(PLE!$G$14,$M28,BD$13))))</f>
        <v>0</v>
      </c>
      <c r="BE28" s="212">
        <f ca="1">IF($D28&lt;&gt;"Serviço",0,IF(OR(AND(AUTOEVENTO="Manual",$M28=1),$M28&gt;(ROW(PLE.lastrow)-ROW(PLE.firstrow))),0,IF(OFFSET(PLE!$G$14,$M28,BE$13)="",10^12,OFFSET(PLE!$G$14,$M28,BE$13))))</f>
        <v>0</v>
      </c>
      <c r="BF28" s="212">
        <f ca="1">IF($D28&lt;&gt;"Serviço",0,IF(OR(AND(AUTOEVENTO="Manual",$M28=1),$M28&gt;(ROW(PLE.lastrow)-ROW(PLE.firstrow))),0,IF(OFFSET(PLE!$G$14,$M28,BF$13)="",10^12,OFFSET(PLE!$G$14,$M28,BF$13))))</f>
        <v>0</v>
      </c>
      <c r="BG28" s="212">
        <f ca="1">IF($D28&lt;&gt;"Serviço",0,IF(OR(AND(AUTOEVENTO="Manual",$M28=1),$M28&gt;(ROW(PLE.lastrow)-ROW(PLE.firstrow))),0,IF(OFFSET(PLE!$G$14,$M28,BG$13)="",10^12,OFFSET(PLE!$G$14,$M28,BG$13))))</f>
        <v>0</v>
      </c>
    </row>
    <row r="29" spans="1:59" ht="39.6">
      <c r="A29" s="9" t="str">
        <f t="shared" ca="1" si="8"/>
        <v>13</v>
      </c>
      <c r="B29" s="9" t="str">
        <f ca="1">OFFSET(ORÇAMENTO!C$15,ROW(B29)-ROW(B$15),0)</f>
        <v>S</v>
      </c>
      <c r="C29" s="9" t="str">
        <f ca="1">OFFSET(ORÇAMENTO!L$15,ROW(C29)-ROW(C$15),0)</f>
        <v>F</v>
      </c>
      <c r="D29" s="141" t="str">
        <f ca="1">OFFSET(ORÇAMENTO!N$15,ROW(D29)-ROW(D$15),0)</f>
        <v>Serviço</v>
      </c>
      <c r="E29" s="201" t="str">
        <f ca="1">OFFSET(ORÇAMENTO!O$15,ROW(E29)-ROW(E$15),0)</f>
        <v>1.4.1.</v>
      </c>
      <c r="F29" s="202" t="str">
        <f ca="1">OFFSET(ORÇAMENTO!R$15,ROW(F29)-ROW(F$15),0)</f>
        <v>PINTURA DE FAIXA DE PEDESTRE OU ZEBRADA TINTA RETRORREFLETIVA A BASE DE RESINA ACRÍLICA COM MICROESFERAS DE VIDRO, E = 30 CM, APLICAÇÃO MANUAL. AF_05/2021</v>
      </c>
      <c r="G29" s="203" t="str">
        <f ca="1">IF($D29&lt;&gt;"Serviço","",OFFSET(ORÇAMENTO!S$15,ROW(G29)-ROW(G$15),0))</f>
        <v>M2</v>
      </c>
      <c r="H29" s="147">
        <f ca="1">IF($D29&lt;&gt;"Serviço",0,IF(ACOMPANHAMENTO="BM",ROUND(OFFSET(ORÇAMENTO!AJ$15,ROW(H29)-ROW(H$15),0),15-13*ORÇAMENTO!$AF$7),SUMPRODUCT(($Q$12:$AA$12&lt;&gt;"")*ROUND($Q29:$AA29,15-13*ORÇAMENTO!$AF$7))))</f>
        <v>276.67999999999995</v>
      </c>
      <c r="I29" s="645"/>
      <c r="K29" s="204"/>
      <c r="L29" s="205" t="s">
        <v>255</v>
      </c>
      <c r="M29" s="206">
        <f ca="1">IF($D29&lt;&gt;"Serviço","",IF(AUTOEVENTO="manual",$A29,IF(ISERROR(MATCH($A29,$A$15:OFFSET($A29,-1,0),0)),MAX($M$15:OFFSET(M29,-1,0))+1,INDEX($M$15:OFFSET(M29,-1,0),MATCH($A29,$A$15:OFFSET($A29,-1,0),0)))))</f>
        <v>5</v>
      </c>
      <c r="N29" s="207" t="str">
        <f ca="1">IF($D29&lt;&gt;"Serviço","",IF(AUTOEVENTO="Manual",IF($A29=0,"&lt;-- defina o número do agrupador",OFFSET(EVENTOS!$D$14,$A29,0)),OFFSET($F$15,$A29,0)))</f>
        <v>SINALIZAÇÃO VIÁRIA</v>
      </c>
      <c r="O29" s="208"/>
      <c r="Q29" s="208">
        <v>13.66</v>
      </c>
      <c r="R29" s="209">
        <v>163.92</v>
      </c>
      <c r="S29" s="209">
        <v>47.38</v>
      </c>
      <c r="T29" s="209">
        <v>51.72</v>
      </c>
      <c r="U29" s="209"/>
      <c r="V29" s="209"/>
      <c r="W29" s="209"/>
      <c r="X29" s="209"/>
      <c r="Y29" s="209"/>
      <c r="Z29" s="210"/>
      <c r="AB29" s="626">
        <f ca="1">IF(AND($D29="Serviço",AB$12&lt;&gt;0,$H29&gt;0,OR(AUTOEVENTO&lt;&gt;"manual",$M29&lt;&gt;1)),
IF(Import.TipoArredondamento&lt;&gt;"TransfereGOV",
ROUND(OFFSET($P29,0,AB$13),15-13*ORÇAMENTO!$AF$7)/$H29*OFFSET(ORÇAMENTO!$X$15,ROW(AB29)-ROW(AB$15),0),
ROUND(ROUND(OFFSET($P29,0,AB$13),15-13*ORÇAMENTO!$AF$7)*OFFSET(ORÇAMENTO!$W$15,ROW(AB29)-ROW(AB$15),0),15-13*ORÇAMENTO!$AF$11)),0)</f>
        <v>641.4734617608791</v>
      </c>
      <c r="AC29" s="627">
        <f ca="1">IF(AND($D29="Serviço",AC$12&lt;&gt;0,$H29&gt;0,OR(AUTOEVENTO&lt;&gt;"manual",$M29&lt;&gt;1)),
IF(Import.TipoArredondamento&lt;&gt;"TransfereGOV",
ROUND(OFFSET($P29,0,AC$13),15-13*ORÇAMENTO!$AF$7)/$H29*OFFSET(ORÇAMENTO!$X$15,ROW(AC29)-ROW(AC$15),0),
ROUND(ROUND(OFFSET($P29,0,AC$13),15-13*ORÇAMENTO!$AF$7)*OFFSET(ORÇAMENTO!$W$15,ROW(AC29)-ROW(AC$15),0),15-13*ORÇAMENTO!$AF$11)),0)</f>
        <v>7697.6815411305479</v>
      </c>
      <c r="AD29" s="627">
        <f ca="1">IF(AND($D29="Serviço",AD$12&lt;&gt;0,$H29&gt;0,OR(AUTOEVENTO&lt;&gt;"manual",$M29&lt;&gt;1)),
IF(Import.TipoArredondamento&lt;&gt;"TransfereGOV",
ROUND(OFFSET($P29,0,AD$13),15-13*ORÇAMENTO!$AF$7)/$H29*OFFSET(ORÇAMENTO!$X$15,ROW(AD29)-ROW(AD$15),0),
ROUND(ROUND(OFFSET($P29,0,AD$13),15-13*ORÇAMENTO!$AF$7)*OFFSET(ORÇAMENTO!$W$15,ROW(AD29)-ROW(AD$15),0),15-13*ORÇAMENTO!$AF$11)),0)</f>
        <v>2224.9643205146745</v>
      </c>
      <c r="AE29" s="627">
        <f ca="1">IF(AND($D29="Serviço",AE$12&lt;&gt;0,$H29&gt;0,OR(AUTOEVENTO&lt;&gt;"manual",$M29&lt;&gt;1)),
IF(Import.TipoArredondamento&lt;&gt;"TransfereGOV",
ROUND(OFFSET($P29,0,AE$13),15-13*ORÇAMENTO!$AF$7)/$H29*OFFSET(ORÇAMENTO!$X$15,ROW(AE29)-ROW(AE$15),0),
ROUND(ROUND(OFFSET($P29,0,AE$13),15-13*ORÇAMENTO!$AF$7)*OFFSET(ORÇAMENTO!$W$15,ROW(AE29)-ROW(AE$15),0),15-13*ORÇAMENTO!$AF$11)),0)</f>
        <v>2428.7706765938992</v>
      </c>
      <c r="AF29" s="627">
        <f ca="1">IF(AND($D29="Serviço",AF$12&lt;&gt;0,$H29&gt;0,OR(AUTOEVENTO&lt;&gt;"manual",$M29&lt;&gt;1)),
IF(Import.TipoArredondamento&lt;&gt;"TransfereGOV",
ROUND(OFFSET($P29,0,AF$13),15-13*ORÇAMENTO!$AF$7)/$H29*OFFSET(ORÇAMENTO!$X$15,ROW(AF29)-ROW(AF$15),0),
ROUND(ROUND(OFFSET($P29,0,AF$13),15-13*ORÇAMENTO!$AF$7)*OFFSET(ORÇAMENTO!$W$15,ROW(AF29)-ROW(AF$15),0),15-13*ORÇAMENTO!$AF$11)),0)</f>
        <v>0</v>
      </c>
      <c r="AG29" s="627">
        <f ca="1">IF(AND($D29="Serviço",AG$12&lt;&gt;0,$H29&gt;0,OR(AUTOEVENTO&lt;&gt;"manual",$M29&lt;&gt;1)),
IF(Import.TipoArredondamento&lt;&gt;"TransfereGOV",
ROUND(OFFSET($P29,0,AG$13),15-13*ORÇAMENTO!$AF$7)/$H29*OFFSET(ORÇAMENTO!$X$15,ROW(AG29)-ROW(AG$15),0),
ROUND(ROUND(OFFSET($P29,0,AG$13),15-13*ORÇAMENTO!$AF$7)*OFFSET(ORÇAMENTO!$W$15,ROW(AG29)-ROW(AG$15),0),15-13*ORÇAMENTO!$AF$11)),0)</f>
        <v>0</v>
      </c>
      <c r="AH29" s="627">
        <f ca="1">IF(AND($D29="Serviço",AH$12&lt;&gt;0,$H29&gt;0,OR(AUTOEVENTO&lt;&gt;"manual",$M29&lt;&gt;1)),
IF(Import.TipoArredondamento&lt;&gt;"TransfereGOV",
ROUND(OFFSET($P29,0,AH$13),15-13*ORÇAMENTO!$AF$7)/$H29*OFFSET(ORÇAMENTO!$X$15,ROW(AH29)-ROW(AH$15),0),
ROUND(ROUND(OFFSET($P29,0,AH$13),15-13*ORÇAMENTO!$AF$7)*OFFSET(ORÇAMENTO!$W$15,ROW(AH29)-ROW(AH$15),0),15-13*ORÇAMENTO!$AF$11)),0)</f>
        <v>0</v>
      </c>
      <c r="AI29" s="627">
        <f ca="1">IF(AND($D29="Serviço",AI$12&lt;&gt;0,$H29&gt;0,OR(AUTOEVENTO&lt;&gt;"manual",$M29&lt;&gt;1)),
IF(Import.TipoArredondamento&lt;&gt;"TransfereGOV",
ROUND(OFFSET($P29,0,AI$13),15-13*ORÇAMENTO!$AF$7)/$H29*OFFSET(ORÇAMENTO!$X$15,ROW(AI29)-ROW(AI$15),0),
ROUND(ROUND(OFFSET($P29,0,AI$13),15-13*ORÇAMENTO!$AF$7)*OFFSET(ORÇAMENTO!$W$15,ROW(AI29)-ROW(AI$15),0),15-13*ORÇAMENTO!$AF$11)),0)</f>
        <v>0</v>
      </c>
      <c r="AJ29" s="627">
        <f ca="1">IF(AND($D29="Serviço",AJ$12&lt;&gt;0,$H29&gt;0,OR(AUTOEVENTO&lt;&gt;"manual",$M29&lt;&gt;1)),
IF(Import.TipoArredondamento&lt;&gt;"TransfereGOV",
ROUND(OFFSET($P29,0,AJ$13),15-13*ORÇAMENTO!$AF$7)/$H29*OFFSET(ORÇAMENTO!$X$15,ROW(AJ29)-ROW(AJ$15),0),
ROUND(ROUND(OFFSET($P29,0,AJ$13),15-13*ORÇAMENTO!$AF$7)*OFFSET(ORÇAMENTO!$W$15,ROW(AJ29)-ROW(AJ$15),0),15-13*ORÇAMENTO!$AF$11)),0)</f>
        <v>0</v>
      </c>
      <c r="AK29" s="628">
        <f ca="1">IF(AND($D29="Serviço",AK$12&lt;&gt;0,$H29&gt;0,OR(AUTOEVENTO&lt;&gt;"manual",$M29&lt;&gt;1)),
IF(Import.TipoArredondamento&lt;&gt;"TransfereGOV",
ROUND(OFFSET($P29,0,AK$13),15-13*ORÇAMENTO!$AF$7)/$H29*OFFSET(ORÇAMENTO!$X$15,ROW(AK29)-ROW(AK$15),0),
ROUND(ROUND(OFFSET($P29,0,AK$13),15-13*ORÇAMENTO!$AF$7)*OFFSET(ORÇAMENTO!$W$15,ROW(AK29)-ROW(AK$15),0),15-13*ORÇAMENTO!$AF$11)),0)</f>
        <v>0</v>
      </c>
      <c r="AM29" s="211">
        <f ca="1">IF($D29&lt;&gt;"Serviço",0,IF(AND(AUTOEVENTO="Manual",$M29=1),0,IF(OFFSET(CRONOPLE!$F$14,$M29,AM$13)="",10^12,OFFSET(CRONOPLE!$F$14,$M29,AM$13))))</f>
        <v>2</v>
      </c>
      <c r="AN29" s="211">
        <f ca="1">IF($D29&lt;&gt;"Serviço",0,IF(AND(AUTOEVENTO="Manual",$M29=1),0,IF(OFFSET(CRONOPLE!$F$14,$M29,AN$13)="",10^12,OFFSET(CRONOPLE!$F$14,$M29,AN$13))))</f>
        <v>1</v>
      </c>
      <c r="AO29" s="211">
        <f ca="1">IF($D29&lt;&gt;"Serviço",0,IF(AND(AUTOEVENTO="Manual",$M29=1),0,IF(OFFSET(CRONOPLE!$F$14,$M29,AO$13)="",10^12,OFFSET(CRONOPLE!$F$14,$M29,AO$13))))</f>
        <v>2</v>
      </c>
      <c r="AP29" s="211">
        <f ca="1">IF($D29&lt;&gt;"Serviço",0,IF(AND(AUTOEVENTO="Manual",$M29=1),0,IF(OFFSET(CRONOPLE!$F$14,$M29,AP$13)="",10^12,OFFSET(CRONOPLE!$F$14,$M29,AP$13))))</f>
        <v>2</v>
      </c>
      <c r="AQ29" s="211">
        <f ca="1">IF($D29&lt;&gt;"Serviço",0,IF(AND(AUTOEVENTO="Manual",$M29=1),0,IF(OFFSET(CRONOPLE!$F$14,$M29,AQ$13)="",10^12,OFFSET(CRONOPLE!$F$14,$M29,AQ$13))))</f>
        <v>1000000000000</v>
      </c>
      <c r="AR29" s="211">
        <f ca="1">IF($D29&lt;&gt;"Serviço",0,IF(AND(AUTOEVENTO="Manual",$M29=1),0,IF(OFFSET(CRONOPLE!$F$14,$M29,AR$13)="",10^12,OFFSET(CRONOPLE!$F$14,$M29,AR$13))))</f>
        <v>1000000000000</v>
      </c>
      <c r="AS29" s="211">
        <f ca="1">IF($D29&lt;&gt;"Serviço",0,IF(AND(AUTOEVENTO="Manual",$M29=1),0,IF(OFFSET(CRONOPLE!$F$14,$M29,AS$13)="",10^12,OFFSET(CRONOPLE!$F$14,$M29,AS$13))))</f>
        <v>1000000000000</v>
      </c>
      <c r="AT29" s="211">
        <f ca="1">IF($D29&lt;&gt;"Serviço",0,IF(AND(AUTOEVENTO="Manual",$M29=1),0,IF(OFFSET(CRONOPLE!$F$14,$M29,AT$13)="",10^12,OFFSET(CRONOPLE!$F$14,$M29,AT$13))))</f>
        <v>1000000000000</v>
      </c>
      <c r="AU29" s="211">
        <f ca="1">IF($D29&lt;&gt;"Serviço",0,IF(AND(AUTOEVENTO="Manual",$M29=1),0,IF(OFFSET(CRONOPLE!$F$14,$M29,AU$13)="",10^12,OFFSET(CRONOPLE!$F$14,$M29,AU$13))))</f>
        <v>1000000000000</v>
      </c>
      <c r="AV29" s="211">
        <f ca="1">IF($D29&lt;&gt;"Serviço",0,IF(AND(AUTOEVENTO="Manual",$M29=1),0,IF(OFFSET(CRONOPLE!$F$14,$M29,AV$13)="",10^12,OFFSET(CRONOPLE!$F$14,$M29,AV$13))))</f>
        <v>1000000000000</v>
      </c>
      <c r="AX29" s="212">
        <f ca="1">IF($D29&lt;&gt;"Serviço",0,IF(OR(AND(AUTOEVENTO="Manual",$M29=1),$M29&gt;(ROW(PLE.lastrow)-ROW(PLE.firstrow))),0,IF(OFFSET(PLE!$G$14,$M29,AX$13)="",10^12,OFFSET(PLE!$G$14,$M29,AX$13))))</f>
        <v>1000000000000</v>
      </c>
      <c r="AY29" s="212">
        <f ca="1">IF($D29&lt;&gt;"Serviço",0,IF(OR(AND(AUTOEVENTO="Manual",$M29=1),$M29&gt;(ROW(PLE.lastrow)-ROW(PLE.firstrow))),0,IF(OFFSET(PLE!$G$14,$M29,AY$13)="",10^12,OFFSET(PLE!$G$14,$M29,AY$13))))</f>
        <v>1000000000000</v>
      </c>
      <c r="AZ29" s="212">
        <f ca="1">IF($D29&lt;&gt;"Serviço",0,IF(OR(AND(AUTOEVENTO="Manual",$M29=1),$M29&gt;(ROW(PLE.lastrow)-ROW(PLE.firstrow))),0,IF(OFFSET(PLE!$G$14,$M29,AZ$13)="",10^12,OFFSET(PLE!$G$14,$M29,AZ$13))))</f>
        <v>1000000000000</v>
      </c>
      <c r="BA29" s="212">
        <f ca="1">IF($D29&lt;&gt;"Serviço",0,IF(OR(AND(AUTOEVENTO="Manual",$M29=1),$M29&gt;(ROW(PLE.lastrow)-ROW(PLE.firstrow))),0,IF(OFFSET(PLE!$G$14,$M29,BA$13)="",10^12,OFFSET(PLE!$G$14,$M29,BA$13))))</f>
        <v>1000000000000</v>
      </c>
      <c r="BB29" s="212">
        <f ca="1">IF($D29&lt;&gt;"Serviço",0,IF(OR(AND(AUTOEVENTO="Manual",$M29=1),$M29&gt;(ROW(PLE.lastrow)-ROW(PLE.firstrow))),0,IF(OFFSET(PLE!$G$14,$M29,BB$13)="",10^12,OFFSET(PLE!$G$14,$M29,BB$13))))</f>
        <v>1000000000000</v>
      </c>
      <c r="BC29" s="212">
        <f ca="1">IF($D29&lt;&gt;"Serviço",0,IF(OR(AND(AUTOEVENTO="Manual",$M29=1),$M29&gt;(ROW(PLE.lastrow)-ROW(PLE.firstrow))),0,IF(OFFSET(PLE!$G$14,$M29,BC$13)="",10^12,OFFSET(PLE!$G$14,$M29,BC$13))))</f>
        <v>1000000000000</v>
      </c>
      <c r="BD29" s="212">
        <f ca="1">IF($D29&lt;&gt;"Serviço",0,IF(OR(AND(AUTOEVENTO="Manual",$M29=1),$M29&gt;(ROW(PLE.lastrow)-ROW(PLE.firstrow))),0,IF(OFFSET(PLE!$G$14,$M29,BD$13)="",10^12,OFFSET(PLE!$G$14,$M29,BD$13))))</f>
        <v>1000000000000</v>
      </c>
      <c r="BE29" s="212">
        <f ca="1">IF($D29&lt;&gt;"Serviço",0,IF(OR(AND(AUTOEVENTO="Manual",$M29=1),$M29&gt;(ROW(PLE.lastrow)-ROW(PLE.firstrow))),0,IF(OFFSET(PLE!$G$14,$M29,BE$13)="",10^12,OFFSET(PLE!$G$14,$M29,BE$13))))</f>
        <v>1000000000000</v>
      </c>
      <c r="BF29" s="212">
        <f ca="1">IF($D29&lt;&gt;"Serviço",0,IF(OR(AND(AUTOEVENTO="Manual",$M29=1),$M29&gt;(ROW(PLE.lastrow)-ROW(PLE.firstrow))),0,IF(OFFSET(PLE!$G$14,$M29,BF$13)="",10^12,OFFSET(PLE!$G$14,$M29,BF$13))))</f>
        <v>1000000000000</v>
      </c>
      <c r="BG29" s="212">
        <f ca="1">IF($D29&lt;&gt;"Serviço",0,IF(OR(AND(AUTOEVENTO="Manual",$M29=1),$M29&gt;(ROW(PLE.lastrow)-ROW(PLE.firstrow))),0,IF(OFFSET(PLE!$G$14,$M29,BG$13)="",10^12,OFFSET(PLE!$G$14,$M29,BG$13))))</f>
        <v>1000000000000</v>
      </c>
    </row>
    <row r="30" spans="1:59" ht="13.2">
      <c r="A30" s="9" t="str">
        <f t="shared" ca="1" si="8"/>
        <v>15.</v>
      </c>
      <c r="B30" s="9">
        <f ca="1">OFFSET(ORÇAMENTO!C$15,ROW(B30)-ROW(B$15),0)</f>
        <v>2</v>
      </c>
      <c r="C30" s="9" t="str">
        <f ca="1">OFFSET(ORÇAMENTO!L$15,ROW(C30)-ROW(C$15),0)</f>
        <v>F</v>
      </c>
      <c r="D30" s="141" t="str">
        <f ca="1">OFFSET(ORÇAMENTO!N$15,ROW(D30)-ROW(D$15),0)</f>
        <v>Nível 2</v>
      </c>
      <c r="E30" s="201" t="str">
        <f ca="1">OFFSET(ORÇAMENTO!O$15,ROW(E30)-ROW(E$15),0)</f>
        <v>1.5.</v>
      </c>
      <c r="F30" s="202" t="str">
        <f ca="1">OFFSET(ORÇAMENTO!R$15,ROW(F30)-ROW(F$15),0)</f>
        <v>DRENAGEM</v>
      </c>
      <c r="G30" s="203" t="str">
        <f ca="1">IF($D30&lt;&gt;"Serviço","",OFFSET(ORÇAMENTO!S$15,ROW(G30)-ROW(G$15),0))</f>
        <v/>
      </c>
      <c r="H30" s="147">
        <f ca="1">IF($D30&lt;&gt;"Serviço",0,IF(ACOMPANHAMENTO="BM",ROUND(OFFSET(ORÇAMENTO!AJ$15,ROW(H30)-ROW(H$15),0),15-13*ORÇAMENTO!$AF$7),SUMPRODUCT(($Q$12:$AA$12&lt;&gt;"")*ROUND($Q30:$AA30,15-13*ORÇAMENTO!$AF$7))))</f>
        <v>0</v>
      </c>
      <c r="I30" s="645"/>
      <c r="K30" s="204"/>
      <c r="L30" s="205" t="s">
        <v>255</v>
      </c>
      <c r="M30" s="206" t="str">
        <f ca="1">IF($D30&lt;&gt;"Serviço","",IF(AUTOEVENTO="manual",$A30,IF(ISERROR(MATCH($A30,$A$15:OFFSET($A30,-1,0),0)),MAX($M$15:OFFSET(M30,-1,0))+1,INDEX($M$15:OFFSET(M30,-1,0),MATCH($A30,$A$15:OFFSET($A30,-1,0),0)))))</f>
        <v/>
      </c>
      <c r="N30" s="207" t="str">
        <f ca="1">IF($D30&lt;&gt;"Serviço","",IF(AUTOEVENTO="Manual",IF($A30=0,"&lt;-- defina o número do agrupador",OFFSET(EVENTOS!$D$14,$A30,0)),OFFSET($F$15,$A30,0)))</f>
        <v/>
      </c>
      <c r="O30" s="208"/>
      <c r="Q30" s="208"/>
      <c r="R30" s="209"/>
      <c r="S30" s="209"/>
      <c r="T30" s="209"/>
      <c r="U30" s="209"/>
      <c r="V30" s="209"/>
      <c r="W30" s="209"/>
      <c r="X30" s="209"/>
      <c r="Y30" s="209"/>
      <c r="Z30" s="210"/>
      <c r="AB30" s="626">
        <f ca="1">IF(AND($D30="Serviço",AB$12&lt;&gt;0,$H30&gt;0,OR(AUTOEVENTO&lt;&gt;"manual",$M30&lt;&gt;1)),
IF(Import.TipoArredondamento&lt;&gt;"TransfereGOV",
ROUND(OFFSET($P30,0,AB$13),15-13*ORÇAMENTO!$AF$7)/$H30*OFFSET(ORÇAMENTO!$X$15,ROW(AB30)-ROW(AB$15),0),
ROUND(ROUND(OFFSET($P30,0,AB$13),15-13*ORÇAMENTO!$AF$7)*OFFSET(ORÇAMENTO!$W$15,ROW(AB30)-ROW(AB$15),0),15-13*ORÇAMENTO!$AF$11)),0)</f>
        <v>0</v>
      </c>
      <c r="AC30" s="627">
        <f ca="1">IF(AND($D30="Serviço",AC$12&lt;&gt;0,$H30&gt;0,OR(AUTOEVENTO&lt;&gt;"manual",$M30&lt;&gt;1)),
IF(Import.TipoArredondamento&lt;&gt;"TransfereGOV",
ROUND(OFFSET($P30,0,AC$13),15-13*ORÇAMENTO!$AF$7)/$H30*OFFSET(ORÇAMENTO!$X$15,ROW(AC30)-ROW(AC$15),0),
ROUND(ROUND(OFFSET($P30,0,AC$13),15-13*ORÇAMENTO!$AF$7)*OFFSET(ORÇAMENTO!$W$15,ROW(AC30)-ROW(AC$15),0),15-13*ORÇAMENTO!$AF$11)),0)</f>
        <v>0</v>
      </c>
      <c r="AD30" s="627">
        <f ca="1">IF(AND($D30="Serviço",AD$12&lt;&gt;0,$H30&gt;0,OR(AUTOEVENTO&lt;&gt;"manual",$M30&lt;&gt;1)),
IF(Import.TipoArredondamento&lt;&gt;"TransfereGOV",
ROUND(OFFSET($P30,0,AD$13),15-13*ORÇAMENTO!$AF$7)/$H30*OFFSET(ORÇAMENTO!$X$15,ROW(AD30)-ROW(AD$15),0),
ROUND(ROUND(OFFSET($P30,0,AD$13),15-13*ORÇAMENTO!$AF$7)*OFFSET(ORÇAMENTO!$W$15,ROW(AD30)-ROW(AD$15),0),15-13*ORÇAMENTO!$AF$11)),0)</f>
        <v>0</v>
      </c>
      <c r="AE30" s="627">
        <f ca="1">IF(AND($D30="Serviço",AE$12&lt;&gt;0,$H30&gt;0,OR(AUTOEVENTO&lt;&gt;"manual",$M30&lt;&gt;1)),
IF(Import.TipoArredondamento&lt;&gt;"TransfereGOV",
ROUND(OFFSET($P30,0,AE$13),15-13*ORÇAMENTO!$AF$7)/$H30*OFFSET(ORÇAMENTO!$X$15,ROW(AE30)-ROW(AE$15),0),
ROUND(ROUND(OFFSET($P30,0,AE$13),15-13*ORÇAMENTO!$AF$7)*OFFSET(ORÇAMENTO!$W$15,ROW(AE30)-ROW(AE$15),0),15-13*ORÇAMENTO!$AF$11)),0)</f>
        <v>0</v>
      </c>
      <c r="AF30" s="627">
        <f ca="1">IF(AND($D30="Serviço",AF$12&lt;&gt;0,$H30&gt;0,OR(AUTOEVENTO&lt;&gt;"manual",$M30&lt;&gt;1)),
IF(Import.TipoArredondamento&lt;&gt;"TransfereGOV",
ROUND(OFFSET($P30,0,AF$13),15-13*ORÇAMENTO!$AF$7)/$H30*OFFSET(ORÇAMENTO!$X$15,ROW(AF30)-ROW(AF$15),0),
ROUND(ROUND(OFFSET($P30,0,AF$13),15-13*ORÇAMENTO!$AF$7)*OFFSET(ORÇAMENTO!$W$15,ROW(AF30)-ROW(AF$15),0),15-13*ORÇAMENTO!$AF$11)),0)</f>
        <v>0</v>
      </c>
      <c r="AG30" s="627">
        <f ca="1">IF(AND($D30="Serviço",AG$12&lt;&gt;0,$H30&gt;0,OR(AUTOEVENTO&lt;&gt;"manual",$M30&lt;&gt;1)),
IF(Import.TipoArredondamento&lt;&gt;"TransfereGOV",
ROUND(OFFSET($P30,0,AG$13),15-13*ORÇAMENTO!$AF$7)/$H30*OFFSET(ORÇAMENTO!$X$15,ROW(AG30)-ROW(AG$15),0),
ROUND(ROUND(OFFSET($P30,0,AG$13),15-13*ORÇAMENTO!$AF$7)*OFFSET(ORÇAMENTO!$W$15,ROW(AG30)-ROW(AG$15),0),15-13*ORÇAMENTO!$AF$11)),0)</f>
        <v>0</v>
      </c>
      <c r="AH30" s="627">
        <f ca="1">IF(AND($D30="Serviço",AH$12&lt;&gt;0,$H30&gt;0,OR(AUTOEVENTO&lt;&gt;"manual",$M30&lt;&gt;1)),
IF(Import.TipoArredondamento&lt;&gt;"TransfereGOV",
ROUND(OFFSET($P30,0,AH$13),15-13*ORÇAMENTO!$AF$7)/$H30*OFFSET(ORÇAMENTO!$X$15,ROW(AH30)-ROW(AH$15),0),
ROUND(ROUND(OFFSET($P30,0,AH$13),15-13*ORÇAMENTO!$AF$7)*OFFSET(ORÇAMENTO!$W$15,ROW(AH30)-ROW(AH$15),0),15-13*ORÇAMENTO!$AF$11)),0)</f>
        <v>0</v>
      </c>
      <c r="AI30" s="627">
        <f ca="1">IF(AND($D30="Serviço",AI$12&lt;&gt;0,$H30&gt;0,OR(AUTOEVENTO&lt;&gt;"manual",$M30&lt;&gt;1)),
IF(Import.TipoArredondamento&lt;&gt;"TransfereGOV",
ROUND(OFFSET($P30,0,AI$13),15-13*ORÇAMENTO!$AF$7)/$H30*OFFSET(ORÇAMENTO!$X$15,ROW(AI30)-ROW(AI$15),0),
ROUND(ROUND(OFFSET($P30,0,AI$13),15-13*ORÇAMENTO!$AF$7)*OFFSET(ORÇAMENTO!$W$15,ROW(AI30)-ROW(AI$15),0),15-13*ORÇAMENTO!$AF$11)),0)</f>
        <v>0</v>
      </c>
      <c r="AJ30" s="627">
        <f ca="1">IF(AND($D30="Serviço",AJ$12&lt;&gt;0,$H30&gt;0,OR(AUTOEVENTO&lt;&gt;"manual",$M30&lt;&gt;1)),
IF(Import.TipoArredondamento&lt;&gt;"TransfereGOV",
ROUND(OFFSET($P30,0,AJ$13),15-13*ORÇAMENTO!$AF$7)/$H30*OFFSET(ORÇAMENTO!$X$15,ROW(AJ30)-ROW(AJ$15),0),
ROUND(ROUND(OFFSET($P30,0,AJ$13),15-13*ORÇAMENTO!$AF$7)*OFFSET(ORÇAMENTO!$W$15,ROW(AJ30)-ROW(AJ$15),0),15-13*ORÇAMENTO!$AF$11)),0)</f>
        <v>0</v>
      </c>
      <c r="AK30" s="628">
        <f ca="1">IF(AND($D30="Serviço",AK$12&lt;&gt;0,$H30&gt;0,OR(AUTOEVENTO&lt;&gt;"manual",$M30&lt;&gt;1)),
IF(Import.TipoArredondamento&lt;&gt;"TransfereGOV",
ROUND(OFFSET($P30,0,AK$13),15-13*ORÇAMENTO!$AF$7)/$H30*OFFSET(ORÇAMENTO!$X$15,ROW(AK30)-ROW(AK$15),0),
ROUND(ROUND(OFFSET($P30,0,AK$13),15-13*ORÇAMENTO!$AF$7)*OFFSET(ORÇAMENTO!$W$15,ROW(AK30)-ROW(AK$15),0),15-13*ORÇAMENTO!$AF$11)),0)</f>
        <v>0</v>
      </c>
      <c r="AM30" s="211">
        <f ca="1">IF($D30&lt;&gt;"Serviço",0,IF(AND(AUTOEVENTO="Manual",$M30=1),0,IF(OFFSET(CRONOPLE!$F$14,$M30,AM$13)="",10^12,OFFSET(CRONOPLE!$F$14,$M30,AM$13))))</f>
        <v>0</v>
      </c>
      <c r="AN30" s="211">
        <f ca="1">IF($D30&lt;&gt;"Serviço",0,IF(AND(AUTOEVENTO="Manual",$M30=1),0,IF(OFFSET(CRONOPLE!$F$14,$M30,AN$13)="",10^12,OFFSET(CRONOPLE!$F$14,$M30,AN$13))))</f>
        <v>0</v>
      </c>
      <c r="AO30" s="211">
        <f ca="1">IF($D30&lt;&gt;"Serviço",0,IF(AND(AUTOEVENTO="Manual",$M30=1),0,IF(OFFSET(CRONOPLE!$F$14,$M30,AO$13)="",10^12,OFFSET(CRONOPLE!$F$14,$M30,AO$13))))</f>
        <v>0</v>
      </c>
      <c r="AP30" s="211">
        <f ca="1">IF($D30&lt;&gt;"Serviço",0,IF(AND(AUTOEVENTO="Manual",$M30=1),0,IF(OFFSET(CRONOPLE!$F$14,$M30,AP$13)="",10^12,OFFSET(CRONOPLE!$F$14,$M30,AP$13))))</f>
        <v>0</v>
      </c>
      <c r="AQ30" s="211">
        <f ca="1">IF($D30&lt;&gt;"Serviço",0,IF(AND(AUTOEVENTO="Manual",$M30=1),0,IF(OFFSET(CRONOPLE!$F$14,$M30,AQ$13)="",10^12,OFFSET(CRONOPLE!$F$14,$M30,AQ$13))))</f>
        <v>0</v>
      </c>
      <c r="AR30" s="211">
        <f ca="1">IF($D30&lt;&gt;"Serviço",0,IF(AND(AUTOEVENTO="Manual",$M30=1),0,IF(OFFSET(CRONOPLE!$F$14,$M30,AR$13)="",10^12,OFFSET(CRONOPLE!$F$14,$M30,AR$13))))</f>
        <v>0</v>
      </c>
      <c r="AS30" s="211">
        <f ca="1">IF($D30&lt;&gt;"Serviço",0,IF(AND(AUTOEVENTO="Manual",$M30=1),0,IF(OFFSET(CRONOPLE!$F$14,$M30,AS$13)="",10^12,OFFSET(CRONOPLE!$F$14,$M30,AS$13))))</f>
        <v>0</v>
      </c>
      <c r="AT30" s="211">
        <f ca="1">IF($D30&lt;&gt;"Serviço",0,IF(AND(AUTOEVENTO="Manual",$M30=1),0,IF(OFFSET(CRONOPLE!$F$14,$M30,AT$13)="",10^12,OFFSET(CRONOPLE!$F$14,$M30,AT$13))))</f>
        <v>0</v>
      </c>
      <c r="AU30" s="211">
        <f ca="1">IF($D30&lt;&gt;"Serviço",0,IF(AND(AUTOEVENTO="Manual",$M30=1),0,IF(OFFSET(CRONOPLE!$F$14,$M30,AU$13)="",10^12,OFFSET(CRONOPLE!$F$14,$M30,AU$13))))</f>
        <v>0</v>
      </c>
      <c r="AV30" s="211">
        <f ca="1">IF($D30&lt;&gt;"Serviço",0,IF(AND(AUTOEVENTO="Manual",$M30=1),0,IF(OFFSET(CRONOPLE!$F$14,$M30,AV$13)="",10^12,OFFSET(CRONOPLE!$F$14,$M30,AV$13))))</f>
        <v>0</v>
      </c>
      <c r="AX30" s="212">
        <f ca="1">IF($D30&lt;&gt;"Serviço",0,IF(OR(AND(AUTOEVENTO="Manual",$M30=1),$M30&gt;(ROW(PLE.lastrow)-ROW(PLE.firstrow))),0,IF(OFFSET(PLE!$G$14,$M30,AX$13)="",10^12,OFFSET(PLE!$G$14,$M30,AX$13))))</f>
        <v>0</v>
      </c>
      <c r="AY30" s="212">
        <f ca="1">IF($D30&lt;&gt;"Serviço",0,IF(OR(AND(AUTOEVENTO="Manual",$M30=1),$M30&gt;(ROW(PLE.lastrow)-ROW(PLE.firstrow))),0,IF(OFFSET(PLE!$G$14,$M30,AY$13)="",10^12,OFFSET(PLE!$G$14,$M30,AY$13))))</f>
        <v>0</v>
      </c>
      <c r="AZ30" s="212">
        <f ca="1">IF($D30&lt;&gt;"Serviço",0,IF(OR(AND(AUTOEVENTO="Manual",$M30=1),$M30&gt;(ROW(PLE.lastrow)-ROW(PLE.firstrow))),0,IF(OFFSET(PLE!$G$14,$M30,AZ$13)="",10^12,OFFSET(PLE!$G$14,$M30,AZ$13))))</f>
        <v>0</v>
      </c>
      <c r="BA30" s="212">
        <f ca="1">IF($D30&lt;&gt;"Serviço",0,IF(OR(AND(AUTOEVENTO="Manual",$M30=1),$M30&gt;(ROW(PLE.lastrow)-ROW(PLE.firstrow))),0,IF(OFFSET(PLE!$G$14,$M30,BA$13)="",10^12,OFFSET(PLE!$G$14,$M30,BA$13))))</f>
        <v>0</v>
      </c>
      <c r="BB30" s="212">
        <f ca="1">IF($D30&lt;&gt;"Serviço",0,IF(OR(AND(AUTOEVENTO="Manual",$M30=1),$M30&gt;(ROW(PLE.lastrow)-ROW(PLE.firstrow))),0,IF(OFFSET(PLE!$G$14,$M30,BB$13)="",10^12,OFFSET(PLE!$G$14,$M30,BB$13))))</f>
        <v>0</v>
      </c>
      <c r="BC30" s="212">
        <f ca="1">IF($D30&lt;&gt;"Serviço",0,IF(OR(AND(AUTOEVENTO="Manual",$M30=1),$M30&gt;(ROW(PLE.lastrow)-ROW(PLE.firstrow))),0,IF(OFFSET(PLE!$G$14,$M30,BC$13)="",10^12,OFFSET(PLE!$G$14,$M30,BC$13))))</f>
        <v>0</v>
      </c>
      <c r="BD30" s="212">
        <f ca="1">IF($D30&lt;&gt;"Serviço",0,IF(OR(AND(AUTOEVENTO="Manual",$M30=1),$M30&gt;(ROW(PLE.lastrow)-ROW(PLE.firstrow))),0,IF(OFFSET(PLE!$G$14,$M30,BD$13)="",10^12,OFFSET(PLE!$G$14,$M30,BD$13))))</f>
        <v>0</v>
      </c>
      <c r="BE30" s="212">
        <f ca="1">IF($D30&lt;&gt;"Serviço",0,IF(OR(AND(AUTOEVENTO="Manual",$M30=1),$M30&gt;(ROW(PLE.lastrow)-ROW(PLE.firstrow))),0,IF(OFFSET(PLE!$G$14,$M30,BE$13)="",10^12,OFFSET(PLE!$G$14,$M30,BE$13))))</f>
        <v>0</v>
      </c>
      <c r="BF30" s="212">
        <f ca="1">IF($D30&lt;&gt;"Serviço",0,IF(OR(AND(AUTOEVENTO="Manual",$M30=1),$M30&gt;(ROW(PLE.lastrow)-ROW(PLE.firstrow))),0,IF(OFFSET(PLE!$G$14,$M30,BF$13)="",10^12,OFFSET(PLE!$G$14,$M30,BF$13))))</f>
        <v>0</v>
      </c>
      <c r="BG30" s="212">
        <f ca="1">IF($D30&lt;&gt;"Serviço",0,IF(OR(AND(AUTOEVENTO="Manual",$M30=1),$M30&gt;(ROW(PLE.lastrow)-ROW(PLE.firstrow))),0,IF(OFFSET(PLE!$G$14,$M30,BG$13)="",10^12,OFFSET(PLE!$G$14,$M30,BG$13))))</f>
        <v>0</v>
      </c>
    </row>
    <row r="31" spans="1:59" ht="26.4">
      <c r="A31" s="9" t="str">
        <f t="shared" ca="1" si="8"/>
        <v>15</v>
      </c>
      <c r="B31" s="9" t="str">
        <f ca="1">OFFSET(ORÇAMENTO!C$15,ROW(B31)-ROW(B$15),0)</f>
        <v>S</v>
      </c>
      <c r="C31" s="9" t="str">
        <f ca="1">OFFSET(ORÇAMENTO!L$15,ROW(C31)-ROW(C$15),0)</f>
        <v>F</v>
      </c>
      <c r="D31" s="141" t="str">
        <f ca="1">OFFSET(ORÇAMENTO!N$15,ROW(D31)-ROW(D$15),0)</f>
        <v>Serviço</v>
      </c>
      <c r="E31" s="201" t="str">
        <f ca="1">OFFSET(ORÇAMENTO!O$15,ROW(E31)-ROW(E$15),0)</f>
        <v>1.5.1.</v>
      </c>
      <c r="F31" s="202" t="str">
        <f ca="1">OFFSET(ORÇAMENTO!R$15,ROW(F31)-ROW(F$15),0)</f>
        <v>EXECUÇÃO DE SARJETÃO DE CONCRETO USINADO, MOLDADA  IN LOCO  EM TRECHO RETO, 100 CM BASE X 20 CM ALTURA. AF_01/2024</v>
      </c>
      <c r="G31" s="203" t="str">
        <f ca="1">IF($D31&lt;&gt;"Serviço","",OFFSET(ORÇAMENTO!S$15,ROW(G31)-ROW(G$15),0))</f>
        <v>M</v>
      </c>
      <c r="H31" s="147">
        <f ca="1">IF($D31&lt;&gt;"Serviço",0,IF(ACOMPANHAMENTO="BM",ROUND(OFFSET(ORÇAMENTO!AJ$15,ROW(H31)-ROW(H$15),0),15-13*ORÇAMENTO!$AF$7),SUMPRODUCT(($Q$12:$AA$12&lt;&gt;"")*ROUND($Q31:$AA31,15-13*ORÇAMENTO!$AF$7))))</f>
        <v>51.05</v>
      </c>
      <c r="I31" s="645"/>
      <c r="K31" s="204"/>
      <c r="L31" s="205" t="s">
        <v>255</v>
      </c>
      <c r="M31" s="206">
        <f ca="1">IF($D31&lt;&gt;"Serviço","",IF(AUTOEVENTO="manual",$A31,IF(ISERROR(MATCH($A31,$A$15:OFFSET($A31,-1,0),0)),MAX($M$15:OFFSET(M31,-1,0))+1,INDEX($M$15:OFFSET(M31,-1,0),MATCH($A31,$A$15:OFFSET($A31,-1,0),0)))))</f>
        <v>6</v>
      </c>
      <c r="N31" s="207" t="str">
        <f ca="1">IF($D31&lt;&gt;"Serviço","",IF(AUTOEVENTO="Manual",IF($A31=0,"&lt;-- defina o número do agrupador",OFFSET(EVENTOS!$D$14,$A31,0)),OFFSET($F$15,$A31,0)))</f>
        <v>DRENAGEM</v>
      </c>
      <c r="O31" s="208"/>
      <c r="Q31" s="208"/>
      <c r="R31" s="209"/>
      <c r="S31" s="209">
        <v>51.05</v>
      </c>
      <c r="T31" s="209"/>
      <c r="U31" s="209"/>
      <c r="V31" s="209"/>
      <c r="W31" s="209"/>
      <c r="X31" s="209"/>
      <c r="Y31" s="209"/>
      <c r="Z31" s="210"/>
      <c r="AB31" s="626">
        <f ca="1">IF(AND($D31="Serviço",AB$12&lt;&gt;0,$H31&gt;0,OR(AUTOEVENTO&lt;&gt;"manual",$M31&lt;&gt;1)),
IF(Import.TipoArredondamento&lt;&gt;"TransfereGOV",
ROUND(OFFSET($P31,0,AB$13),15-13*ORÇAMENTO!$AF$7)/$H31*OFFSET(ORÇAMENTO!$X$15,ROW(AB31)-ROW(AB$15),0),
ROUND(ROUND(OFFSET($P31,0,AB$13),15-13*ORÇAMENTO!$AF$7)*OFFSET(ORÇAMENTO!$W$15,ROW(AB31)-ROW(AB$15),0),15-13*ORÇAMENTO!$AF$11)),0)</f>
        <v>0</v>
      </c>
      <c r="AC31" s="627">
        <f ca="1">IF(AND($D31="Serviço",AC$12&lt;&gt;0,$H31&gt;0,OR(AUTOEVENTO&lt;&gt;"manual",$M31&lt;&gt;1)),
IF(Import.TipoArredondamento&lt;&gt;"TransfereGOV",
ROUND(OFFSET($P31,0,AC$13),15-13*ORÇAMENTO!$AF$7)/$H31*OFFSET(ORÇAMENTO!$X$15,ROW(AC31)-ROW(AC$15),0),
ROUND(ROUND(OFFSET($P31,0,AC$13),15-13*ORÇAMENTO!$AF$7)*OFFSET(ORÇAMENTO!$W$15,ROW(AC31)-ROW(AC$15),0),15-13*ORÇAMENTO!$AF$11)),0)</f>
        <v>0</v>
      </c>
      <c r="AD31" s="627">
        <f ca="1">IF(AND($D31="Serviço",AD$12&lt;&gt;0,$H31&gt;0,OR(AUTOEVENTO&lt;&gt;"manual",$M31&lt;&gt;1)),
IF(Import.TipoArredondamento&lt;&gt;"TransfereGOV",
ROUND(OFFSET($P31,0,AD$13),15-13*ORÇAMENTO!$AF$7)/$H31*OFFSET(ORÇAMENTO!$X$15,ROW(AD31)-ROW(AD$15),0),
ROUND(ROUND(OFFSET($P31,0,AD$13),15-13*ORÇAMENTO!$AF$7)*OFFSET(ORÇAMENTO!$W$15,ROW(AD31)-ROW(AD$15),0),15-13*ORÇAMENTO!$AF$11)),0)</f>
        <v>10189.07</v>
      </c>
      <c r="AE31" s="627">
        <f ca="1">IF(AND($D31="Serviço",AE$12&lt;&gt;0,$H31&gt;0,OR(AUTOEVENTO&lt;&gt;"manual",$M31&lt;&gt;1)),
IF(Import.TipoArredondamento&lt;&gt;"TransfereGOV",
ROUND(OFFSET($P31,0,AE$13),15-13*ORÇAMENTO!$AF$7)/$H31*OFFSET(ORÇAMENTO!$X$15,ROW(AE31)-ROW(AE$15),0),
ROUND(ROUND(OFFSET($P31,0,AE$13),15-13*ORÇAMENTO!$AF$7)*OFFSET(ORÇAMENTO!$W$15,ROW(AE31)-ROW(AE$15),0),15-13*ORÇAMENTO!$AF$11)),0)</f>
        <v>0</v>
      </c>
      <c r="AF31" s="627">
        <f ca="1">IF(AND($D31="Serviço",AF$12&lt;&gt;0,$H31&gt;0,OR(AUTOEVENTO&lt;&gt;"manual",$M31&lt;&gt;1)),
IF(Import.TipoArredondamento&lt;&gt;"TransfereGOV",
ROUND(OFFSET($P31,0,AF$13),15-13*ORÇAMENTO!$AF$7)/$H31*OFFSET(ORÇAMENTO!$X$15,ROW(AF31)-ROW(AF$15),0),
ROUND(ROUND(OFFSET($P31,0,AF$13),15-13*ORÇAMENTO!$AF$7)*OFFSET(ORÇAMENTO!$W$15,ROW(AF31)-ROW(AF$15),0),15-13*ORÇAMENTO!$AF$11)),0)</f>
        <v>0</v>
      </c>
      <c r="AG31" s="627">
        <f ca="1">IF(AND($D31="Serviço",AG$12&lt;&gt;0,$H31&gt;0,OR(AUTOEVENTO&lt;&gt;"manual",$M31&lt;&gt;1)),
IF(Import.TipoArredondamento&lt;&gt;"TransfereGOV",
ROUND(OFFSET($P31,0,AG$13),15-13*ORÇAMENTO!$AF$7)/$H31*OFFSET(ORÇAMENTO!$X$15,ROW(AG31)-ROW(AG$15),0),
ROUND(ROUND(OFFSET($P31,0,AG$13),15-13*ORÇAMENTO!$AF$7)*OFFSET(ORÇAMENTO!$W$15,ROW(AG31)-ROW(AG$15),0),15-13*ORÇAMENTO!$AF$11)),0)</f>
        <v>0</v>
      </c>
      <c r="AH31" s="627">
        <f ca="1">IF(AND($D31="Serviço",AH$12&lt;&gt;0,$H31&gt;0,OR(AUTOEVENTO&lt;&gt;"manual",$M31&lt;&gt;1)),
IF(Import.TipoArredondamento&lt;&gt;"TransfereGOV",
ROUND(OFFSET($P31,0,AH$13),15-13*ORÇAMENTO!$AF$7)/$H31*OFFSET(ORÇAMENTO!$X$15,ROW(AH31)-ROW(AH$15),0),
ROUND(ROUND(OFFSET($P31,0,AH$13),15-13*ORÇAMENTO!$AF$7)*OFFSET(ORÇAMENTO!$W$15,ROW(AH31)-ROW(AH$15),0),15-13*ORÇAMENTO!$AF$11)),0)</f>
        <v>0</v>
      </c>
      <c r="AI31" s="627">
        <f ca="1">IF(AND($D31="Serviço",AI$12&lt;&gt;0,$H31&gt;0,OR(AUTOEVENTO&lt;&gt;"manual",$M31&lt;&gt;1)),
IF(Import.TipoArredondamento&lt;&gt;"TransfereGOV",
ROUND(OFFSET($P31,0,AI$13),15-13*ORÇAMENTO!$AF$7)/$H31*OFFSET(ORÇAMENTO!$X$15,ROW(AI31)-ROW(AI$15),0),
ROUND(ROUND(OFFSET($P31,0,AI$13),15-13*ORÇAMENTO!$AF$7)*OFFSET(ORÇAMENTO!$W$15,ROW(AI31)-ROW(AI$15),0),15-13*ORÇAMENTO!$AF$11)),0)</f>
        <v>0</v>
      </c>
      <c r="AJ31" s="627">
        <f ca="1">IF(AND($D31="Serviço",AJ$12&lt;&gt;0,$H31&gt;0,OR(AUTOEVENTO&lt;&gt;"manual",$M31&lt;&gt;1)),
IF(Import.TipoArredondamento&lt;&gt;"TransfereGOV",
ROUND(OFFSET($P31,0,AJ$13),15-13*ORÇAMENTO!$AF$7)/$H31*OFFSET(ORÇAMENTO!$X$15,ROW(AJ31)-ROW(AJ$15),0),
ROUND(ROUND(OFFSET($P31,0,AJ$13),15-13*ORÇAMENTO!$AF$7)*OFFSET(ORÇAMENTO!$W$15,ROW(AJ31)-ROW(AJ$15),0),15-13*ORÇAMENTO!$AF$11)),0)</f>
        <v>0</v>
      </c>
      <c r="AK31" s="628">
        <f ca="1">IF(AND($D31="Serviço",AK$12&lt;&gt;0,$H31&gt;0,OR(AUTOEVENTO&lt;&gt;"manual",$M31&lt;&gt;1)),
IF(Import.TipoArredondamento&lt;&gt;"TransfereGOV",
ROUND(OFFSET($P31,0,AK$13),15-13*ORÇAMENTO!$AF$7)/$H31*OFFSET(ORÇAMENTO!$X$15,ROW(AK31)-ROW(AK$15),0),
ROUND(ROUND(OFFSET($P31,0,AK$13),15-13*ORÇAMENTO!$AF$7)*OFFSET(ORÇAMENTO!$W$15,ROW(AK31)-ROW(AK$15),0),15-13*ORÇAMENTO!$AF$11)),0)</f>
        <v>0</v>
      </c>
      <c r="AM31" s="211">
        <f ca="1">IF($D31&lt;&gt;"Serviço",0,IF(AND(AUTOEVENTO="Manual",$M31=1),0,IF(OFFSET(CRONOPLE!$F$14,$M31,AM$13)="",10^12,OFFSET(CRONOPLE!$F$14,$M31,AM$13))))</f>
        <v>2</v>
      </c>
      <c r="AN31" s="211">
        <f ca="1">IF($D31&lt;&gt;"Serviço",0,IF(AND(AUTOEVENTO="Manual",$M31=1),0,IF(OFFSET(CRONOPLE!$F$14,$M31,AN$13)="",10^12,OFFSET(CRONOPLE!$F$14,$M31,AN$13))))</f>
        <v>1</v>
      </c>
      <c r="AO31" s="211">
        <f ca="1">IF($D31&lt;&gt;"Serviço",0,IF(AND(AUTOEVENTO="Manual",$M31=1),0,IF(OFFSET(CRONOPLE!$F$14,$M31,AO$13)="",10^12,OFFSET(CRONOPLE!$F$14,$M31,AO$13))))</f>
        <v>2</v>
      </c>
      <c r="AP31" s="211">
        <f ca="1">IF($D31&lt;&gt;"Serviço",0,IF(AND(AUTOEVENTO="Manual",$M31=1),0,IF(OFFSET(CRONOPLE!$F$14,$M31,AP$13)="",10^12,OFFSET(CRONOPLE!$F$14,$M31,AP$13))))</f>
        <v>2</v>
      </c>
      <c r="AQ31" s="211">
        <f ca="1">IF($D31&lt;&gt;"Serviço",0,IF(AND(AUTOEVENTO="Manual",$M31=1),0,IF(OFFSET(CRONOPLE!$F$14,$M31,AQ$13)="",10^12,OFFSET(CRONOPLE!$F$14,$M31,AQ$13))))</f>
        <v>1000000000000</v>
      </c>
      <c r="AR31" s="211">
        <f ca="1">IF($D31&lt;&gt;"Serviço",0,IF(AND(AUTOEVENTO="Manual",$M31=1),0,IF(OFFSET(CRONOPLE!$F$14,$M31,AR$13)="",10^12,OFFSET(CRONOPLE!$F$14,$M31,AR$13))))</f>
        <v>1000000000000</v>
      </c>
      <c r="AS31" s="211">
        <f ca="1">IF($D31&lt;&gt;"Serviço",0,IF(AND(AUTOEVENTO="Manual",$M31=1),0,IF(OFFSET(CRONOPLE!$F$14,$M31,AS$13)="",10^12,OFFSET(CRONOPLE!$F$14,$M31,AS$13))))</f>
        <v>1000000000000</v>
      </c>
      <c r="AT31" s="211">
        <f ca="1">IF($D31&lt;&gt;"Serviço",0,IF(AND(AUTOEVENTO="Manual",$M31=1),0,IF(OFFSET(CRONOPLE!$F$14,$M31,AT$13)="",10^12,OFFSET(CRONOPLE!$F$14,$M31,AT$13))))</f>
        <v>1000000000000</v>
      </c>
      <c r="AU31" s="211">
        <f ca="1">IF($D31&lt;&gt;"Serviço",0,IF(AND(AUTOEVENTO="Manual",$M31=1),0,IF(OFFSET(CRONOPLE!$F$14,$M31,AU$13)="",10^12,OFFSET(CRONOPLE!$F$14,$M31,AU$13))))</f>
        <v>1000000000000</v>
      </c>
      <c r="AV31" s="211">
        <f ca="1">IF($D31&lt;&gt;"Serviço",0,IF(AND(AUTOEVENTO="Manual",$M31=1),0,IF(OFFSET(CRONOPLE!$F$14,$M31,AV$13)="",10^12,OFFSET(CRONOPLE!$F$14,$M31,AV$13))))</f>
        <v>1000000000000</v>
      </c>
      <c r="AX31" s="212">
        <f ca="1">IF($D31&lt;&gt;"Serviço",0,IF(OR(AND(AUTOEVENTO="Manual",$M31=1),$M31&gt;(ROW(PLE.lastrow)-ROW(PLE.firstrow))),0,IF(OFFSET(PLE!$G$14,$M31,AX$13)="",10^12,OFFSET(PLE!$G$14,$M31,AX$13))))</f>
        <v>1000000000000</v>
      </c>
      <c r="AY31" s="212">
        <f ca="1">IF($D31&lt;&gt;"Serviço",0,IF(OR(AND(AUTOEVENTO="Manual",$M31=1),$M31&gt;(ROW(PLE.lastrow)-ROW(PLE.firstrow))),0,IF(OFFSET(PLE!$G$14,$M31,AY$13)="",10^12,OFFSET(PLE!$G$14,$M31,AY$13))))</f>
        <v>1000000000000</v>
      </c>
      <c r="AZ31" s="212">
        <f ca="1">IF($D31&lt;&gt;"Serviço",0,IF(OR(AND(AUTOEVENTO="Manual",$M31=1),$M31&gt;(ROW(PLE.lastrow)-ROW(PLE.firstrow))),0,IF(OFFSET(PLE!$G$14,$M31,AZ$13)="",10^12,OFFSET(PLE!$G$14,$M31,AZ$13))))</f>
        <v>1000000000000</v>
      </c>
      <c r="BA31" s="212">
        <f ca="1">IF($D31&lt;&gt;"Serviço",0,IF(OR(AND(AUTOEVENTO="Manual",$M31=1),$M31&gt;(ROW(PLE.lastrow)-ROW(PLE.firstrow))),0,IF(OFFSET(PLE!$G$14,$M31,BA$13)="",10^12,OFFSET(PLE!$G$14,$M31,BA$13))))</f>
        <v>1000000000000</v>
      </c>
      <c r="BB31" s="212">
        <f ca="1">IF($D31&lt;&gt;"Serviço",0,IF(OR(AND(AUTOEVENTO="Manual",$M31=1),$M31&gt;(ROW(PLE.lastrow)-ROW(PLE.firstrow))),0,IF(OFFSET(PLE!$G$14,$M31,BB$13)="",10^12,OFFSET(PLE!$G$14,$M31,BB$13))))</f>
        <v>1000000000000</v>
      </c>
      <c r="BC31" s="212">
        <f ca="1">IF($D31&lt;&gt;"Serviço",0,IF(OR(AND(AUTOEVENTO="Manual",$M31=1),$M31&gt;(ROW(PLE.lastrow)-ROW(PLE.firstrow))),0,IF(OFFSET(PLE!$G$14,$M31,BC$13)="",10^12,OFFSET(PLE!$G$14,$M31,BC$13))))</f>
        <v>1000000000000</v>
      </c>
      <c r="BD31" s="212">
        <f ca="1">IF($D31&lt;&gt;"Serviço",0,IF(OR(AND(AUTOEVENTO="Manual",$M31=1),$M31&gt;(ROW(PLE.lastrow)-ROW(PLE.firstrow))),0,IF(OFFSET(PLE!$G$14,$M31,BD$13)="",10^12,OFFSET(PLE!$G$14,$M31,BD$13))))</f>
        <v>1000000000000</v>
      </c>
      <c r="BE31" s="212">
        <f ca="1">IF($D31&lt;&gt;"Serviço",0,IF(OR(AND(AUTOEVENTO="Manual",$M31=1),$M31&gt;(ROW(PLE.lastrow)-ROW(PLE.firstrow))),0,IF(OFFSET(PLE!$G$14,$M31,BE$13)="",10^12,OFFSET(PLE!$G$14,$M31,BE$13))))</f>
        <v>1000000000000</v>
      </c>
      <c r="BF31" s="212">
        <f ca="1">IF($D31&lt;&gt;"Serviço",0,IF(OR(AND(AUTOEVENTO="Manual",$M31=1),$M31&gt;(ROW(PLE.lastrow)-ROW(PLE.firstrow))),0,IF(OFFSET(PLE!$G$14,$M31,BF$13)="",10^12,OFFSET(PLE!$G$14,$M31,BF$13))))</f>
        <v>1000000000000</v>
      </c>
      <c r="BG31" s="212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13.2">
      <c r="A32" s="9" t="str">
        <f t="shared" ca="1" si="8"/>
        <v>15</v>
      </c>
      <c r="B32" s="9" t="str">
        <f ca="1">OFFSET(ORÇAMENTO!C$15,ROW(B32)-ROW(B$15),0)</f>
        <v>S</v>
      </c>
      <c r="C32" s="9" t="str">
        <f ca="1">OFFSET(ORÇAMENTO!L$15,ROW(C32)-ROW(C$15),0)</f>
        <v>F</v>
      </c>
      <c r="D32" s="141" t="str">
        <f ca="1">OFFSET(ORÇAMENTO!N$15,ROW(D32)-ROW(D$15),0)</f>
        <v>Serviço</v>
      </c>
      <c r="E32" s="201" t="str">
        <f ca="1">OFFSET(ORÇAMENTO!O$15,ROW(E32)-ROW(E$15),0)</f>
        <v>1.5.2.</v>
      </c>
      <c r="F32" s="202" t="str">
        <f ca="1">OFFSET(ORÇAMENTO!R$15,ROW(F32)-ROW(F$15),0)</f>
        <v>LEVANTAMENTO OU REBAIXAMENTO DE TAMPÃO DE POÇO DE VISITA</v>
      </c>
      <c r="G32" s="203" t="str">
        <f ca="1">IF($D32&lt;&gt;"Serviço","",OFFSET(ORÇAMENTO!S$15,ROW(G32)-ROW(G$15),0))</f>
        <v>UN</v>
      </c>
      <c r="H32" s="147">
        <f ca="1">IF($D32&lt;&gt;"Serviço",0,IF(ACOMPANHAMENTO="BM",ROUND(OFFSET(ORÇAMENTO!AJ$15,ROW(H32)-ROW(H$15),0),15-13*ORÇAMENTO!$AF$7),SUMPRODUCT(($Q$12:$AA$12&lt;&gt;"")*ROUND($Q32:$AA32,15-13*ORÇAMENTO!$AF$7))))</f>
        <v>29</v>
      </c>
      <c r="I32" s="645"/>
      <c r="K32" s="204"/>
      <c r="L32" s="205" t="s">
        <v>255</v>
      </c>
      <c r="M32" s="206">
        <f ca="1">IF($D32&lt;&gt;"Serviço","",IF(AUTOEVENTO="manual",$A32,IF(ISERROR(MATCH($A32,$A$15:OFFSET($A32,-1,0),0)),MAX($M$15:OFFSET(M32,-1,0))+1,INDEX($M$15:OFFSET(M32,-1,0),MATCH($A32,$A$15:OFFSET($A32,-1,0),0)))))</f>
        <v>6</v>
      </c>
      <c r="N32" s="207" t="str">
        <f ca="1">IF($D32&lt;&gt;"Serviço","",IF(AUTOEVENTO="Manual",IF($A32=0,"&lt;-- defina o número do agrupador",OFFSET(EVENTOS!$D$14,$A32,0)),OFFSET($F$15,$A32,0)))</f>
        <v>DRENAGEM</v>
      </c>
      <c r="O32" s="208"/>
      <c r="Q32" s="208">
        <v>6</v>
      </c>
      <c r="R32" s="209">
        <v>10</v>
      </c>
      <c r="S32" s="209">
        <v>10</v>
      </c>
      <c r="T32" s="209">
        <v>3</v>
      </c>
      <c r="U32" s="209"/>
      <c r="V32" s="209"/>
      <c r="W32" s="209"/>
      <c r="X32" s="209"/>
      <c r="Y32" s="209"/>
      <c r="Z32" s="210"/>
      <c r="AB32" s="626">
        <f ca="1">IF(AND($D32="Serviço",AB$12&lt;&gt;0,$H32&gt;0,OR(AUTOEVENTO&lt;&gt;"manual",$M32&lt;&gt;1)),
IF(Import.TipoArredondamento&lt;&gt;"TransfereGOV",
ROUND(OFFSET($P32,0,AB$13),15-13*ORÇAMENTO!$AF$7)/$H32*OFFSET(ORÇAMENTO!$X$15,ROW(AB32)-ROW(AB$15),0),
ROUND(ROUND(OFFSET($P32,0,AB$13),15-13*ORÇAMENTO!$AF$7)*OFFSET(ORÇAMENTO!$W$15,ROW(AB32)-ROW(AB$15),0),15-13*ORÇAMENTO!$AF$11)),0)</f>
        <v>1365.9</v>
      </c>
      <c r="AC32" s="627">
        <f ca="1">IF(AND($D32="Serviço",AC$12&lt;&gt;0,$H32&gt;0,OR(AUTOEVENTO&lt;&gt;"manual",$M32&lt;&gt;1)),
IF(Import.TipoArredondamento&lt;&gt;"TransfereGOV",
ROUND(OFFSET($P32,0,AC$13),15-13*ORÇAMENTO!$AF$7)/$H32*OFFSET(ORÇAMENTO!$X$15,ROW(AC32)-ROW(AC$15),0),
ROUND(ROUND(OFFSET($P32,0,AC$13),15-13*ORÇAMENTO!$AF$7)*OFFSET(ORÇAMENTO!$W$15,ROW(AC32)-ROW(AC$15),0),15-13*ORÇAMENTO!$AF$11)),0)</f>
        <v>2276.5000000000005</v>
      </c>
      <c r="AD32" s="627">
        <f ca="1">IF(AND($D32="Serviço",AD$12&lt;&gt;0,$H32&gt;0,OR(AUTOEVENTO&lt;&gt;"manual",$M32&lt;&gt;1)),
IF(Import.TipoArredondamento&lt;&gt;"TransfereGOV",
ROUND(OFFSET($P32,0,AD$13),15-13*ORÇAMENTO!$AF$7)/$H32*OFFSET(ORÇAMENTO!$X$15,ROW(AD32)-ROW(AD$15),0),
ROUND(ROUND(OFFSET($P32,0,AD$13),15-13*ORÇAMENTO!$AF$7)*OFFSET(ORÇAMENTO!$W$15,ROW(AD32)-ROW(AD$15),0),15-13*ORÇAMENTO!$AF$11)),0)</f>
        <v>2276.5000000000005</v>
      </c>
      <c r="AE32" s="627">
        <f ca="1">IF(AND($D32="Serviço",AE$12&lt;&gt;0,$H32&gt;0,OR(AUTOEVENTO&lt;&gt;"manual",$M32&lt;&gt;1)),
IF(Import.TipoArredondamento&lt;&gt;"TransfereGOV",
ROUND(OFFSET($P32,0,AE$13),15-13*ORÇAMENTO!$AF$7)/$H32*OFFSET(ORÇAMENTO!$X$15,ROW(AE32)-ROW(AE$15),0),
ROUND(ROUND(OFFSET($P32,0,AE$13),15-13*ORÇAMENTO!$AF$7)*OFFSET(ORÇAMENTO!$W$15,ROW(AE32)-ROW(AE$15),0),15-13*ORÇAMENTO!$AF$11)),0)</f>
        <v>682.95</v>
      </c>
      <c r="AF32" s="627">
        <f ca="1">IF(AND($D32="Serviço",AF$12&lt;&gt;0,$H32&gt;0,OR(AUTOEVENTO&lt;&gt;"manual",$M32&lt;&gt;1)),
IF(Import.TipoArredondamento&lt;&gt;"TransfereGOV",
ROUND(OFFSET($P32,0,AF$13),15-13*ORÇAMENTO!$AF$7)/$H32*OFFSET(ORÇAMENTO!$X$15,ROW(AF32)-ROW(AF$15),0),
ROUND(ROUND(OFFSET($P32,0,AF$13),15-13*ORÇAMENTO!$AF$7)*OFFSET(ORÇAMENTO!$W$15,ROW(AF32)-ROW(AF$15),0),15-13*ORÇAMENTO!$AF$11)),0)</f>
        <v>0</v>
      </c>
      <c r="AG32" s="627">
        <f ca="1">IF(AND($D32="Serviço",AG$12&lt;&gt;0,$H32&gt;0,OR(AUTOEVENTO&lt;&gt;"manual",$M32&lt;&gt;1)),
IF(Import.TipoArredondamento&lt;&gt;"TransfereGOV",
ROUND(OFFSET($P32,0,AG$13),15-13*ORÇAMENTO!$AF$7)/$H32*OFFSET(ORÇAMENTO!$X$15,ROW(AG32)-ROW(AG$15),0),
ROUND(ROUND(OFFSET($P32,0,AG$13),15-13*ORÇAMENTO!$AF$7)*OFFSET(ORÇAMENTO!$W$15,ROW(AG32)-ROW(AG$15),0),15-13*ORÇAMENTO!$AF$11)),0)</f>
        <v>0</v>
      </c>
      <c r="AH32" s="627">
        <f ca="1">IF(AND($D32="Serviço",AH$12&lt;&gt;0,$H32&gt;0,OR(AUTOEVENTO&lt;&gt;"manual",$M32&lt;&gt;1)),
IF(Import.TipoArredondamento&lt;&gt;"TransfereGOV",
ROUND(OFFSET($P32,0,AH$13),15-13*ORÇAMENTO!$AF$7)/$H32*OFFSET(ORÇAMENTO!$X$15,ROW(AH32)-ROW(AH$15),0),
ROUND(ROUND(OFFSET($P32,0,AH$13),15-13*ORÇAMENTO!$AF$7)*OFFSET(ORÇAMENTO!$W$15,ROW(AH32)-ROW(AH$15),0),15-13*ORÇAMENTO!$AF$11)),0)</f>
        <v>0</v>
      </c>
      <c r="AI32" s="627">
        <f ca="1">IF(AND($D32="Serviço",AI$12&lt;&gt;0,$H32&gt;0,OR(AUTOEVENTO&lt;&gt;"manual",$M32&lt;&gt;1)),
IF(Import.TipoArredondamento&lt;&gt;"TransfereGOV",
ROUND(OFFSET($P32,0,AI$13),15-13*ORÇAMENTO!$AF$7)/$H32*OFFSET(ORÇAMENTO!$X$15,ROW(AI32)-ROW(AI$15),0),
ROUND(ROUND(OFFSET($P32,0,AI$13),15-13*ORÇAMENTO!$AF$7)*OFFSET(ORÇAMENTO!$W$15,ROW(AI32)-ROW(AI$15),0),15-13*ORÇAMENTO!$AF$11)),0)</f>
        <v>0</v>
      </c>
      <c r="AJ32" s="627">
        <f ca="1">IF(AND($D32="Serviço",AJ$12&lt;&gt;0,$H32&gt;0,OR(AUTOEVENTO&lt;&gt;"manual",$M32&lt;&gt;1)),
IF(Import.TipoArredondamento&lt;&gt;"TransfereGOV",
ROUND(OFFSET($P32,0,AJ$13),15-13*ORÇAMENTO!$AF$7)/$H32*OFFSET(ORÇAMENTO!$X$15,ROW(AJ32)-ROW(AJ$15),0),
ROUND(ROUND(OFFSET($P32,0,AJ$13),15-13*ORÇAMENTO!$AF$7)*OFFSET(ORÇAMENTO!$W$15,ROW(AJ32)-ROW(AJ$15),0),15-13*ORÇAMENTO!$AF$11)),0)</f>
        <v>0</v>
      </c>
      <c r="AK32" s="628">
        <f ca="1">IF(AND($D32="Serviço",AK$12&lt;&gt;0,$H32&gt;0,OR(AUTOEVENTO&lt;&gt;"manual",$M32&lt;&gt;1)),
IF(Import.TipoArredondamento&lt;&gt;"TransfereGOV",
ROUND(OFFSET($P32,0,AK$13),15-13*ORÇAMENTO!$AF$7)/$H32*OFFSET(ORÇAMENTO!$X$15,ROW(AK32)-ROW(AK$15),0),
ROUND(ROUND(OFFSET($P32,0,AK$13),15-13*ORÇAMENTO!$AF$7)*OFFSET(ORÇAMENTO!$W$15,ROW(AK32)-ROW(AK$15),0),15-13*ORÇAMENTO!$AF$11)),0)</f>
        <v>0</v>
      </c>
      <c r="AM32" s="211">
        <f ca="1">IF($D32&lt;&gt;"Serviço",0,IF(AND(AUTOEVENTO="Manual",$M32=1),0,IF(OFFSET(CRONOPLE!$F$14,$M32,AM$13)="",10^12,OFFSET(CRONOPLE!$F$14,$M32,AM$13))))</f>
        <v>2</v>
      </c>
      <c r="AN32" s="211">
        <f ca="1">IF($D32&lt;&gt;"Serviço",0,IF(AND(AUTOEVENTO="Manual",$M32=1),0,IF(OFFSET(CRONOPLE!$F$14,$M32,AN$13)="",10^12,OFFSET(CRONOPLE!$F$14,$M32,AN$13))))</f>
        <v>1</v>
      </c>
      <c r="AO32" s="211">
        <f ca="1">IF($D32&lt;&gt;"Serviço",0,IF(AND(AUTOEVENTO="Manual",$M32=1),0,IF(OFFSET(CRONOPLE!$F$14,$M32,AO$13)="",10^12,OFFSET(CRONOPLE!$F$14,$M32,AO$13))))</f>
        <v>2</v>
      </c>
      <c r="AP32" s="211">
        <f ca="1">IF($D32&lt;&gt;"Serviço",0,IF(AND(AUTOEVENTO="Manual",$M32=1),0,IF(OFFSET(CRONOPLE!$F$14,$M32,AP$13)="",10^12,OFFSET(CRONOPLE!$F$14,$M32,AP$13))))</f>
        <v>2</v>
      </c>
      <c r="AQ32" s="211">
        <f ca="1">IF($D32&lt;&gt;"Serviço",0,IF(AND(AUTOEVENTO="Manual",$M32=1),0,IF(OFFSET(CRONOPLE!$F$14,$M32,AQ$13)="",10^12,OFFSET(CRONOPLE!$F$14,$M32,AQ$13))))</f>
        <v>1000000000000</v>
      </c>
      <c r="AR32" s="211">
        <f ca="1">IF($D32&lt;&gt;"Serviço",0,IF(AND(AUTOEVENTO="Manual",$M32=1),0,IF(OFFSET(CRONOPLE!$F$14,$M32,AR$13)="",10^12,OFFSET(CRONOPLE!$F$14,$M32,AR$13))))</f>
        <v>1000000000000</v>
      </c>
      <c r="AS32" s="211">
        <f ca="1">IF($D32&lt;&gt;"Serviço",0,IF(AND(AUTOEVENTO="Manual",$M32=1),0,IF(OFFSET(CRONOPLE!$F$14,$M32,AS$13)="",10^12,OFFSET(CRONOPLE!$F$14,$M32,AS$13))))</f>
        <v>1000000000000</v>
      </c>
      <c r="AT32" s="211">
        <f ca="1">IF($D32&lt;&gt;"Serviço",0,IF(AND(AUTOEVENTO="Manual",$M32=1),0,IF(OFFSET(CRONOPLE!$F$14,$M32,AT$13)="",10^12,OFFSET(CRONOPLE!$F$14,$M32,AT$13))))</f>
        <v>1000000000000</v>
      </c>
      <c r="AU32" s="211">
        <f ca="1">IF($D32&lt;&gt;"Serviço",0,IF(AND(AUTOEVENTO="Manual",$M32=1),0,IF(OFFSET(CRONOPLE!$F$14,$M32,AU$13)="",10^12,OFFSET(CRONOPLE!$F$14,$M32,AU$13))))</f>
        <v>1000000000000</v>
      </c>
      <c r="AV32" s="211">
        <f ca="1">IF($D32&lt;&gt;"Serviço",0,IF(AND(AUTOEVENTO="Manual",$M32=1),0,IF(OFFSET(CRONOPLE!$F$14,$M32,AV$13)="",10^12,OFFSET(CRONOPLE!$F$14,$M32,AV$13))))</f>
        <v>1000000000000</v>
      </c>
      <c r="AX32" s="212">
        <f ca="1">IF($D32&lt;&gt;"Serviço",0,IF(OR(AND(AUTOEVENTO="Manual",$M32=1),$M32&gt;(ROW(PLE.lastrow)-ROW(PLE.firstrow))),0,IF(OFFSET(PLE!$G$14,$M32,AX$13)="",10^12,OFFSET(PLE!$G$14,$M32,AX$13))))</f>
        <v>1000000000000</v>
      </c>
      <c r="AY32" s="212">
        <f ca="1">IF($D32&lt;&gt;"Serviço",0,IF(OR(AND(AUTOEVENTO="Manual",$M32=1),$M32&gt;(ROW(PLE.lastrow)-ROW(PLE.firstrow))),0,IF(OFFSET(PLE!$G$14,$M32,AY$13)="",10^12,OFFSET(PLE!$G$14,$M32,AY$13))))</f>
        <v>1000000000000</v>
      </c>
      <c r="AZ32" s="212">
        <f ca="1">IF($D32&lt;&gt;"Serviço",0,IF(OR(AND(AUTOEVENTO="Manual",$M32=1),$M32&gt;(ROW(PLE.lastrow)-ROW(PLE.firstrow))),0,IF(OFFSET(PLE!$G$14,$M32,AZ$13)="",10^12,OFFSET(PLE!$G$14,$M32,AZ$13))))</f>
        <v>1000000000000</v>
      </c>
      <c r="BA32" s="212">
        <f ca="1">IF($D32&lt;&gt;"Serviço",0,IF(OR(AND(AUTOEVENTO="Manual",$M32=1),$M32&gt;(ROW(PLE.lastrow)-ROW(PLE.firstrow))),0,IF(OFFSET(PLE!$G$14,$M32,BA$13)="",10^12,OFFSET(PLE!$G$14,$M32,BA$13))))</f>
        <v>1000000000000</v>
      </c>
      <c r="BB32" s="212">
        <f ca="1">IF($D32&lt;&gt;"Serviço",0,IF(OR(AND(AUTOEVENTO="Manual",$M32=1),$M32&gt;(ROW(PLE.lastrow)-ROW(PLE.firstrow))),0,IF(OFFSET(PLE!$G$14,$M32,BB$13)="",10^12,OFFSET(PLE!$G$14,$M32,BB$13))))</f>
        <v>1000000000000</v>
      </c>
      <c r="BC32" s="212">
        <f ca="1">IF($D32&lt;&gt;"Serviço",0,IF(OR(AND(AUTOEVENTO="Manual",$M32=1),$M32&gt;(ROW(PLE.lastrow)-ROW(PLE.firstrow))),0,IF(OFFSET(PLE!$G$14,$M32,BC$13)="",10^12,OFFSET(PLE!$G$14,$M32,BC$13))))</f>
        <v>1000000000000</v>
      </c>
      <c r="BD32" s="212">
        <f ca="1">IF($D32&lt;&gt;"Serviço",0,IF(OR(AND(AUTOEVENTO="Manual",$M32=1),$M32&gt;(ROW(PLE.lastrow)-ROW(PLE.firstrow))),0,IF(OFFSET(PLE!$G$14,$M32,BD$13)="",10^12,OFFSET(PLE!$G$14,$M32,BD$13))))</f>
        <v>1000000000000</v>
      </c>
      <c r="BE32" s="212">
        <f ca="1">IF($D32&lt;&gt;"Serviço",0,IF(OR(AND(AUTOEVENTO="Manual",$M32=1),$M32&gt;(ROW(PLE.lastrow)-ROW(PLE.firstrow))),0,IF(OFFSET(PLE!$G$14,$M32,BE$13)="",10^12,OFFSET(PLE!$G$14,$M32,BE$13))))</f>
        <v>1000000000000</v>
      </c>
      <c r="BF32" s="212">
        <f ca="1">IF($D32&lt;&gt;"Serviço",0,IF(OR(AND(AUTOEVENTO="Manual",$M32=1),$M32&gt;(ROW(PLE.lastrow)-ROW(PLE.firstrow))),0,IF(OFFSET(PLE!$G$14,$M32,BF$13)="",10^12,OFFSET(PLE!$G$14,$M32,BF$13))))</f>
        <v>1000000000000</v>
      </c>
      <c r="BG32" s="212">
        <f ca="1">IF($D32&lt;&gt;"Serviço",0,IF(OR(AND(AUTOEVENTO="Manual",$M32=1),$M32&gt;(ROW(PLE.lastrow)-ROW(PLE.firstrow))),0,IF(OFFSET(PLE!$G$14,$M32,BG$13)="",10^12,OFFSET(PLE!$G$14,$M32,BG$13))))</f>
        <v>1000000000000</v>
      </c>
    </row>
    <row r="33" spans="1:59" ht="13.2">
      <c r="A33" s="9" t="str">
        <f t="shared" ca="1" si="8"/>
        <v>15</v>
      </c>
      <c r="B33" s="9" t="str">
        <f ca="1">OFFSET(ORÇAMENTO!C$15,ROW(B33)-ROW(B$15),0)</f>
        <v>S</v>
      </c>
      <c r="C33" s="9" t="str">
        <f ca="1">OFFSET(ORÇAMENTO!L$15,ROW(C33)-ROW(C$15),0)</f>
        <v/>
      </c>
      <c r="D33" s="141" t="str">
        <f ca="1">OFFSET(ORÇAMENTO!N$15,ROW(D33)-ROW(D$15),0)</f>
        <v>Serviço</v>
      </c>
      <c r="E33" s="201" t="str">
        <f ca="1">OFFSET(ORÇAMENTO!O$15,ROW(E33)-ROW(E$15),0)</f>
        <v>-</v>
      </c>
      <c r="F33" s="202" t="str">
        <f ca="1">OFFSET(ORÇAMENTO!R$15,ROW(F33)-ROW(F$15),0)</f>
        <v>(abra o arquivo 'Referência 11-2024.xlsm)</v>
      </c>
      <c r="G33" s="203" t="str">
        <f ca="1">IF($D33&lt;&gt;"Serviço","",OFFSET(ORÇAMENTO!S$15,ROW(G33)-ROW(G$15),0))</f>
        <v>-</v>
      </c>
      <c r="H33" s="147">
        <f ca="1">IF($D33&lt;&gt;"Serviço",0,IF(ACOMPANHAMENTO="BM",ROUND(OFFSET(ORÇAMENTO!AJ$15,ROW(H33)-ROW(H$15),0),15-13*ORÇAMENTO!$AF$7),SUMPRODUCT(($Q$12:$AA$12&lt;&gt;"")*ROUND($Q33:$AA33,15-13*ORÇAMENTO!$AF$7))))</f>
        <v>0</v>
      </c>
      <c r="I33" s="645"/>
      <c r="K33" s="204"/>
      <c r="L33" s="205" t="s">
        <v>255</v>
      </c>
      <c r="M33" s="206">
        <f ca="1">IF($D33&lt;&gt;"Serviço","",IF(AUTOEVENTO="manual",$A33,IF(ISERROR(MATCH($A33,$A$15:OFFSET($A33,-1,0),0)),MAX($M$15:OFFSET(M33,-1,0))+1,INDEX($M$15:OFFSET(M33,-1,0),MATCH($A33,$A$15:OFFSET($A33,-1,0),0)))))</f>
        <v>6</v>
      </c>
      <c r="N33" s="207" t="str">
        <f ca="1">IF($D33&lt;&gt;"Serviço","",IF(AUTOEVENTO="Manual",IF($A33=0,"&lt;-- defina o número do agrupador",OFFSET(EVENTOS!$D$14,$A33,0)),OFFSET($F$15,$A33,0)))</f>
        <v>DRENAGEM</v>
      </c>
      <c r="O33" s="208"/>
      <c r="Q33" s="208"/>
      <c r="R33" s="209"/>
      <c r="S33" s="209"/>
      <c r="T33" s="209"/>
      <c r="U33" s="209"/>
      <c r="V33" s="209"/>
      <c r="W33" s="209"/>
      <c r="X33" s="209"/>
      <c r="Y33" s="209"/>
      <c r="Z33" s="210"/>
      <c r="AB33" s="626">
        <f ca="1">IF(AND($D33="Serviço",AB$12&lt;&gt;0,$H33&gt;0,OR(AUTOEVENTO&lt;&gt;"manual",$M33&lt;&gt;1)),
IF(Import.TipoArredondamento&lt;&gt;"TransfereGOV",
ROUND(OFFSET($P33,0,AB$13),15-13*ORÇAMENTO!$AF$7)/$H33*OFFSET(ORÇAMENTO!$X$15,ROW(AB33)-ROW(AB$15),0),
ROUND(ROUND(OFFSET($P33,0,AB$13),15-13*ORÇAMENTO!$AF$7)*OFFSET(ORÇAMENTO!$W$15,ROW(AB33)-ROW(AB$15),0),15-13*ORÇAMENTO!$AF$11)),0)</f>
        <v>0</v>
      </c>
      <c r="AC33" s="627">
        <f ca="1">IF(AND($D33="Serviço",AC$12&lt;&gt;0,$H33&gt;0,OR(AUTOEVENTO&lt;&gt;"manual",$M33&lt;&gt;1)),
IF(Import.TipoArredondamento&lt;&gt;"TransfereGOV",
ROUND(OFFSET($P33,0,AC$13),15-13*ORÇAMENTO!$AF$7)/$H33*OFFSET(ORÇAMENTO!$X$15,ROW(AC33)-ROW(AC$15),0),
ROUND(ROUND(OFFSET($P33,0,AC$13),15-13*ORÇAMENTO!$AF$7)*OFFSET(ORÇAMENTO!$W$15,ROW(AC33)-ROW(AC$15),0),15-13*ORÇAMENTO!$AF$11)),0)</f>
        <v>0</v>
      </c>
      <c r="AD33" s="627">
        <f ca="1">IF(AND($D33="Serviço",AD$12&lt;&gt;0,$H33&gt;0,OR(AUTOEVENTO&lt;&gt;"manual",$M33&lt;&gt;1)),
IF(Import.TipoArredondamento&lt;&gt;"TransfereGOV",
ROUND(OFFSET($P33,0,AD$13),15-13*ORÇAMENTO!$AF$7)/$H33*OFFSET(ORÇAMENTO!$X$15,ROW(AD33)-ROW(AD$15),0),
ROUND(ROUND(OFFSET($P33,0,AD$13),15-13*ORÇAMENTO!$AF$7)*OFFSET(ORÇAMENTO!$W$15,ROW(AD33)-ROW(AD$15),0),15-13*ORÇAMENTO!$AF$11)),0)</f>
        <v>0</v>
      </c>
      <c r="AE33" s="627">
        <f ca="1">IF(AND($D33="Serviço",AE$12&lt;&gt;0,$H33&gt;0,OR(AUTOEVENTO&lt;&gt;"manual",$M33&lt;&gt;1)),
IF(Import.TipoArredondamento&lt;&gt;"TransfereGOV",
ROUND(OFFSET($P33,0,AE$13),15-13*ORÇAMENTO!$AF$7)/$H33*OFFSET(ORÇAMENTO!$X$15,ROW(AE33)-ROW(AE$15),0),
ROUND(ROUND(OFFSET($P33,0,AE$13),15-13*ORÇAMENTO!$AF$7)*OFFSET(ORÇAMENTO!$W$15,ROW(AE33)-ROW(AE$15),0),15-13*ORÇAMENTO!$AF$11)),0)</f>
        <v>0</v>
      </c>
      <c r="AF33" s="627">
        <f ca="1">IF(AND($D33="Serviço",AF$12&lt;&gt;0,$H33&gt;0,OR(AUTOEVENTO&lt;&gt;"manual",$M33&lt;&gt;1)),
IF(Import.TipoArredondamento&lt;&gt;"TransfereGOV",
ROUND(OFFSET($P33,0,AF$13),15-13*ORÇAMENTO!$AF$7)/$H33*OFFSET(ORÇAMENTO!$X$15,ROW(AF33)-ROW(AF$15),0),
ROUND(ROUND(OFFSET($P33,0,AF$13),15-13*ORÇAMENTO!$AF$7)*OFFSET(ORÇAMENTO!$W$15,ROW(AF33)-ROW(AF$15),0),15-13*ORÇAMENTO!$AF$11)),0)</f>
        <v>0</v>
      </c>
      <c r="AG33" s="627">
        <f ca="1">IF(AND($D33="Serviço",AG$12&lt;&gt;0,$H33&gt;0,OR(AUTOEVENTO&lt;&gt;"manual",$M33&lt;&gt;1)),
IF(Import.TipoArredondamento&lt;&gt;"TransfereGOV",
ROUND(OFFSET($P33,0,AG$13),15-13*ORÇAMENTO!$AF$7)/$H33*OFFSET(ORÇAMENTO!$X$15,ROW(AG33)-ROW(AG$15),0),
ROUND(ROUND(OFFSET($P33,0,AG$13),15-13*ORÇAMENTO!$AF$7)*OFFSET(ORÇAMENTO!$W$15,ROW(AG33)-ROW(AG$15),0),15-13*ORÇAMENTO!$AF$11)),0)</f>
        <v>0</v>
      </c>
      <c r="AH33" s="627">
        <f ca="1">IF(AND($D33="Serviço",AH$12&lt;&gt;0,$H33&gt;0,OR(AUTOEVENTO&lt;&gt;"manual",$M33&lt;&gt;1)),
IF(Import.TipoArredondamento&lt;&gt;"TransfereGOV",
ROUND(OFFSET($P33,0,AH$13),15-13*ORÇAMENTO!$AF$7)/$H33*OFFSET(ORÇAMENTO!$X$15,ROW(AH33)-ROW(AH$15),0),
ROUND(ROUND(OFFSET($P33,0,AH$13),15-13*ORÇAMENTO!$AF$7)*OFFSET(ORÇAMENTO!$W$15,ROW(AH33)-ROW(AH$15),0),15-13*ORÇAMENTO!$AF$11)),0)</f>
        <v>0</v>
      </c>
      <c r="AI33" s="627">
        <f ca="1">IF(AND($D33="Serviço",AI$12&lt;&gt;0,$H33&gt;0,OR(AUTOEVENTO&lt;&gt;"manual",$M33&lt;&gt;1)),
IF(Import.TipoArredondamento&lt;&gt;"TransfereGOV",
ROUND(OFFSET($P33,0,AI$13),15-13*ORÇAMENTO!$AF$7)/$H33*OFFSET(ORÇAMENTO!$X$15,ROW(AI33)-ROW(AI$15),0),
ROUND(ROUND(OFFSET($P33,0,AI$13),15-13*ORÇAMENTO!$AF$7)*OFFSET(ORÇAMENTO!$W$15,ROW(AI33)-ROW(AI$15),0),15-13*ORÇAMENTO!$AF$11)),0)</f>
        <v>0</v>
      </c>
      <c r="AJ33" s="627">
        <f ca="1">IF(AND($D33="Serviço",AJ$12&lt;&gt;0,$H33&gt;0,OR(AUTOEVENTO&lt;&gt;"manual",$M33&lt;&gt;1)),
IF(Import.TipoArredondamento&lt;&gt;"TransfereGOV",
ROUND(OFFSET($P33,0,AJ$13),15-13*ORÇAMENTO!$AF$7)/$H33*OFFSET(ORÇAMENTO!$X$15,ROW(AJ33)-ROW(AJ$15),0),
ROUND(ROUND(OFFSET($P33,0,AJ$13),15-13*ORÇAMENTO!$AF$7)*OFFSET(ORÇAMENTO!$W$15,ROW(AJ33)-ROW(AJ$15),0),15-13*ORÇAMENTO!$AF$11)),0)</f>
        <v>0</v>
      </c>
      <c r="AK33" s="628">
        <f ca="1">IF(AND($D33="Serviço",AK$12&lt;&gt;0,$H33&gt;0,OR(AUTOEVENTO&lt;&gt;"manual",$M33&lt;&gt;1)),
IF(Import.TipoArredondamento&lt;&gt;"TransfereGOV",
ROUND(OFFSET($P33,0,AK$13),15-13*ORÇAMENTO!$AF$7)/$H33*OFFSET(ORÇAMENTO!$X$15,ROW(AK33)-ROW(AK$15),0),
ROUND(ROUND(OFFSET($P33,0,AK$13),15-13*ORÇAMENTO!$AF$7)*OFFSET(ORÇAMENTO!$W$15,ROW(AK33)-ROW(AK$15),0),15-13*ORÇAMENTO!$AF$11)),0)</f>
        <v>0</v>
      </c>
      <c r="AM33" s="211">
        <f ca="1">IF($D33&lt;&gt;"Serviço",0,IF(AND(AUTOEVENTO="Manual",$M33=1),0,IF(OFFSET(CRONOPLE!$F$14,$M33,AM$13)="",10^12,OFFSET(CRONOPLE!$F$14,$M33,AM$13))))</f>
        <v>2</v>
      </c>
      <c r="AN33" s="211">
        <f ca="1">IF($D33&lt;&gt;"Serviço",0,IF(AND(AUTOEVENTO="Manual",$M33=1),0,IF(OFFSET(CRONOPLE!$F$14,$M33,AN$13)="",10^12,OFFSET(CRONOPLE!$F$14,$M33,AN$13))))</f>
        <v>1</v>
      </c>
      <c r="AO33" s="211">
        <f ca="1">IF($D33&lt;&gt;"Serviço",0,IF(AND(AUTOEVENTO="Manual",$M33=1),0,IF(OFFSET(CRONOPLE!$F$14,$M33,AO$13)="",10^12,OFFSET(CRONOPLE!$F$14,$M33,AO$13))))</f>
        <v>2</v>
      </c>
      <c r="AP33" s="211">
        <f ca="1">IF($D33&lt;&gt;"Serviço",0,IF(AND(AUTOEVENTO="Manual",$M33=1),0,IF(OFFSET(CRONOPLE!$F$14,$M33,AP$13)="",10^12,OFFSET(CRONOPLE!$F$14,$M33,AP$13))))</f>
        <v>2</v>
      </c>
      <c r="AQ33" s="211">
        <f ca="1">IF($D33&lt;&gt;"Serviço",0,IF(AND(AUTOEVENTO="Manual",$M33=1),0,IF(OFFSET(CRONOPLE!$F$14,$M33,AQ$13)="",10^12,OFFSET(CRONOPLE!$F$14,$M33,AQ$13))))</f>
        <v>1000000000000</v>
      </c>
      <c r="AR33" s="211">
        <f ca="1">IF($D33&lt;&gt;"Serviço",0,IF(AND(AUTOEVENTO="Manual",$M33=1),0,IF(OFFSET(CRONOPLE!$F$14,$M33,AR$13)="",10^12,OFFSET(CRONOPLE!$F$14,$M33,AR$13))))</f>
        <v>1000000000000</v>
      </c>
      <c r="AS33" s="211">
        <f ca="1">IF($D33&lt;&gt;"Serviço",0,IF(AND(AUTOEVENTO="Manual",$M33=1),0,IF(OFFSET(CRONOPLE!$F$14,$M33,AS$13)="",10^12,OFFSET(CRONOPLE!$F$14,$M33,AS$13))))</f>
        <v>1000000000000</v>
      </c>
      <c r="AT33" s="211">
        <f ca="1">IF($D33&lt;&gt;"Serviço",0,IF(AND(AUTOEVENTO="Manual",$M33=1),0,IF(OFFSET(CRONOPLE!$F$14,$M33,AT$13)="",10^12,OFFSET(CRONOPLE!$F$14,$M33,AT$13))))</f>
        <v>1000000000000</v>
      </c>
      <c r="AU33" s="211">
        <f ca="1">IF($D33&lt;&gt;"Serviço",0,IF(AND(AUTOEVENTO="Manual",$M33=1),0,IF(OFFSET(CRONOPLE!$F$14,$M33,AU$13)="",10^12,OFFSET(CRONOPLE!$F$14,$M33,AU$13))))</f>
        <v>1000000000000</v>
      </c>
      <c r="AV33" s="211">
        <f ca="1">IF($D33&lt;&gt;"Serviço",0,IF(AND(AUTOEVENTO="Manual",$M33=1),0,IF(OFFSET(CRONOPLE!$F$14,$M33,AV$13)="",10^12,OFFSET(CRONOPLE!$F$14,$M33,AV$13))))</f>
        <v>1000000000000</v>
      </c>
      <c r="AX33" s="212">
        <f ca="1">IF($D33&lt;&gt;"Serviço",0,IF(OR(AND(AUTOEVENTO="Manual",$M33=1),$M33&gt;(ROW(PLE.lastrow)-ROW(PLE.firstrow))),0,IF(OFFSET(PLE!$G$14,$M33,AX$13)="",10^12,OFFSET(PLE!$G$14,$M33,AX$13))))</f>
        <v>1000000000000</v>
      </c>
      <c r="AY33" s="212">
        <f ca="1">IF($D33&lt;&gt;"Serviço",0,IF(OR(AND(AUTOEVENTO="Manual",$M33=1),$M33&gt;(ROW(PLE.lastrow)-ROW(PLE.firstrow))),0,IF(OFFSET(PLE!$G$14,$M33,AY$13)="",10^12,OFFSET(PLE!$G$14,$M33,AY$13))))</f>
        <v>1000000000000</v>
      </c>
      <c r="AZ33" s="212">
        <f ca="1">IF($D33&lt;&gt;"Serviço",0,IF(OR(AND(AUTOEVENTO="Manual",$M33=1),$M33&gt;(ROW(PLE.lastrow)-ROW(PLE.firstrow))),0,IF(OFFSET(PLE!$G$14,$M33,AZ$13)="",10^12,OFFSET(PLE!$G$14,$M33,AZ$13))))</f>
        <v>1000000000000</v>
      </c>
      <c r="BA33" s="212">
        <f ca="1">IF($D33&lt;&gt;"Serviço",0,IF(OR(AND(AUTOEVENTO="Manual",$M33=1),$M33&gt;(ROW(PLE.lastrow)-ROW(PLE.firstrow))),0,IF(OFFSET(PLE!$G$14,$M33,BA$13)="",10^12,OFFSET(PLE!$G$14,$M33,BA$13))))</f>
        <v>1000000000000</v>
      </c>
      <c r="BB33" s="212">
        <f ca="1">IF($D33&lt;&gt;"Serviço",0,IF(OR(AND(AUTOEVENTO="Manual",$M33=1),$M33&gt;(ROW(PLE.lastrow)-ROW(PLE.firstrow))),0,IF(OFFSET(PLE!$G$14,$M33,BB$13)="",10^12,OFFSET(PLE!$G$14,$M33,BB$13))))</f>
        <v>1000000000000</v>
      </c>
      <c r="BC33" s="212">
        <f ca="1">IF($D33&lt;&gt;"Serviço",0,IF(OR(AND(AUTOEVENTO="Manual",$M33=1),$M33&gt;(ROW(PLE.lastrow)-ROW(PLE.firstrow))),0,IF(OFFSET(PLE!$G$14,$M33,BC$13)="",10^12,OFFSET(PLE!$G$14,$M33,BC$13))))</f>
        <v>1000000000000</v>
      </c>
      <c r="BD33" s="212">
        <f ca="1">IF($D33&lt;&gt;"Serviço",0,IF(OR(AND(AUTOEVENTO="Manual",$M33=1),$M33&gt;(ROW(PLE.lastrow)-ROW(PLE.firstrow))),0,IF(OFFSET(PLE!$G$14,$M33,BD$13)="",10^12,OFFSET(PLE!$G$14,$M33,BD$13))))</f>
        <v>1000000000000</v>
      </c>
      <c r="BE33" s="212">
        <f ca="1">IF($D33&lt;&gt;"Serviço",0,IF(OR(AND(AUTOEVENTO="Manual",$M33=1),$M33&gt;(ROW(PLE.lastrow)-ROW(PLE.firstrow))),0,IF(OFFSET(PLE!$G$14,$M33,BE$13)="",10^12,OFFSET(PLE!$G$14,$M33,BE$13))))</f>
        <v>1000000000000</v>
      </c>
      <c r="BF33" s="212">
        <f ca="1">IF($D33&lt;&gt;"Serviço",0,IF(OR(AND(AUTOEVENTO="Manual",$M33=1),$M33&gt;(ROW(PLE.lastrow)-ROW(PLE.firstrow))),0,IF(OFFSET(PLE!$G$14,$M33,BF$13)="",10^12,OFFSET(PLE!$G$14,$M33,BF$13))))</f>
        <v>1000000000000</v>
      </c>
      <c r="BG33" s="212">
        <f ca="1">IF($D33&lt;&gt;"Serviço",0,IF(OR(AND(AUTOEVENTO="Manual",$M33=1),$M33&gt;(ROW(PLE.lastrow)-ROW(PLE.firstrow))),0,IF(OFFSET(PLE!$G$14,$M33,BG$13)="",10^12,OFFSET(PLE!$G$14,$M33,BG$13))))</f>
        <v>1000000000000</v>
      </c>
    </row>
    <row r="34" spans="1:59" ht="13.2">
      <c r="A34" s="9" t="str">
        <f t="shared" ca="1" si="8"/>
        <v>15</v>
      </c>
      <c r="B34" s="9" t="str">
        <f ca="1">OFFSET(ORÇAMENTO!C$15,ROW(B34)-ROW(B$15),0)</f>
        <v>S</v>
      </c>
      <c r="C34" s="9" t="str">
        <f ca="1">OFFSET(ORÇAMENTO!L$15,ROW(C34)-ROW(C$15),0)</f>
        <v/>
      </c>
      <c r="D34" s="141" t="str">
        <f ca="1">OFFSET(ORÇAMENTO!N$15,ROW(D34)-ROW(D$15),0)</f>
        <v>Serviço</v>
      </c>
      <c r="E34" s="201" t="str">
        <f ca="1">OFFSET(ORÇAMENTO!O$15,ROW(E34)-ROW(E$15),0)</f>
        <v>-</v>
      </c>
      <c r="F34" s="202" t="str">
        <f ca="1">OFFSET(ORÇAMENTO!R$15,ROW(F34)-ROW(F$15),0)</f>
        <v>(abra o arquivo 'Referência 11-2024.xlsm)</v>
      </c>
      <c r="G34" s="203" t="str">
        <f ca="1">IF($D34&lt;&gt;"Serviço","",OFFSET(ORÇAMENTO!S$15,ROW(G34)-ROW(G$15),0))</f>
        <v>-</v>
      </c>
      <c r="H34" s="147">
        <f ca="1">IF($D34&lt;&gt;"Serviço",0,IF(ACOMPANHAMENTO="BM",ROUND(OFFSET(ORÇAMENTO!AJ$15,ROW(H34)-ROW(H$15),0),15-13*ORÇAMENTO!$AF$7),SUMPRODUCT(($Q$12:$AA$12&lt;&gt;"")*ROUND($Q34:$AA34,15-13*ORÇAMENTO!$AF$7))))</f>
        <v>0</v>
      </c>
      <c r="I34" s="645"/>
      <c r="K34" s="204"/>
      <c r="L34" s="205" t="s">
        <v>255</v>
      </c>
      <c r="M34" s="206">
        <f ca="1">IF($D34&lt;&gt;"Serviço","",IF(AUTOEVENTO="manual",$A34,IF(ISERROR(MATCH($A34,$A$15:OFFSET($A34,-1,0),0)),MAX($M$15:OFFSET(M34,-1,0))+1,INDEX($M$15:OFFSET(M34,-1,0),MATCH($A34,$A$15:OFFSET($A34,-1,0),0)))))</f>
        <v>6</v>
      </c>
      <c r="N34" s="207" t="str">
        <f ca="1">IF($D34&lt;&gt;"Serviço","",IF(AUTOEVENTO="Manual",IF($A34=0,"&lt;-- defina o número do agrupador",OFFSET(EVENTOS!$D$14,$A34,0)),OFFSET($F$15,$A34,0)))</f>
        <v>DRENAGEM</v>
      </c>
      <c r="O34" s="208"/>
      <c r="Q34" s="208"/>
      <c r="R34" s="209"/>
      <c r="S34" s="209"/>
      <c r="T34" s="209"/>
      <c r="U34" s="209"/>
      <c r="V34" s="209"/>
      <c r="W34" s="209"/>
      <c r="X34" s="209"/>
      <c r="Y34" s="209"/>
      <c r="Z34" s="210"/>
      <c r="AB34" s="626">
        <f ca="1">IF(AND($D34="Serviço",AB$12&lt;&gt;0,$H34&gt;0,OR(AUTOEVENTO&lt;&gt;"manual",$M34&lt;&gt;1)),
IF(Import.TipoArredondamento&lt;&gt;"TransfereGOV",
ROUND(OFFSET($P34,0,AB$13),15-13*ORÇAMENTO!$AF$7)/$H34*OFFSET(ORÇAMENTO!$X$15,ROW(AB34)-ROW(AB$15),0),
ROUND(ROUND(OFFSET($P34,0,AB$13),15-13*ORÇAMENTO!$AF$7)*OFFSET(ORÇAMENTO!$W$15,ROW(AB34)-ROW(AB$15),0),15-13*ORÇAMENTO!$AF$11)),0)</f>
        <v>0</v>
      </c>
      <c r="AC34" s="627">
        <f ca="1">IF(AND($D34="Serviço",AC$12&lt;&gt;0,$H34&gt;0,OR(AUTOEVENTO&lt;&gt;"manual",$M34&lt;&gt;1)),
IF(Import.TipoArredondamento&lt;&gt;"TransfereGOV",
ROUND(OFFSET($P34,0,AC$13),15-13*ORÇAMENTO!$AF$7)/$H34*OFFSET(ORÇAMENTO!$X$15,ROW(AC34)-ROW(AC$15),0),
ROUND(ROUND(OFFSET($P34,0,AC$13),15-13*ORÇAMENTO!$AF$7)*OFFSET(ORÇAMENTO!$W$15,ROW(AC34)-ROW(AC$15),0),15-13*ORÇAMENTO!$AF$11)),0)</f>
        <v>0</v>
      </c>
      <c r="AD34" s="627">
        <f ca="1">IF(AND($D34="Serviço",AD$12&lt;&gt;0,$H34&gt;0,OR(AUTOEVENTO&lt;&gt;"manual",$M34&lt;&gt;1)),
IF(Import.TipoArredondamento&lt;&gt;"TransfereGOV",
ROUND(OFFSET($P34,0,AD$13),15-13*ORÇAMENTO!$AF$7)/$H34*OFFSET(ORÇAMENTO!$X$15,ROW(AD34)-ROW(AD$15),0),
ROUND(ROUND(OFFSET($P34,0,AD$13),15-13*ORÇAMENTO!$AF$7)*OFFSET(ORÇAMENTO!$W$15,ROW(AD34)-ROW(AD$15),0),15-13*ORÇAMENTO!$AF$11)),0)</f>
        <v>0</v>
      </c>
      <c r="AE34" s="627">
        <f ca="1">IF(AND($D34="Serviço",AE$12&lt;&gt;0,$H34&gt;0,OR(AUTOEVENTO&lt;&gt;"manual",$M34&lt;&gt;1)),
IF(Import.TipoArredondamento&lt;&gt;"TransfereGOV",
ROUND(OFFSET($P34,0,AE$13),15-13*ORÇAMENTO!$AF$7)/$H34*OFFSET(ORÇAMENTO!$X$15,ROW(AE34)-ROW(AE$15),0),
ROUND(ROUND(OFFSET($P34,0,AE$13),15-13*ORÇAMENTO!$AF$7)*OFFSET(ORÇAMENTO!$W$15,ROW(AE34)-ROW(AE$15),0),15-13*ORÇAMENTO!$AF$11)),0)</f>
        <v>0</v>
      </c>
      <c r="AF34" s="627">
        <f ca="1">IF(AND($D34="Serviço",AF$12&lt;&gt;0,$H34&gt;0,OR(AUTOEVENTO&lt;&gt;"manual",$M34&lt;&gt;1)),
IF(Import.TipoArredondamento&lt;&gt;"TransfereGOV",
ROUND(OFFSET($P34,0,AF$13),15-13*ORÇAMENTO!$AF$7)/$H34*OFFSET(ORÇAMENTO!$X$15,ROW(AF34)-ROW(AF$15),0),
ROUND(ROUND(OFFSET($P34,0,AF$13),15-13*ORÇAMENTO!$AF$7)*OFFSET(ORÇAMENTO!$W$15,ROW(AF34)-ROW(AF$15),0),15-13*ORÇAMENTO!$AF$11)),0)</f>
        <v>0</v>
      </c>
      <c r="AG34" s="627">
        <f ca="1">IF(AND($D34="Serviço",AG$12&lt;&gt;0,$H34&gt;0,OR(AUTOEVENTO&lt;&gt;"manual",$M34&lt;&gt;1)),
IF(Import.TipoArredondamento&lt;&gt;"TransfereGOV",
ROUND(OFFSET($P34,0,AG$13),15-13*ORÇAMENTO!$AF$7)/$H34*OFFSET(ORÇAMENTO!$X$15,ROW(AG34)-ROW(AG$15),0),
ROUND(ROUND(OFFSET($P34,0,AG$13),15-13*ORÇAMENTO!$AF$7)*OFFSET(ORÇAMENTO!$W$15,ROW(AG34)-ROW(AG$15),0),15-13*ORÇAMENTO!$AF$11)),0)</f>
        <v>0</v>
      </c>
      <c r="AH34" s="627">
        <f ca="1">IF(AND($D34="Serviço",AH$12&lt;&gt;0,$H34&gt;0,OR(AUTOEVENTO&lt;&gt;"manual",$M34&lt;&gt;1)),
IF(Import.TipoArredondamento&lt;&gt;"TransfereGOV",
ROUND(OFFSET($P34,0,AH$13),15-13*ORÇAMENTO!$AF$7)/$H34*OFFSET(ORÇAMENTO!$X$15,ROW(AH34)-ROW(AH$15),0),
ROUND(ROUND(OFFSET($P34,0,AH$13),15-13*ORÇAMENTO!$AF$7)*OFFSET(ORÇAMENTO!$W$15,ROW(AH34)-ROW(AH$15),0),15-13*ORÇAMENTO!$AF$11)),0)</f>
        <v>0</v>
      </c>
      <c r="AI34" s="627">
        <f ca="1">IF(AND($D34="Serviço",AI$12&lt;&gt;0,$H34&gt;0,OR(AUTOEVENTO&lt;&gt;"manual",$M34&lt;&gt;1)),
IF(Import.TipoArredondamento&lt;&gt;"TransfereGOV",
ROUND(OFFSET($P34,0,AI$13),15-13*ORÇAMENTO!$AF$7)/$H34*OFFSET(ORÇAMENTO!$X$15,ROW(AI34)-ROW(AI$15),0),
ROUND(ROUND(OFFSET($P34,0,AI$13),15-13*ORÇAMENTO!$AF$7)*OFFSET(ORÇAMENTO!$W$15,ROW(AI34)-ROW(AI$15),0),15-13*ORÇAMENTO!$AF$11)),0)</f>
        <v>0</v>
      </c>
      <c r="AJ34" s="627">
        <f ca="1">IF(AND($D34="Serviço",AJ$12&lt;&gt;0,$H34&gt;0,OR(AUTOEVENTO&lt;&gt;"manual",$M34&lt;&gt;1)),
IF(Import.TipoArredondamento&lt;&gt;"TransfereGOV",
ROUND(OFFSET($P34,0,AJ$13),15-13*ORÇAMENTO!$AF$7)/$H34*OFFSET(ORÇAMENTO!$X$15,ROW(AJ34)-ROW(AJ$15),0),
ROUND(ROUND(OFFSET($P34,0,AJ$13),15-13*ORÇAMENTO!$AF$7)*OFFSET(ORÇAMENTO!$W$15,ROW(AJ34)-ROW(AJ$15),0),15-13*ORÇAMENTO!$AF$11)),0)</f>
        <v>0</v>
      </c>
      <c r="AK34" s="628">
        <f ca="1">IF(AND($D34="Serviço",AK$12&lt;&gt;0,$H34&gt;0,OR(AUTOEVENTO&lt;&gt;"manual",$M34&lt;&gt;1)),
IF(Import.TipoArredondamento&lt;&gt;"TransfereGOV",
ROUND(OFFSET($P34,0,AK$13),15-13*ORÇAMENTO!$AF$7)/$H34*OFFSET(ORÇAMENTO!$X$15,ROW(AK34)-ROW(AK$15),0),
ROUND(ROUND(OFFSET($P34,0,AK$13),15-13*ORÇAMENTO!$AF$7)*OFFSET(ORÇAMENTO!$W$15,ROW(AK34)-ROW(AK$15),0),15-13*ORÇAMENTO!$AF$11)),0)</f>
        <v>0</v>
      </c>
      <c r="AM34" s="211">
        <f ca="1">IF($D34&lt;&gt;"Serviço",0,IF(AND(AUTOEVENTO="Manual",$M34=1),0,IF(OFFSET(CRONOPLE!$F$14,$M34,AM$13)="",10^12,OFFSET(CRONOPLE!$F$14,$M34,AM$13))))</f>
        <v>2</v>
      </c>
      <c r="AN34" s="211">
        <f ca="1">IF($D34&lt;&gt;"Serviço",0,IF(AND(AUTOEVENTO="Manual",$M34=1),0,IF(OFFSET(CRONOPLE!$F$14,$M34,AN$13)="",10^12,OFFSET(CRONOPLE!$F$14,$M34,AN$13))))</f>
        <v>1</v>
      </c>
      <c r="AO34" s="211">
        <f ca="1">IF($D34&lt;&gt;"Serviço",0,IF(AND(AUTOEVENTO="Manual",$M34=1),0,IF(OFFSET(CRONOPLE!$F$14,$M34,AO$13)="",10^12,OFFSET(CRONOPLE!$F$14,$M34,AO$13))))</f>
        <v>2</v>
      </c>
      <c r="AP34" s="211">
        <f ca="1">IF($D34&lt;&gt;"Serviço",0,IF(AND(AUTOEVENTO="Manual",$M34=1),0,IF(OFFSET(CRONOPLE!$F$14,$M34,AP$13)="",10^12,OFFSET(CRONOPLE!$F$14,$M34,AP$13))))</f>
        <v>2</v>
      </c>
      <c r="AQ34" s="211">
        <f ca="1">IF($D34&lt;&gt;"Serviço",0,IF(AND(AUTOEVENTO="Manual",$M34=1),0,IF(OFFSET(CRONOPLE!$F$14,$M34,AQ$13)="",10^12,OFFSET(CRONOPLE!$F$14,$M34,AQ$13))))</f>
        <v>1000000000000</v>
      </c>
      <c r="AR34" s="211">
        <f ca="1">IF($D34&lt;&gt;"Serviço",0,IF(AND(AUTOEVENTO="Manual",$M34=1),0,IF(OFFSET(CRONOPLE!$F$14,$M34,AR$13)="",10^12,OFFSET(CRONOPLE!$F$14,$M34,AR$13))))</f>
        <v>1000000000000</v>
      </c>
      <c r="AS34" s="211">
        <f ca="1">IF($D34&lt;&gt;"Serviço",0,IF(AND(AUTOEVENTO="Manual",$M34=1),0,IF(OFFSET(CRONOPLE!$F$14,$M34,AS$13)="",10^12,OFFSET(CRONOPLE!$F$14,$M34,AS$13))))</f>
        <v>1000000000000</v>
      </c>
      <c r="AT34" s="211">
        <f ca="1">IF($D34&lt;&gt;"Serviço",0,IF(AND(AUTOEVENTO="Manual",$M34=1),0,IF(OFFSET(CRONOPLE!$F$14,$M34,AT$13)="",10^12,OFFSET(CRONOPLE!$F$14,$M34,AT$13))))</f>
        <v>1000000000000</v>
      </c>
      <c r="AU34" s="211">
        <f ca="1">IF($D34&lt;&gt;"Serviço",0,IF(AND(AUTOEVENTO="Manual",$M34=1),0,IF(OFFSET(CRONOPLE!$F$14,$M34,AU$13)="",10^12,OFFSET(CRONOPLE!$F$14,$M34,AU$13))))</f>
        <v>1000000000000</v>
      </c>
      <c r="AV34" s="211">
        <f ca="1">IF($D34&lt;&gt;"Serviço",0,IF(AND(AUTOEVENTO="Manual",$M34=1),0,IF(OFFSET(CRONOPLE!$F$14,$M34,AV$13)="",10^12,OFFSET(CRONOPLE!$F$14,$M34,AV$13))))</f>
        <v>1000000000000</v>
      </c>
      <c r="AX34" s="212">
        <f ca="1">IF($D34&lt;&gt;"Serviço",0,IF(OR(AND(AUTOEVENTO="Manual",$M34=1),$M34&gt;(ROW(PLE.lastrow)-ROW(PLE.firstrow))),0,IF(OFFSET(PLE!$G$14,$M34,AX$13)="",10^12,OFFSET(PLE!$G$14,$M34,AX$13))))</f>
        <v>1000000000000</v>
      </c>
      <c r="AY34" s="212">
        <f ca="1">IF($D34&lt;&gt;"Serviço",0,IF(OR(AND(AUTOEVENTO="Manual",$M34=1),$M34&gt;(ROW(PLE.lastrow)-ROW(PLE.firstrow))),0,IF(OFFSET(PLE!$G$14,$M34,AY$13)="",10^12,OFFSET(PLE!$G$14,$M34,AY$13))))</f>
        <v>1000000000000</v>
      </c>
      <c r="AZ34" s="212">
        <f ca="1">IF($D34&lt;&gt;"Serviço",0,IF(OR(AND(AUTOEVENTO="Manual",$M34=1),$M34&gt;(ROW(PLE.lastrow)-ROW(PLE.firstrow))),0,IF(OFFSET(PLE!$G$14,$M34,AZ$13)="",10^12,OFFSET(PLE!$G$14,$M34,AZ$13))))</f>
        <v>1000000000000</v>
      </c>
      <c r="BA34" s="212">
        <f ca="1">IF($D34&lt;&gt;"Serviço",0,IF(OR(AND(AUTOEVENTO="Manual",$M34=1),$M34&gt;(ROW(PLE.lastrow)-ROW(PLE.firstrow))),0,IF(OFFSET(PLE!$G$14,$M34,BA$13)="",10^12,OFFSET(PLE!$G$14,$M34,BA$13))))</f>
        <v>1000000000000</v>
      </c>
      <c r="BB34" s="212">
        <f ca="1">IF($D34&lt;&gt;"Serviço",0,IF(OR(AND(AUTOEVENTO="Manual",$M34=1),$M34&gt;(ROW(PLE.lastrow)-ROW(PLE.firstrow))),0,IF(OFFSET(PLE!$G$14,$M34,BB$13)="",10^12,OFFSET(PLE!$G$14,$M34,BB$13))))</f>
        <v>1000000000000</v>
      </c>
      <c r="BC34" s="212">
        <f ca="1">IF($D34&lt;&gt;"Serviço",0,IF(OR(AND(AUTOEVENTO="Manual",$M34=1),$M34&gt;(ROW(PLE.lastrow)-ROW(PLE.firstrow))),0,IF(OFFSET(PLE!$G$14,$M34,BC$13)="",10^12,OFFSET(PLE!$G$14,$M34,BC$13))))</f>
        <v>1000000000000</v>
      </c>
      <c r="BD34" s="212">
        <f ca="1">IF($D34&lt;&gt;"Serviço",0,IF(OR(AND(AUTOEVENTO="Manual",$M34=1),$M34&gt;(ROW(PLE.lastrow)-ROW(PLE.firstrow))),0,IF(OFFSET(PLE!$G$14,$M34,BD$13)="",10^12,OFFSET(PLE!$G$14,$M34,BD$13))))</f>
        <v>1000000000000</v>
      </c>
      <c r="BE34" s="212">
        <f ca="1">IF($D34&lt;&gt;"Serviço",0,IF(OR(AND(AUTOEVENTO="Manual",$M34=1),$M34&gt;(ROW(PLE.lastrow)-ROW(PLE.firstrow))),0,IF(OFFSET(PLE!$G$14,$M34,BE$13)="",10^12,OFFSET(PLE!$G$14,$M34,BE$13))))</f>
        <v>1000000000000</v>
      </c>
      <c r="BF34" s="212">
        <f ca="1">IF($D34&lt;&gt;"Serviço",0,IF(OR(AND(AUTOEVENTO="Manual",$M34=1),$M34&gt;(ROW(PLE.lastrow)-ROW(PLE.firstrow))),0,IF(OFFSET(PLE!$G$14,$M34,BF$13)="",10^12,OFFSET(PLE!$G$14,$M34,BF$13))))</f>
        <v>1000000000000</v>
      </c>
      <c r="BG34" s="212">
        <f ca="1">IF($D34&lt;&gt;"Serviço",0,IF(OR(AND(AUTOEVENTO="Manual",$M34=1),$M34&gt;(ROW(PLE.lastrow)-ROW(PLE.firstrow))),0,IF(OFFSET(PLE!$G$14,$M34,BG$13)="",10^12,OFFSET(PLE!$G$14,$M34,BG$13))))</f>
        <v>1000000000000</v>
      </c>
    </row>
    <row r="35" spans="1:59" ht="13.2">
      <c r="A35" s="9" t="str">
        <f t="shared" ca="1" si="8"/>
        <v>15</v>
      </c>
      <c r="B35" s="9" t="str">
        <f ca="1">OFFSET(ORÇAMENTO!C$15,ROW(B35)-ROW(B$15),0)</f>
        <v>S</v>
      </c>
      <c r="C35" s="9" t="str">
        <f ca="1">OFFSET(ORÇAMENTO!L$15,ROW(C35)-ROW(C$15),0)</f>
        <v/>
      </c>
      <c r="D35" s="141" t="str">
        <f ca="1">OFFSET(ORÇAMENTO!N$15,ROW(D35)-ROW(D$15),0)</f>
        <v>Serviço</v>
      </c>
      <c r="E35" s="201" t="str">
        <f ca="1">OFFSET(ORÇAMENTO!O$15,ROW(E35)-ROW(E$15),0)</f>
        <v>-</v>
      </c>
      <c r="F35" s="202" t="str">
        <f ca="1">OFFSET(ORÇAMENTO!R$15,ROW(F35)-ROW(F$15),0)</f>
        <v>(abra o arquivo 'Referência 11-2024.xlsm)</v>
      </c>
      <c r="G35" s="203" t="str">
        <f ca="1">IF($D35&lt;&gt;"Serviço","",OFFSET(ORÇAMENTO!S$15,ROW(G35)-ROW(G$15),0))</f>
        <v>-</v>
      </c>
      <c r="H35" s="147">
        <f ca="1">IF($D35&lt;&gt;"Serviço",0,IF(ACOMPANHAMENTO="BM",ROUND(OFFSET(ORÇAMENTO!AJ$15,ROW(H35)-ROW(H$15),0),15-13*ORÇAMENTO!$AF$7),SUMPRODUCT(($Q$12:$AA$12&lt;&gt;"")*ROUND($Q35:$AA35,15-13*ORÇAMENTO!$AF$7))))</f>
        <v>0</v>
      </c>
      <c r="I35" s="645"/>
      <c r="K35" s="204"/>
      <c r="L35" s="205" t="s">
        <v>255</v>
      </c>
      <c r="M35" s="206">
        <f ca="1">IF($D35&lt;&gt;"Serviço","",IF(AUTOEVENTO="manual",$A35,IF(ISERROR(MATCH($A35,$A$15:OFFSET($A35,-1,0),0)),MAX($M$15:OFFSET(M35,-1,0))+1,INDEX($M$15:OFFSET(M35,-1,0),MATCH($A35,$A$15:OFFSET($A35,-1,0),0)))))</f>
        <v>6</v>
      </c>
      <c r="N35" s="207" t="str">
        <f ca="1">IF($D35&lt;&gt;"Serviço","",IF(AUTOEVENTO="Manual",IF($A35=0,"&lt;-- defina o número do agrupador",OFFSET(EVENTOS!$D$14,$A35,0)),OFFSET($F$15,$A35,0)))</f>
        <v>DRENAGEM</v>
      </c>
      <c r="O35" s="208"/>
      <c r="Q35" s="208"/>
      <c r="R35" s="209"/>
      <c r="S35" s="209"/>
      <c r="T35" s="209"/>
      <c r="U35" s="209"/>
      <c r="V35" s="209"/>
      <c r="W35" s="209"/>
      <c r="X35" s="209"/>
      <c r="Y35" s="209"/>
      <c r="Z35" s="210"/>
      <c r="AB35" s="626">
        <f ca="1">IF(AND($D35="Serviço",AB$12&lt;&gt;0,$H35&gt;0,OR(AUTOEVENTO&lt;&gt;"manual",$M35&lt;&gt;1)),
IF(Import.TipoArredondamento&lt;&gt;"TransfereGOV",
ROUND(OFFSET($P35,0,AB$13),15-13*ORÇAMENTO!$AF$7)/$H35*OFFSET(ORÇAMENTO!$X$15,ROW(AB35)-ROW(AB$15),0),
ROUND(ROUND(OFFSET($P35,0,AB$13),15-13*ORÇAMENTO!$AF$7)*OFFSET(ORÇAMENTO!$W$15,ROW(AB35)-ROW(AB$15),0),15-13*ORÇAMENTO!$AF$11)),0)</f>
        <v>0</v>
      </c>
      <c r="AC35" s="627">
        <f ca="1">IF(AND($D35="Serviço",AC$12&lt;&gt;0,$H35&gt;0,OR(AUTOEVENTO&lt;&gt;"manual",$M35&lt;&gt;1)),
IF(Import.TipoArredondamento&lt;&gt;"TransfereGOV",
ROUND(OFFSET($P35,0,AC$13),15-13*ORÇAMENTO!$AF$7)/$H35*OFFSET(ORÇAMENTO!$X$15,ROW(AC35)-ROW(AC$15),0),
ROUND(ROUND(OFFSET($P35,0,AC$13),15-13*ORÇAMENTO!$AF$7)*OFFSET(ORÇAMENTO!$W$15,ROW(AC35)-ROW(AC$15),0),15-13*ORÇAMENTO!$AF$11)),0)</f>
        <v>0</v>
      </c>
      <c r="AD35" s="627">
        <f ca="1">IF(AND($D35="Serviço",AD$12&lt;&gt;0,$H35&gt;0,OR(AUTOEVENTO&lt;&gt;"manual",$M35&lt;&gt;1)),
IF(Import.TipoArredondamento&lt;&gt;"TransfereGOV",
ROUND(OFFSET($P35,0,AD$13),15-13*ORÇAMENTO!$AF$7)/$H35*OFFSET(ORÇAMENTO!$X$15,ROW(AD35)-ROW(AD$15),0),
ROUND(ROUND(OFFSET($P35,0,AD$13),15-13*ORÇAMENTO!$AF$7)*OFFSET(ORÇAMENTO!$W$15,ROW(AD35)-ROW(AD$15),0),15-13*ORÇAMENTO!$AF$11)),0)</f>
        <v>0</v>
      </c>
      <c r="AE35" s="627">
        <f ca="1">IF(AND($D35="Serviço",AE$12&lt;&gt;0,$H35&gt;0,OR(AUTOEVENTO&lt;&gt;"manual",$M35&lt;&gt;1)),
IF(Import.TipoArredondamento&lt;&gt;"TransfereGOV",
ROUND(OFFSET($P35,0,AE$13),15-13*ORÇAMENTO!$AF$7)/$H35*OFFSET(ORÇAMENTO!$X$15,ROW(AE35)-ROW(AE$15),0),
ROUND(ROUND(OFFSET($P35,0,AE$13),15-13*ORÇAMENTO!$AF$7)*OFFSET(ORÇAMENTO!$W$15,ROW(AE35)-ROW(AE$15),0),15-13*ORÇAMENTO!$AF$11)),0)</f>
        <v>0</v>
      </c>
      <c r="AF35" s="627">
        <f ca="1">IF(AND($D35="Serviço",AF$12&lt;&gt;0,$H35&gt;0,OR(AUTOEVENTO&lt;&gt;"manual",$M35&lt;&gt;1)),
IF(Import.TipoArredondamento&lt;&gt;"TransfereGOV",
ROUND(OFFSET($P35,0,AF$13),15-13*ORÇAMENTO!$AF$7)/$H35*OFFSET(ORÇAMENTO!$X$15,ROW(AF35)-ROW(AF$15),0),
ROUND(ROUND(OFFSET($P35,0,AF$13),15-13*ORÇAMENTO!$AF$7)*OFFSET(ORÇAMENTO!$W$15,ROW(AF35)-ROW(AF$15),0),15-13*ORÇAMENTO!$AF$11)),0)</f>
        <v>0</v>
      </c>
      <c r="AG35" s="627">
        <f ca="1">IF(AND($D35="Serviço",AG$12&lt;&gt;0,$H35&gt;0,OR(AUTOEVENTO&lt;&gt;"manual",$M35&lt;&gt;1)),
IF(Import.TipoArredondamento&lt;&gt;"TransfereGOV",
ROUND(OFFSET($P35,0,AG$13),15-13*ORÇAMENTO!$AF$7)/$H35*OFFSET(ORÇAMENTO!$X$15,ROW(AG35)-ROW(AG$15),0),
ROUND(ROUND(OFFSET($P35,0,AG$13),15-13*ORÇAMENTO!$AF$7)*OFFSET(ORÇAMENTO!$W$15,ROW(AG35)-ROW(AG$15),0),15-13*ORÇAMENTO!$AF$11)),0)</f>
        <v>0</v>
      </c>
      <c r="AH35" s="627">
        <f ca="1">IF(AND($D35="Serviço",AH$12&lt;&gt;0,$H35&gt;0,OR(AUTOEVENTO&lt;&gt;"manual",$M35&lt;&gt;1)),
IF(Import.TipoArredondamento&lt;&gt;"TransfereGOV",
ROUND(OFFSET($P35,0,AH$13),15-13*ORÇAMENTO!$AF$7)/$H35*OFFSET(ORÇAMENTO!$X$15,ROW(AH35)-ROW(AH$15),0),
ROUND(ROUND(OFFSET($P35,0,AH$13),15-13*ORÇAMENTO!$AF$7)*OFFSET(ORÇAMENTO!$W$15,ROW(AH35)-ROW(AH$15),0),15-13*ORÇAMENTO!$AF$11)),0)</f>
        <v>0</v>
      </c>
      <c r="AI35" s="627">
        <f ca="1">IF(AND($D35="Serviço",AI$12&lt;&gt;0,$H35&gt;0,OR(AUTOEVENTO&lt;&gt;"manual",$M35&lt;&gt;1)),
IF(Import.TipoArredondamento&lt;&gt;"TransfereGOV",
ROUND(OFFSET($P35,0,AI$13),15-13*ORÇAMENTO!$AF$7)/$H35*OFFSET(ORÇAMENTO!$X$15,ROW(AI35)-ROW(AI$15),0),
ROUND(ROUND(OFFSET($P35,0,AI$13),15-13*ORÇAMENTO!$AF$7)*OFFSET(ORÇAMENTO!$W$15,ROW(AI35)-ROW(AI$15),0),15-13*ORÇAMENTO!$AF$11)),0)</f>
        <v>0</v>
      </c>
      <c r="AJ35" s="627">
        <f ca="1">IF(AND($D35="Serviço",AJ$12&lt;&gt;0,$H35&gt;0,OR(AUTOEVENTO&lt;&gt;"manual",$M35&lt;&gt;1)),
IF(Import.TipoArredondamento&lt;&gt;"TransfereGOV",
ROUND(OFFSET($P35,0,AJ$13),15-13*ORÇAMENTO!$AF$7)/$H35*OFFSET(ORÇAMENTO!$X$15,ROW(AJ35)-ROW(AJ$15),0),
ROUND(ROUND(OFFSET($P35,0,AJ$13),15-13*ORÇAMENTO!$AF$7)*OFFSET(ORÇAMENTO!$W$15,ROW(AJ35)-ROW(AJ$15),0),15-13*ORÇAMENTO!$AF$11)),0)</f>
        <v>0</v>
      </c>
      <c r="AK35" s="628">
        <f ca="1">IF(AND($D35="Serviço",AK$12&lt;&gt;0,$H35&gt;0,OR(AUTOEVENTO&lt;&gt;"manual",$M35&lt;&gt;1)),
IF(Import.TipoArredondamento&lt;&gt;"TransfereGOV",
ROUND(OFFSET($P35,0,AK$13),15-13*ORÇAMENTO!$AF$7)/$H35*OFFSET(ORÇAMENTO!$X$15,ROW(AK35)-ROW(AK$15),0),
ROUND(ROUND(OFFSET($P35,0,AK$13),15-13*ORÇAMENTO!$AF$7)*OFFSET(ORÇAMENTO!$W$15,ROW(AK35)-ROW(AK$15),0),15-13*ORÇAMENTO!$AF$11)),0)</f>
        <v>0</v>
      </c>
      <c r="AM35" s="211">
        <f ca="1">IF($D35&lt;&gt;"Serviço",0,IF(AND(AUTOEVENTO="Manual",$M35=1),0,IF(OFFSET(CRONOPLE!$F$14,$M35,AM$13)="",10^12,OFFSET(CRONOPLE!$F$14,$M35,AM$13))))</f>
        <v>2</v>
      </c>
      <c r="AN35" s="211">
        <f ca="1">IF($D35&lt;&gt;"Serviço",0,IF(AND(AUTOEVENTO="Manual",$M35=1),0,IF(OFFSET(CRONOPLE!$F$14,$M35,AN$13)="",10^12,OFFSET(CRONOPLE!$F$14,$M35,AN$13))))</f>
        <v>1</v>
      </c>
      <c r="AO35" s="211">
        <f ca="1">IF($D35&lt;&gt;"Serviço",0,IF(AND(AUTOEVENTO="Manual",$M35=1),0,IF(OFFSET(CRONOPLE!$F$14,$M35,AO$13)="",10^12,OFFSET(CRONOPLE!$F$14,$M35,AO$13))))</f>
        <v>2</v>
      </c>
      <c r="AP35" s="211">
        <f ca="1">IF($D35&lt;&gt;"Serviço",0,IF(AND(AUTOEVENTO="Manual",$M35=1),0,IF(OFFSET(CRONOPLE!$F$14,$M35,AP$13)="",10^12,OFFSET(CRONOPLE!$F$14,$M35,AP$13))))</f>
        <v>2</v>
      </c>
      <c r="AQ35" s="211">
        <f ca="1">IF($D35&lt;&gt;"Serviço",0,IF(AND(AUTOEVENTO="Manual",$M35=1),0,IF(OFFSET(CRONOPLE!$F$14,$M35,AQ$13)="",10^12,OFFSET(CRONOPLE!$F$14,$M35,AQ$13))))</f>
        <v>1000000000000</v>
      </c>
      <c r="AR35" s="211">
        <f ca="1">IF($D35&lt;&gt;"Serviço",0,IF(AND(AUTOEVENTO="Manual",$M35=1),0,IF(OFFSET(CRONOPLE!$F$14,$M35,AR$13)="",10^12,OFFSET(CRONOPLE!$F$14,$M35,AR$13))))</f>
        <v>1000000000000</v>
      </c>
      <c r="AS35" s="211">
        <f ca="1">IF($D35&lt;&gt;"Serviço",0,IF(AND(AUTOEVENTO="Manual",$M35=1),0,IF(OFFSET(CRONOPLE!$F$14,$M35,AS$13)="",10^12,OFFSET(CRONOPLE!$F$14,$M35,AS$13))))</f>
        <v>1000000000000</v>
      </c>
      <c r="AT35" s="211">
        <f ca="1">IF($D35&lt;&gt;"Serviço",0,IF(AND(AUTOEVENTO="Manual",$M35=1),0,IF(OFFSET(CRONOPLE!$F$14,$M35,AT$13)="",10^12,OFFSET(CRONOPLE!$F$14,$M35,AT$13))))</f>
        <v>1000000000000</v>
      </c>
      <c r="AU35" s="211">
        <f ca="1">IF($D35&lt;&gt;"Serviço",0,IF(AND(AUTOEVENTO="Manual",$M35=1),0,IF(OFFSET(CRONOPLE!$F$14,$M35,AU$13)="",10^12,OFFSET(CRONOPLE!$F$14,$M35,AU$13))))</f>
        <v>1000000000000</v>
      </c>
      <c r="AV35" s="211">
        <f ca="1">IF($D35&lt;&gt;"Serviço",0,IF(AND(AUTOEVENTO="Manual",$M35=1),0,IF(OFFSET(CRONOPLE!$F$14,$M35,AV$13)="",10^12,OFFSET(CRONOPLE!$F$14,$M35,AV$13))))</f>
        <v>1000000000000</v>
      </c>
      <c r="AX35" s="212">
        <f ca="1">IF($D35&lt;&gt;"Serviço",0,IF(OR(AND(AUTOEVENTO="Manual",$M35=1),$M35&gt;(ROW(PLE.lastrow)-ROW(PLE.firstrow))),0,IF(OFFSET(PLE!$G$14,$M35,AX$13)="",10^12,OFFSET(PLE!$G$14,$M35,AX$13))))</f>
        <v>1000000000000</v>
      </c>
      <c r="AY35" s="212">
        <f ca="1">IF($D35&lt;&gt;"Serviço",0,IF(OR(AND(AUTOEVENTO="Manual",$M35=1),$M35&gt;(ROW(PLE.lastrow)-ROW(PLE.firstrow))),0,IF(OFFSET(PLE!$G$14,$M35,AY$13)="",10^12,OFFSET(PLE!$G$14,$M35,AY$13))))</f>
        <v>1000000000000</v>
      </c>
      <c r="AZ35" s="212">
        <f ca="1">IF($D35&lt;&gt;"Serviço",0,IF(OR(AND(AUTOEVENTO="Manual",$M35=1),$M35&gt;(ROW(PLE.lastrow)-ROW(PLE.firstrow))),0,IF(OFFSET(PLE!$G$14,$M35,AZ$13)="",10^12,OFFSET(PLE!$G$14,$M35,AZ$13))))</f>
        <v>1000000000000</v>
      </c>
      <c r="BA35" s="212">
        <f ca="1">IF($D35&lt;&gt;"Serviço",0,IF(OR(AND(AUTOEVENTO="Manual",$M35=1),$M35&gt;(ROW(PLE.lastrow)-ROW(PLE.firstrow))),0,IF(OFFSET(PLE!$G$14,$M35,BA$13)="",10^12,OFFSET(PLE!$G$14,$M35,BA$13))))</f>
        <v>1000000000000</v>
      </c>
      <c r="BB35" s="212">
        <f ca="1">IF($D35&lt;&gt;"Serviço",0,IF(OR(AND(AUTOEVENTO="Manual",$M35=1),$M35&gt;(ROW(PLE.lastrow)-ROW(PLE.firstrow))),0,IF(OFFSET(PLE!$G$14,$M35,BB$13)="",10^12,OFFSET(PLE!$G$14,$M35,BB$13))))</f>
        <v>1000000000000</v>
      </c>
      <c r="BC35" s="212">
        <f ca="1">IF($D35&lt;&gt;"Serviço",0,IF(OR(AND(AUTOEVENTO="Manual",$M35=1),$M35&gt;(ROW(PLE.lastrow)-ROW(PLE.firstrow))),0,IF(OFFSET(PLE!$G$14,$M35,BC$13)="",10^12,OFFSET(PLE!$G$14,$M35,BC$13))))</f>
        <v>1000000000000</v>
      </c>
      <c r="BD35" s="212">
        <f ca="1">IF($D35&lt;&gt;"Serviço",0,IF(OR(AND(AUTOEVENTO="Manual",$M35=1),$M35&gt;(ROW(PLE.lastrow)-ROW(PLE.firstrow))),0,IF(OFFSET(PLE!$G$14,$M35,BD$13)="",10^12,OFFSET(PLE!$G$14,$M35,BD$13))))</f>
        <v>1000000000000</v>
      </c>
      <c r="BE35" s="212">
        <f ca="1">IF($D35&lt;&gt;"Serviço",0,IF(OR(AND(AUTOEVENTO="Manual",$M35=1),$M35&gt;(ROW(PLE.lastrow)-ROW(PLE.firstrow))),0,IF(OFFSET(PLE!$G$14,$M35,BE$13)="",10^12,OFFSET(PLE!$G$14,$M35,BE$13))))</f>
        <v>1000000000000</v>
      </c>
      <c r="BF35" s="212">
        <f ca="1">IF($D35&lt;&gt;"Serviço",0,IF(OR(AND(AUTOEVENTO="Manual",$M35=1),$M35&gt;(ROW(PLE.lastrow)-ROW(PLE.firstrow))),0,IF(OFFSET(PLE!$G$14,$M35,BF$13)="",10^12,OFFSET(PLE!$G$14,$M35,BF$13))))</f>
        <v>1000000000000</v>
      </c>
      <c r="BG35" s="212">
        <f ca="1">IF($D35&lt;&gt;"Serviço",0,IF(OR(AND(AUTOEVENTO="Manual",$M35=1),$M35&gt;(ROW(PLE.lastrow)-ROW(PLE.firstrow))),0,IF(OFFSET(PLE!$G$14,$M35,BG$13)="",10^12,OFFSET(PLE!$G$14,$M35,BG$13))))</f>
        <v>1000000000000</v>
      </c>
    </row>
    <row r="36" spans="1:59" ht="13.2">
      <c r="A36" s="9" t="str">
        <f t="shared" ca="1" si="8"/>
        <v>15</v>
      </c>
      <c r="B36" s="9" t="str">
        <f ca="1">OFFSET(ORÇAMENTO!C$15,ROW(B36)-ROW(B$15),0)</f>
        <v>S</v>
      </c>
      <c r="C36" s="9" t="str">
        <f ca="1">OFFSET(ORÇAMENTO!L$15,ROW(C36)-ROW(C$15),0)</f>
        <v/>
      </c>
      <c r="D36" s="141" t="str">
        <f ca="1">OFFSET(ORÇAMENTO!N$15,ROW(D36)-ROW(D$15),0)</f>
        <v>Serviço</v>
      </c>
      <c r="E36" s="201" t="str">
        <f ca="1">OFFSET(ORÇAMENTO!O$15,ROW(E36)-ROW(E$15),0)</f>
        <v>-</v>
      </c>
      <c r="F36" s="202" t="str">
        <f ca="1">OFFSET(ORÇAMENTO!R$15,ROW(F36)-ROW(F$15),0)</f>
        <v>(abra o arquivo 'Referência 11-2024.xlsm)</v>
      </c>
      <c r="G36" s="203" t="str">
        <f ca="1">IF($D36&lt;&gt;"Serviço","",OFFSET(ORÇAMENTO!S$15,ROW(G36)-ROW(G$15),0))</f>
        <v>-</v>
      </c>
      <c r="H36" s="147">
        <f ca="1">IF($D36&lt;&gt;"Serviço",0,IF(ACOMPANHAMENTO="BM",ROUND(OFFSET(ORÇAMENTO!AJ$15,ROW(H36)-ROW(H$15),0),15-13*ORÇAMENTO!$AF$7),SUMPRODUCT(($Q$12:$AA$12&lt;&gt;"")*ROUND($Q36:$AA36,15-13*ORÇAMENTO!$AF$7))))</f>
        <v>0</v>
      </c>
      <c r="I36" s="645"/>
      <c r="K36" s="204"/>
      <c r="L36" s="205" t="s">
        <v>255</v>
      </c>
      <c r="M36" s="206">
        <f ca="1">IF($D36&lt;&gt;"Serviço","",IF(AUTOEVENTO="manual",$A36,IF(ISERROR(MATCH($A36,$A$15:OFFSET($A36,-1,0),0)),MAX($M$15:OFFSET(M36,-1,0))+1,INDEX($M$15:OFFSET(M36,-1,0),MATCH($A36,$A$15:OFFSET($A36,-1,0),0)))))</f>
        <v>6</v>
      </c>
      <c r="N36" s="207" t="str">
        <f ca="1">IF($D36&lt;&gt;"Serviço","",IF(AUTOEVENTO="Manual",IF($A36=0,"&lt;-- defina o número do agrupador",OFFSET(EVENTOS!$D$14,$A36,0)),OFFSET($F$15,$A36,0)))</f>
        <v>DRENAGEM</v>
      </c>
      <c r="O36" s="208"/>
      <c r="Q36" s="208"/>
      <c r="R36" s="209"/>
      <c r="S36" s="209"/>
      <c r="T36" s="209"/>
      <c r="U36" s="209"/>
      <c r="V36" s="209"/>
      <c r="W36" s="209"/>
      <c r="X36" s="209"/>
      <c r="Y36" s="209"/>
      <c r="Z36" s="210"/>
      <c r="AB36" s="626">
        <f ca="1">IF(AND($D36="Serviço",AB$12&lt;&gt;0,$H36&gt;0,OR(AUTOEVENTO&lt;&gt;"manual",$M36&lt;&gt;1)),
IF(Import.TipoArredondamento&lt;&gt;"TransfereGOV",
ROUND(OFFSET($P36,0,AB$13),15-13*ORÇAMENTO!$AF$7)/$H36*OFFSET(ORÇAMENTO!$X$15,ROW(AB36)-ROW(AB$15),0),
ROUND(ROUND(OFFSET($P36,0,AB$13),15-13*ORÇAMENTO!$AF$7)*OFFSET(ORÇAMENTO!$W$15,ROW(AB36)-ROW(AB$15),0),15-13*ORÇAMENTO!$AF$11)),0)</f>
        <v>0</v>
      </c>
      <c r="AC36" s="627">
        <f ca="1">IF(AND($D36="Serviço",AC$12&lt;&gt;0,$H36&gt;0,OR(AUTOEVENTO&lt;&gt;"manual",$M36&lt;&gt;1)),
IF(Import.TipoArredondamento&lt;&gt;"TransfereGOV",
ROUND(OFFSET($P36,0,AC$13),15-13*ORÇAMENTO!$AF$7)/$H36*OFFSET(ORÇAMENTO!$X$15,ROW(AC36)-ROW(AC$15),0),
ROUND(ROUND(OFFSET($P36,0,AC$13),15-13*ORÇAMENTO!$AF$7)*OFFSET(ORÇAMENTO!$W$15,ROW(AC36)-ROW(AC$15),0),15-13*ORÇAMENTO!$AF$11)),0)</f>
        <v>0</v>
      </c>
      <c r="AD36" s="627">
        <f ca="1">IF(AND($D36="Serviço",AD$12&lt;&gt;0,$H36&gt;0,OR(AUTOEVENTO&lt;&gt;"manual",$M36&lt;&gt;1)),
IF(Import.TipoArredondamento&lt;&gt;"TransfereGOV",
ROUND(OFFSET($P36,0,AD$13),15-13*ORÇAMENTO!$AF$7)/$H36*OFFSET(ORÇAMENTO!$X$15,ROW(AD36)-ROW(AD$15),0),
ROUND(ROUND(OFFSET($P36,0,AD$13),15-13*ORÇAMENTO!$AF$7)*OFFSET(ORÇAMENTO!$W$15,ROW(AD36)-ROW(AD$15),0),15-13*ORÇAMENTO!$AF$11)),0)</f>
        <v>0</v>
      </c>
      <c r="AE36" s="627">
        <f ca="1">IF(AND($D36="Serviço",AE$12&lt;&gt;0,$H36&gt;0,OR(AUTOEVENTO&lt;&gt;"manual",$M36&lt;&gt;1)),
IF(Import.TipoArredondamento&lt;&gt;"TransfereGOV",
ROUND(OFFSET($P36,0,AE$13),15-13*ORÇAMENTO!$AF$7)/$H36*OFFSET(ORÇAMENTO!$X$15,ROW(AE36)-ROW(AE$15),0),
ROUND(ROUND(OFFSET($P36,0,AE$13),15-13*ORÇAMENTO!$AF$7)*OFFSET(ORÇAMENTO!$W$15,ROW(AE36)-ROW(AE$15),0),15-13*ORÇAMENTO!$AF$11)),0)</f>
        <v>0</v>
      </c>
      <c r="AF36" s="627">
        <f ca="1">IF(AND($D36="Serviço",AF$12&lt;&gt;0,$H36&gt;0,OR(AUTOEVENTO&lt;&gt;"manual",$M36&lt;&gt;1)),
IF(Import.TipoArredondamento&lt;&gt;"TransfereGOV",
ROUND(OFFSET($P36,0,AF$13),15-13*ORÇAMENTO!$AF$7)/$H36*OFFSET(ORÇAMENTO!$X$15,ROW(AF36)-ROW(AF$15),0),
ROUND(ROUND(OFFSET($P36,0,AF$13),15-13*ORÇAMENTO!$AF$7)*OFFSET(ORÇAMENTO!$W$15,ROW(AF36)-ROW(AF$15),0),15-13*ORÇAMENTO!$AF$11)),0)</f>
        <v>0</v>
      </c>
      <c r="AG36" s="627">
        <f ca="1">IF(AND($D36="Serviço",AG$12&lt;&gt;0,$H36&gt;0,OR(AUTOEVENTO&lt;&gt;"manual",$M36&lt;&gt;1)),
IF(Import.TipoArredondamento&lt;&gt;"TransfereGOV",
ROUND(OFFSET($P36,0,AG$13),15-13*ORÇAMENTO!$AF$7)/$H36*OFFSET(ORÇAMENTO!$X$15,ROW(AG36)-ROW(AG$15),0),
ROUND(ROUND(OFFSET($P36,0,AG$13),15-13*ORÇAMENTO!$AF$7)*OFFSET(ORÇAMENTO!$W$15,ROW(AG36)-ROW(AG$15),0),15-13*ORÇAMENTO!$AF$11)),0)</f>
        <v>0</v>
      </c>
      <c r="AH36" s="627">
        <f ca="1">IF(AND($D36="Serviço",AH$12&lt;&gt;0,$H36&gt;0,OR(AUTOEVENTO&lt;&gt;"manual",$M36&lt;&gt;1)),
IF(Import.TipoArredondamento&lt;&gt;"TransfereGOV",
ROUND(OFFSET($P36,0,AH$13),15-13*ORÇAMENTO!$AF$7)/$H36*OFFSET(ORÇAMENTO!$X$15,ROW(AH36)-ROW(AH$15),0),
ROUND(ROUND(OFFSET($P36,0,AH$13),15-13*ORÇAMENTO!$AF$7)*OFFSET(ORÇAMENTO!$W$15,ROW(AH36)-ROW(AH$15),0),15-13*ORÇAMENTO!$AF$11)),0)</f>
        <v>0</v>
      </c>
      <c r="AI36" s="627">
        <f ca="1">IF(AND($D36="Serviço",AI$12&lt;&gt;0,$H36&gt;0,OR(AUTOEVENTO&lt;&gt;"manual",$M36&lt;&gt;1)),
IF(Import.TipoArredondamento&lt;&gt;"TransfereGOV",
ROUND(OFFSET($P36,0,AI$13),15-13*ORÇAMENTO!$AF$7)/$H36*OFFSET(ORÇAMENTO!$X$15,ROW(AI36)-ROW(AI$15),0),
ROUND(ROUND(OFFSET($P36,0,AI$13),15-13*ORÇAMENTO!$AF$7)*OFFSET(ORÇAMENTO!$W$15,ROW(AI36)-ROW(AI$15),0),15-13*ORÇAMENTO!$AF$11)),0)</f>
        <v>0</v>
      </c>
      <c r="AJ36" s="627">
        <f ca="1">IF(AND($D36="Serviço",AJ$12&lt;&gt;0,$H36&gt;0,OR(AUTOEVENTO&lt;&gt;"manual",$M36&lt;&gt;1)),
IF(Import.TipoArredondamento&lt;&gt;"TransfereGOV",
ROUND(OFFSET($P36,0,AJ$13),15-13*ORÇAMENTO!$AF$7)/$H36*OFFSET(ORÇAMENTO!$X$15,ROW(AJ36)-ROW(AJ$15),0),
ROUND(ROUND(OFFSET($P36,0,AJ$13),15-13*ORÇAMENTO!$AF$7)*OFFSET(ORÇAMENTO!$W$15,ROW(AJ36)-ROW(AJ$15),0),15-13*ORÇAMENTO!$AF$11)),0)</f>
        <v>0</v>
      </c>
      <c r="AK36" s="628">
        <f ca="1">IF(AND($D36="Serviço",AK$12&lt;&gt;0,$H36&gt;0,OR(AUTOEVENTO&lt;&gt;"manual",$M36&lt;&gt;1)),
IF(Import.TipoArredondamento&lt;&gt;"TransfereGOV",
ROUND(OFFSET($P36,0,AK$13),15-13*ORÇAMENTO!$AF$7)/$H36*OFFSET(ORÇAMENTO!$X$15,ROW(AK36)-ROW(AK$15),0),
ROUND(ROUND(OFFSET($P36,0,AK$13),15-13*ORÇAMENTO!$AF$7)*OFFSET(ORÇAMENTO!$W$15,ROW(AK36)-ROW(AK$15),0),15-13*ORÇAMENTO!$AF$11)),0)</f>
        <v>0</v>
      </c>
      <c r="AM36" s="211">
        <f ca="1">IF($D36&lt;&gt;"Serviço",0,IF(AND(AUTOEVENTO="Manual",$M36=1),0,IF(OFFSET(CRONOPLE!$F$14,$M36,AM$13)="",10^12,OFFSET(CRONOPLE!$F$14,$M36,AM$13))))</f>
        <v>2</v>
      </c>
      <c r="AN36" s="211">
        <f ca="1">IF($D36&lt;&gt;"Serviço",0,IF(AND(AUTOEVENTO="Manual",$M36=1),0,IF(OFFSET(CRONOPLE!$F$14,$M36,AN$13)="",10^12,OFFSET(CRONOPLE!$F$14,$M36,AN$13))))</f>
        <v>1</v>
      </c>
      <c r="AO36" s="211">
        <f ca="1">IF($D36&lt;&gt;"Serviço",0,IF(AND(AUTOEVENTO="Manual",$M36=1),0,IF(OFFSET(CRONOPLE!$F$14,$M36,AO$13)="",10^12,OFFSET(CRONOPLE!$F$14,$M36,AO$13))))</f>
        <v>2</v>
      </c>
      <c r="AP36" s="211">
        <f ca="1">IF($D36&lt;&gt;"Serviço",0,IF(AND(AUTOEVENTO="Manual",$M36=1),0,IF(OFFSET(CRONOPLE!$F$14,$M36,AP$13)="",10^12,OFFSET(CRONOPLE!$F$14,$M36,AP$13))))</f>
        <v>2</v>
      </c>
      <c r="AQ36" s="211">
        <f ca="1">IF($D36&lt;&gt;"Serviço",0,IF(AND(AUTOEVENTO="Manual",$M36=1),0,IF(OFFSET(CRONOPLE!$F$14,$M36,AQ$13)="",10^12,OFFSET(CRONOPLE!$F$14,$M36,AQ$13))))</f>
        <v>1000000000000</v>
      </c>
      <c r="AR36" s="211">
        <f ca="1">IF($D36&lt;&gt;"Serviço",0,IF(AND(AUTOEVENTO="Manual",$M36=1),0,IF(OFFSET(CRONOPLE!$F$14,$M36,AR$13)="",10^12,OFFSET(CRONOPLE!$F$14,$M36,AR$13))))</f>
        <v>1000000000000</v>
      </c>
      <c r="AS36" s="211">
        <f ca="1">IF($D36&lt;&gt;"Serviço",0,IF(AND(AUTOEVENTO="Manual",$M36=1),0,IF(OFFSET(CRONOPLE!$F$14,$M36,AS$13)="",10^12,OFFSET(CRONOPLE!$F$14,$M36,AS$13))))</f>
        <v>1000000000000</v>
      </c>
      <c r="AT36" s="211">
        <f ca="1">IF($D36&lt;&gt;"Serviço",0,IF(AND(AUTOEVENTO="Manual",$M36=1),0,IF(OFFSET(CRONOPLE!$F$14,$M36,AT$13)="",10^12,OFFSET(CRONOPLE!$F$14,$M36,AT$13))))</f>
        <v>1000000000000</v>
      </c>
      <c r="AU36" s="211">
        <f ca="1">IF($D36&lt;&gt;"Serviço",0,IF(AND(AUTOEVENTO="Manual",$M36=1),0,IF(OFFSET(CRONOPLE!$F$14,$M36,AU$13)="",10^12,OFFSET(CRONOPLE!$F$14,$M36,AU$13))))</f>
        <v>1000000000000</v>
      </c>
      <c r="AV36" s="211">
        <f ca="1">IF($D36&lt;&gt;"Serviço",0,IF(AND(AUTOEVENTO="Manual",$M36=1),0,IF(OFFSET(CRONOPLE!$F$14,$M36,AV$13)="",10^12,OFFSET(CRONOPLE!$F$14,$M36,AV$13))))</f>
        <v>1000000000000</v>
      </c>
      <c r="AX36" s="212">
        <f ca="1">IF($D36&lt;&gt;"Serviço",0,IF(OR(AND(AUTOEVENTO="Manual",$M36=1),$M36&gt;(ROW(PLE.lastrow)-ROW(PLE.firstrow))),0,IF(OFFSET(PLE!$G$14,$M36,AX$13)="",10^12,OFFSET(PLE!$G$14,$M36,AX$13))))</f>
        <v>1000000000000</v>
      </c>
      <c r="AY36" s="212">
        <f ca="1">IF($D36&lt;&gt;"Serviço",0,IF(OR(AND(AUTOEVENTO="Manual",$M36=1),$M36&gt;(ROW(PLE.lastrow)-ROW(PLE.firstrow))),0,IF(OFFSET(PLE!$G$14,$M36,AY$13)="",10^12,OFFSET(PLE!$G$14,$M36,AY$13))))</f>
        <v>1000000000000</v>
      </c>
      <c r="AZ36" s="212">
        <f ca="1">IF($D36&lt;&gt;"Serviço",0,IF(OR(AND(AUTOEVENTO="Manual",$M36=1),$M36&gt;(ROW(PLE.lastrow)-ROW(PLE.firstrow))),0,IF(OFFSET(PLE!$G$14,$M36,AZ$13)="",10^12,OFFSET(PLE!$G$14,$M36,AZ$13))))</f>
        <v>1000000000000</v>
      </c>
      <c r="BA36" s="212">
        <f ca="1">IF($D36&lt;&gt;"Serviço",0,IF(OR(AND(AUTOEVENTO="Manual",$M36=1),$M36&gt;(ROW(PLE.lastrow)-ROW(PLE.firstrow))),0,IF(OFFSET(PLE!$G$14,$M36,BA$13)="",10^12,OFFSET(PLE!$G$14,$M36,BA$13))))</f>
        <v>1000000000000</v>
      </c>
      <c r="BB36" s="212">
        <f ca="1">IF($D36&lt;&gt;"Serviço",0,IF(OR(AND(AUTOEVENTO="Manual",$M36=1),$M36&gt;(ROW(PLE.lastrow)-ROW(PLE.firstrow))),0,IF(OFFSET(PLE!$G$14,$M36,BB$13)="",10^12,OFFSET(PLE!$G$14,$M36,BB$13))))</f>
        <v>1000000000000</v>
      </c>
      <c r="BC36" s="212">
        <f ca="1">IF($D36&lt;&gt;"Serviço",0,IF(OR(AND(AUTOEVENTO="Manual",$M36=1),$M36&gt;(ROW(PLE.lastrow)-ROW(PLE.firstrow))),0,IF(OFFSET(PLE!$G$14,$M36,BC$13)="",10^12,OFFSET(PLE!$G$14,$M36,BC$13))))</f>
        <v>1000000000000</v>
      </c>
      <c r="BD36" s="212">
        <f ca="1">IF($D36&lt;&gt;"Serviço",0,IF(OR(AND(AUTOEVENTO="Manual",$M36=1),$M36&gt;(ROW(PLE.lastrow)-ROW(PLE.firstrow))),0,IF(OFFSET(PLE!$G$14,$M36,BD$13)="",10^12,OFFSET(PLE!$G$14,$M36,BD$13))))</f>
        <v>1000000000000</v>
      </c>
      <c r="BE36" s="212">
        <f ca="1">IF($D36&lt;&gt;"Serviço",0,IF(OR(AND(AUTOEVENTO="Manual",$M36=1),$M36&gt;(ROW(PLE.lastrow)-ROW(PLE.firstrow))),0,IF(OFFSET(PLE!$G$14,$M36,BE$13)="",10^12,OFFSET(PLE!$G$14,$M36,BE$13))))</f>
        <v>1000000000000</v>
      </c>
      <c r="BF36" s="212">
        <f ca="1">IF($D36&lt;&gt;"Serviço",0,IF(OR(AND(AUTOEVENTO="Manual",$M36=1),$M36&gt;(ROW(PLE.lastrow)-ROW(PLE.firstrow))),0,IF(OFFSET(PLE!$G$14,$M36,BF$13)="",10^12,OFFSET(PLE!$G$14,$M36,BF$13))))</f>
        <v>1000000000000</v>
      </c>
      <c r="BG36" s="212">
        <f ca="1">IF($D36&lt;&gt;"Serviço",0,IF(OR(AND(AUTOEVENTO="Manual",$M36=1),$M36&gt;(ROW(PLE.lastrow)-ROW(PLE.firstrow))),0,IF(OFFSET(PLE!$G$14,$M36,BG$13)="",10^12,OFFSET(PLE!$G$14,$M36,BG$13))))</f>
        <v>1000000000000</v>
      </c>
    </row>
    <row r="37" spans="1:59" ht="13.2">
      <c r="A37" s="9" t="str">
        <f t="shared" ca="1" si="8"/>
        <v>15</v>
      </c>
      <c r="B37" s="9" t="str">
        <f ca="1">OFFSET(ORÇAMENTO!C$15,ROW(B37)-ROW(B$15),0)</f>
        <v>S</v>
      </c>
      <c r="C37" s="9" t="str">
        <f ca="1">OFFSET(ORÇAMENTO!L$15,ROW(C37)-ROW(C$15),0)</f>
        <v/>
      </c>
      <c r="D37" s="141" t="str">
        <f ca="1">OFFSET(ORÇAMENTO!N$15,ROW(D37)-ROW(D$15),0)</f>
        <v>Serviço</v>
      </c>
      <c r="E37" s="201" t="str">
        <f ca="1">OFFSET(ORÇAMENTO!O$15,ROW(E37)-ROW(E$15),0)</f>
        <v>-</v>
      </c>
      <c r="F37" s="202" t="str">
        <f ca="1">OFFSET(ORÇAMENTO!R$15,ROW(F37)-ROW(F$15),0)</f>
        <v>(abra o arquivo 'Referência 11-2024.xlsm)</v>
      </c>
      <c r="G37" s="203" t="str">
        <f ca="1">IF($D37&lt;&gt;"Serviço","",OFFSET(ORÇAMENTO!S$15,ROW(G37)-ROW(G$15),0))</f>
        <v>-</v>
      </c>
      <c r="H37" s="147">
        <f ca="1">IF($D37&lt;&gt;"Serviço",0,IF(ACOMPANHAMENTO="BM",ROUND(OFFSET(ORÇAMENTO!AJ$15,ROW(H37)-ROW(H$15),0),15-13*ORÇAMENTO!$AF$7),SUMPRODUCT(($Q$12:$AA$12&lt;&gt;"")*ROUND($Q37:$AA37,15-13*ORÇAMENTO!$AF$7))))</f>
        <v>0</v>
      </c>
      <c r="I37" s="645"/>
      <c r="K37" s="204"/>
      <c r="L37" s="205" t="s">
        <v>255</v>
      </c>
      <c r="M37" s="206">
        <f ca="1">IF($D37&lt;&gt;"Serviço","",IF(AUTOEVENTO="manual",$A37,IF(ISERROR(MATCH($A37,$A$15:OFFSET($A37,-1,0),0)),MAX($M$15:OFFSET(M37,-1,0))+1,INDEX($M$15:OFFSET(M37,-1,0),MATCH($A37,$A$15:OFFSET($A37,-1,0),0)))))</f>
        <v>6</v>
      </c>
      <c r="N37" s="207" t="str">
        <f ca="1">IF($D37&lt;&gt;"Serviço","",IF(AUTOEVENTO="Manual",IF($A37=0,"&lt;-- defina o número do agrupador",OFFSET(EVENTOS!$D$14,$A37,0)),OFFSET($F$15,$A37,0)))</f>
        <v>DRENAGEM</v>
      </c>
      <c r="O37" s="208"/>
      <c r="Q37" s="208"/>
      <c r="R37" s="209"/>
      <c r="S37" s="209"/>
      <c r="T37" s="209"/>
      <c r="U37" s="209"/>
      <c r="V37" s="209"/>
      <c r="W37" s="209"/>
      <c r="X37" s="209"/>
      <c r="Y37" s="209"/>
      <c r="Z37" s="210"/>
      <c r="AB37" s="626">
        <f ca="1">IF(AND($D37="Serviço",AB$12&lt;&gt;0,$H37&gt;0,OR(AUTOEVENTO&lt;&gt;"manual",$M37&lt;&gt;1)),
IF(Import.TipoArredondamento&lt;&gt;"TransfereGOV",
ROUND(OFFSET($P37,0,AB$13),15-13*ORÇAMENTO!$AF$7)/$H37*OFFSET(ORÇAMENTO!$X$15,ROW(AB37)-ROW(AB$15),0),
ROUND(ROUND(OFFSET($P37,0,AB$13),15-13*ORÇAMENTO!$AF$7)*OFFSET(ORÇAMENTO!$W$15,ROW(AB37)-ROW(AB$15),0),15-13*ORÇAMENTO!$AF$11)),0)</f>
        <v>0</v>
      </c>
      <c r="AC37" s="627">
        <f ca="1">IF(AND($D37="Serviço",AC$12&lt;&gt;0,$H37&gt;0,OR(AUTOEVENTO&lt;&gt;"manual",$M37&lt;&gt;1)),
IF(Import.TipoArredondamento&lt;&gt;"TransfereGOV",
ROUND(OFFSET($P37,0,AC$13),15-13*ORÇAMENTO!$AF$7)/$H37*OFFSET(ORÇAMENTO!$X$15,ROW(AC37)-ROW(AC$15),0),
ROUND(ROUND(OFFSET($P37,0,AC$13),15-13*ORÇAMENTO!$AF$7)*OFFSET(ORÇAMENTO!$W$15,ROW(AC37)-ROW(AC$15),0),15-13*ORÇAMENTO!$AF$11)),0)</f>
        <v>0</v>
      </c>
      <c r="AD37" s="627">
        <f ca="1">IF(AND($D37="Serviço",AD$12&lt;&gt;0,$H37&gt;0,OR(AUTOEVENTO&lt;&gt;"manual",$M37&lt;&gt;1)),
IF(Import.TipoArredondamento&lt;&gt;"TransfereGOV",
ROUND(OFFSET($P37,0,AD$13),15-13*ORÇAMENTO!$AF$7)/$H37*OFFSET(ORÇAMENTO!$X$15,ROW(AD37)-ROW(AD$15),0),
ROUND(ROUND(OFFSET($P37,0,AD$13),15-13*ORÇAMENTO!$AF$7)*OFFSET(ORÇAMENTO!$W$15,ROW(AD37)-ROW(AD$15),0),15-13*ORÇAMENTO!$AF$11)),0)</f>
        <v>0</v>
      </c>
      <c r="AE37" s="627">
        <f ca="1">IF(AND($D37="Serviço",AE$12&lt;&gt;0,$H37&gt;0,OR(AUTOEVENTO&lt;&gt;"manual",$M37&lt;&gt;1)),
IF(Import.TipoArredondamento&lt;&gt;"TransfereGOV",
ROUND(OFFSET($P37,0,AE$13),15-13*ORÇAMENTO!$AF$7)/$H37*OFFSET(ORÇAMENTO!$X$15,ROW(AE37)-ROW(AE$15),0),
ROUND(ROUND(OFFSET($P37,0,AE$13),15-13*ORÇAMENTO!$AF$7)*OFFSET(ORÇAMENTO!$W$15,ROW(AE37)-ROW(AE$15),0),15-13*ORÇAMENTO!$AF$11)),0)</f>
        <v>0</v>
      </c>
      <c r="AF37" s="627">
        <f ca="1">IF(AND($D37="Serviço",AF$12&lt;&gt;0,$H37&gt;0,OR(AUTOEVENTO&lt;&gt;"manual",$M37&lt;&gt;1)),
IF(Import.TipoArredondamento&lt;&gt;"TransfereGOV",
ROUND(OFFSET($P37,0,AF$13),15-13*ORÇAMENTO!$AF$7)/$H37*OFFSET(ORÇAMENTO!$X$15,ROW(AF37)-ROW(AF$15),0),
ROUND(ROUND(OFFSET($P37,0,AF$13),15-13*ORÇAMENTO!$AF$7)*OFFSET(ORÇAMENTO!$W$15,ROW(AF37)-ROW(AF$15),0),15-13*ORÇAMENTO!$AF$11)),0)</f>
        <v>0</v>
      </c>
      <c r="AG37" s="627">
        <f ca="1">IF(AND($D37="Serviço",AG$12&lt;&gt;0,$H37&gt;0,OR(AUTOEVENTO&lt;&gt;"manual",$M37&lt;&gt;1)),
IF(Import.TipoArredondamento&lt;&gt;"TransfereGOV",
ROUND(OFFSET($P37,0,AG$13),15-13*ORÇAMENTO!$AF$7)/$H37*OFFSET(ORÇAMENTO!$X$15,ROW(AG37)-ROW(AG$15),0),
ROUND(ROUND(OFFSET($P37,0,AG$13),15-13*ORÇAMENTO!$AF$7)*OFFSET(ORÇAMENTO!$W$15,ROW(AG37)-ROW(AG$15),0),15-13*ORÇAMENTO!$AF$11)),0)</f>
        <v>0</v>
      </c>
      <c r="AH37" s="627">
        <f ca="1">IF(AND($D37="Serviço",AH$12&lt;&gt;0,$H37&gt;0,OR(AUTOEVENTO&lt;&gt;"manual",$M37&lt;&gt;1)),
IF(Import.TipoArredondamento&lt;&gt;"TransfereGOV",
ROUND(OFFSET($P37,0,AH$13),15-13*ORÇAMENTO!$AF$7)/$H37*OFFSET(ORÇAMENTO!$X$15,ROW(AH37)-ROW(AH$15),0),
ROUND(ROUND(OFFSET($P37,0,AH$13),15-13*ORÇAMENTO!$AF$7)*OFFSET(ORÇAMENTO!$W$15,ROW(AH37)-ROW(AH$15),0),15-13*ORÇAMENTO!$AF$11)),0)</f>
        <v>0</v>
      </c>
      <c r="AI37" s="627">
        <f ca="1">IF(AND($D37="Serviço",AI$12&lt;&gt;0,$H37&gt;0,OR(AUTOEVENTO&lt;&gt;"manual",$M37&lt;&gt;1)),
IF(Import.TipoArredondamento&lt;&gt;"TransfereGOV",
ROUND(OFFSET($P37,0,AI$13),15-13*ORÇAMENTO!$AF$7)/$H37*OFFSET(ORÇAMENTO!$X$15,ROW(AI37)-ROW(AI$15),0),
ROUND(ROUND(OFFSET($P37,0,AI$13),15-13*ORÇAMENTO!$AF$7)*OFFSET(ORÇAMENTO!$W$15,ROW(AI37)-ROW(AI$15),0),15-13*ORÇAMENTO!$AF$11)),0)</f>
        <v>0</v>
      </c>
      <c r="AJ37" s="627">
        <f ca="1">IF(AND($D37="Serviço",AJ$12&lt;&gt;0,$H37&gt;0,OR(AUTOEVENTO&lt;&gt;"manual",$M37&lt;&gt;1)),
IF(Import.TipoArredondamento&lt;&gt;"TransfereGOV",
ROUND(OFFSET($P37,0,AJ$13),15-13*ORÇAMENTO!$AF$7)/$H37*OFFSET(ORÇAMENTO!$X$15,ROW(AJ37)-ROW(AJ$15),0),
ROUND(ROUND(OFFSET($P37,0,AJ$13),15-13*ORÇAMENTO!$AF$7)*OFFSET(ORÇAMENTO!$W$15,ROW(AJ37)-ROW(AJ$15),0),15-13*ORÇAMENTO!$AF$11)),0)</f>
        <v>0</v>
      </c>
      <c r="AK37" s="628">
        <f ca="1">IF(AND($D37="Serviço",AK$12&lt;&gt;0,$H37&gt;0,OR(AUTOEVENTO&lt;&gt;"manual",$M37&lt;&gt;1)),
IF(Import.TipoArredondamento&lt;&gt;"TransfereGOV",
ROUND(OFFSET($P37,0,AK$13),15-13*ORÇAMENTO!$AF$7)/$H37*OFFSET(ORÇAMENTO!$X$15,ROW(AK37)-ROW(AK$15),0),
ROUND(ROUND(OFFSET($P37,0,AK$13),15-13*ORÇAMENTO!$AF$7)*OFFSET(ORÇAMENTO!$W$15,ROW(AK37)-ROW(AK$15),0),15-13*ORÇAMENTO!$AF$11)),0)</f>
        <v>0</v>
      </c>
      <c r="AM37" s="211">
        <f ca="1">IF($D37&lt;&gt;"Serviço",0,IF(AND(AUTOEVENTO="Manual",$M37=1),0,IF(OFFSET(CRONOPLE!$F$14,$M37,AM$13)="",10^12,OFFSET(CRONOPLE!$F$14,$M37,AM$13))))</f>
        <v>2</v>
      </c>
      <c r="AN37" s="211">
        <f ca="1">IF($D37&lt;&gt;"Serviço",0,IF(AND(AUTOEVENTO="Manual",$M37=1),0,IF(OFFSET(CRONOPLE!$F$14,$M37,AN$13)="",10^12,OFFSET(CRONOPLE!$F$14,$M37,AN$13))))</f>
        <v>1</v>
      </c>
      <c r="AO37" s="211">
        <f ca="1">IF($D37&lt;&gt;"Serviço",0,IF(AND(AUTOEVENTO="Manual",$M37=1),0,IF(OFFSET(CRONOPLE!$F$14,$M37,AO$13)="",10^12,OFFSET(CRONOPLE!$F$14,$M37,AO$13))))</f>
        <v>2</v>
      </c>
      <c r="AP37" s="211">
        <f ca="1">IF($D37&lt;&gt;"Serviço",0,IF(AND(AUTOEVENTO="Manual",$M37=1),0,IF(OFFSET(CRONOPLE!$F$14,$M37,AP$13)="",10^12,OFFSET(CRONOPLE!$F$14,$M37,AP$13))))</f>
        <v>2</v>
      </c>
      <c r="AQ37" s="211">
        <f ca="1">IF($D37&lt;&gt;"Serviço",0,IF(AND(AUTOEVENTO="Manual",$M37=1),0,IF(OFFSET(CRONOPLE!$F$14,$M37,AQ$13)="",10^12,OFFSET(CRONOPLE!$F$14,$M37,AQ$13))))</f>
        <v>1000000000000</v>
      </c>
      <c r="AR37" s="211">
        <f ca="1">IF($D37&lt;&gt;"Serviço",0,IF(AND(AUTOEVENTO="Manual",$M37=1),0,IF(OFFSET(CRONOPLE!$F$14,$M37,AR$13)="",10^12,OFFSET(CRONOPLE!$F$14,$M37,AR$13))))</f>
        <v>1000000000000</v>
      </c>
      <c r="AS37" s="211">
        <f ca="1">IF($D37&lt;&gt;"Serviço",0,IF(AND(AUTOEVENTO="Manual",$M37=1),0,IF(OFFSET(CRONOPLE!$F$14,$M37,AS$13)="",10^12,OFFSET(CRONOPLE!$F$14,$M37,AS$13))))</f>
        <v>1000000000000</v>
      </c>
      <c r="AT37" s="211">
        <f ca="1">IF($D37&lt;&gt;"Serviço",0,IF(AND(AUTOEVENTO="Manual",$M37=1),0,IF(OFFSET(CRONOPLE!$F$14,$M37,AT$13)="",10^12,OFFSET(CRONOPLE!$F$14,$M37,AT$13))))</f>
        <v>1000000000000</v>
      </c>
      <c r="AU37" s="211">
        <f ca="1">IF($D37&lt;&gt;"Serviço",0,IF(AND(AUTOEVENTO="Manual",$M37=1),0,IF(OFFSET(CRONOPLE!$F$14,$M37,AU$13)="",10^12,OFFSET(CRONOPLE!$F$14,$M37,AU$13))))</f>
        <v>1000000000000</v>
      </c>
      <c r="AV37" s="211">
        <f ca="1">IF($D37&lt;&gt;"Serviço",0,IF(AND(AUTOEVENTO="Manual",$M37=1),0,IF(OFFSET(CRONOPLE!$F$14,$M37,AV$13)="",10^12,OFFSET(CRONOPLE!$F$14,$M37,AV$13))))</f>
        <v>1000000000000</v>
      </c>
      <c r="AX37" s="212">
        <f ca="1">IF($D37&lt;&gt;"Serviço",0,IF(OR(AND(AUTOEVENTO="Manual",$M37=1),$M37&gt;(ROW(PLE.lastrow)-ROW(PLE.firstrow))),0,IF(OFFSET(PLE!$G$14,$M37,AX$13)="",10^12,OFFSET(PLE!$G$14,$M37,AX$13))))</f>
        <v>1000000000000</v>
      </c>
      <c r="AY37" s="212">
        <f ca="1">IF($D37&lt;&gt;"Serviço",0,IF(OR(AND(AUTOEVENTO="Manual",$M37=1),$M37&gt;(ROW(PLE.lastrow)-ROW(PLE.firstrow))),0,IF(OFFSET(PLE!$G$14,$M37,AY$13)="",10^12,OFFSET(PLE!$G$14,$M37,AY$13))))</f>
        <v>1000000000000</v>
      </c>
      <c r="AZ37" s="212">
        <f ca="1">IF($D37&lt;&gt;"Serviço",0,IF(OR(AND(AUTOEVENTO="Manual",$M37=1),$M37&gt;(ROW(PLE.lastrow)-ROW(PLE.firstrow))),0,IF(OFFSET(PLE!$G$14,$M37,AZ$13)="",10^12,OFFSET(PLE!$G$14,$M37,AZ$13))))</f>
        <v>1000000000000</v>
      </c>
      <c r="BA37" s="212">
        <f ca="1">IF($D37&lt;&gt;"Serviço",0,IF(OR(AND(AUTOEVENTO="Manual",$M37=1),$M37&gt;(ROW(PLE.lastrow)-ROW(PLE.firstrow))),0,IF(OFFSET(PLE!$G$14,$M37,BA$13)="",10^12,OFFSET(PLE!$G$14,$M37,BA$13))))</f>
        <v>1000000000000</v>
      </c>
      <c r="BB37" s="212">
        <f ca="1">IF($D37&lt;&gt;"Serviço",0,IF(OR(AND(AUTOEVENTO="Manual",$M37=1),$M37&gt;(ROW(PLE.lastrow)-ROW(PLE.firstrow))),0,IF(OFFSET(PLE!$G$14,$M37,BB$13)="",10^12,OFFSET(PLE!$G$14,$M37,BB$13))))</f>
        <v>1000000000000</v>
      </c>
      <c r="BC37" s="212">
        <f ca="1">IF($D37&lt;&gt;"Serviço",0,IF(OR(AND(AUTOEVENTO="Manual",$M37=1),$M37&gt;(ROW(PLE.lastrow)-ROW(PLE.firstrow))),0,IF(OFFSET(PLE!$G$14,$M37,BC$13)="",10^12,OFFSET(PLE!$G$14,$M37,BC$13))))</f>
        <v>1000000000000</v>
      </c>
      <c r="BD37" s="212">
        <f ca="1">IF($D37&lt;&gt;"Serviço",0,IF(OR(AND(AUTOEVENTO="Manual",$M37=1),$M37&gt;(ROW(PLE.lastrow)-ROW(PLE.firstrow))),0,IF(OFFSET(PLE!$G$14,$M37,BD$13)="",10^12,OFFSET(PLE!$G$14,$M37,BD$13))))</f>
        <v>1000000000000</v>
      </c>
      <c r="BE37" s="212">
        <f ca="1">IF($D37&lt;&gt;"Serviço",0,IF(OR(AND(AUTOEVENTO="Manual",$M37=1),$M37&gt;(ROW(PLE.lastrow)-ROW(PLE.firstrow))),0,IF(OFFSET(PLE!$G$14,$M37,BE$13)="",10^12,OFFSET(PLE!$G$14,$M37,BE$13))))</f>
        <v>1000000000000</v>
      </c>
      <c r="BF37" s="212">
        <f ca="1">IF($D37&lt;&gt;"Serviço",0,IF(OR(AND(AUTOEVENTO="Manual",$M37=1),$M37&gt;(ROW(PLE.lastrow)-ROW(PLE.firstrow))),0,IF(OFFSET(PLE!$G$14,$M37,BF$13)="",10^12,OFFSET(PLE!$G$14,$M37,BF$13))))</f>
        <v>1000000000000</v>
      </c>
      <c r="BG37" s="212">
        <f ca="1">IF($D37&lt;&gt;"Serviço",0,IF(OR(AND(AUTOEVENTO="Manual",$M37=1),$M37&gt;(ROW(PLE.lastrow)-ROW(PLE.firstrow))),0,IF(OFFSET(PLE!$G$14,$M37,BG$13)="",10^12,OFFSET(PLE!$G$14,$M37,BG$13))))</f>
        <v>1000000000000</v>
      </c>
    </row>
    <row r="38" spans="1:59" ht="13.2">
      <c r="A38" s="9" t="str">
        <f t="shared" ca="1" si="8"/>
        <v>15</v>
      </c>
      <c r="B38" s="9" t="str">
        <f ca="1">OFFSET(ORÇAMENTO!C$15,ROW(B38)-ROW(B$15),0)</f>
        <v>S</v>
      </c>
      <c r="C38" s="9" t="str">
        <f ca="1">OFFSET(ORÇAMENTO!L$15,ROW(C38)-ROW(C$15),0)</f>
        <v/>
      </c>
      <c r="D38" s="141" t="str">
        <f ca="1">OFFSET(ORÇAMENTO!N$15,ROW(D38)-ROW(D$15),0)</f>
        <v>Serviço</v>
      </c>
      <c r="E38" s="201" t="str">
        <f ca="1">OFFSET(ORÇAMENTO!O$15,ROW(E38)-ROW(E$15),0)</f>
        <v>-</v>
      </c>
      <c r="F38" s="202" t="str">
        <f ca="1">OFFSET(ORÇAMENTO!R$15,ROW(F38)-ROW(F$15),0)</f>
        <v>(abra o arquivo 'Referência 11-2024.xlsm)</v>
      </c>
      <c r="G38" s="203" t="str">
        <f ca="1">IF($D38&lt;&gt;"Serviço","",OFFSET(ORÇAMENTO!S$15,ROW(G38)-ROW(G$15),0))</f>
        <v>-</v>
      </c>
      <c r="H38" s="147">
        <f ca="1">IF($D38&lt;&gt;"Serviço",0,IF(ACOMPANHAMENTO="BM",ROUND(OFFSET(ORÇAMENTO!AJ$15,ROW(H38)-ROW(H$15),0),15-13*ORÇAMENTO!$AF$7),SUMPRODUCT(($Q$12:$AA$12&lt;&gt;"")*ROUND($Q38:$AA38,15-13*ORÇAMENTO!$AF$7))))</f>
        <v>0</v>
      </c>
      <c r="I38" s="645"/>
      <c r="K38" s="204"/>
      <c r="L38" s="205" t="s">
        <v>255</v>
      </c>
      <c r="M38" s="206">
        <f ca="1">IF($D38&lt;&gt;"Serviço","",IF(AUTOEVENTO="manual",$A38,IF(ISERROR(MATCH($A38,$A$15:OFFSET($A38,-1,0),0)),MAX($M$15:OFFSET(M38,-1,0))+1,INDEX($M$15:OFFSET(M38,-1,0),MATCH($A38,$A$15:OFFSET($A38,-1,0),0)))))</f>
        <v>6</v>
      </c>
      <c r="N38" s="207" t="str">
        <f ca="1">IF($D38&lt;&gt;"Serviço","",IF(AUTOEVENTO="Manual",IF($A38=0,"&lt;-- defina o número do agrupador",OFFSET(EVENTOS!$D$14,$A38,0)),OFFSET($F$15,$A38,0)))</f>
        <v>DRENAGEM</v>
      </c>
      <c r="O38" s="208"/>
      <c r="Q38" s="208"/>
      <c r="R38" s="209"/>
      <c r="S38" s="209"/>
      <c r="T38" s="209"/>
      <c r="U38" s="209"/>
      <c r="V38" s="209"/>
      <c r="W38" s="209"/>
      <c r="X38" s="209"/>
      <c r="Y38" s="209"/>
      <c r="Z38" s="210"/>
      <c r="AB38" s="626">
        <f ca="1">IF(AND($D38="Serviço",AB$12&lt;&gt;0,$H38&gt;0,OR(AUTOEVENTO&lt;&gt;"manual",$M38&lt;&gt;1)),
IF(Import.TipoArredondamento&lt;&gt;"TransfereGOV",
ROUND(OFFSET($P38,0,AB$13),15-13*ORÇAMENTO!$AF$7)/$H38*OFFSET(ORÇAMENTO!$X$15,ROW(AB38)-ROW(AB$15),0),
ROUND(ROUND(OFFSET($P38,0,AB$13),15-13*ORÇAMENTO!$AF$7)*OFFSET(ORÇAMENTO!$W$15,ROW(AB38)-ROW(AB$15),0),15-13*ORÇAMENTO!$AF$11)),0)</f>
        <v>0</v>
      </c>
      <c r="AC38" s="627">
        <f ca="1">IF(AND($D38="Serviço",AC$12&lt;&gt;0,$H38&gt;0,OR(AUTOEVENTO&lt;&gt;"manual",$M38&lt;&gt;1)),
IF(Import.TipoArredondamento&lt;&gt;"TransfereGOV",
ROUND(OFFSET($P38,0,AC$13),15-13*ORÇAMENTO!$AF$7)/$H38*OFFSET(ORÇAMENTO!$X$15,ROW(AC38)-ROW(AC$15),0),
ROUND(ROUND(OFFSET($P38,0,AC$13),15-13*ORÇAMENTO!$AF$7)*OFFSET(ORÇAMENTO!$W$15,ROW(AC38)-ROW(AC$15),0),15-13*ORÇAMENTO!$AF$11)),0)</f>
        <v>0</v>
      </c>
      <c r="AD38" s="627">
        <f ca="1">IF(AND($D38="Serviço",AD$12&lt;&gt;0,$H38&gt;0,OR(AUTOEVENTO&lt;&gt;"manual",$M38&lt;&gt;1)),
IF(Import.TipoArredondamento&lt;&gt;"TransfereGOV",
ROUND(OFFSET($P38,0,AD$13),15-13*ORÇAMENTO!$AF$7)/$H38*OFFSET(ORÇAMENTO!$X$15,ROW(AD38)-ROW(AD$15),0),
ROUND(ROUND(OFFSET($P38,0,AD$13),15-13*ORÇAMENTO!$AF$7)*OFFSET(ORÇAMENTO!$W$15,ROW(AD38)-ROW(AD$15),0),15-13*ORÇAMENTO!$AF$11)),0)</f>
        <v>0</v>
      </c>
      <c r="AE38" s="627">
        <f ca="1">IF(AND($D38="Serviço",AE$12&lt;&gt;0,$H38&gt;0,OR(AUTOEVENTO&lt;&gt;"manual",$M38&lt;&gt;1)),
IF(Import.TipoArredondamento&lt;&gt;"TransfereGOV",
ROUND(OFFSET($P38,0,AE$13),15-13*ORÇAMENTO!$AF$7)/$H38*OFFSET(ORÇAMENTO!$X$15,ROW(AE38)-ROW(AE$15),0),
ROUND(ROUND(OFFSET($P38,0,AE$13),15-13*ORÇAMENTO!$AF$7)*OFFSET(ORÇAMENTO!$W$15,ROW(AE38)-ROW(AE$15),0),15-13*ORÇAMENTO!$AF$11)),0)</f>
        <v>0</v>
      </c>
      <c r="AF38" s="627">
        <f ca="1">IF(AND($D38="Serviço",AF$12&lt;&gt;0,$H38&gt;0,OR(AUTOEVENTO&lt;&gt;"manual",$M38&lt;&gt;1)),
IF(Import.TipoArredondamento&lt;&gt;"TransfereGOV",
ROUND(OFFSET($P38,0,AF$13),15-13*ORÇAMENTO!$AF$7)/$H38*OFFSET(ORÇAMENTO!$X$15,ROW(AF38)-ROW(AF$15),0),
ROUND(ROUND(OFFSET($P38,0,AF$13),15-13*ORÇAMENTO!$AF$7)*OFFSET(ORÇAMENTO!$W$15,ROW(AF38)-ROW(AF$15),0),15-13*ORÇAMENTO!$AF$11)),0)</f>
        <v>0</v>
      </c>
      <c r="AG38" s="627">
        <f ca="1">IF(AND($D38="Serviço",AG$12&lt;&gt;0,$H38&gt;0,OR(AUTOEVENTO&lt;&gt;"manual",$M38&lt;&gt;1)),
IF(Import.TipoArredondamento&lt;&gt;"TransfereGOV",
ROUND(OFFSET($P38,0,AG$13),15-13*ORÇAMENTO!$AF$7)/$H38*OFFSET(ORÇAMENTO!$X$15,ROW(AG38)-ROW(AG$15),0),
ROUND(ROUND(OFFSET($P38,0,AG$13),15-13*ORÇAMENTO!$AF$7)*OFFSET(ORÇAMENTO!$W$15,ROW(AG38)-ROW(AG$15),0),15-13*ORÇAMENTO!$AF$11)),0)</f>
        <v>0</v>
      </c>
      <c r="AH38" s="627">
        <f ca="1">IF(AND($D38="Serviço",AH$12&lt;&gt;0,$H38&gt;0,OR(AUTOEVENTO&lt;&gt;"manual",$M38&lt;&gt;1)),
IF(Import.TipoArredondamento&lt;&gt;"TransfereGOV",
ROUND(OFFSET($P38,0,AH$13),15-13*ORÇAMENTO!$AF$7)/$H38*OFFSET(ORÇAMENTO!$X$15,ROW(AH38)-ROW(AH$15),0),
ROUND(ROUND(OFFSET($P38,0,AH$13),15-13*ORÇAMENTO!$AF$7)*OFFSET(ORÇAMENTO!$W$15,ROW(AH38)-ROW(AH$15),0),15-13*ORÇAMENTO!$AF$11)),0)</f>
        <v>0</v>
      </c>
      <c r="AI38" s="627">
        <f ca="1">IF(AND($D38="Serviço",AI$12&lt;&gt;0,$H38&gt;0,OR(AUTOEVENTO&lt;&gt;"manual",$M38&lt;&gt;1)),
IF(Import.TipoArredondamento&lt;&gt;"TransfereGOV",
ROUND(OFFSET($P38,0,AI$13),15-13*ORÇAMENTO!$AF$7)/$H38*OFFSET(ORÇAMENTO!$X$15,ROW(AI38)-ROW(AI$15),0),
ROUND(ROUND(OFFSET($P38,0,AI$13),15-13*ORÇAMENTO!$AF$7)*OFFSET(ORÇAMENTO!$W$15,ROW(AI38)-ROW(AI$15),0),15-13*ORÇAMENTO!$AF$11)),0)</f>
        <v>0</v>
      </c>
      <c r="AJ38" s="627">
        <f ca="1">IF(AND($D38="Serviço",AJ$12&lt;&gt;0,$H38&gt;0,OR(AUTOEVENTO&lt;&gt;"manual",$M38&lt;&gt;1)),
IF(Import.TipoArredondamento&lt;&gt;"TransfereGOV",
ROUND(OFFSET($P38,0,AJ$13),15-13*ORÇAMENTO!$AF$7)/$H38*OFFSET(ORÇAMENTO!$X$15,ROW(AJ38)-ROW(AJ$15),0),
ROUND(ROUND(OFFSET($P38,0,AJ$13),15-13*ORÇAMENTO!$AF$7)*OFFSET(ORÇAMENTO!$W$15,ROW(AJ38)-ROW(AJ$15),0),15-13*ORÇAMENTO!$AF$11)),0)</f>
        <v>0</v>
      </c>
      <c r="AK38" s="628">
        <f ca="1">IF(AND($D38="Serviço",AK$12&lt;&gt;0,$H38&gt;0,OR(AUTOEVENTO&lt;&gt;"manual",$M38&lt;&gt;1)),
IF(Import.TipoArredondamento&lt;&gt;"TransfereGOV",
ROUND(OFFSET($P38,0,AK$13),15-13*ORÇAMENTO!$AF$7)/$H38*OFFSET(ORÇAMENTO!$X$15,ROW(AK38)-ROW(AK$15),0),
ROUND(ROUND(OFFSET($P38,0,AK$13),15-13*ORÇAMENTO!$AF$7)*OFFSET(ORÇAMENTO!$W$15,ROW(AK38)-ROW(AK$15),0),15-13*ORÇAMENTO!$AF$11)),0)</f>
        <v>0</v>
      </c>
      <c r="AM38" s="211">
        <f ca="1">IF($D38&lt;&gt;"Serviço",0,IF(AND(AUTOEVENTO="Manual",$M38=1),0,IF(OFFSET(CRONOPLE!$F$14,$M38,AM$13)="",10^12,OFFSET(CRONOPLE!$F$14,$M38,AM$13))))</f>
        <v>2</v>
      </c>
      <c r="AN38" s="211">
        <f ca="1">IF($D38&lt;&gt;"Serviço",0,IF(AND(AUTOEVENTO="Manual",$M38=1),0,IF(OFFSET(CRONOPLE!$F$14,$M38,AN$13)="",10^12,OFFSET(CRONOPLE!$F$14,$M38,AN$13))))</f>
        <v>1</v>
      </c>
      <c r="AO38" s="211">
        <f ca="1">IF($D38&lt;&gt;"Serviço",0,IF(AND(AUTOEVENTO="Manual",$M38=1),0,IF(OFFSET(CRONOPLE!$F$14,$M38,AO$13)="",10^12,OFFSET(CRONOPLE!$F$14,$M38,AO$13))))</f>
        <v>2</v>
      </c>
      <c r="AP38" s="211">
        <f ca="1">IF($D38&lt;&gt;"Serviço",0,IF(AND(AUTOEVENTO="Manual",$M38=1),0,IF(OFFSET(CRONOPLE!$F$14,$M38,AP$13)="",10^12,OFFSET(CRONOPLE!$F$14,$M38,AP$13))))</f>
        <v>2</v>
      </c>
      <c r="AQ38" s="211">
        <f ca="1">IF($D38&lt;&gt;"Serviço",0,IF(AND(AUTOEVENTO="Manual",$M38=1),0,IF(OFFSET(CRONOPLE!$F$14,$M38,AQ$13)="",10^12,OFFSET(CRONOPLE!$F$14,$M38,AQ$13))))</f>
        <v>1000000000000</v>
      </c>
      <c r="AR38" s="211">
        <f ca="1">IF($D38&lt;&gt;"Serviço",0,IF(AND(AUTOEVENTO="Manual",$M38=1),0,IF(OFFSET(CRONOPLE!$F$14,$M38,AR$13)="",10^12,OFFSET(CRONOPLE!$F$14,$M38,AR$13))))</f>
        <v>1000000000000</v>
      </c>
      <c r="AS38" s="211">
        <f ca="1">IF($D38&lt;&gt;"Serviço",0,IF(AND(AUTOEVENTO="Manual",$M38=1),0,IF(OFFSET(CRONOPLE!$F$14,$M38,AS$13)="",10^12,OFFSET(CRONOPLE!$F$14,$M38,AS$13))))</f>
        <v>1000000000000</v>
      </c>
      <c r="AT38" s="211">
        <f ca="1">IF($D38&lt;&gt;"Serviço",0,IF(AND(AUTOEVENTO="Manual",$M38=1),0,IF(OFFSET(CRONOPLE!$F$14,$M38,AT$13)="",10^12,OFFSET(CRONOPLE!$F$14,$M38,AT$13))))</f>
        <v>1000000000000</v>
      </c>
      <c r="AU38" s="211">
        <f ca="1">IF($D38&lt;&gt;"Serviço",0,IF(AND(AUTOEVENTO="Manual",$M38=1),0,IF(OFFSET(CRONOPLE!$F$14,$M38,AU$13)="",10^12,OFFSET(CRONOPLE!$F$14,$M38,AU$13))))</f>
        <v>1000000000000</v>
      </c>
      <c r="AV38" s="211">
        <f ca="1">IF($D38&lt;&gt;"Serviço",0,IF(AND(AUTOEVENTO="Manual",$M38=1),0,IF(OFFSET(CRONOPLE!$F$14,$M38,AV$13)="",10^12,OFFSET(CRONOPLE!$F$14,$M38,AV$13))))</f>
        <v>1000000000000</v>
      </c>
      <c r="AX38" s="212">
        <f ca="1">IF($D38&lt;&gt;"Serviço",0,IF(OR(AND(AUTOEVENTO="Manual",$M38=1),$M38&gt;(ROW(PLE.lastrow)-ROW(PLE.firstrow))),0,IF(OFFSET(PLE!$G$14,$M38,AX$13)="",10^12,OFFSET(PLE!$G$14,$M38,AX$13))))</f>
        <v>1000000000000</v>
      </c>
      <c r="AY38" s="212">
        <f ca="1">IF($D38&lt;&gt;"Serviço",0,IF(OR(AND(AUTOEVENTO="Manual",$M38=1),$M38&gt;(ROW(PLE.lastrow)-ROW(PLE.firstrow))),0,IF(OFFSET(PLE!$G$14,$M38,AY$13)="",10^12,OFFSET(PLE!$G$14,$M38,AY$13))))</f>
        <v>1000000000000</v>
      </c>
      <c r="AZ38" s="212">
        <f ca="1">IF($D38&lt;&gt;"Serviço",0,IF(OR(AND(AUTOEVENTO="Manual",$M38=1),$M38&gt;(ROW(PLE.lastrow)-ROW(PLE.firstrow))),0,IF(OFFSET(PLE!$G$14,$M38,AZ$13)="",10^12,OFFSET(PLE!$G$14,$M38,AZ$13))))</f>
        <v>1000000000000</v>
      </c>
      <c r="BA38" s="212">
        <f ca="1">IF($D38&lt;&gt;"Serviço",0,IF(OR(AND(AUTOEVENTO="Manual",$M38=1),$M38&gt;(ROW(PLE.lastrow)-ROW(PLE.firstrow))),0,IF(OFFSET(PLE!$G$14,$M38,BA$13)="",10^12,OFFSET(PLE!$G$14,$M38,BA$13))))</f>
        <v>1000000000000</v>
      </c>
      <c r="BB38" s="212">
        <f ca="1">IF($D38&lt;&gt;"Serviço",0,IF(OR(AND(AUTOEVENTO="Manual",$M38=1),$M38&gt;(ROW(PLE.lastrow)-ROW(PLE.firstrow))),0,IF(OFFSET(PLE!$G$14,$M38,BB$13)="",10^12,OFFSET(PLE!$G$14,$M38,BB$13))))</f>
        <v>1000000000000</v>
      </c>
      <c r="BC38" s="212">
        <f ca="1">IF($D38&lt;&gt;"Serviço",0,IF(OR(AND(AUTOEVENTO="Manual",$M38=1),$M38&gt;(ROW(PLE.lastrow)-ROW(PLE.firstrow))),0,IF(OFFSET(PLE!$G$14,$M38,BC$13)="",10^12,OFFSET(PLE!$G$14,$M38,BC$13))))</f>
        <v>1000000000000</v>
      </c>
      <c r="BD38" s="212">
        <f ca="1">IF($D38&lt;&gt;"Serviço",0,IF(OR(AND(AUTOEVENTO="Manual",$M38=1),$M38&gt;(ROW(PLE.lastrow)-ROW(PLE.firstrow))),0,IF(OFFSET(PLE!$G$14,$M38,BD$13)="",10^12,OFFSET(PLE!$G$14,$M38,BD$13))))</f>
        <v>1000000000000</v>
      </c>
      <c r="BE38" s="212">
        <f ca="1">IF($D38&lt;&gt;"Serviço",0,IF(OR(AND(AUTOEVENTO="Manual",$M38=1),$M38&gt;(ROW(PLE.lastrow)-ROW(PLE.firstrow))),0,IF(OFFSET(PLE!$G$14,$M38,BE$13)="",10^12,OFFSET(PLE!$G$14,$M38,BE$13))))</f>
        <v>1000000000000</v>
      </c>
      <c r="BF38" s="212">
        <f ca="1">IF($D38&lt;&gt;"Serviço",0,IF(OR(AND(AUTOEVENTO="Manual",$M38=1),$M38&gt;(ROW(PLE.lastrow)-ROW(PLE.firstrow))),0,IF(OFFSET(PLE!$G$14,$M38,BF$13)="",10^12,OFFSET(PLE!$G$14,$M38,BF$13))))</f>
        <v>1000000000000</v>
      </c>
      <c r="BG38" s="212">
        <f ca="1">IF($D38&lt;&gt;"Serviço",0,IF(OR(AND(AUTOEVENTO="Manual",$M38=1),$M38&gt;(ROW(PLE.lastrow)-ROW(PLE.firstrow))),0,IF(OFFSET(PLE!$G$14,$M38,BG$13)="",10^12,OFFSET(PLE!$G$14,$M38,BG$13))))</f>
        <v>1000000000000</v>
      </c>
    </row>
    <row r="39" spans="1:59" ht="13.2">
      <c r="A39" s="9" t="str">
        <f t="shared" ca="1" si="8"/>
        <v>15</v>
      </c>
      <c r="B39" s="9" t="str">
        <f ca="1">OFFSET(ORÇAMENTO!C$15,ROW(B39)-ROW(B$15),0)</f>
        <v>S</v>
      </c>
      <c r="C39" s="9" t="str">
        <f ca="1">OFFSET(ORÇAMENTO!L$15,ROW(C39)-ROW(C$15),0)</f>
        <v/>
      </c>
      <c r="D39" s="141" t="str">
        <f ca="1">OFFSET(ORÇAMENTO!N$15,ROW(D39)-ROW(D$15),0)</f>
        <v>Serviço</v>
      </c>
      <c r="E39" s="201" t="str">
        <f ca="1">OFFSET(ORÇAMENTO!O$15,ROW(E39)-ROW(E$15),0)</f>
        <v>-</v>
      </c>
      <c r="F39" s="202" t="str">
        <f ca="1">OFFSET(ORÇAMENTO!R$15,ROW(F39)-ROW(F$15),0)</f>
        <v>(abra o arquivo 'Referência 11-2024.xlsm)</v>
      </c>
      <c r="G39" s="203" t="str">
        <f ca="1">IF($D39&lt;&gt;"Serviço","",OFFSET(ORÇAMENTO!S$15,ROW(G39)-ROW(G$15),0))</f>
        <v>-</v>
      </c>
      <c r="H39" s="147">
        <f ca="1">IF($D39&lt;&gt;"Serviço",0,IF(ACOMPANHAMENTO="BM",ROUND(OFFSET(ORÇAMENTO!AJ$15,ROW(H39)-ROW(H$15),0),15-13*ORÇAMENTO!$AF$7),SUMPRODUCT(($Q$12:$AA$12&lt;&gt;"")*ROUND($Q39:$AA39,15-13*ORÇAMENTO!$AF$7))))</f>
        <v>0</v>
      </c>
      <c r="I39" s="645"/>
      <c r="K39" s="204"/>
      <c r="L39" s="205" t="s">
        <v>255</v>
      </c>
      <c r="M39" s="206">
        <f ca="1">IF($D39&lt;&gt;"Serviço","",IF(AUTOEVENTO="manual",$A39,IF(ISERROR(MATCH($A39,$A$15:OFFSET($A39,-1,0),0)),MAX($M$15:OFFSET(M39,-1,0))+1,INDEX($M$15:OFFSET(M39,-1,0),MATCH($A39,$A$15:OFFSET($A39,-1,0),0)))))</f>
        <v>6</v>
      </c>
      <c r="N39" s="207" t="str">
        <f ca="1">IF($D39&lt;&gt;"Serviço","",IF(AUTOEVENTO="Manual",IF($A39=0,"&lt;-- defina o número do agrupador",OFFSET(EVENTOS!$D$14,$A39,0)),OFFSET($F$15,$A39,0)))</f>
        <v>DRENAGEM</v>
      </c>
      <c r="O39" s="208"/>
      <c r="Q39" s="208"/>
      <c r="R39" s="209"/>
      <c r="S39" s="209"/>
      <c r="T39" s="209"/>
      <c r="U39" s="209"/>
      <c r="V39" s="209"/>
      <c r="W39" s="209"/>
      <c r="X39" s="209"/>
      <c r="Y39" s="209"/>
      <c r="Z39" s="210"/>
      <c r="AB39" s="626">
        <f ca="1">IF(AND($D39="Serviço",AB$12&lt;&gt;0,$H39&gt;0,OR(AUTOEVENTO&lt;&gt;"manual",$M39&lt;&gt;1)),
IF(Import.TipoArredondamento&lt;&gt;"TransfereGOV",
ROUND(OFFSET($P39,0,AB$13),15-13*ORÇAMENTO!$AF$7)/$H39*OFFSET(ORÇAMENTO!$X$15,ROW(AB39)-ROW(AB$15),0),
ROUND(ROUND(OFFSET($P39,0,AB$13),15-13*ORÇAMENTO!$AF$7)*OFFSET(ORÇAMENTO!$W$15,ROW(AB39)-ROW(AB$15),0),15-13*ORÇAMENTO!$AF$11)),0)</f>
        <v>0</v>
      </c>
      <c r="AC39" s="627">
        <f ca="1">IF(AND($D39="Serviço",AC$12&lt;&gt;0,$H39&gt;0,OR(AUTOEVENTO&lt;&gt;"manual",$M39&lt;&gt;1)),
IF(Import.TipoArredondamento&lt;&gt;"TransfereGOV",
ROUND(OFFSET($P39,0,AC$13),15-13*ORÇAMENTO!$AF$7)/$H39*OFFSET(ORÇAMENTO!$X$15,ROW(AC39)-ROW(AC$15),0),
ROUND(ROUND(OFFSET($P39,0,AC$13),15-13*ORÇAMENTO!$AF$7)*OFFSET(ORÇAMENTO!$W$15,ROW(AC39)-ROW(AC$15),0),15-13*ORÇAMENTO!$AF$11)),0)</f>
        <v>0</v>
      </c>
      <c r="AD39" s="627">
        <f ca="1">IF(AND($D39="Serviço",AD$12&lt;&gt;0,$H39&gt;0,OR(AUTOEVENTO&lt;&gt;"manual",$M39&lt;&gt;1)),
IF(Import.TipoArredondamento&lt;&gt;"TransfereGOV",
ROUND(OFFSET($P39,0,AD$13),15-13*ORÇAMENTO!$AF$7)/$H39*OFFSET(ORÇAMENTO!$X$15,ROW(AD39)-ROW(AD$15),0),
ROUND(ROUND(OFFSET($P39,0,AD$13),15-13*ORÇAMENTO!$AF$7)*OFFSET(ORÇAMENTO!$W$15,ROW(AD39)-ROW(AD$15),0),15-13*ORÇAMENTO!$AF$11)),0)</f>
        <v>0</v>
      </c>
      <c r="AE39" s="627">
        <f ca="1">IF(AND($D39="Serviço",AE$12&lt;&gt;0,$H39&gt;0,OR(AUTOEVENTO&lt;&gt;"manual",$M39&lt;&gt;1)),
IF(Import.TipoArredondamento&lt;&gt;"TransfereGOV",
ROUND(OFFSET($P39,0,AE$13),15-13*ORÇAMENTO!$AF$7)/$H39*OFFSET(ORÇAMENTO!$X$15,ROW(AE39)-ROW(AE$15),0),
ROUND(ROUND(OFFSET($P39,0,AE$13),15-13*ORÇAMENTO!$AF$7)*OFFSET(ORÇAMENTO!$W$15,ROW(AE39)-ROW(AE$15),0),15-13*ORÇAMENTO!$AF$11)),0)</f>
        <v>0</v>
      </c>
      <c r="AF39" s="627">
        <f ca="1">IF(AND($D39="Serviço",AF$12&lt;&gt;0,$H39&gt;0,OR(AUTOEVENTO&lt;&gt;"manual",$M39&lt;&gt;1)),
IF(Import.TipoArredondamento&lt;&gt;"TransfereGOV",
ROUND(OFFSET($P39,0,AF$13),15-13*ORÇAMENTO!$AF$7)/$H39*OFFSET(ORÇAMENTO!$X$15,ROW(AF39)-ROW(AF$15),0),
ROUND(ROUND(OFFSET($P39,0,AF$13),15-13*ORÇAMENTO!$AF$7)*OFFSET(ORÇAMENTO!$W$15,ROW(AF39)-ROW(AF$15),0),15-13*ORÇAMENTO!$AF$11)),0)</f>
        <v>0</v>
      </c>
      <c r="AG39" s="627">
        <f ca="1">IF(AND($D39="Serviço",AG$12&lt;&gt;0,$H39&gt;0,OR(AUTOEVENTO&lt;&gt;"manual",$M39&lt;&gt;1)),
IF(Import.TipoArredondamento&lt;&gt;"TransfereGOV",
ROUND(OFFSET($P39,0,AG$13),15-13*ORÇAMENTO!$AF$7)/$H39*OFFSET(ORÇAMENTO!$X$15,ROW(AG39)-ROW(AG$15),0),
ROUND(ROUND(OFFSET($P39,0,AG$13),15-13*ORÇAMENTO!$AF$7)*OFFSET(ORÇAMENTO!$W$15,ROW(AG39)-ROW(AG$15),0),15-13*ORÇAMENTO!$AF$11)),0)</f>
        <v>0</v>
      </c>
      <c r="AH39" s="627">
        <f ca="1">IF(AND($D39="Serviço",AH$12&lt;&gt;0,$H39&gt;0,OR(AUTOEVENTO&lt;&gt;"manual",$M39&lt;&gt;1)),
IF(Import.TipoArredondamento&lt;&gt;"TransfereGOV",
ROUND(OFFSET($P39,0,AH$13),15-13*ORÇAMENTO!$AF$7)/$H39*OFFSET(ORÇAMENTO!$X$15,ROW(AH39)-ROW(AH$15),0),
ROUND(ROUND(OFFSET($P39,0,AH$13),15-13*ORÇAMENTO!$AF$7)*OFFSET(ORÇAMENTO!$W$15,ROW(AH39)-ROW(AH$15),0),15-13*ORÇAMENTO!$AF$11)),0)</f>
        <v>0</v>
      </c>
      <c r="AI39" s="627">
        <f ca="1">IF(AND($D39="Serviço",AI$12&lt;&gt;0,$H39&gt;0,OR(AUTOEVENTO&lt;&gt;"manual",$M39&lt;&gt;1)),
IF(Import.TipoArredondamento&lt;&gt;"TransfereGOV",
ROUND(OFFSET($P39,0,AI$13),15-13*ORÇAMENTO!$AF$7)/$H39*OFFSET(ORÇAMENTO!$X$15,ROW(AI39)-ROW(AI$15),0),
ROUND(ROUND(OFFSET($P39,0,AI$13),15-13*ORÇAMENTO!$AF$7)*OFFSET(ORÇAMENTO!$W$15,ROW(AI39)-ROW(AI$15),0),15-13*ORÇAMENTO!$AF$11)),0)</f>
        <v>0</v>
      </c>
      <c r="AJ39" s="627">
        <f ca="1">IF(AND($D39="Serviço",AJ$12&lt;&gt;0,$H39&gt;0,OR(AUTOEVENTO&lt;&gt;"manual",$M39&lt;&gt;1)),
IF(Import.TipoArredondamento&lt;&gt;"TransfereGOV",
ROUND(OFFSET($P39,0,AJ$13),15-13*ORÇAMENTO!$AF$7)/$H39*OFFSET(ORÇAMENTO!$X$15,ROW(AJ39)-ROW(AJ$15),0),
ROUND(ROUND(OFFSET($P39,0,AJ$13),15-13*ORÇAMENTO!$AF$7)*OFFSET(ORÇAMENTO!$W$15,ROW(AJ39)-ROW(AJ$15),0),15-13*ORÇAMENTO!$AF$11)),0)</f>
        <v>0</v>
      </c>
      <c r="AK39" s="628">
        <f ca="1">IF(AND($D39="Serviço",AK$12&lt;&gt;0,$H39&gt;0,OR(AUTOEVENTO&lt;&gt;"manual",$M39&lt;&gt;1)),
IF(Import.TipoArredondamento&lt;&gt;"TransfereGOV",
ROUND(OFFSET($P39,0,AK$13),15-13*ORÇAMENTO!$AF$7)/$H39*OFFSET(ORÇAMENTO!$X$15,ROW(AK39)-ROW(AK$15),0),
ROUND(ROUND(OFFSET($P39,0,AK$13),15-13*ORÇAMENTO!$AF$7)*OFFSET(ORÇAMENTO!$W$15,ROW(AK39)-ROW(AK$15),0),15-13*ORÇAMENTO!$AF$11)),0)</f>
        <v>0</v>
      </c>
      <c r="AM39" s="211">
        <f ca="1">IF($D39&lt;&gt;"Serviço",0,IF(AND(AUTOEVENTO="Manual",$M39=1),0,IF(OFFSET(CRONOPLE!$F$14,$M39,AM$13)="",10^12,OFFSET(CRONOPLE!$F$14,$M39,AM$13))))</f>
        <v>2</v>
      </c>
      <c r="AN39" s="211">
        <f ca="1">IF($D39&lt;&gt;"Serviço",0,IF(AND(AUTOEVENTO="Manual",$M39=1),0,IF(OFFSET(CRONOPLE!$F$14,$M39,AN$13)="",10^12,OFFSET(CRONOPLE!$F$14,$M39,AN$13))))</f>
        <v>1</v>
      </c>
      <c r="AO39" s="211">
        <f ca="1">IF($D39&lt;&gt;"Serviço",0,IF(AND(AUTOEVENTO="Manual",$M39=1),0,IF(OFFSET(CRONOPLE!$F$14,$M39,AO$13)="",10^12,OFFSET(CRONOPLE!$F$14,$M39,AO$13))))</f>
        <v>2</v>
      </c>
      <c r="AP39" s="211">
        <f ca="1">IF($D39&lt;&gt;"Serviço",0,IF(AND(AUTOEVENTO="Manual",$M39=1),0,IF(OFFSET(CRONOPLE!$F$14,$M39,AP$13)="",10^12,OFFSET(CRONOPLE!$F$14,$M39,AP$13))))</f>
        <v>2</v>
      </c>
      <c r="AQ39" s="211">
        <f ca="1">IF($D39&lt;&gt;"Serviço",0,IF(AND(AUTOEVENTO="Manual",$M39=1),0,IF(OFFSET(CRONOPLE!$F$14,$M39,AQ$13)="",10^12,OFFSET(CRONOPLE!$F$14,$M39,AQ$13))))</f>
        <v>1000000000000</v>
      </c>
      <c r="AR39" s="211">
        <f ca="1">IF($D39&lt;&gt;"Serviço",0,IF(AND(AUTOEVENTO="Manual",$M39=1),0,IF(OFFSET(CRONOPLE!$F$14,$M39,AR$13)="",10^12,OFFSET(CRONOPLE!$F$14,$M39,AR$13))))</f>
        <v>1000000000000</v>
      </c>
      <c r="AS39" s="211">
        <f ca="1">IF($D39&lt;&gt;"Serviço",0,IF(AND(AUTOEVENTO="Manual",$M39=1),0,IF(OFFSET(CRONOPLE!$F$14,$M39,AS$13)="",10^12,OFFSET(CRONOPLE!$F$14,$M39,AS$13))))</f>
        <v>1000000000000</v>
      </c>
      <c r="AT39" s="211">
        <f ca="1">IF($D39&lt;&gt;"Serviço",0,IF(AND(AUTOEVENTO="Manual",$M39=1),0,IF(OFFSET(CRONOPLE!$F$14,$M39,AT$13)="",10^12,OFFSET(CRONOPLE!$F$14,$M39,AT$13))))</f>
        <v>1000000000000</v>
      </c>
      <c r="AU39" s="211">
        <f ca="1">IF($D39&lt;&gt;"Serviço",0,IF(AND(AUTOEVENTO="Manual",$M39=1),0,IF(OFFSET(CRONOPLE!$F$14,$M39,AU$13)="",10^12,OFFSET(CRONOPLE!$F$14,$M39,AU$13))))</f>
        <v>1000000000000</v>
      </c>
      <c r="AV39" s="211">
        <f ca="1">IF($D39&lt;&gt;"Serviço",0,IF(AND(AUTOEVENTO="Manual",$M39=1),0,IF(OFFSET(CRONOPLE!$F$14,$M39,AV$13)="",10^12,OFFSET(CRONOPLE!$F$14,$M39,AV$13))))</f>
        <v>1000000000000</v>
      </c>
      <c r="AX39" s="212">
        <f ca="1">IF($D39&lt;&gt;"Serviço",0,IF(OR(AND(AUTOEVENTO="Manual",$M39=1),$M39&gt;(ROW(PLE.lastrow)-ROW(PLE.firstrow))),0,IF(OFFSET(PLE!$G$14,$M39,AX$13)="",10^12,OFFSET(PLE!$G$14,$M39,AX$13))))</f>
        <v>1000000000000</v>
      </c>
      <c r="AY39" s="212">
        <f ca="1">IF($D39&lt;&gt;"Serviço",0,IF(OR(AND(AUTOEVENTO="Manual",$M39=1),$M39&gt;(ROW(PLE.lastrow)-ROW(PLE.firstrow))),0,IF(OFFSET(PLE!$G$14,$M39,AY$13)="",10^12,OFFSET(PLE!$G$14,$M39,AY$13))))</f>
        <v>1000000000000</v>
      </c>
      <c r="AZ39" s="212">
        <f ca="1">IF($D39&lt;&gt;"Serviço",0,IF(OR(AND(AUTOEVENTO="Manual",$M39=1),$M39&gt;(ROW(PLE.lastrow)-ROW(PLE.firstrow))),0,IF(OFFSET(PLE!$G$14,$M39,AZ$13)="",10^12,OFFSET(PLE!$G$14,$M39,AZ$13))))</f>
        <v>1000000000000</v>
      </c>
      <c r="BA39" s="212">
        <f ca="1">IF($D39&lt;&gt;"Serviço",0,IF(OR(AND(AUTOEVENTO="Manual",$M39=1),$M39&gt;(ROW(PLE.lastrow)-ROW(PLE.firstrow))),0,IF(OFFSET(PLE!$G$14,$M39,BA$13)="",10^12,OFFSET(PLE!$G$14,$M39,BA$13))))</f>
        <v>1000000000000</v>
      </c>
      <c r="BB39" s="212">
        <f ca="1">IF($D39&lt;&gt;"Serviço",0,IF(OR(AND(AUTOEVENTO="Manual",$M39=1),$M39&gt;(ROW(PLE.lastrow)-ROW(PLE.firstrow))),0,IF(OFFSET(PLE!$G$14,$M39,BB$13)="",10^12,OFFSET(PLE!$G$14,$M39,BB$13))))</f>
        <v>1000000000000</v>
      </c>
      <c r="BC39" s="212">
        <f ca="1">IF($D39&lt;&gt;"Serviço",0,IF(OR(AND(AUTOEVENTO="Manual",$M39=1),$M39&gt;(ROW(PLE.lastrow)-ROW(PLE.firstrow))),0,IF(OFFSET(PLE!$G$14,$M39,BC$13)="",10^12,OFFSET(PLE!$G$14,$M39,BC$13))))</f>
        <v>1000000000000</v>
      </c>
      <c r="BD39" s="212">
        <f ca="1">IF($D39&lt;&gt;"Serviço",0,IF(OR(AND(AUTOEVENTO="Manual",$M39=1),$M39&gt;(ROW(PLE.lastrow)-ROW(PLE.firstrow))),0,IF(OFFSET(PLE!$G$14,$M39,BD$13)="",10^12,OFFSET(PLE!$G$14,$M39,BD$13))))</f>
        <v>1000000000000</v>
      </c>
      <c r="BE39" s="212">
        <f ca="1">IF($D39&lt;&gt;"Serviço",0,IF(OR(AND(AUTOEVENTO="Manual",$M39=1),$M39&gt;(ROW(PLE.lastrow)-ROW(PLE.firstrow))),0,IF(OFFSET(PLE!$G$14,$M39,BE$13)="",10^12,OFFSET(PLE!$G$14,$M39,BE$13))))</f>
        <v>1000000000000</v>
      </c>
      <c r="BF39" s="212">
        <f ca="1">IF($D39&lt;&gt;"Serviço",0,IF(OR(AND(AUTOEVENTO="Manual",$M39=1),$M39&gt;(ROW(PLE.lastrow)-ROW(PLE.firstrow))),0,IF(OFFSET(PLE!$G$14,$M39,BF$13)="",10^12,OFFSET(PLE!$G$14,$M39,BF$13))))</f>
        <v>1000000000000</v>
      </c>
      <c r="BG39" s="212">
        <f ca="1">IF($D39&lt;&gt;"Serviço",0,IF(OR(AND(AUTOEVENTO="Manual",$M39=1),$M39&gt;(ROW(PLE.lastrow)-ROW(PLE.firstrow))),0,IF(OFFSET(PLE!$G$14,$M39,BG$13)="",10^12,OFFSET(PLE!$G$14,$M39,BG$13))))</f>
        <v>1000000000000</v>
      </c>
    </row>
    <row r="40" spans="1:59" ht="13.2">
      <c r="A40" s="9" t="str">
        <f t="shared" ca="1" si="8"/>
        <v>15</v>
      </c>
      <c r="B40" s="9" t="str">
        <f ca="1">OFFSET(ORÇAMENTO!C$15,ROW(B40)-ROW(B$15),0)</f>
        <v>S</v>
      </c>
      <c r="C40" s="9" t="str">
        <f ca="1">OFFSET(ORÇAMENTO!L$15,ROW(C40)-ROW(C$15),0)</f>
        <v/>
      </c>
      <c r="D40" s="141" t="str">
        <f ca="1">OFFSET(ORÇAMENTO!N$15,ROW(D40)-ROW(D$15),0)</f>
        <v>Serviço</v>
      </c>
      <c r="E40" s="201" t="str">
        <f ca="1">OFFSET(ORÇAMENTO!O$15,ROW(E40)-ROW(E$15),0)</f>
        <v>-</v>
      </c>
      <c r="F40" s="202" t="str">
        <f ca="1">OFFSET(ORÇAMENTO!R$15,ROW(F40)-ROW(F$15),0)</f>
        <v>(abra o arquivo 'Referência 11-2024.xlsm)</v>
      </c>
      <c r="G40" s="203" t="str">
        <f ca="1">IF($D40&lt;&gt;"Serviço","",OFFSET(ORÇAMENTO!S$15,ROW(G40)-ROW(G$15),0))</f>
        <v>-</v>
      </c>
      <c r="H40" s="147">
        <f ca="1">IF($D40&lt;&gt;"Serviço",0,IF(ACOMPANHAMENTO="BM",ROUND(OFFSET(ORÇAMENTO!AJ$15,ROW(H40)-ROW(H$15),0),15-13*ORÇAMENTO!$AF$7),SUMPRODUCT(($Q$12:$AA$12&lt;&gt;"")*ROUND($Q40:$AA40,15-13*ORÇAMENTO!$AF$7))))</f>
        <v>0</v>
      </c>
      <c r="I40" s="645"/>
      <c r="K40" s="204"/>
      <c r="L40" s="205" t="s">
        <v>255</v>
      </c>
      <c r="M40" s="206">
        <f ca="1">IF($D40&lt;&gt;"Serviço","",IF(AUTOEVENTO="manual",$A40,IF(ISERROR(MATCH($A40,$A$15:OFFSET($A40,-1,0),0)),MAX($M$15:OFFSET(M40,-1,0))+1,INDEX($M$15:OFFSET(M40,-1,0),MATCH($A40,$A$15:OFFSET($A40,-1,0),0)))))</f>
        <v>6</v>
      </c>
      <c r="N40" s="207" t="str">
        <f ca="1">IF($D40&lt;&gt;"Serviço","",IF(AUTOEVENTO="Manual",IF($A40=0,"&lt;-- defina o número do agrupador",OFFSET(EVENTOS!$D$14,$A40,0)),OFFSET($F$15,$A40,0)))</f>
        <v>DRENAGEM</v>
      </c>
      <c r="O40" s="208"/>
      <c r="Q40" s="208"/>
      <c r="R40" s="209"/>
      <c r="S40" s="209"/>
      <c r="T40" s="209"/>
      <c r="U40" s="209"/>
      <c r="V40" s="209"/>
      <c r="W40" s="209"/>
      <c r="X40" s="209"/>
      <c r="Y40" s="209"/>
      <c r="Z40" s="210"/>
      <c r="AB40" s="626">
        <f ca="1">IF(AND($D40="Serviço",AB$12&lt;&gt;0,$H40&gt;0,OR(AUTOEVENTO&lt;&gt;"manual",$M40&lt;&gt;1)),
IF(Import.TipoArredondamento&lt;&gt;"TransfereGOV",
ROUND(OFFSET($P40,0,AB$13),15-13*ORÇAMENTO!$AF$7)/$H40*OFFSET(ORÇAMENTO!$X$15,ROW(AB40)-ROW(AB$15),0),
ROUND(ROUND(OFFSET($P40,0,AB$13),15-13*ORÇAMENTO!$AF$7)*OFFSET(ORÇAMENTO!$W$15,ROW(AB40)-ROW(AB$15),0),15-13*ORÇAMENTO!$AF$11)),0)</f>
        <v>0</v>
      </c>
      <c r="AC40" s="627">
        <f ca="1">IF(AND($D40="Serviço",AC$12&lt;&gt;0,$H40&gt;0,OR(AUTOEVENTO&lt;&gt;"manual",$M40&lt;&gt;1)),
IF(Import.TipoArredondamento&lt;&gt;"TransfereGOV",
ROUND(OFFSET($P40,0,AC$13),15-13*ORÇAMENTO!$AF$7)/$H40*OFFSET(ORÇAMENTO!$X$15,ROW(AC40)-ROW(AC$15),0),
ROUND(ROUND(OFFSET($P40,0,AC$13),15-13*ORÇAMENTO!$AF$7)*OFFSET(ORÇAMENTO!$W$15,ROW(AC40)-ROW(AC$15),0),15-13*ORÇAMENTO!$AF$11)),0)</f>
        <v>0</v>
      </c>
      <c r="AD40" s="627">
        <f ca="1">IF(AND($D40="Serviço",AD$12&lt;&gt;0,$H40&gt;0,OR(AUTOEVENTO&lt;&gt;"manual",$M40&lt;&gt;1)),
IF(Import.TipoArredondamento&lt;&gt;"TransfereGOV",
ROUND(OFFSET($P40,0,AD$13),15-13*ORÇAMENTO!$AF$7)/$H40*OFFSET(ORÇAMENTO!$X$15,ROW(AD40)-ROW(AD$15),0),
ROUND(ROUND(OFFSET($P40,0,AD$13),15-13*ORÇAMENTO!$AF$7)*OFFSET(ORÇAMENTO!$W$15,ROW(AD40)-ROW(AD$15),0),15-13*ORÇAMENTO!$AF$11)),0)</f>
        <v>0</v>
      </c>
      <c r="AE40" s="627">
        <f ca="1">IF(AND($D40="Serviço",AE$12&lt;&gt;0,$H40&gt;0,OR(AUTOEVENTO&lt;&gt;"manual",$M40&lt;&gt;1)),
IF(Import.TipoArredondamento&lt;&gt;"TransfereGOV",
ROUND(OFFSET($P40,0,AE$13),15-13*ORÇAMENTO!$AF$7)/$H40*OFFSET(ORÇAMENTO!$X$15,ROW(AE40)-ROW(AE$15),0),
ROUND(ROUND(OFFSET($P40,0,AE$13),15-13*ORÇAMENTO!$AF$7)*OFFSET(ORÇAMENTO!$W$15,ROW(AE40)-ROW(AE$15),0),15-13*ORÇAMENTO!$AF$11)),0)</f>
        <v>0</v>
      </c>
      <c r="AF40" s="627">
        <f ca="1">IF(AND($D40="Serviço",AF$12&lt;&gt;0,$H40&gt;0,OR(AUTOEVENTO&lt;&gt;"manual",$M40&lt;&gt;1)),
IF(Import.TipoArredondamento&lt;&gt;"TransfereGOV",
ROUND(OFFSET($P40,0,AF$13),15-13*ORÇAMENTO!$AF$7)/$H40*OFFSET(ORÇAMENTO!$X$15,ROW(AF40)-ROW(AF$15),0),
ROUND(ROUND(OFFSET($P40,0,AF$13),15-13*ORÇAMENTO!$AF$7)*OFFSET(ORÇAMENTO!$W$15,ROW(AF40)-ROW(AF$15),0),15-13*ORÇAMENTO!$AF$11)),0)</f>
        <v>0</v>
      </c>
      <c r="AG40" s="627">
        <f ca="1">IF(AND($D40="Serviço",AG$12&lt;&gt;0,$H40&gt;0,OR(AUTOEVENTO&lt;&gt;"manual",$M40&lt;&gt;1)),
IF(Import.TipoArredondamento&lt;&gt;"TransfereGOV",
ROUND(OFFSET($P40,0,AG$13),15-13*ORÇAMENTO!$AF$7)/$H40*OFFSET(ORÇAMENTO!$X$15,ROW(AG40)-ROW(AG$15),0),
ROUND(ROUND(OFFSET($P40,0,AG$13),15-13*ORÇAMENTO!$AF$7)*OFFSET(ORÇAMENTO!$W$15,ROW(AG40)-ROW(AG$15),0),15-13*ORÇAMENTO!$AF$11)),0)</f>
        <v>0</v>
      </c>
      <c r="AH40" s="627">
        <f ca="1">IF(AND($D40="Serviço",AH$12&lt;&gt;0,$H40&gt;0,OR(AUTOEVENTO&lt;&gt;"manual",$M40&lt;&gt;1)),
IF(Import.TipoArredondamento&lt;&gt;"TransfereGOV",
ROUND(OFFSET($P40,0,AH$13),15-13*ORÇAMENTO!$AF$7)/$H40*OFFSET(ORÇAMENTO!$X$15,ROW(AH40)-ROW(AH$15),0),
ROUND(ROUND(OFFSET($P40,0,AH$13),15-13*ORÇAMENTO!$AF$7)*OFFSET(ORÇAMENTO!$W$15,ROW(AH40)-ROW(AH$15),0),15-13*ORÇAMENTO!$AF$11)),0)</f>
        <v>0</v>
      </c>
      <c r="AI40" s="627">
        <f ca="1">IF(AND($D40="Serviço",AI$12&lt;&gt;0,$H40&gt;0,OR(AUTOEVENTO&lt;&gt;"manual",$M40&lt;&gt;1)),
IF(Import.TipoArredondamento&lt;&gt;"TransfereGOV",
ROUND(OFFSET($P40,0,AI$13),15-13*ORÇAMENTO!$AF$7)/$H40*OFFSET(ORÇAMENTO!$X$15,ROW(AI40)-ROW(AI$15),0),
ROUND(ROUND(OFFSET($P40,0,AI$13),15-13*ORÇAMENTO!$AF$7)*OFFSET(ORÇAMENTO!$W$15,ROW(AI40)-ROW(AI$15),0),15-13*ORÇAMENTO!$AF$11)),0)</f>
        <v>0</v>
      </c>
      <c r="AJ40" s="627">
        <f ca="1">IF(AND($D40="Serviço",AJ$12&lt;&gt;0,$H40&gt;0,OR(AUTOEVENTO&lt;&gt;"manual",$M40&lt;&gt;1)),
IF(Import.TipoArredondamento&lt;&gt;"TransfereGOV",
ROUND(OFFSET($P40,0,AJ$13),15-13*ORÇAMENTO!$AF$7)/$H40*OFFSET(ORÇAMENTO!$X$15,ROW(AJ40)-ROW(AJ$15),0),
ROUND(ROUND(OFFSET($P40,0,AJ$13),15-13*ORÇAMENTO!$AF$7)*OFFSET(ORÇAMENTO!$W$15,ROW(AJ40)-ROW(AJ$15),0),15-13*ORÇAMENTO!$AF$11)),0)</f>
        <v>0</v>
      </c>
      <c r="AK40" s="628">
        <f ca="1">IF(AND($D40="Serviço",AK$12&lt;&gt;0,$H40&gt;0,OR(AUTOEVENTO&lt;&gt;"manual",$M40&lt;&gt;1)),
IF(Import.TipoArredondamento&lt;&gt;"TransfereGOV",
ROUND(OFFSET($P40,0,AK$13),15-13*ORÇAMENTO!$AF$7)/$H40*OFFSET(ORÇAMENTO!$X$15,ROW(AK40)-ROW(AK$15),0),
ROUND(ROUND(OFFSET($P40,0,AK$13),15-13*ORÇAMENTO!$AF$7)*OFFSET(ORÇAMENTO!$W$15,ROW(AK40)-ROW(AK$15),0),15-13*ORÇAMENTO!$AF$11)),0)</f>
        <v>0</v>
      </c>
      <c r="AM40" s="211">
        <f ca="1">IF($D40&lt;&gt;"Serviço",0,IF(AND(AUTOEVENTO="Manual",$M40=1),0,IF(OFFSET(CRONOPLE!$F$14,$M40,AM$13)="",10^12,OFFSET(CRONOPLE!$F$14,$M40,AM$13))))</f>
        <v>2</v>
      </c>
      <c r="AN40" s="211">
        <f ca="1">IF($D40&lt;&gt;"Serviço",0,IF(AND(AUTOEVENTO="Manual",$M40=1),0,IF(OFFSET(CRONOPLE!$F$14,$M40,AN$13)="",10^12,OFFSET(CRONOPLE!$F$14,$M40,AN$13))))</f>
        <v>1</v>
      </c>
      <c r="AO40" s="211">
        <f ca="1">IF($D40&lt;&gt;"Serviço",0,IF(AND(AUTOEVENTO="Manual",$M40=1),0,IF(OFFSET(CRONOPLE!$F$14,$M40,AO$13)="",10^12,OFFSET(CRONOPLE!$F$14,$M40,AO$13))))</f>
        <v>2</v>
      </c>
      <c r="AP40" s="211">
        <f ca="1">IF($D40&lt;&gt;"Serviço",0,IF(AND(AUTOEVENTO="Manual",$M40=1),0,IF(OFFSET(CRONOPLE!$F$14,$M40,AP$13)="",10^12,OFFSET(CRONOPLE!$F$14,$M40,AP$13))))</f>
        <v>2</v>
      </c>
      <c r="AQ40" s="211">
        <f ca="1">IF($D40&lt;&gt;"Serviço",0,IF(AND(AUTOEVENTO="Manual",$M40=1),0,IF(OFFSET(CRONOPLE!$F$14,$M40,AQ$13)="",10^12,OFFSET(CRONOPLE!$F$14,$M40,AQ$13))))</f>
        <v>1000000000000</v>
      </c>
      <c r="AR40" s="211">
        <f ca="1">IF($D40&lt;&gt;"Serviço",0,IF(AND(AUTOEVENTO="Manual",$M40=1),0,IF(OFFSET(CRONOPLE!$F$14,$M40,AR$13)="",10^12,OFFSET(CRONOPLE!$F$14,$M40,AR$13))))</f>
        <v>1000000000000</v>
      </c>
      <c r="AS40" s="211">
        <f ca="1">IF($D40&lt;&gt;"Serviço",0,IF(AND(AUTOEVENTO="Manual",$M40=1),0,IF(OFFSET(CRONOPLE!$F$14,$M40,AS$13)="",10^12,OFFSET(CRONOPLE!$F$14,$M40,AS$13))))</f>
        <v>1000000000000</v>
      </c>
      <c r="AT40" s="211">
        <f ca="1">IF($D40&lt;&gt;"Serviço",0,IF(AND(AUTOEVENTO="Manual",$M40=1),0,IF(OFFSET(CRONOPLE!$F$14,$M40,AT$13)="",10^12,OFFSET(CRONOPLE!$F$14,$M40,AT$13))))</f>
        <v>1000000000000</v>
      </c>
      <c r="AU40" s="211">
        <f ca="1">IF($D40&lt;&gt;"Serviço",0,IF(AND(AUTOEVENTO="Manual",$M40=1),0,IF(OFFSET(CRONOPLE!$F$14,$M40,AU$13)="",10^12,OFFSET(CRONOPLE!$F$14,$M40,AU$13))))</f>
        <v>1000000000000</v>
      </c>
      <c r="AV40" s="211">
        <f ca="1">IF($D40&lt;&gt;"Serviço",0,IF(AND(AUTOEVENTO="Manual",$M40=1),0,IF(OFFSET(CRONOPLE!$F$14,$M40,AV$13)="",10^12,OFFSET(CRONOPLE!$F$14,$M40,AV$13))))</f>
        <v>1000000000000</v>
      </c>
      <c r="AX40" s="212">
        <f ca="1">IF($D40&lt;&gt;"Serviço",0,IF(OR(AND(AUTOEVENTO="Manual",$M40=1),$M40&gt;(ROW(PLE.lastrow)-ROW(PLE.firstrow))),0,IF(OFFSET(PLE!$G$14,$M40,AX$13)="",10^12,OFFSET(PLE!$G$14,$M40,AX$13))))</f>
        <v>1000000000000</v>
      </c>
      <c r="AY40" s="212">
        <f ca="1">IF($D40&lt;&gt;"Serviço",0,IF(OR(AND(AUTOEVENTO="Manual",$M40=1),$M40&gt;(ROW(PLE.lastrow)-ROW(PLE.firstrow))),0,IF(OFFSET(PLE!$G$14,$M40,AY$13)="",10^12,OFFSET(PLE!$G$14,$M40,AY$13))))</f>
        <v>1000000000000</v>
      </c>
      <c r="AZ40" s="212">
        <f ca="1">IF($D40&lt;&gt;"Serviço",0,IF(OR(AND(AUTOEVENTO="Manual",$M40=1),$M40&gt;(ROW(PLE.lastrow)-ROW(PLE.firstrow))),0,IF(OFFSET(PLE!$G$14,$M40,AZ$13)="",10^12,OFFSET(PLE!$G$14,$M40,AZ$13))))</f>
        <v>1000000000000</v>
      </c>
      <c r="BA40" s="212">
        <f ca="1">IF($D40&lt;&gt;"Serviço",0,IF(OR(AND(AUTOEVENTO="Manual",$M40=1),$M40&gt;(ROW(PLE.lastrow)-ROW(PLE.firstrow))),0,IF(OFFSET(PLE!$G$14,$M40,BA$13)="",10^12,OFFSET(PLE!$G$14,$M40,BA$13))))</f>
        <v>1000000000000</v>
      </c>
      <c r="BB40" s="212">
        <f ca="1">IF($D40&lt;&gt;"Serviço",0,IF(OR(AND(AUTOEVENTO="Manual",$M40=1),$M40&gt;(ROW(PLE.lastrow)-ROW(PLE.firstrow))),0,IF(OFFSET(PLE!$G$14,$M40,BB$13)="",10^12,OFFSET(PLE!$G$14,$M40,BB$13))))</f>
        <v>1000000000000</v>
      </c>
      <c r="BC40" s="212">
        <f ca="1">IF($D40&lt;&gt;"Serviço",0,IF(OR(AND(AUTOEVENTO="Manual",$M40=1),$M40&gt;(ROW(PLE.lastrow)-ROW(PLE.firstrow))),0,IF(OFFSET(PLE!$G$14,$M40,BC$13)="",10^12,OFFSET(PLE!$G$14,$M40,BC$13))))</f>
        <v>1000000000000</v>
      </c>
      <c r="BD40" s="212">
        <f ca="1">IF($D40&lt;&gt;"Serviço",0,IF(OR(AND(AUTOEVENTO="Manual",$M40=1),$M40&gt;(ROW(PLE.lastrow)-ROW(PLE.firstrow))),0,IF(OFFSET(PLE!$G$14,$M40,BD$13)="",10^12,OFFSET(PLE!$G$14,$M40,BD$13))))</f>
        <v>1000000000000</v>
      </c>
      <c r="BE40" s="212">
        <f ca="1">IF($D40&lt;&gt;"Serviço",0,IF(OR(AND(AUTOEVENTO="Manual",$M40=1),$M40&gt;(ROW(PLE.lastrow)-ROW(PLE.firstrow))),0,IF(OFFSET(PLE!$G$14,$M40,BE$13)="",10^12,OFFSET(PLE!$G$14,$M40,BE$13))))</f>
        <v>1000000000000</v>
      </c>
      <c r="BF40" s="212">
        <f ca="1">IF($D40&lt;&gt;"Serviço",0,IF(OR(AND(AUTOEVENTO="Manual",$M40=1),$M40&gt;(ROW(PLE.lastrow)-ROW(PLE.firstrow))),0,IF(OFFSET(PLE!$G$14,$M40,BF$13)="",10^12,OFFSET(PLE!$G$14,$M40,BF$13))))</f>
        <v>1000000000000</v>
      </c>
      <c r="BG40" s="212">
        <f ca="1">IF($D40&lt;&gt;"Serviço",0,IF(OR(AND(AUTOEVENTO="Manual",$M40=1),$M40&gt;(ROW(PLE.lastrow)-ROW(PLE.firstrow))),0,IF(OFFSET(PLE!$G$14,$M40,BG$13)="",10^12,OFFSET(PLE!$G$14,$M40,BG$13))))</f>
        <v>1000000000000</v>
      </c>
    </row>
    <row r="41" spans="1:59" ht="13.2">
      <c r="A41" s="9" t="str">
        <f t="shared" ca="1" si="8"/>
        <v>15</v>
      </c>
      <c r="B41" s="9" t="str">
        <f ca="1">OFFSET(ORÇAMENTO!C$15,ROW(B41)-ROW(B$15),0)</f>
        <v>S</v>
      </c>
      <c r="C41" s="9" t="str">
        <f ca="1">OFFSET(ORÇAMENTO!L$15,ROW(C41)-ROW(C$15),0)</f>
        <v/>
      </c>
      <c r="D41" s="141" t="str">
        <f ca="1">OFFSET(ORÇAMENTO!N$15,ROW(D41)-ROW(D$15),0)</f>
        <v>Serviço</v>
      </c>
      <c r="E41" s="201" t="str">
        <f ca="1">OFFSET(ORÇAMENTO!O$15,ROW(E41)-ROW(E$15),0)</f>
        <v>-</v>
      </c>
      <c r="F41" s="202" t="str">
        <f ca="1">OFFSET(ORÇAMENTO!R$15,ROW(F41)-ROW(F$15),0)</f>
        <v>(abra o arquivo 'Referência 11-2024.xlsm)</v>
      </c>
      <c r="G41" s="203" t="str">
        <f ca="1">IF($D41&lt;&gt;"Serviço","",OFFSET(ORÇAMENTO!S$15,ROW(G41)-ROW(G$15),0))</f>
        <v>-</v>
      </c>
      <c r="H41" s="147">
        <f ca="1">IF($D41&lt;&gt;"Serviço",0,IF(ACOMPANHAMENTO="BM",ROUND(OFFSET(ORÇAMENTO!AJ$15,ROW(H41)-ROW(H$15),0),15-13*ORÇAMENTO!$AF$7),SUMPRODUCT(($Q$12:$AA$12&lt;&gt;"")*ROUND($Q41:$AA41,15-13*ORÇAMENTO!$AF$7))))</f>
        <v>0</v>
      </c>
      <c r="I41" s="645"/>
      <c r="K41" s="204"/>
      <c r="L41" s="205" t="s">
        <v>255</v>
      </c>
      <c r="M41" s="206">
        <f ca="1">IF($D41&lt;&gt;"Serviço","",IF(AUTOEVENTO="manual",$A41,IF(ISERROR(MATCH($A41,$A$15:OFFSET($A41,-1,0),0)),MAX($M$15:OFFSET(M41,-1,0))+1,INDEX($M$15:OFFSET(M41,-1,0),MATCH($A41,$A$15:OFFSET($A41,-1,0),0)))))</f>
        <v>6</v>
      </c>
      <c r="N41" s="207" t="str">
        <f ca="1">IF($D41&lt;&gt;"Serviço","",IF(AUTOEVENTO="Manual",IF($A41=0,"&lt;-- defina o número do agrupador",OFFSET(EVENTOS!$D$14,$A41,0)),OFFSET($F$15,$A41,0)))</f>
        <v>DRENAGEM</v>
      </c>
      <c r="O41" s="208"/>
      <c r="Q41" s="208"/>
      <c r="R41" s="209"/>
      <c r="S41" s="209"/>
      <c r="T41" s="209"/>
      <c r="U41" s="209"/>
      <c r="V41" s="209"/>
      <c r="W41" s="209"/>
      <c r="X41" s="209"/>
      <c r="Y41" s="209"/>
      <c r="Z41" s="210"/>
      <c r="AB41" s="626">
        <f ca="1">IF(AND($D41="Serviço",AB$12&lt;&gt;0,$H41&gt;0,OR(AUTOEVENTO&lt;&gt;"manual",$M41&lt;&gt;1)),
IF(Import.TipoArredondamento&lt;&gt;"TransfereGOV",
ROUND(OFFSET($P41,0,AB$13),15-13*ORÇAMENTO!$AF$7)/$H41*OFFSET(ORÇAMENTO!$X$15,ROW(AB41)-ROW(AB$15),0),
ROUND(ROUND(OFFSET($P41,0,AB$13),15-13*ORÇAMENTO!$AF$7)*OFFSET(ORÇAMENTO!$W$15,ROW(AB41)-ROW(AB$15),0),15-13*ORÇAMENTO!$AF$11)),0)</f>
        <v>0</v>
      </c>
      <c r="AC41" s="627">
        <f ca="1">IF(AND($D41="Serviço",AC$12&lt;&gt;0,$H41&gt;0,OR(AUTOEVENTO&lt;&gt;"manual",$M41&lt;&gt;1)),
IF(Import.TipoArredondamento&lt;&gt;"TransfereGOV",
ROUND(OFFSET($P41,0,AC$13),15-13*ORÇAMENTO!$AF$7)/$H41*OFFSET(ORÇAMENTO!$X$15,ROW(AC41)-ROW(AC$15),0),
ROUND(ROUND(OFFSET($P41,0,AC$13),15-13*ORÇAMENTO!$AF$7)*OFFSET(ORÇAMENTO!$W$15,ROW(AC41)-ROW(AC$15),0),15-13*ORÇAMENTO!$AF$11)),0)</f>
        <v>0</v>
      </c>
      <c r="AD41" s="627">
        <f ca="1">IF(AND($D41="Serviço",AD$12&lt;&gt;0,$H41&gt;0,OR(AUTOEVENTO&lt;&gt;"manual",$M41&lt;&gt;1)),
IF(Import.TipoArredondamento&lt;&gt;"TransfereGOV",
ROUND(OFFSET($P41,0,AD$13),15-13*ORÇAMENTO!$AF$7)/$H41*OFFSET(ORÇAMENTO!$X$15,ROW(AD41)-ROW(AD$15),0),
ROUND(ROUND(OFFSET($P41,0,AD$13),15-13*ORÇAMENTO!$AF$7)*OFFSET(ORÇAMENTO!$W$15,ROW(AD41)-ROW(AD$15),0),15-13*ORÇAMENTO!$AF$11)),0)</f>
        <v>0</v>
      </c>
      <c r="AE41" s="627">
        <f ca="1">IF(AND($D41="Serviço",AE$12&lt;&gt;0,$H41&gt;0,OR(AUTOEVENTO&lt;&gt;"manual",$M41&lt;&gt;1)),
IF(Import.TipoArredondamento&lt;&gt;"TransfereGOV",
ROUND(OFFSET($P41,0,AE$13),15-13*ORÇAMENTO!$AF$7)/$H41*OFFSET(ORÇAMENTO!$X$15,ROW(AE41)-ROW(AE$15),0),
ROUND(ROUND(OFFSET($P41,0,AE$13),15-13*ORÇAMENTO!$AF$7)*OFFSET(ORÇAMENTO!$W$15,ROW(AE41)-ROW(AE$15),0),15-13*ORÇAMENTO!$AF$11)),0)</f>
        <v>0</v>
      </c>
      <c r="AF41" s="627">
        <f ca="1">IF(AND($D41="Serviço",AF$12&lt;&gt;0,$H41&gt;0,OR(AUTOEVENTO&lt;&gt;"manual",$M41&lt;&gt;1)),
IF(Import.TipoArredondamento&lt;&gt;"TransfereGOV",
ROUND(OFFSET($P41,0,AF$13),15-13*ORÇAMENTO!$AF$7)/$H41*OFFSET(ORÇAMENTO!$X$15,ROW(AF41)-ROW(AF$15),0),
ROUND(ROUND(OFFSET($P41,0,AF$13),15-13*ORÇAMENTO!$AF$7)*OFFSET(ORÇAMENTO!$W$15,ROW(AF41)-ROW(AF$15),0),15-13*ORÇAMENTO!$AF$11)),0)</f>
        <v>0</v>
      </c>
      <c r="AG41" s="627">
        <f ca="1">IF(AND($D41="Serviço",AG$12&lt;&gt;0,$H41&gt;0,OR(AUTOEVENTO&lt;&gt;"manual",$M41&lt;&gt;1)),
IF(Import.TipoArredondamento&lt;&gt;"TransfereGOV",
ROUND(OFFSET($P41,0,AG$13),15-13*ORÇAMENTO!$AF$7)/$H41*OFFSET(ORÇAMENTO!$X$15,ROW(AG41)-ROW(AG$15),0),
ROUND(ROUND(OFFSET($P41,0,AG$13),15-13*ORÇAMENTO!$AF$7)*OFFSET(ORÇAMENTO!$W$15,ROW(AG41)-ROW(AG$15),0),15-13*ORÇAMENTO!$AF$11)),0)</f>
        <v>0</v>
      </c>
      <c r="AH41" s="627">
        <f ca="1">IF(AND($D41="Serviço",AH$12&lt;&gt;0,$H41&gt;0,OR(AUTOEVENTO&lt;&gt;"manual",$M41&lt;&gt;1)),
IF(Import.TipoArredondamento&lt;&gt;"TransfereGOV",
ROUND(OFFSET($P41,0,AH$13),15-13*ORÇAMENTO!$AF$7)/$H41*OFFSET(ORÇAMENTO!$X$15,ROW(AH41)-ROW(AH$15),0),
ROUND(ROUND(OFFSET($P41,0,AH$13),15-13*ORÇAMENTO!$AF$7)*OFFSET(ORÇAMENTO!$W$15,ROW(AH41)-ROW(AH$15),0),15-13*ORÇAMENTO!$AF$11)),0)</f>
        <v>0</v>
      </c>
      <c r="AI41" s="627">
        <f ca="1">IF(AND($D41="Serviço",AI$12&lt;&gt;0,$H41&gt;0,OR(AUTOEVENTO&lt;&gt;"manual",$M41&lt;&gt;1)),
IF(Import.TipoArredondamento&lt;&gt;"TransfereGOV",
ROUND(OFFSET($P41,0,AI$13),15-13*ORÇAMENTO!$AF$7)/$H41*OFFSET(ORÇAMENTO!$X$15,ROW(AI41)-ROW(AI$15),0),
ROUND(ROUND(OFFSET($P41,0,AI$13),15-13*ORÇAMENTO!$AF$7)*OFFSET(ORÇAMENTO!$W$15,ROW(AI41)-ROW(AI$15),0),15-13*ORÇAMENTO!$AF$11)),0)</f>
        <v>0</v>
      </c>
      <c r="AJ41" s="627">
        <f ca="1">IF(AND($D41="Serviço",AJ$12&lt;&gt;0,$H41&gt;0,OR(AUTOEVENTO&lt;&gt;"manual",$M41&lt;&gt;1)),
IF(Import.TipoArredondamento&lt;&gt;"TransfereGOV",
ROUND(OFFSET($P41,0,AJ$13),15-13*ORÇAMENTO!$AF$7)/$H41*OFFSET(ORÇAMENTO!$X$15,ROW(AJ41)-ROW(AJ$15),0),
ROUND(ROUND(OFFSET($P41,0,AJ$13),15-13*ORÇAMENTO!$AF$7)*OFFSET(ORÇAMENTO!$W$15,ROW(AJ41)-ROW(AJ$15),0),15-13*ORÇAMENTO!$AF$11)),0)</f>
        <v>0</v>
      </c>
      <c r="AK41" s="628">
        <f ca="1">IF(AND($D41="Serviço",AK$12&lt;&gt;0,$H41&gt;0,OR(AUTOEVENTO&lt;&gt;"manual",$M41&lt;&gt;1)),
IF(Import.TipoArredondamento&lt;&gt;"TransfereGOV",
ROUND(OFFSET($P41,0,AK$13),15-13*ORÇAMENTO!$AF$7)/$H41*OFFSET(ORÇAMENTO!$X$15,ROW(AK41)-ROW(AK$15),0),
ROUND(ROUND(OFFSET($P41,0,AK$13),15-13*ORÇAMENTO!$AF$7)*OFFSET(ORÇAMENTO!$W$15,ROW(AK41)-ROW(AK$15),0),15-13*ORÇAMENTO!$AF$11)),0)</f>
        <v>0</v>
      </c>
      <c r="AM41" s="211">
        <f ca="1">IF($D41&lt;&gt;"Serviço",0,IF(AND(AUTOEVENTO="Manual",$M41=1),0,IF(OFFSET(CRONOPLE!$F$14,$M41,AM$13)="",10^12,OFFSET(CRONOPLE!$F$14,$M41,AM$13))))</f>
        <v>2</v>
      </c>
      <c r="AN41" s="211">
        <f ca="1">IF($D41&lt;&gt;"Serviço",0,IF(AND(AUTOEVENTO="Manual",$M41=1),0,IF(OFFSET(CRONOPLE!$F$14,$M41,AN$13)="",10^12,OFFSET(CRONOPLE!$F$14,$M41,AN$13))))</f>
        <v>1</v>
      </c>
      <c r="AO41" s="211">
        <f ca="1">IF($D41&lt;&gt;"Serviço",0,IF(AND(AUTOEVENTO="Manual",$M41=1),0,IF(OFFSET(CRONOPLE!$F$14,$M41,AO$13)="",10^12,OFFSET(CRONOPLE!$F$14,$M41,AO$13))))</f>
        <v>2</v>
      </c>
      <c r="AP41" s="211">
        <f ca="1">IF($D41&lt;&gt;"Serviço",0,IF(AND(AUTOEVENTO="Manual",$M41=1),0,IF(OFFSET(CRONOPLE!$F$14,$M41,AP$13)="",10^12,OFFSET(CRONOPLE!$F$14,$M41,AP$13))))</f>
        <v>2</v>
      </c>
      <c r="AQ41" s="211">
        <f ca="1">IF($D41&lt;&gt;"Serviço",0,IF(AND(AUTOEVENTO="Manual",$M41=1),0,IF(OFFSET(CRONOPLE!$F$14,$M41,AQ$13)="",10^12,OFFSET(CRONOPLE!$F$14,$M41,AQ$13))))</f>
        <v>1000000000000</v>
      </c>
      <c r="AR41" s="211">
        <f ca="1">IF($D41&lt;&gt;"Serviço",0,IF(AND(AUTOEVENTO="Manual",$M41=1),0,IF(OFFSET(CRONOPLE!$F$14,$M41,AR$13)="",10^12,OFFSET(CRONOPLE!$F$14,$M41,AR$13))))</f>
        <v>1000000000000</v>
      </c>
      <c r="AS41" s="211">
        <f ca="1">IF($D41&lt;&gt;"Serviço",0,IF(AND(AUTOEVENTO="Manual",$M41=1),0,IF(OFFSET(CRONOPLE!$F$14,$M41,AS$13)="",10^12,OFFSET(CRONOPLE!$F$14,$M41,AS$13))))</f>
        <v>1000000000000</v>
      </c>
      <c r="AT41" s="211">
        <f ca="1">IF($D41&lt;&gt;"Serviço",0,IF(AND(AUTOEVENTO="Manual",$M41=1),0,IF(OFFSET(CRONOPLE!$F$14,$M41,AT$13)="",10^12,OFFSET(CRONOPLE!$F$14,$M41,AT$13))))</f>
        <v>1000000000000</v>
      </c>
      <c r="AU41" s="211">
        <f ca="1">IF($D41&lt;&gt;"Serviço",0,IF(AND(AUTOEVENTO="Manual",$M41=1),0,IF(OFFSET(CRONOPLE!$F$14,$M41,AU$13)="",10^12,OFFSET(CRONOPLE!$F$14,$M41,AU$13))))</f>
        <v>1000000000000</v>
      </c>
      <c r="AV41" s="211">
        <f ca="1">IF($D41&lt;&gt;"Serviço",0,IF(AND(AUTOEVENTO="Manual",$M41=1),0,IF(OFFSET(CRONOPLE!$F$14,$M41,AV$13)="",10^12,OFFSET(CRONOPLE!$F$14,$M41,AV$13))))</f>
        <v>1000000000000</v>
      </c>
      <c r="AX41" s="212">
        <f ca="1">IF($D41&lt;&gt;"Serviço",0,IF(OR(AND(AUTOEVENTO="Manual",$M41=1),$M41&gt;(ROW(PLE.lastrow)-ROW(PLE.firstrow))),0,IF(OFFSET(PLE!$G$14,$M41,AX$13)="",10^12,OFFSET(PLE!$G$14,$M41,AX$13))))</f>
        <v>1000000000000</v>
      </c>
      <c r="AY41" s="212">
        <f ca="1">IF($D41&lt;&gt;"Serviço",0,IF(OR(AND(AUTOEVENTO="Manual",$M41=1),$M41&gt;(ROW(PLE.lastrow)-ROW(PLE.firstrow))),0,IF(OFFSET(PLE!$G$14,$M41,AY$13)="",10^12,OFFSET(PLE!$G$14,$M41,AY$13))))</f>
        <v>1000000000000</v>
      </c>
      <c r="AZ41" s="212">
        <f ca="1">IF($D41&lt;&gt;"Serviço",0,IF(OR(AND(AUTOEVENTO="Manual",$M41=1),$M41&gt;(ROW(PLE.lastrow)-ROW(PLE.firstrow))),0,IF(OFFSET(PLE!$G$14,$M41,AZ$13)="",10^12,OFFSET(PLE!$G$14,$M41,AZ$13))))</f>
        <v>1000000000000</v>
      </c>
      <c r="BA41" s="212">
        <f ca="1">IF($D41&lt;&gt;"Serviço",0,IF(OR(AND(AUTOEVENTO="Manual",$M41=1),$M41&gt;(ROW(PLE.lastrow)-ROW(PLE.firstrow))),0,IF(OFFSET(PLE!$G$14,$M41,BA$13)="",10^12,OFFSET(PLE!$G$14,$M41,BA$13))))</f>
        <v>1000000000000</v>
      </c>
      <c r="BB41" s="212">
        <f ca="1">IF($D41&lt;&gt;"Serviço",0,IF(OR(AND(AUTOEVENTO="Manual",$M41=1),$M41&gt;(ROW(PLE.lastrow)-ROW(PLE.firstrow))),0,IF(OFFSET(PLE!$G$14,$M41,BB$13)="",10^12,OFFSET(PLE!$G$14,$M41,BB$13))))</f>
        <v>1000000000000</v>
      </c>
      <c r="BC41" s="212">
        <f ca="1">IF($D41&lt;&gt;"Serviço",0,IF(OR(AND(AUTOEVENTO="Manual",$M41=1),$M41&gt;(ROW(PLE.lastrow)-ROW(PLE.firstrow))),0,IF(OFFSET(PLE!$G$14,$M41,BC$13)="",10^12,OFFSET(PLE!$G$14,$M41,BC$13))))</f>
        <v>1000000000000</v>
      </c>
      <c r="BD41" s="212">
        <f ca="1">IF($D41&lt;&gt;"Serviço",0,IF(OR(AND(AUTOEVENTO="Manual",$M41=1),$M41&gt;(ROW(PLE.lastrow)-ROW(PLE.firstrow))),0,IF(OFFSET(PLE!$G$14,$M41,BD$13)="",10^12,OFFSET(PLE!$G$14,$M41,BD$13))))</f>
        <v>1000000000000</v>
      </c>
      <c r="BE41" s="212">
        <f ca="1">IF($D41&lt;&gt;"Serviço",0,IF(OR(AND(AUTOEVENTO="Manual",$M41=1),$M41&gt;(ROW(PLE.lastrow)-ROW(PLE.firstrow))),0,IF(OFFSET(PLE!$G$14,$M41,BE$13)="",10^12,OFFSET(PLE!$G$14,$M41,BE$13))))</f>
        <v>1000000000000</v>
      </c>
      <c r="BF41" s="212">
        <f ca="1">IF($D41&lt;&gt;"Serviço",0,IF(OR(AND(AUTOEVENTO="Manual",$M41=1),$M41&gt;(ROW(PLE.lastrow)-ROW(PLE.firstrow))),0,IF(OFFSET(PLE!$G$14,$M41,BF$13)="",10^12,OFFSET(PLE!$G$14,$M41,BF$13))))</f>
        <v>1000000000000</v>
      </c>
      <c r="BG41" s="212">
        <f ca="1">IF($D41&lt;&gt;"Serviço",0,IF(OR(AND(AUTOEVENTO="Manual",$M41=1),$M41&gt;(ROW(PLE.lastrow)-ROW(PLE.firstrow))),0,IF(OFFSET(PLE!$G$14,$M41,BG$13)="",10^12,OFFSET(PLE!$G$14,$M41,BG$13))))</f>
        <v>1000000000000</v>
      </c>
    </row>
    <row r="42" spans="1:59" ht="13.2">
      <c r="A42" s="9" t="str">
        <f t="shared" ca="1" si="8"/>
        <v>15</v>
      </c>
      <c r="B42" s="9" t="str">
        <f ca="1">OFFSET(ORÇAMENTO!C$15,ROW(B42)-ROW(B$15),0)</f>
        <v>S</v>
      </c>
      <c r="C42" s="9" t="str">
        <f ca="1">OFFSET(ORÇAMENTO!L$15,ROW(C42)-ROW(C$15),0)</f>
        <v/>
      </c>
      <c r="D42" s="141" t="str">
        <f ca="1">OFFSET(ORÇAMENTO!N$15,ROW(D42)-ROW(D$15),0)</f>
        <v>Serviço</v>
      </c>
      <c r="E42" s="201" t="str">
        <f ca="1">OFFSET(ORÇAMENTO!O$15,ROW(E42)-ROW(E$15),0)</f>
        <v>-</v>
      </c>
      <c r="F42" s="202" t="str">
        <f ca="1">OFFSET(ORÇAMENTO!R$15,ROW(F42)-ROW(F$15),0)</f>
        <v>(abra o arquivo 'Referência 11-2024.xlsm)</v>
      </c>
      <c r="G42" s="203" t="str">
        <f ca="1">IF($D42&lt;&gt;"Serviço","",OFFSET(ORÇAMENTO!S$15,ROW(G42)-ROW(G$15),0))</f>
        <v>-</v>
      </c>
      <c r="H42" s="147">
        <f ca="1">IF($D42&lt;&gt;"Serviço",0,IF(ACOMPANHAMENTO="BM",ROUND(OFFSET(ORÇAMENTO!AJ$15,ROW(H42)-ROW(H$15),0),15-13*ORÇAMENTO!$AF$7),SUMPRODUCT(($Q$12:$AA$12&lt;&gt;"")*ROUND($Q42:$AA42,15-13*ORÇAMENTO!$AF$7))))</f>
        <v>0</v>
      </c>
      <c r="I42" s="645"/>
      <c r="K42" s="204"/>
      <c r="L42" s="205" t="s">
        <v>255</v>
      </c>
      <c r="M42" s="206">
        <f ca="1">IF($D42&lt;&gt;"Serviço","",IF(AUTOEVENTO="manual",$A42,IF(ISERROR(MATCH($A42,$A$15:OFFSET($A42,-1,0),0)),MAX($M$15:OFFSET(M42,-1,0))+1,INDEX($M$15:OFFSET(M42,-1,0),MATCH($A42,$A$15:OFFSET($A42,-1,0),0)))))</f>
        <v>6</v>
      </c>
      <c r="N42" s="207" t="str">
        <f ca="1">IF($D42&lt;&gt;"Serviço","",IF(AUTOEVENTO="Manual",IF($A42=0,"&lt;-- defina o número do agrupador",OFFSET(EVENTOS!$D$14,$A42,0)),OFFSET($F$15,$A42,0)))</f>
        <v>DRENAGEM</v>
      </c>
      <c r="O42" s="208"/>
      <c r="Q42" s="208"/>
      <c r="R42" s="209"/>
      <c r="S42" s="209"/>
      <c r="T42" s="209"/>
      <c r="U42" s="209"/>
      <c r="V42" s="209"/>
      <c r="W42" s="209"/>
      <c r="X42" s="209"/>
      <c r="Y42" s="209"/>
      <c r="Z42" s="210"/>
      <c r="AB42" s="626">
        <f ca="1">IF(AND($D42="Serviço",AB$12&lt;&gt;0,$H42&gt;0,OR(AUTOEVENTO&lt;&gt;"manual",$M42&lt;&gt;1)),
IF(Import.TipoArredondamento&lt;&gt;"TransfereGOV",
ROUND(OFFSET($P42,0,AB$13),15-13*ORÇAMENTO!$AF$7)/$H42*OFFSET(ORÇAMENTO!$X$15,ROW(AB42)-ROW(AB$15),0),
ROUND(ROUND(OFFSET($P42,0,AB$13),15-13*ORÇAMENTO!$AF$7)*OFFSET(ORÇAMENTO!$W$15,ROW(AB42)-ROW(AB$15),0),15-13*ORÇAMENTO!$AF$11)),0)</f>
        <v>0</v>
      </c>
      <c r="AC42" s="627">
        <f ca="1">IF(AND($D42="Serviço",AC$12&lt;&gt;0,$H42&gt;0,OR(AUTOEVENTO&lt;&gt;"manual",$M42&lt;&gt;1)),
IF(Import.TipoArredondamento&lt;&gt;"TransfereGOV",
ROUND(OFFSET($P42,0,AC$13),15-13*ORÇAMENTO!$AF$7)/$H42*OFFSET(ORÇAMENTO!$X$15,ROW(AC42)-ROW(AC$15),0),
ROUND(ROUND(OFFSET($P42,0,AC$13),15-13*ORÇAMENTO!$AF$7)*OFFSET(ORÇAMENTO!$W$15,ROW(AC42)-ROW(AC$15),0),15-13*ORÇAMENTO!$AF$11)),0)</f>
        <v>0</v>
      </c>
      <c r="AD42" s="627">
        <f ca="1">IF(AND($D42="Serviço",AD$12&lt;&gt;0,$H42&gt;0,OR(AUTOEVENTO&lt;&gt;"manual",$M42&lt;&gt;1)),
IF(Import.TipoArredondamento&lt;&gt;"TransfereGOV",
ROUND(OFFSET($P42,0,AD$13),15-13*ORÇAMENTO!$AF$7)/$H42*OFFSET(ORÇAMENTO!$X$15,ROW(AD42)-ROW(AD$15),0),
ROUND(ROUND(OFFSET($P42,0,AD$13),15-13*ORÇAMENTO!$AF$7)*OFFSET(ORÇAMENTO!$W$15,ROW(AD42)-ROW(AD$15),0),15-13*ORÇAMENTO!$AF$11)),0)</f>
        <v>0</v>
      </c>
      <c r="AE42" s="627">
        <f ca="1">IF(AND($D42="Serviço",AE$12&lt;&gt;0,$H42&gt;0,OR(AUTOEVENTO&lt;&gt;"manual",$M42&lt;&gt;1)),
IF(Import.TipoArredondamento&lt;&gt;"TransfereGOV",
ROUND(OFFSET($P42,0,AE$13),15-13*ORÇAMENTO!$AF$7)/$H42*OFFSET(ORÇAMENTO!$X$15,ROW(AE42)-ROW(AE$15),0),
ROUND(ROUND(OFFSET($P42,0,AE$13),15-13*ORÇAMENTO!$AF$7)*OFFSET(ORÇAMENTO!$W$15,ROW(AE42)-ROW(AE$15),0),15-13*ORÇAMENTO!$AF$11)),0)</f>
        <v>0</v>
      </c>
      <c r="AF42" s="627">
        <f ca="1">IF(AND($D42="Serviço",AF$12&lt;&gt;0,$H42&gt;0,OR(AUTOEVENTO&lt;&gt;"manual",$M42&lt;&gt;1)),
IF(Import.TipoArredondamento&lt;&gt;"TransfereGOV",
ROUND(OFFSET($P42,0,AF$13),15-13*ORÇAMENTO!$AF$7)/$H42*OFFSET(ORÇAMENTO!$X$15,ROW(AF42)-ROW(AF$15),0),
ROUND(ROUND(OFFSET($P42,0,AF$13),15-13*ORÇAMENTO!$AF$7)*OFFSET(ORÇAMENTO!$W$15,ROW(AF42)-ROW(AF$15),0),15-13*ORÇAMENTO!$AF$11)),0)</f>
        <v>0</v>
      </c>
      <c r="AG42" s="627">
        <f ca="1">IF(AND($D42="Serviço",AG$12&lt;&gt;0,$H42&gt;0,OR(AUTOEVENTO&lt;&gt;"manual",$M42&lt;&gt;1)),
IF(Import.TipoArredondamento&lt;&gt;"TransfereGOV",
ROUND(OFFSET($P42,0,AG$13),15-13*ORÇAMENTO!$AF$7)/$H42*OFFSET(ORÇAMENTO!$X$15,ROW(AG42)-ROW(AG$15),0),
ROUND(ROUND(OFFSET($P42,0,AG$13),15-13*ORÇAMENTO!$AF$7)*OFFSET(ORÇAMENTO!$W$15,ROW(AG42)-ROW(AG$15),0),15-13*ORÇAMENTO!$AF$11)),0)</f>
        <v>0</v>
      </c>
      <c r="AH42" s="627">
        <f ca="1">IF(AND($D42="Serviço",AH$12&lt;&gt;0,$H42&gt;0,OR(AUTOEVENTO&lt;&gt;"manual",$M42&lt;&gt;1)),
IF(Import.TipoArredondamento&lt;&gt;"TransfereGOV",
ROUND(OFFSET($P42,0,AH$13),15-13*ORÇAMENTO!$AF$7)/$H42*OFFSET(ORÇAMENTO!$X$15,ROW(AH42)-ROW(AH$15),0),
ROUND(ROUND(OFFSET($P42,0,AH$13),15-13*ORÇAMENTO!$AF$7)*OFFSET(ORÇAMENTO!$W$15,ROW(AH42)-ROW(AH$15),0),15-13*ORÇAMENTO!$AF$11)),0)</f>
        <v>0</v>
      </c>
      <c r="AI42" s="627">
        <f ca="1">IF(AND($D42="Serviço",AI$12&lt;&gt;0,$H42&gt;0,OR(AUTOEVENTO&lt;&gt;"manual",$M42&lt;&gt;1)),
IF(Import.TipoArredondamento&lt;&gt;"TransfereGOV",
ROUND(OFFSET($P42,0,AI$13),15-13*ORÇAMENTO!$AF$7)/$H42*OFFSET(ORÇAMENTO!$X$15,ROW(AI42)-ROW(AI$15),0),
ROUND(ROUND(OFFSET($P42,0,AI$13),15-13*ORÇAMENTO!$AF$7)*OFFSET(ORÇAMENTO!$W$15,ROW(AI42)-ROW(AI$15),0),15-13*ORÇAMENTO!$AF$11)),0)</f>
        <v>0</v>
      </c>
      <c r="AJ42" s="627">
        <f ca="1">IF(AND($D42="Serviço",AJ$12&lt;&gt;0,$H42&gt;0,OR(AUTOEVENTO&lt;&gt;"manual",$M42&lt;&gt;1)),
IF(Import.TipoArredondamento&lt;&gt;"TransfereGOV",
ROUND(OFFSET($P42,0,AJ$13),15-13*ORÇAMENTO!$AF$7)/$H42*OFFSET(ORÇAMENTO!$X$15,ROW(AJ42)-ROW(AJ$15),0),
ROUND(ROUND(OFFSET($P42,0,AJ$13),15-13*ORÇAMENTO!$AF$7)*OFFSET(ORÇAMENTO!$W$15,ROW(AJ42)-ROW(AJ$15),0),15-13*ORÇAMENTO!$AF$11)),0)</f>
        <v>0</v>
      </c>
      <c r="AK42" s="628">
        <f ca="1">IF(AND($D42="Serviço",AK$12&lt;&gt;0,$H42&gt;0,OR(AUTOEVENTO&lt;&gt;"manual",$M42&lt;&gt;1)),
IF(Import.TipoArredondamento&lt;&gt;"TransfereGOV",
ROUND(OFFSET($P42,0,AK$13),15-13*ORÇAMENTO!$AF$7)/$H42*OFFSET(ORÇAMENTO!$X$15,ROW(AK42)-ROW(AK$15),0),
ROUND(ROUND(OFFSET($P42,0,AK$13),15-13*ORÇAMENTO!$AF$7)*OFFSET(ORÇAMENTO!$W$15,ROW(AK42)-ROW(AK$15),0),15-13*ORÇAMENTO!$AF$11)),0)</f>
        <v>0</v>
      </c>
      <c r="AM42" s="211">
        <f ca="1">IF($D42&lt;&gt;"Serviço",0,IF(AND(AUTOEVENTO="Manual",$M42=1),0,IF(OFFSET(CRONOPLE!$F$14,$M42,AM$13)="",10^12,OFFSET(CRONOPLE!$F$14,$M42,AM$13))))</f>
        <v>2</v>
      </c>
      <c r="AN42" s="211">
        <f ca="1">IF($D42&lt;&gt;"Serviço",0,IF(AND(AUTOEVENTO="Manual",$M42=1),0,IF(OFFSET(CRONOPLE!$F$14,$M42,AN$13)="",10^12,OFFSET(CRONOPLE!$F$14,$M42,AN$13))))</f>
        <v>1</v>
      </c>
      <c r="AO42" s="211">
        <f ca="1">IF($D42&lt;&gt;"Serviço",0,IF(AND(AUTOEVENTO="Manual",$M42=1),0,IF(OFFSET(CRONOPLE!$F$14,$M42,AO$13)="",10^12,OFFSET(CRONOPLE!$F$14,$M42,AO$13))))</f>
        <v>2</v>
      </c>
      <c r="AP42" s="211">
        <f ca="1">IF($D42&lt;&gt;"Serviço",0,IF(AND(AUTOEVENTO="Manual",$M42=1),0,IF(OFFSET(CRONOPLE!$F$14,$M42,AP$13)="",10^12,OFFSET(CRONOPLE!$F$14,$M42,AP$13))))</f>
        <v>2</v>
      </c>
      <c r="AQ42" s="211">
        <f ca="1">IF($D42&lt;&gt;"Serviço",0,IF(AND(AUTOEVENTO="Manual",$M42=1),0,IF(OFFSET(CRONOPLE!$F$14,$M42,AQ$13)="",10^12,OFFSET(CRONOPLE!$F$14,$M42,AQ$13))))</f>
        <v>1000000000000</v>
      </c>
      <c r="AR42" s="211">
        <f ca="1">IF($D42&lt;&gt;"Serviço",0,IF(AND(AUTOEVENTO="Manual",$M42=1),0,IF(OFFSET(CRONOPLE!$F$14,$M42,AR$13)="",10^12,OFFSET(CRONOPLE!$F$14,$M42,AR$13))))</f>
        <v>1000000000000</v>
      </c>
      <c r="AS42" s="211">
        <f ca="1">IF($D42&lt;&gt;"Serviço",0,IF(AND(AUTOEVENTO="Manual",$M42=1),0,IF(OFFSET(CRONOPLE!$F$14,$M42,AS$13)="",10^12,OFFSET(CRONOPLE!$F$14,$M42,AS$13))))</f>
        <v>1000000000000</v>
      </c>
      <c r="AT42" s="211">
        <f ca="1">IF($D42&lt;&gt;"Serviço",0,IF(AND(AUTOEVENTO="Manual",$M42=1),0,IF(OFFSET(CRONOPLE!$F$14,$M42,AT$13)="",10^12,OFFSET(CRONOPLE!$F$14,$M42,AT$13))))</f>
        <v>1000000000000</v>
      </c>
      <c r="AU42" s="211">
        <f ca="1">IF($D42&lt;&gt;"Serviço",0,IF(AND(AUTOEVENTO="Manual",$M42=1),0,IF(OFFSET(CRONOPLE!$F$14,$M42,AU$13)="",10^12,OFFSET(CRONOPLE!$F$14,$M42,AU$13))))</f>
        <v>1000000000000</v>
      </c>
      <c r="AV42" s="211">
        <f ca="1">IF($D42&lt;&gt;"Serviço",0,IF(AND(AUTOEVENTO="Manual",$M42=1),0,IF(OFFSET(CRONOPLE!$F$14,$M42,AV$13)="",10^12,OFFSET(CRONOPLE!$F$14,$M42,AV$13))))</f>
        <v>1000000000000</v>
      </c>
      <c r="AX42" s="212">
        <f ca="1">IF($D42&lt;&gt;"Serviço",0,IF(OR(AND(AUTOEVENTO="Manual",$M42=1),$M42&gt;(ROW(PLE.lastrow)-ROW(PLE.firstrow))),0,IF(OFFSET(PLE!$G$14,$M42,AX$13)="",10^12,OFFSET(PLE!$G$14,$M42,AX$13))))</f>
        <v>1000000000000</v>
      </c>
      <c r="AY42" s="212">
        <f ca="1">IF($D42&lt;&gt;"Serviço",0,IF(OR(AND(AUTOEVENTO="Manual",$M42=1),$M42&gt;(ROW(PLE.lastrow)-ROW(PLE.firstrow))),0,IF(OFFSET(PLE!$G$14,$M42,AY$13)="",10^12,OFFSET(PLE!$G$14,$M42,AY$13))))</f>
        <v>1000000000000</v>
      </c>
      <c r="AZ42" s="212">
        <f ca="1">IF($D42&lt;&gt;"Serviço",0,IF(OR(AND(AUTOEVENTO="Manual",$M42=1),$M42&gt;(ROW(PLE.lastrow)-ROW(PLE.firstrow))),0,IF(OFFSET(PLE!$G$14,$M42,AZ$13)="",10^12,OFFSET(PLE!$G$14,$M42,AZ$13))))</f>
        <v>1000000000000</v>
      </c>
      <c r="BA42" s="212">
        <f ca="1">IF($D42&lt;&gt;"Serviço",0,IF(OR(AND(AUTOEVENTO="Manual",$M42=1),$M42&gt;(ROW(PLE.lastrow)-ROW(PLE.firstrow))),0,IF(OFFSET(PLE!$G$14,$M42,BA$13)="",10^12,OFFSET(PLE!$G$14,$M42,BA$13))))</f>
        <v>1000000000000</v>
      </c>
      <c r="BB42" s="212">
        <f ca="1">IF($D42&lt;&gt;"Serviço",0,IF(OR(AND(AUTOEVENTO="Manual",$M42=1),$M42&gt;(ROW(PLE.lastrow)-ROW(PLE.firstrow))),0,IF(OFFSET(PLE!$G$14,$M42,BB$13)="",10^12,OFFSET(PLE!$G$14,$M42,BB$13))))</f>
        <v>1000000000000</v>
      </c>
      <c r="BC42" s="212">
        <f ca="1">IF($D42&lt;&gt;"Serviço",0,IF(OR(AND(AUTOEVENTO="Manual",$M42=1),$M42&gt;(ROW(PLE.lastrow)-ROW(PLE.firstrow))),0,IF(OFFSET(PLE!$G$14,$M42,BC$13)="",10^12,OFFSET(PLE!$G$14,$M42,BC$13))))</f>
        <v>1000000000000</v>
      </c>
      <c r="BD42" s="212">
        <f ca="1">IF($D42&lt;&gt;"Serviço",0,IF(OR(AND(AUTOEVENTO="Manual",$M42=1),$M42&gt;(ROW(PLE.lastrow)-ROW(PLE.firstrow))),0,IF(OFFSET(PLE!$G$14,$M42,BD$13)="",10^12,OFFSET(PLE!$G$14,$M42,BD$13))))</f>
        <v>1000000000000</v>
      </c>
      <c r="BE42" s="212">
        <f ca="1">IF($D42&lt;&gt;"Serviço",0,IF(OR(AND(AUTOEVENTO="Manual",$M42=1),$M42&gt;(ROW(PLE.lastrow)-ROW(PLE.firstrow))),0,IF(OFFSET(PLE!$G$14,$M42,BE$13)="",10^12,OFFSET(PLE!$G$14,$M42,BE$13))))</f>
        <v>1000000000000</v>
      </c>
      <c r="BF42" s="212">
        <f ca="1">IF($D42&lt;&gt;"Serviço",0,IF(OR(AND(AUTOEVENTO="Manual",$M42=1),$M42&gt;(ROW(PLE.lastrow)-ROW(PLE.firstrow))),0,IF(OFFSET(PLE!$G$14,$M42,BF$13)="",10^12,OFFSET(PLE!$G$14,$M42,BF$13))))</f>
        <v>1000000000000</v>
      </c>
      <c r="BG42" s="212">
        <f ca="1">IF($D42&lt;&gt;"Serviço",0,IF(OR(AND(AUTOEVENTO="Manual",$M42=1),$M42&gt;(ROW(PLE.lastrow)-ROW(PLE.firstrow))),0,IF(OFFSET(PLE!$G$14,$M42,BG$13)="",10^12,OFFSET(PLE!$G$14,$M42,BG$13))))</f>
        <v>1000000000000</v>
      </c>
    </row>
    <row r="43" spans="1:59" ht="13.2">
      <c r="A43" s="9" t="str">
        <f t="shared" ca="1" si="8"/>
        <v>15</v>
      </c>
      <c r="B43" s="9" t="str">
        <f ca="1">OFFSET(ORÇAMENTO!C$15,ROW(B43)-ROW(B$15),0)</f>
        <v>S</v>
      </c>
      <c r="C43" s="9" t="str">
        <f ca="1">OFFSET(ORÇAMENTO!L$15,ROW(C43)-ROW(C$15),0)</f>
        <v/>
      </c>
      <c r="D43" s="141" t="str">
        <f ca="1">OFFSET(ORÇAMENTO!N$15,ROW(D43)-ROW(D$15),0)</f>
        <v>Serviço</v>
      </c>
      <c r="E43" s="201" t="str">
        <f ca="1">OFFSET(ORÇAMENTO!O$15,ROW(E43)-ROW(E$15),0)</f>
        <v>-</v>
      </c>
      <c r="F43" s="202" t="str">
        <f ca="1">OFFSET(ORÇAMENTO!R$15,ROW(F43)-ROW(F$15),0)</f>
        <v>(abra o arquivo 'Referência 11-2024.xlsm)</v>
      </c>
      <c r="G43" s="203" t="str">
        <f ca="1">IF($D43&lt;&gt;"Serviço","",OFFSET(ORÇAMENTO!S$15,ROW(G43)-ROW(G$15),0))</f>
        <v>-</v>
      </c>
      <c r="H43" s="147">
        <f ca="1">IF($D43&lt;&gt;"Serviço",0,IF(ACOMPANHAMENTO="BM",ROUND(OFFSET(ORÇAMENTO!AJ$15,ROW(H43)-ROW(H$15),0),15-13*ORÇAMENTO!$AF$7),SUMPRODUCT(($Q$12:$AA$12&lt;&gt;"")*ROUND($Q43:$AA43,15-13*ORÇAMENTO!$AF$7))))</f>
        <v>0</v>
      </c>
      <c r="I43" s="645"/>
      <c r="K43" s="204"/>
      <c r="L43" s="205" t="s">
        <v>255</v>
      </c>
      <c r="M43" s="206">
        <f ca="1">IF($D43&lt;&gt;"Serviço","",IF(AUTOEVENTO="manual",$A43,IF(ISERROR(MATCH($A43,$A$15:OFFSET($A43,-1,0),0)),MAX($M$15:OFFSET(M43,-1,0))+1,INDEX($M$15:OFFSET(M43,-1,0),MATCH($A43,$A$15:OFFSET($A43,-1,0),0)))))</f>
        <v>6</v>
      </c>
      <c r="N43" s="207" t="str">
        <f ca="1">IF($D43&lt;&gt;"Serviço","",IF(AUTOEVENTO="Manual",IF($A43=0,"&lt;-- defina o número do agrupador",OFFSET(EVENTOS!$D$14,$A43,0)),OFFSET($F$15,$A43,0)))</f>
        <v>DRENAGEM</v>
      </c>
      <c r="O43" s="208"/>
      <c r="Q43" s="208"/>
      <c r="R43" s="209"/>
      <c r="S43" s="209"/>
      <c r="T43" s="209"/>
      <c r="U43" s="209"/>
      <c r="V43" s="209"/>
      <c r="W43" s="209"/>
      <c r="X43" s="209"/>
      <c r="Y43" s="209"/>
      <c r="Z43" s="210"/>
      <c r="AB43" s="626">
        <f ca="1">IF(AND($D43="Serviço",AB$12&lt;&gt;0,$H43&gt;0,OR(AUTOEVENTO&lt;&gt;"manual",$M43&lt;&gt;1)),
IF(Import.TipoArredondamento&lt;&gt;"TransfereGOV",
ROUND(OFFSET($P43,0,AB$13),15-13*ORÇAMENTO!$AF$7)/$H43*OFFSET(ORÇAMENTO!$X$15,ROW(AB43)-ROW(AB$15),0),
ROUND(ROUND(OFFSET($P43,0,AB$13),15-13*ORÇAMENTO!$AF$7)*OFFSET(ORÇAMENTO!$W$15,ROW(AB43)-ROW(AB$15),0),15-13*ORÇAMENTO!$AF$11)),0)</f>
        <v>0</v>
      </c>
      <c r="AC43" s="627">
        <f ca="1">IF(AND($D43="Serviço",AC$12&lt;&gt;0,$H43&gt;0,OR(AUTOEVENTO&lt;&gt;"manual",$M43&lt;&gt;1)),
IF(Import.TipoArredondamento&lt;&gt;"TransfereGOV",
ROUND(OFFSET($P43,0,AC$13),15-13*ORÇAMENTO!$AF$7)/$H43*OFFSET(ORÇAMENTO!$X$15,ROW(AC43)-ROW(AC$15),0),
ROUND(ROUND(OFFSET($P43,0,AC$13),15-13*ORÇAMENTO!$AF$7)*OFFSET(ORÇAMENTO!$W$15,ROW(AC43)-ROW(AC$15),0),15-13*ORÇAMENTO!$AF$11)),0)</f>
        <v>0</v>
      </c>
      <c r="AD43" s="627">
        <f ca="1">IF(AND($D43="Serviço",AD$12&lt;&gt;0,$H43&gt;0,OR(AUTOEVENTO&lt;&gt;"manual",$M43&lt;&gt;1)),
IF(Import.TipoArredondamento&lt;&gt;"TransfereGOV",
ROUND(OFFSET($P43,0,AD$13),15-13*ORÇAMENTO!$AF$7)/$H43*OFFSET(ORÇAMENTO!$X$15,ROW(AD43)-ROW(AD$15),0),
ROUND(ROUND(OFFSET($P43,0,AD$13),15-13*ORÇAMENTO!$AF$7)*OFFSET(ORÇAMENTO!$W$15,ROW(AD43)-ROW(AD$15),0),15-13*ORÇAMENTO!$AF$11)),0)</f>
        <v>0</v>
      </c>
      <c r="AE43" s="627">
        <f ca="1">IF(AND($D43="Serviço",AE$12&lt;&gt;0,$H43&gt;0,OR(AUTOEVENTO&lt;&gt;"manual",$M43&lt;&gt;1)),
IF(Import.TipoArredondamento&lt;&gt;"TransfereGOV",
ROUND(OFFSET($P43,0,AE$13),15-13*ORÇAMENTO!$AF$7)/$H43*OFFSET(ORÇAMENTO!$X$15,ROW(AE43)-ROW(AE$15),0),
ROUND(ROUND(OFFSET($P43,0,AE$13),15-13*ORÇAMENTO!$AF$7)*OFFSET(ORÇAMENTO!$W$15,ROW(AE43)-ROW(AE$15),0),15-13*ORÇAMENTO!$AF$11)),0)</f>
        <v>0</v>
      </c>
      <c r="AF43" s="627">
        <f ca="1">IF(AND($D43="Serviço",AF$12&lt;&gt;0,$H43&gt;0,OR(AUTOEVENTO&lt;&gt;"manual",$M43&lt;&gt;1)),
IF(Import.TipoArredondamento&lt;&gt;"TransfereGOV",
ROUND(OFFSET($P43,0,AF$13),15-13*ORÇAMENTO!$AF$7)/$H43*OFFSET(ORÇAMENTO!$X$15,ROW(AF43)-ROW(AF$15),0),
ROUND(ROUND(OFFSET($P43,0,AF$13),15-13*ORÇAMENTO!$AF$7)*OFFSET(ORÇAMENTO!$W$15,ROW(AF43)-ROW(AF$15),0),15-13*ORÇAMENTO!$AF$11)),0)</f>
        <v>0</v>
      </c>
      <c r="AG43" s="627">
        <f ca="1">IF(AND($D43="Serviço",AG$12&lt;&gt;0,$H43&gt;0,OR(AUTOEVENTO&lt;&gt;"manual",$M43&lt;&gt;1)),
IF(Import.TipoArredondamento&lt;&gt;"TransfereGOV",
ROUND(OFFSET($P43,0,AG$13),15-13*ORÇAMENTO!$AF$7)/$H43*OFFSET(ORÇAMENTO!$X$15,ROW(AG43)-ROW(AG$15),0),
ROUND(ROUND(OFFSET($P43,0,AG$13),15-13*ORÇAMENTO!$AF$7)*OFFSET(ORÇAMENTO!$W$15,ROW(AG43)-ROW(AG$15),0),15-13*ORÇAMENTO!$AF$11)),0)</f>
        <v>0</v>
      </c>
      <c r="AH43" s="627">
        <f ca="1">IF(AND($D43="Serviço",AH$12&lt;&gt;0,$H43&gt;0,OR(AUTOEVENTO&lt;&gt;"manual",$M43&lt;&gt;1)),
IF(Import.TipoArredondamento&lt;&gt;"TransfereGOV",
ROUND(OFFSET($P43,0,AH$13),15-13*ORÇAMENTO!$AF$7)/$H43*OFFSET(ORÇAMENTO!$X$15,ROW(AH43)-ROW(AH$15),0),
ROUND(ROUND(OFFSET($P43,0,AH$13),15-13*ORÇAMENTO!$AF$7)*OFFSET(ORÇAMENTO!$W$15,ROW(AH43)-ROW(AH$15),0),15-13*ORÇAMENTO!$AF$11)),0)</f>
        <v>0</v>
      </c>
      <c r="AI43" s="627">
        <f ca="1">IF(AND($D43="Serviço",AI$12&lt;&gt;0,$H43&gt;0,OR(AUTOEVENTO&lt;&gt;"manual",$M43&lt;&gt;1)),
IF(Import.TipoArredondamento&lt;&gt;"TransfereGOV",
ROUND(OFFSET($P43,0,AI$13),15-13*ORÇAMENTO!$AF$7)/$H43*OFFSET(ORÇAMENTO!$X$15,ROW(AI43)-ROW(AI$15),0),
ROUND(ROUND(OFFSET($P43,0,AI$13),15-13*ORÇAMENTO!$AF$7)*OFFSET(ORÇAMENTO!$W$15,ROW(AI43)-ROW(AI$15),0),15-13*ORÇAMENTO!$AF$11)),0)</f>
        <v>0</v>
      </c>
      <c r="AJ43" s="627">
        <f ca="1">IF(AND($D43="Serviço",AJ$12&lt;&gt;0,$H43&gt;0,OR(AUTOEVENTO&lt;&gt;"manual",$M43&lt;&gt;1)),
IF(Import.TipoArredondamento&lt;&gt;"TransfereGOV",
ROUND(OFFSET($P43,0,AJ$13),15-13*ORÇAMENTO!$AF$7)/$H43*OFFSET(ORÇAMENTO!$X$15,ROW(AJ43)-ROW(AJ$15),0),
ROUND(ROUND(OFFSET($P43,0,AJ$13),15-13*ORÇAMENTO!$AF$7)*OFFSET(ORÇAMENTO!$W$15,ROW(AJ43)-ROW(AJ$15),0),15-13*ORÇAMENTO!$AF$11)),0)</f>
        <v>0</v>
      </c>
      <c r="AK43" s="628">
        <f ca="1">IF(AND($D43="Serviço",AK$12&lt;&gt;0,$H43&gt;0,OR(AUTOEVENTO&lt;&gt;"manual",$M43&lt;&gt;1)),
IF(Import.TipoArredondamento&lt;&gt;"TransfereGOV",
ROUND(OFFSET($P43,0,AK$13),15-13*ORÇAMENTO!$AF$7)/$H43*OFFSET(ORÇAMENTO!$X$15,ROW(AK43)-ROW(AK$15),0),
ROUND(ROUND(OFFSET($P43,0,AK$13),15-13*ORÇAMENTO!$AF$7)*OFFSET(ORÇAMENTO!$W$15,ROW(AK43)-ROW(AK$15),0),15-13*ORÇAMENTO!$AF$11)),0)</f>
        <v>0</v>
      </c>
      <c r="AM43" s="211">
        <f ca="1">IF($D43&lt;&gt;"Serviço",0,IF(AND(AUTOEVENTO="Manual",$M43=1),0,IF(OFFSET(CRONOPLE!$F$14,$M43,AM$13)="",10^12,OFFSET(CRONOPLE!$F$14,$M43,AM$13))))</f>
        <v>2</v>
      </c>
      <c r="AN43" s="211">
        <f ca="1">IF($D43&lt;&gt;"Serviço",0,IF(AND(AUTOEVENTO="Manual",$M43=1),0,IF(OFFSET(CRONOPLE!$F$14,$M43,AN$13)="",10^12,OFFSET(CRONOPLE!$F$14,$M43,AN$13))))</f>
        <v>1</v>
      </c>
      <c r="AO43" s="211">
        <f ca="1">IF($D43&lt;&gt;"Serviço",0,IF(AND(AUTOEVENTO="Manual",$M43=1),0,IF(OFFSET(CRONOPLE!$F$14,$M43,AO$13)="",10^12,OFFSET(CRONOPLE!$F$14,$M43,AO$13))))</f>
        <v>2</v>
      </c>
      <c r="AP43" s="211">
        <f ca="1">IF($D43&lt;&gt;"Serviço",0,IF(AND(AUTOEVENTO="Manual",$M43=1),0,IF(OFFSET(CRONOPLE!$F$14,$M43,AP$13)="",10^12,OFFSET(CRONOPLE!$F$14,$M43,AP$13))))</f>
        <v>2</v>
      </c>
      <c r="AQ43" s="211">
        <f ca="1">IF($D43&lt;&gt;"Serviço",0,IF(AND(AUTOEVENTO="Manual",$M43=1),0,IF(OFFSET(CRONOPLE!$F$14,$M43,AQ$13)="",10^12,OFFSET(CRONOPLE!$F$14,$M43,AQ$13))))</f>
        <v>1000000000000</v>
      </c>
      <c r="AR43" s="211">
        <f ca="1">IF($D43&lt;&gt;"Serviço",0,IF(AND(AUTOEVENTO="Manual",$M43=1),0,IF(OFFSET(CRONOPLE!$F$14,$M43,AR$13)="",10^12,OFFSET(CRONOPLE!$F$14,$M43,AR$13))))</f>
        <v>1000000000000</v>
      </c>
      <c r="AS43" s="211">
        <f ca="1">IF($D43&lt;&gt;"Serviço",0,IF(AND(AUTOEVENTO="Manual",$M43=1),0,IF(OFFSET(CRONOPLE!$F$14,$M43,AS$13)="",10^12,OFFSET(CRONOPLE!$F$14,$M43,AS$13))))</f>
        <v>1000000000000</v>
      </c>
      <c r="AT43" s="211">
        <f ca="1">IF($D43&lt;&gt;"Serviço",0,IF(AND(AUTOEVENTO="Manual",$M43=1),0,IF(OFFSET(CRONOPLE!$F$14,$M43,AT$13)="",10^12,OFFSET(CRONOPLE!$F$14,$M43,AT$13))))</f>
        <v>1000000000000</v>
      </c>
      <c r="AU43" s="211">
        <f ca="1">IF($D43&lt;&gt;"Serviço",0,IF(AND(AUTOEVENTO="Manual",$M43=1),0,IF(OFFSET(CRONOPLE!$F$14,$M43,AU$13)="",10^12,OFFSET(CRONOPLE!$F$14,$M43,AU$13))))</f>
        <v>1000000000000</v>
      </c>
      <c r="AV43" s="211">
        <f ca="1">IF($D43&lt;&gt;"Serviço",0,IF(AND(AUTOEVENTO="Manual",$M43=1),0,IF(OFFSET(CRONOPLE!$F$14,$M43,AV$13)="",10^12,OFFSET(CRONOPLE!$F$14,$M43,AV$13))))</f>
        <v>1000000000000</v>
      </c>
      <c r="AX43" s="212">
        <f ca="1">IF($D43&lt;&gt;"Serviço",0,IF(OR(AND(AUTOEVENTO="Manual",$M43=1),$M43&gt;(ROW(PLE.lastrow)-ROW(PLE.firstrow))),0,IF(OFFSET(PLE!$G$14,$M43,AX$13)="",10^12,OFFSET(PLE!$G$14,$M43,AX$13))))</f>
        <v>1000000000000</v>
      </c>
      <c r="AY43" s="212">
        <f ca="1">IF($D43&lt;&gt;"Serviço",0,IF(OR(AND(AUTOEVENTO="Manual",$M43=1),$M43&gt;(ROW(PLE.lastrow)-ROW(PLE.firstrow))),0,IF(OFFSET(PLE!$G$14,$M43,AY$13)="",10^12,OFFSET(PLE!$G$14,$M43,AY$13))))</f>
        <v>1000000000000</v>
      </c>
      <c r="AZ43" s="212">
        <f ca="1">IF($D43&lt;&gt;"Serviço",0,IF(OR(AND(AUTOEVENTO="Manual",$M43=1),$M43&gt;(ROW(PLE.lastrow)-ROW(PLE.firstrow))),0,IF(OFFSET(PLE!$G$14,$M43,AZ$13)="",10^12,OFFSET(PLE!$G$14,$M43,AZ$13))))</f>
        <v>1000000000000</v>
      </c>
      <c r="BA43" s="212">
        <f ca="1">IF($D43&lt;&gt;"Serviço",0,IF(OR(AND(AUTOEVENTO="Manual",$M43=1),$M43&gt;(ROW(PLE.lastrow)-ROW(PLE.firstrow))),0,IF(OFFSET(PLE!$G$14,$M43,BA$13)="",10^12,OFFSET(PLE!$G$14,$M43,BA$13))))</f>
        <v>1000000000000</v>
      </c>
      <c r="BB43" s="212">
        <f ca="1">IF($D43&lt;&gt;"Serviço",0,IF(OR(AND(AUTOEVENTO="Manual",$M43=1),$M43&gt;(ROW(PLE.lastrow)-ROW(PLE.firstrow))),0,IF(OFFSET(PLE!$G$14,$M43,BB$13)="",10^12,OFFSET(PLE!$G$14,$M43,BB$13))))</f>
        <v>1000000000000</v>
      </c>
      <c r="BC43" s="212">
        <f ca="1">IF($D43&lt;&gt;"Serviço",0,IF(OR(AND(AUTOEVENTO="Manual",$M43=1),$M43&gt;(ROW(PLE.lastrow)-ROW(PLE.firstrow))),0,IF(OFFSET(PLE!$G$14,$M43,BC$13)="",10^12,OFFSET(PLE!$G$14,$M43,BC$13))))</f>
        <v>1000000000000</v>
      </c>
      <c r="BD43" s="212">
        <f ca="1">IF($D43&lt;&gt;"Serviço",0,IF(OR(AND(AUTOEVENTO="Manual",$M43=1),$M43&gt;(ROW(PLE.lastrow)-ROW(PLE.firstrow))),0,IF(OFFSET(PLE!$G$14,$M43,BD$13)="",10^12,OFFSET(PLE!$G$14,$M43,BD$13))))</f>
        <v>1000000000000</v>
      </c>
      <c r="BE43" s="212">
        <f ca="1">IF($D43&lt;&gt;"Serviço",0,IF(OR(AND(AUTOEVENTO="Manual",$M43=1),$M43&gt;(ROW(PLE.lastrow)-ROW(PLE.firstrow))),0,IF(OFFSET(PLE!$G$14,$M43,BE$13)="",10^12,OFFSET(PLE!$G$14,$M43,BE$13))))</f>
        <v>1000000000000</v>
      </c>
      <c r="BF43" s="212">
        <f ca="1">IF($D43&lt;&gt;"Serviço",0,IF(OR(AND(AUTOEVENTO="Manual",$M43=1),$M43&gt;(ROW(PLE.lastrow)-ROW(PLE.firstrow))),0,IF(OFFSET(PLE!$G$14,$M43,BF$13)="",10^12,OFFSET(PLE!$G$14,$M43,BF$13))))</f>
        <v>1000000000000</v>
      </c>
      <c r="BG43" s="212">
        <f ca="1">IF($D43&lt;&gt;"Serviço",0,IF(OR(AND(AUTOEVENTO="Manual",$M43=1),$M43&gt;(ROW(PLE.lastrow)-ROW(PLE.firstrow))),0,IF(OFFSET(PLE!$G$14,$M43,BG$13)="",10^12,OFFSET(PLE!$G$14,$M43,BG$13))))</f>
        <v>1000000000000</v>
      </c>
    </row>
    <row r="44" spans="1:59" ht="13.2">
      <c r="A44" s="9" t="str">
        <f t="shared" ca="1" si="8"/>
        <v>15</v>
      </c>
      <c r="B44" s="9" t="str">
        <f ca="1">OFFSET(ORÇAMENTO!C$15,ROW(B44)-ROW(B$15),0)</f>
        <v>S</v>
      </c>
      <c r="C44" s="9" t="str">
        <f ca="1">OFFSET(ORÇAMENTO!L$15,ROW(C44)-ROW(C$15),0)</f>
        <v/>
      </c>
      <c r="D44" s="141" t="str">
        <f ca="1">OFFSET(ORÇAMENTO!N$15,ROW(D44)-ROW(D$15),0)</f>
        <v>Serviço</v>
      </c>
      <c r="E44" s="201" t="str">
        <f ca="1">OFFSET(ORÇAMENTO!O$15,ROW(E44)-ROW(E$15),0)</f>
        <v>-</v>
      </c>
      <c r="F44" s="202" t="str">
        <f ca="1">OFFSET(ORÇAMENTO!R$15,ROW(F44)-ROW(F$15),0)</f>
        <v>(abra o arquivo 'Referência 11-2024.xlsm)</v>
      </c>
      <c r="G44" s="203" t="str">
        <f ca="1">IF($D44&lt;&gt;"Serviço","",OFFSET(ORÇAMENTO!S$15,ROW(G44)-ROW(G$15),0))</f>
        <v>-</v>
      </c>
      <c r="H44" s="147">
        <f ca="1">IF($D44&lt;&gt;"Serviço",0,IF(ACOMPANHAMENTO="BM",ROUND(OFFSET(ORÇAMENTO!AJ$15,ROW(H44)-ROW(H$15),0),15-13*ORÇAMENTO!$AF$7),SUMPRODUCT(($Q$12:$AA$12&lt;&gt;"")*ROUND($Q44:$AA44,15-13*ORÇAMENTO!$AF$7))))</f>
        <v>0</v>
      </c>
      <c r="I44" s="645"/>
      <c r="K44" s="204"/>
      <c r="L44" s="205" t="s">
        <v>255</v>
      </c>
      <c r="M44" s="206">
        <f ca="1">IF($D44&lt;&gt;"Serviço","",IF(AUTOEVENTO="manual",$A44,IF(ISERROR(MATCH($A44,$A$15:OFFSET($A44,-1,0),0)),MAX($M$15:OFFSET(M44,-1,0))+1,INDEX($M$15:OFFSET(M44,-1,0),MATCH($A44,$A$15:OFFSET($A44,-1,0),0)))))</f>
        <v>6</v>
      </c>
      <c r="N44" s="207" t="str">
        <f ca="1">IF($D44&lt;&gt;"Serviço","",IF(AUTOEVENTO="Manual",IF($A44=0,"&lt;-- defina o número do agrupador",OFFSET(EVENTOS!$D$14,$A44,0)),OFFSET($F$15,$A44,0)))</f>
        <v>DRENAGEM</v>
      </c>
      <c r="O44" s="208"/>
      <c r="Q44" s="208"/>
      <c r="R44" s="209"/>
      <c r="S44" s="209"/>
      <c r="T44" s="209"/>
      <c r="U44" s="209"/>
      <c r="V44" s="209"/>
      <c r="W44" s="209"/>
      <c r="X44" s="209"/>
      <c r="Y44" s="209"/>
      <c r="Z44" s="210"/>
      <c r="AB44" s="626">
        <f ca="1">IF(AND($D44="Serviço",AB$12&lt;&gt;0,$H44&gt;0,OR(AUTOEVENTO&lt;&gt;"manual",$M44&lt;&gt;1)),
IF(Import.TipoArredondamento&lt;&gt;"TransfereGOV",
ROUND(OFFSET($P44,0,AB$13),15-13*ORÇAMENTO!$AF$7)/$H44*OFFSET(ORÇAMENTO!$X$15,ROW(AB44)-ROW(AB$15),0),
ROUND(ROUND(OFFSET($P44,0,AB$13),15-13*ORÇAMENTO!$AF$7)*OFFSET(ORÇAMENTO!$W$15,ROW(AB44)-ROW(AB$15),0),15-13*ORÇAMENTO!$AF$11)),0)</f>
        <v>0</v>
      </c>
      <c r="AC44" s="627">
        <f ca="1">IF(AND($D44="Serviço",AC$12&lt;&gt;0,$H44&gt;0,OR(AUTOEVENTO&lt;&gt;"manual",$M44&lt;&gt;1)),
IF(Import.TipoArredondamento&lt;&gt;"TransfereGOV",
ROUND(OFFSET($P44,0,AC$13),15-13*ORÇAMENTO!$AF$7)/$H44*OFFSET(ORÇAMENTO!$X$15,ROW(AC44)-ROW(AC$15),0),
ROUND(ROUND(OFFSET($P44,0,AC$13),15-13*ORÇAMENTO!$AF$7)*OFFSET(ORÇAMENTO!$W$15,ROW(AC44)-ROW(AC$15),0),15-13*ORÇAMENTO!$AF$11)),0)</f>
        <v>0</v>
      </c>
      <c r="AD44" s="627">
        <f ca="1">IF(AND($D44="Serviço",AD$12&lt;&gt;0,$H44&gt;0,OR(AUTOEVENTO&lt;&gt;"manual",$M44&lt;&gt;1)),
IF(Import.TipoArredondamento&lt;&gt;"TransfereGOV",
ROUND(OFFSET($P44,0,AD$13),15-13*ORÇAMENTO!$AF$7)/$H44*OFFSET(ORÇAMENTO!$X$15,ROW(AD44)-ROW(AD$15),0),
ROUND(ROUND(OFFSET($P44,0,AD$13),15-13*ORÇAMENTO!$AF$7)*OFFSET(ORÇAMENTO!$W$15,ROW(AD44)-ROW(AD$15),0),15-13*ORÇAMENTO!$AF$11)),0)</f>
        <v>0</v>
      </c>
      <c r="AE44" s="627">
        <f ca="1">IF(AND($D44="Serviço",AE$12&lt;&gt;0,$H44&gt;0,OR(AUTOEVENTO&lt;&gt;"manual",$M44&lt;&gt;1)),
IF(Import.TipoArredondamento&lt;&gt;"TransfereGOV",
ROUND(OFFSET($P44,0,AE$13),15-13*ORÇAMENTO!$AF$7)/$H44*OFFSET(ORÇAMENTO!$X$15,ROW(AE44)-ROW(AE$15),0),
ROUND(ROUND(OFFSET($P44,0,AE$13),15-13*ORÇAMENTO!$AF$7)*OFFSET(ORÇAMENTO!$W$15,ROW(AE44)-ROW(AE$15),0),15-13*ORÇAMENTO!$AF$11)),0)</f>
        <v>0</v>
      </c>
      <c r="AF44" s="627">
        <f ca="1">IF(AND($D44="Serviço",AF$12&lt;&gt;0,$H44&gt;0,OR(AUTOEVENTO&lt;&gt;"manual",$M44&lt;&gt;1)),
IF(Import.TipoArredondamento&lt;&gt;"TransfereGOV",
ROUND(OFFSET($P44,0,AF$13),15-13*ORÇAMENTO!$AF$7)/$H44*OFFSET(ORÇAMENTO!$X$15,ROW(AF44)-ROW(AF$15),0),
ROUND(ROUND(OFFSET($P44,0,AF$13),15-13*ORÇAMENTO!$AF$7)*OFFSET(ORÇAMENTO!$W$15,ROW(AF44)-ROW(AF$15),0),15-13*ORÇAMENTO!$AF$11)),0)</f>
        <v>0</v>
      </c>
      <c r="AG44" s="627">
        <f ca="1">IF(AND($D44="Serviço",AG$12&lt;&gt;0,$H44&gt;0,OR(AUTOEVENTO&lt;&gt;"manual",$M44&lt;&gt;1)),
IF(Import.TipoArredondamento&lt;&gt;"TransfereGOV",
ROUND(OFFSET($P44,0,AG$13),15-13*ORÇAMENTO!$AF$7)/$H44*OFFSET(ORÇAMENTO!$X$15,ROW(AG44)-ROW(AG$15),0),
ROUND(ROUND(OFFSET($P44,0,AG$13),15-13*ORÇAMENTO!$AF$7)*OFFSET(ORÇAMENTO!$W$15,ROW(AG44)-ROW(AG$15),0),15-13*ORÇAMENTO!$AF$11)),0)</f>
        <v>0</v>
      </c>
      <c r="AH44" s="627">
        <f ca="1">IF(AND($D44="Serviço",AH$12&lt;&gt;0,$H44&gt;0,OR(AUTOEVENTO&lt;&gt;"manual",$M44&lt;&gt;1)),
IF(Import.TipoArredondamento&lt;&gt;"TransfereGOV",
ROUND(OFFSET($P44,0,AH$13),15-13*ORÇAMENTO!$AF$7)/$H44*OFFSET(ORÇAMENTO!$X$15,ROW(AH44)-ROW(AH$15),0),
ROUND(ROUND(OFFSET($P44,0,AH$13),15-13*ORÇAMENTO!$AF$7)*OFFSET(ORÇAMENTO!$W$15,ROW(AH44)-ROW(AH$15),0),15-13*ORÇAMENTO!$AF$11)),0)</f>
        <v>0</v>
      </c>
      <c r="AI44" s="627">
        <f ca="1">IF(AND($D44="Serviço",AI$12&lt;&gt;0,$H44&gt;0,OR(AUTOEVENTO&lt;&gt;"manual",$M44&lt;&gt;1)),
IF(Import.TipoArredondamento&lt;&gt;"TransfereGOV",
ROUND(OFFSET($P44,0,AI$13),15-13*ORÇAMENTO!$AF$7)/$H44*OFFSET(ORÇAMENTO!$X$15,ROW(AI44)-ROW(AI$15),0),
ROUND(ROUND(OFFSET($P44,0,AI$13),15-13*ORÇAMENTO!$AF$7)*OFFSET(ORÇAMENTO!$W$15,ROW(AI44)-ROW(AI$15),0),15-13*ORÇAMENTO!$AF$11)),0)</f>
        <v>0</v>
      </c>
      <c r="AJ44" s="627">
        <f ca="1">IF(AND($D44="Serviço",AJ$12&lt;&gt;0,$H44&gt;0,OR(AUTOEVENTO&lt;&gt;"manual",$M44&lt;&gt;1)),
IF(Import.TipoArredondamento&lt;&gt;"TransfereGOV",
ROUND(OFFSET($P44,0,AJ$13),15-13*ORÇAMENTO!$AF$7)/$H44*OFFSET(ORÇAMENTO!$X$15,ROW(AJ44)-ROW(AJ$15),0),
ROUND(ROUND(OFFSET($P44,0,AJ$13),15-13*ORÇAMENTO!$AF$7)*OFFSET(ORÇAMENTO!$W$15,ROW(AJ44)-ROW(AJ$15),0),15-13*ORÇAMENTO!$AF$11)),0)</f>
        <v>0</v>
      </c>
      <c r="AK44" s="628">
        <f ca="1">IF(AND($D44="Serviço",AK$12&lt;&gt;0,$H44&gt;0,OR(AUTOEVENTO&lt;&gt;"manual",$M44&lt;&gt;1)),
IF(Import.TipoArredondamento&lt;&gt;"TransfereGOV",
ROUND(OFFSET($P44,0,AK$13),15-13*ORÇAMENTO!$AF$7)/$H44*OFFSET(ORÇAMENTO!$X$15,ROW(AK44)-ROW(AK$15),0),
ROUND(ROUND(OFFSET($P44,0,AK$13),15-13*ORÇAMENTO!$AF$7)*OFFSET(ORÇAMENTO!$W$15,ROW(AK44)-ROW(AK$15),0),15-13*ORÇAMENTO!$AF$11)),0)</f>
        <v>0</v>
      </c>
      <c r="AM44" s="211">
        <f ca="1">IF($D44&lt;&gt;"Serviço",0,IF(AND(AUTOEVENTO="Manual",$M44=1),0,IF(OFFSET(CRONOPLE!$F$14,$M44,AM$13)="",10^12,OFFSET(CRONOPLE!$F$14,$M44,AM$13))))</f>
        <v>2</v>
      </c>
      <c r="AN44" s="211">
        <f ca="1">IF($D44&lt;&gt;"Serviço",0,IF(AND(AUTOEVENTO="Manual",$M44=1),0,IF(OFFSET(CRONOPLE!$F$14,$M44,AN$13)="",10^12,OFFSET(CRONOPLE!$F$14,$M44,AN$13))))</f>
        <v>1</v>
      </c>
      <c r="AO44" s="211">
        <f ca="1">IF($D44&lt;&gt;"Serviço",0,IF(AND(AUTOEVENTO="Manual",$M44=1),0,IF(OFFSET(CRONOPLE!$F$14,$M44,AO$13)="",10^12,OFFSET(CRONOPLE!$F$14,$M44,AO$13))))</f>
        <v>2</v>
      </c>
      <c r="AP44" s="211">
        <f ca="1">IF($D44&lt;&gt;"Serviço",0,IF(AND(AUTOEVENTO="Manual",$M44=1),0,IF(OFFSET(CRONOPLE!$F$14,$M44,AP$13)="",10^12,OFFSET(CRONOPLE!$F$14,$M44,AP$13))))</f>
        <v>2</v>
      </c>
      <c r="AQ44" s="211">
        <f ca="1">IF($D44&lt;&gt;"Serviço",0,IF(AND(AUTOEVENTO="Manual",$M44=1),0,IF(OFFSET(CRONOPLE!$F$14,$M44,AQ$13)="",10^12,OFFSET(CRONOPLE!$F$14,$M44,AQ$13))))</f>
        <v>1000000000000</v>
      </c>
      <c r="AR44" s="211">
        <f ca="1">IF($D44&lt;&gt;"Serviço",0,IF(AND(AUTOEVENTO="Manual",$M44=1),0,IF(OFFSET(CRONOPLE!$F$14,$M44,AR$13)="",10^12,OFFSET(CRONOPLE!$F$14,$M44,AR$13))))</f>
        <v>1000000000000</v>
      </c>
      <c r="AS44" s="211">
        <f ca="1">IF($D44&lt;&gt;"Serviço",0,IF(AND(AUTOEVENTO="Manual",$M44=1),0,IF(OFFSET(CRONOPLE!$F$14,$M44,AS$13)="",10^12,OFFSET(CRONOPLE!$F$14,$M44,AS$13))))</f>
        <v>1000000000000</v>
      </c>
      <c r="AT44" s="211">
        <f ca="1">IF($D44&lt;&gt;"Serviço",0,IF(AND(AUTOEVENTO="Manual",$M44=1),0,IF(OFFSET(CRONOPLE!$F$14,$M44,AT$13)="",10^12,OFFSET(CRONOPLE!$F$14,$M44,AT$13))))</f>
        <v>1000000000000</v>
      </c>
      <c r="AU44" s="211">
        <f ca="1">IF($D44&lt;&gt;"Serviço",0,IF(AND(AUTOEVENTO="Manual",$M44=1),0,IF(OFFSET(CRONOPLE!$F$14,$M44,AU$13)="",10^12,OFFSET(CRONOPLE!$F$14,$M44,AU$13))))</f>
        <v>1000000000000</v>
      </c>
      <c r="AV44" s="211">
        <f ca="1">IF($D44&lt;&gt;"Serviço",0,IF(AND(AUTOEVENTO="Manual",$M44=1),0,IF(OFFSET(CRONOPLE!$F$14,$M44,AV$13)="",10^12,OFFSET(CRONOPLE!$F$14,$M44,AV$13))))</f>
        <v>1000000000000</v>
      </c>
      <c r="AX44" s="212">
        <f ca="1">IF($D44&lt;&gt;"Serviço",0,IF(OR(AND(AUTOEVENTO="Manual",$M44=1),$M44&gt;(ROW(PLE.lastrow)-ROW(PLE.firstrow))),0,IF(OFFSET(PLE!$G$14,$M44,AX$13)="",10^12,OFFSET(PLE!$G$14,$M44,AX$13))))</f>
        <v>1000000000000</v>
      </c>
      <c r="AY44" s="212">
        <f ca="1">IF($D44&lt;&gt;"Serviço",0,IF(OR(AND(AUTOEVENTO="Manual",$M44=1),$M44&gt;(ROW(PLE.lastrow)-ROW(PLE.firstrow))),0,IF(OFFSET(PLE!$G$14,$M44,AY$13)="",10^12,OFFSET(PLE!$G$14,$M44,AY$13))))</f>
        <v>1000000000000</v>
      </c>
      <c r="AZ44" s="212">
        <f ca="1">IF($D44&lt;&gt;"Serviço",0,IF(OR(AND(AUTOEVENTO="Manual",$M44=1),$M44&gt;(ROW(PLE.lastrow)-ROW(PLE.firstrow))),0,IF(OFFSET(PLE!$G$14,$M44,AZ$13)="",10^12,OFFSET(PLE!$G$14,$M44,AZ$13))))</f>
        <v>1000000000000</v>
      </c>
      <c r="BA44" s="212">
        <f ca="1">IF($D44&lt;&gt;"Serviço",0,IF(OR(AND(AUTOEVENTO="Manual",$M44=1),$M44&gt;(ROW(PLE.lastrow)-ROW(PLE.firstrow))),0,IF(OFFSET(PLE!$G$14,$M44,BA$13)="",10^12,OFFSET(PLE!$G$14,$M44,BA$13))))</f>
        <v>1000000000000</v>
      </c>
      <c r="BB44" s="212">
        <f ca="1">IF($D44&lt;&gt;"Serviço",0,IF(OR(AND(AUTOEVENTO="Manual",$M44=1),$M44&gt;(ROW(PLE.lastrow)-ROW(PLE.firstrow))),0,IF(OFFSET(PLE!$G$14,$M44,BB$13)="",10^12,OFFSET(PLE!$G$14,$M44,BB$13))))</f>
        <v>1000000000000</v>
      </c>
      <c r="BC44" s="212">
        <f ca="1">IF($D44&lt;&gt;"Serviço",0,IF(OR(AND(AUTOEVENTO="Manual",$M44=1),$M44&gt;(ROW(PLE.lastrow)-ROW(PLE.firstrow))),0,IF(OFFSET(PLE!$G$14,$M44,BC$13)="",10^12,OFFSET(PLE!$G$14,$M44,BC$13))))</f>
        <v>1000000000000</v>
      </c>
      <c r="BD44" s="212">
        <f ca="1">IF($D44&lt;&gt;"Serviço",0,IF(OR(AND(AUTOEVENTO="Manual",$M44=1),$M44&gt;(ROW(PLE.lastrow)-ROW(PLE.firstrow))),0,IF(OFFSET(PLE!$G$14,$M44,BD$13)="",10^12,OFFSET(PLE!$G$14,$M44,BD$13))))</f>
        <v>1000000000000</v>
      </c>
      <c r="BE44" s="212">
        <f ca="1">IF($D44&lt;&gt;"Serviço",0,IF(OR(AND(AUTOEVENTO="Manual",$M44=1),$M44&gt;(ROW(PLE.lastrow)-ROW(PLE.firstrow))),0,IF(OFFSET(PLE!$G$14,$M44,BE$13)="",10^12,OFFSET(PLE!$G$14,$M44,BE$13))))</f>
        <v>1000000000000</v>
      </c>
      <c r="BF44" s="212">
        <f ca="1">IF($D44&lt;&gt;"Serviço",0,IF(OR(AND(AUTOEVENTO="Manual",$M44=1),$M44&gt;(ROW(PLE.lastrow)-ROW(PLE.firstrow))),0,IF(OFFSET(PLE!$G$14,$M44,BF$13)="",10^12,OFFSET(PLE!$G$14,$M44,BF$13))))</f>
        <v>1000000000000</v>
      </c>
      <c r="BG44" s="212">
        <f ca="1">IF($D44&lt;&gt;"Serviço",0,IF(OR(AND(AUTOEVENTO="Manual",$M44=1),$M44&gt;(ROW(PLE.lastrow)-ROW(PLE.firstrow))),0,IF(OFFSET(PLE!$G$14,$M44,BG$13)="",10^12,OFFSET(PLE!$G$14,$M44,BG$13))))</f>
        <v>1000000000000</v>
      </c>
    </row>
    <row r="45" spans="1:59" ht="13.2">
      <c r="A45" s="9" t="str">
        <f t="shared" ca="1" si="8"/>
        <v>15</v>
      </c>
      <c r="B45" s="9" t="str">
        <f ca="1">OFFSET(ORÇAMENTO!C$15,ROW(B45)-ROW(B$15),0)</f>
        <v>S</v>
      </c>
      <c r="C45" s="9" t="str">
        <f ca="1">OFFSET(ORÇAMENTO!L$15,ROW(C45)-ROW(C$15),0)</f>
        <v/>
      </c>
      <c r="D45" s="141" t="str">
        <f ca="1">OFFSET(ORÇAMENTO!N$15,ROW(D45)-ROW(D$15),0)</f>
        <v>Serviço</v>
      </c>
      <c r="E45" s="201" t="str">
        <f ca="1">OFFSET(ORÇAMENTO!O$15,ROW(E45)-ROW(E$15),0)</f>
        <v>-</v>
      </c>
      <c r="F45" s="202" t="str">
        <f ca="1">OFFSET(ORÇAMENTO!R$15,ROW(F45)-ROW(F$15),0)</f>
        <v>(abra o arquivo 'Referência 11-2024.xlsm)</v>
      </c>
      <c r="G45" s="203" t="str">
        <f ca="1">IF($D45&lt;&gt;"Serviço","",OFFSET(ORÇAMENTO!S$15,ROW(G45)-ROW(G$15),0))</f>
        <v>-</v>
      </c>
      <c r="H45" s="147">
        <f ca="1">IF($D45&lt;&gt;"Serviço",0,IF(ACOMPANHAMENTO="BM",ROUND(OFFSET(ORÇAMENTO!AJ$15,ROW(H45)-ROW(H$15),0),15-13*ORÇAMENTO!$AF$7),SUMPRODUCT(($Q$12:$AA$12&lt;&gt;"")*ROUND($Q45:$AA45,15-13*ORÇAMENTO!$AF$7))))</f>
        <v>0</v>
      </c>
      <c r="I45" s="645"/>
      <c r="K45" s="204"/>
      <c r="L45" s="205" t="s">
        <v>255</v>
      </c>
      <c r="M45" s="206">
        <f ca="1">IF($D45&lt;&gt;"Serviço","",IF(AUTOEVENTO="manual",$A45,IF(ISERROR(MATCH($A45,$A$15:OFFSET($A45,-1,0),0)),MAX($M$15:OFFSET(M45,-1,0))+1,INDEX($M$15:OFFSET(M45,-1,0),MATCH($A45,$A$15:OFFSET($A45,-1,0),0)))))</f>
        <v>6</v>
      </c>
      <c r="N45" s="207" t="str">
        <f ca="1">IF($D45&lt;&gt;"Serviço","",IF(AUTOEVENTO="Manual",IF($A45=0,"&lt;-- defina o número do agrupador",OFFSET(EVENTOS!$D$14,$A45,0)),OFFSET($F$15,$A45,0)))</f>
        <v>DRENAGEM</v>
      </c>
      <c r="O45" s="208"/>
      <c r="Q45" s="208"/>
      <c r="R45" s="209"/>
      <c r="S45" s="209"/>
      <c r="T45" s="209"/>
      <c r="U45" s="209"/>
      <c r="V45" s="209"/>
      <c r="W45" s="209"/>
      <c r="X45" s="209"/>
      <c r="Y45" s="209"/>
      <c r="Z45" s="210"/>
      <c r="AB45" s="626">
        <f ca="1">IF(AND($D45="Serviço",AB$12&lt;&gt;0,$H45&gt;0,OR(AUTOEVENTO&lt;&gt;"manual",$M45&lt;&gt;1)),
IF(Import.TipoArredondamento&lt;&gt;"TransfereGOV",
ROUND(OFFSET($P45,0,AB$13),15-13*ORÇAMENTO!$AF$7)/$H45*OFFSET(ORÇAMENTO!$X$15,ROW(AB45)-ROW(AB$15),0),
ROUND(ROUND(OFFSET($P45,0,AB$13),15-13*ORÇAMENTO!$AF$7)*OFFSET(ORÇAMENTO!$W$15,ROW(AB45)-ROW(AB$15),0),15-13*ORÇAMENTO!$AF$11)),0)</f>
        <v>0</v>
      </c>
      <c r="AC45" s="627">
        <f ca="1">IF(AND($D45="Serviço",AC$12&lt;&gt;0,$H45&gt;0,OR(AUTOEVENTO&lt;&gt;"manual",$M45&lt;&gt;1)),
IF(Import.TipoArredondamento&lt;&gt;"TransfereGOV",
ROUND(OFFSET($P45,0,AC$13),15-13*ORÇAMENTO!$AF$7)/$H45*OFFSET(ORÇAMENTO!$X$15,ROW(AC45)-ROW(AC$15),0),
ROUND(ROUND(OFFSET($P45,0,AC$13),15-13*ORÇAMENTO!$AF$7)*OFFSET(ORÇAMENTO!$W$15,ROW(AC45)-ROW(AC$15),0),15-13*ORÇAMENTO!$AF$11)),0)</f>
        <v>0</v>
      </c>
      <c r="AD45" s="627">
        <f ca="1">IF(AND($D45="Serviço",AD$12&lt;&gt;0,$H45&gt;0,OR(AUTOEVENTO&lt;&gt;"manual",$M45&lt;&gt;1)),
IF(Import.TipoArredondamento&lt;&gt;"TransfereGOV",
ROUND(OFFSET($P45,0,AD$13),15-13*ORÇAMENTO!$AF$7)/$H45*OFFSET(ORÇAMENTO!$X$15,ROW(AD45)-ROW(AD$15),0),
ROUND(ROUND(OFFSET($P45,0,AD$13),15-13*ORÇAMENTO!$AF$7)*OFFSET(ORÇAMENTO!$W$15,ROW(AD45)-ROW(AD$15),0),15-13*ORÇAMENTO!$AF$11)),0)</f>
        <v>0</v>
      </c>
      <c r="AE45" s="627">
        <f ca="1">IF(AND($D45="Serviço",AE$12&lt;&gt;0,$H45&gt;0,OR(AUTOEVENTO&lt;&gt;"manual",$M45&lt;&gt;1)),
IF(Import.TipoArredondamento&lt;&gt;"TransfereGOV",
ROUND(OFFSET($P45,0,AE$13),15-13*ORÇAMENTO!$AF$7)/$H45*OFFSET(ORÇAMENTO!$X$15,ROW(AE45)-ROW(AE$15),0),
ROUND(ROUND(OFFSET($P45,0,AE$13),15-13*ORÇAMENTO!$AF$7)*OFFSET(ORÇAMENTO!$W$15,ROW(AE45)-ROW(AE$15),0),15-13*ORÇAMENTO!$AF$11)),0)</f>
        <v>0</v>
      </c>
      <c r="AF45" s="627">
        <f ca="1">IF(AND($D45="Serviço",AF$12&lt;&gt;0,$H45&gt;0,OR(AUTOEVENTO&lt;&gt;"manual",$M45&lt;&gt;1)),
IF(Import.TipoArredondamento&lt;&gt;"TransfereGOV",
ROUND(OFFSET($P45,0,AF$13),15-13*ORÇAMENTO!$AF$7)/$H45*OFFSET(ORÇAMENTO!$X$15,ROW(AF45)-ROW(AF$15),0),
ROUND(ROUND(OFFSET($P45,0,AF$13),15-13*ORÇAMENTO!$AF$7)*OFFSET(ORÇAMENTO!$W$15,ROW(AF45)-ROW(AF$15),0),15-13*ORÇAMENTO!$AF$11)),0)</f>
        <v>0</v>
      </c>
      <c r="AG45" s="627">
        <f ca="1">IF(AND($D45="Serviço",AG$12&lt;&gt;0,$H45&gt;0,OR(AUTOEVENTO&lt;&gt;"manual",$M45&lt;&gt;1)),
IF(Import.TipoArredondamento&lt;&gt;"TransfereGOV",
ROUND(OFFSET($P45,0,AG$13),15-13*ORÇAMENTO!$AF$7)/$H45*OFFSET(ORÇAMENTO!$X$15,ROW(AG45)-ROW(AG$15),0),
ROUND(ROUND(OFFSET($P45,0,AG$13),15-13*ORÇAMENTO!$AF$7)*OFFSET(ORÇAMENTO!$W$15,ROW(AG45)-ROW(AG$15),0),15-13*ORÇAMENTO!$AF$11)),0)</f>
        <v>0</v>
      </c>
      <c r="AH45" s="627">
        <f ca="1">IF(AND($D45="Serviço",AH$12&lt;&gt;0,$H45&gt;0,OR(AUTOEVENTO&lt;&gt;"manual",$M45&lt;&gt;1)),
IF(Import.TipoArredondamento&lt;&gt;"TransfereGOV",
ROUND(OFFSET($P45,0,AH$13),15-13*ORÇAMENTO!$AF$7)/$H45*OFFSET(ORÇAMENTO!$X$15,ROW(AH45)-ROW(AH$15),0),
ROUND(ROUND(OFFSET($P45,0,AH$13),15-13*ORÇAMENTO!$AF$7)*OFFSET(ORÇAMENTO!$W$15,ROW(AH45)-ROW(AH$15),0),15-13*ORÇAMENTO!$AF$11)),0)</f>
        <v>0</v>
      </c>
      <c r="AI45" s="627">
        <f ca="1">IF(AND($D45="Serviço",AI$12&lt;&gt;0,$H45&gt;0,OR(AUTOEVENTO&lt;&gt;"manual",$M45&lt;&gt;1)),
IF(Import.TipoArredondamento&lt;&gt;"TransfereGOV",
ROUND(OFFSET($P45,0,AI$13),15-13*ORÇAMENTO!$AF$7)/$H45*OFFSET(ORÇAMENTO!$X$15,ROW(AI45)-ROW(AI$15),0),
ROUND(ROUND(OFFSET($P45,0,AI$13),15-13*ORÇAMENTO!$AF$7)*OFFSET(ORÇAMENTO!$W$15,ROW(AI45)-ROW(AI$15),0),15-13*ORÇAMENTO!$AF$11)),0)</f>
        <v>0</v>
      </c>
      <c r="AJ45" s="627">
        <f ca="1">IF(AND($D45="Serviço",AJ$12&lt;&gt;0,$H45&gt;0,OR(AUTOEVENTO&lt;&gt;"manual",$M45&lt;&gt;1)),
IF(Import.TipoArredondamento&lt;&gt;"TransfereGOV",
ROUND(OFFSET($P45,0,AJ$13),15-13*ORÇAMENTO!$AF$7)/$H45*OFFSET(ORÇAMENTO!$X$15,ROW(AJ45)-ROW(AJ$15),0),
ROUND(ROUND(OFFSET($P45,0,AJ$13),15-13*ORÇAMENTO!$AF$7)*OFFSET(ORÇAMENTO!$W$15,ROW(AJ45)-ROW(AJ$15),0),15-13*ORÇAMENTO!$AF$11)),0)</f>
        <v>0</v>
      </c>
      <c r="AK45" s="628">
        <f ca="1">IF(AND($D45="Serviço",AK$12&lt;&gt;0,$H45&gt;0,OR(AUTOEVENTO&lt;&gt;"manual",$M45&lt;&gt;1)),
IF(Import.TipoArredondamento&lt;&gt;"TransfereGOV",
ROUND(OFFSET($P45,0,AK$13),15-13*ORÇAMENTO!$AF$7)/$H45*OFFSET(ORÇAMENTO!$X$15,ROW(AK45)-ROW(AK$15),0),
ROUND(ROUND(OFFSET($P45,0,AK$13),15-13*ORÇAMENTO!$AF$7)*OFFSET(ORÇAMENTO!$W$15,ROW(AK45)-ROW(AK$15),0),15-13*ORÇAMENTO!$AF$11)),0)</f>
        <v>0</v>
      </c>
      <c r="AM45" s="211">
        <f ca="1">IF($D45&lt;&gt;"Serviço",0,IF(AND(AUTOEVENTO="Manual",$M45=1),0,IF(OFFSET(CRONOPLE!$F$14,$M45,AM$13)="",10^12,OFFSET(CRONOPLE!$F$14,$M45,AM$13))))</f>
        <v>2</v>
      </c>
      <c r="AN45" s="211">
        <f ca="1">IF($D45&lt;&gt;"Serviço",0,IF(AND(AUTOEVENTO="Manual",$M45=1),0,IF(OFFSET(CRONOPLE!$F$14,$M45,AN$13)="",10^12,OFFSET(CRONOPLE!$F$14,$M45,AN$13))))</f>
        <v>1</v>
      </c>
      <c r="AO45" s="211">
        <f ca="1">IF($D45&lt;&gt;"Serviço",0,IF(AND(AUTOEVENTO="Manual",$M45=1),0,IF(OFFSET(CRONOPLE!$F$14,$M45,AO$13)="",10^12,OFFSET(CRONOPLE!$F$14,$M45,AO$13))))</f>
        <v>2</v>
      </c>
      <c r="AP45" s="211">
        <f ca="1">IF($D45&lt;&gt;"Serviço",0,IF(AND(AUTOEVENTO="Manual",$M45=1),0,IF(OFFSET(CRONOPLE!$F$14,$M45,AP$13)="",10^12,OFFSET(CRONOPLE!$F$14,$M45,AP$13))))</f>
        <v>2</v>
      </c>
      <c r="AQ45" s="211">
        <f ca="1">IF($D45&lt;&gt;"Serviço",0,IF(AND(AUTOEVENTO="Manual",$M45=1),0,IF(OFFSET(CRONOPLE!$F$14,$M45,AQ$13)="",10^12,OFFSET(CRONOPLE!$F$14,$M45,AQ$13))))</f>
        <v>1000000000000</v>
      </c>
      <c r="AR45" s="211">
        <f ca="1">IF($D45&lt;&gt;"Serviço",0,IF(AND(AUTOEVENTO="Manual",$M45=1),0,IF(OFFSET(CRONOPLE!$F$14,$M45,AR$13)="",10^12,OFFSET(CRONOPLE!$F$14,$M45,AR$13))))</f>
        <v>1000000000000</v>
      </c>
      <c r="AS45" s="211">
        <f ca="1">IF($D45&lt;&gt;"Serviço",0,IF(AND(AUTOEVENTO="Manual",$M45=1),0,IF(OFFSET(CRONOPLE!$F$14,$M45,AS$13)="",10^12,OFFSET(CRONOPLE!$F$14,$M45,AS$13))))</f>
        <v>1000000000000</v>
      </c>
      <c r="AT45" s="211">
        <f ca="1">IF($D45&lt;&gt;"Serviço",0,IF(AND(AUTOEVENTO="Manual",$M45=1),0,IF(OFFSET(CRONOPLE!$F$14,$M45,AT$13)="",10^12,OFFSET(CRONOPLE!$F$14,$M45,AT$13))))</f>
        <v>1000000000000</v>
      </c>
      <c r="AU45" s="211">
        <f ca="1">IF($D45&lt;&gt;"Serviço",0,IF(AND(AUTOEVENTO="Manual",$M45=1),0,IF(OFFSET(CRONOPLE!$F$14,$M45,AU$13)="",10^12,OFFSET(CRONOPLE!$F$14,$M45,AU$13))))</f>
        <v>1000000000000</v>
      </c>
      <c r="AV45" s="211">
        <f ca="1">IF($D45&lt;&gt;"Serviço",0,IF(AND(AUTOEVENTO="Manual",$M45=1),0,IF(OFFSET(CRONOPLE!$F$14,$M45,AV$13)="",10^12,OFFSET(CRONOPLE!$F$14,$M45,AV$13))))</f>
        <v>1000000000000</v>
      </c>
      <c r="AX45" s="212">
        <f ca="1">IF($D45&lt;&gt;"Serviço",0,IF(OR(AND(AUTOEVENTO="Manual",$M45=1),$M45&gt;(ROW(PLE.lastrow)-ROW(PLE.firstrow))),0,IF(OFFSET(PLE!$G$14,$M45,AX$13)="",10^12,OFFSET(PLE!$G$14,$M45,AX$13))))</f>
        <v>1000000000000</v>
      </c>
      <c r="AY45" s="212">
        <f ca="1">IF($D45&lt;&gt;"Serviço",0,IF(OR(AND(AUTOEVENTO="Manual",$M45=1),$M45&gt;(ROW(PLE.lastrow)-ROW(PLE.firstrow))),0,IF(OFFSET(PLE!$G$14,$M45,AY$13)="",10^12,OFFSET(PLE!$G$14,$M45,AY$13))))</f>
        <v>1000000000000</v>
      </c>
      <c r="AZ45" s="212">
        <f ca="1">IF($D45&lt;&gt;"Serviço",0,IF(OR(AND(AUTOEVENTO="Manual",$M45=1),$M45&gt;(ROW(PLE.lastrow)-ROW(PLE.firstrow))),0,IF(OFFSET(PLE!$G$14,$M45,AZ$13)="",10^12,OFFSET(PLE!$G$14,$M45,AZ$13))))</f>
        <v>1000000000000</v>
      </c>
      <c r="BA45" s="212">
        <f ca="1">IF($D45&lt;&gt;"Serviço",0,IF(OR(AND(AUTOEVENTO="Manual",$M45=1),$M45&gt;(ROW(PLE.lastrow)-ROW(PLE.firstrow))),0,IF(OFFSET(PLE!$G$14,$M45,BA$13)="",10^12,OFFSET(PLE!$G$14,$M45,BA$13))))</f>
        <v>1000000000000</v>
      </c>
      <c r="BB45" s="212">
        <f ca="1">IF($D45&lt;&gt;"Serviço",0,IF(OR(AND(AUTOEVENTO="Manual",$M45=1),$M45&gt;(ROW(PLE.lastrow)-ROW(PLE.firstrow))),0,IF(OFFSET(PLE!$G$14,$M45,BB$13)="",10^12,OFFSET(PLE!$G$14,$M45,BB$13))))</f>
        <v>1000000000000</v>
      </c>
      <c r="BC45" s="212">
        <f ca="1">IF($D45&lt;&gt;"Serviço",0,IF(OR(AND(AUTOEVENTO="Manual",$M45=1),$M45&gt;(ROW(PLE.lastrow)-ROW(PLE.firstrow))),0,IF(OFFSET(PLE!$G$14,$M45,BC$13)="",10^12,OFFSET(PLE!$G$14,$M45,BC$13))))</f>
        <v>1000000000000</v>
      </c>
      <c r="BD45" s="212">
        <f ca="1">IF($D45&lt;&gt;"Serviço",0,IF(OR(AND(AUTOEVENTO="Manual",$M45=1),$M45&gt;(ROW(PLE.lastrow)-ROW(PLE.firstrow))),0,IF(OFFSET(PLE!$G$14,$M45,BD$13)="",10^12,OFFSET(PLE!$G$14,$M45,BD$13))))</f>
        <v>1000000000000</v>
      </c>
      <c r="BE45" s="212">
        <f ca="1">IF($D45&lt;&gt;"Serviço",0,IF(OR(AND(AUTOEVENTO="Manual",$M45=1),$M45&gt;(ROW(PLE.lastrow)-ROW(PLE.firstrow))),0,IF(OFFSET(PLE!$G$14,$M45,BE$13)="",10^12,OFFSET(PLE!$G$14,$M45,BE$13))))</f>
        <v>1000000000000</v>
      </c>
      <c r="BF45" s="212">
        <f ca="1">IF($D45&lt;&gt;"Serviço",0,IF(OR(AND(AUTOEVENTO="Manual",$M45=1),$M45&gt;(ROW(PLE.lastrow)-ROW(PLE.firstrow))),0,IF(OFFSET(PLE!$G$14,$M45,BF$13)="",10^12,OFFSET(PLE!$G$14,$M45,BF$13))))</f>
        <v>1000000000000</v>
      </c>
      <c r="BG45" s="212">
        <f ca="1">IF($D45&lt;&gt;"Serviço",0,IF(OR(AND(AUTOEVENTO="Manual",$M45=1),$M45&gt;(ROW(PLE.lastrow)-ROW(PLE.firstrow))),0,IF(OFFSET(PLE!$G$14,$M45,BG$13)="",10^12,OFFSET(PLE!$G$14,$M45,BG$13))))</f>
        <v>1000000000000</v>
      </c>
    </row>
    <row r="46" spans="1:59" ht="13.2">
      <c r="A46" s="9" t="str">
        <f t="shared" ca="1" si="8"/>
        <v>15</v>
      </c>
      <c r="B46" s="9" t="str">
        <f ca="1">OFFSET(ORÇAMENTO!C$15,ROW(B46)-ROW(B$15),0)</f>
        <v>S</v>
      </c>
      <c r="C46" s="9" t="str">
        <f ca="1">OFFSET(ORÇAMENTO!L$15,ROW(C46)-ROW(C$15),0)</f>
        <v/>
      </c>
      <c r="D46" s="141" t="str">
        <f ca="1">OFFSET(ORÇAMENTO!N$15,ROW(D46)-ROW(D$15),0)</f>
        <v>Serviço</v>
      </c>
      <c r="E46" s="201" t="str">
        <f ca="1">OFFSET(ORÇAMENTO!O$15,ROW(E46)-ROW(E$15),0)</f>
        <v>-</v>
      </c>
      <c r="F46" s="202" t="str">
        <f ca="1">OFFSET(ORÇAMENTO!R$15,ROW(F46)-ROW(F$15),0)</f>
        <v>(abra o arquivo 'Referência 11-2024.xlsm)</v>
      </c>
      <c r="G46" s="203" t="str">
        <f ca="1">IF($D46&lt;&gt;"Serviço","",OFFSET(ORÇAMENTO!S$15,ROW(G46)-ROW(G$15),0))</f>
        <v>-</v>
      </c>
      <c r="H46" s="147">
        <f ca="1">IF($D46&lt;&gt;"Serviço",0,IF(ACOMPANHAMENTO="BM",ROUND(OFFSET(ORÇAMENTO!AJ$15,ROW(H46)-ROW(H$15),0),15-13*ORÇAMENTO!$AF$7),SUMPRODUCT(($Q$12:$AA$12&lt;&gt;"")*ROUND($Q46:$AA46,15-13*ORÇAMENTO!$AF$7))))</f>
        <v>0</v>
      </c>
      <c r="I46" s="645"/>
      <c r="K46" s="204"/>
      <c r="L46" s="205" t="s">
        <v>255</v>
      </c>
      <c r="M46" s="206">
        <f ca="1">IF($D46&lt;&gt;"Serviço","",IF(AUTOEVENTO="manual",$A46,IF(ISERROR(MATCH($A46,$A$15:OFFSET($A46,-1,0),0)),MAX($M$15:OFFSET(M46,-1,0))+1,INDEX($M$15:OFFSET(M46,-1,0),MATCH($A46,$A$15:OFFSET($A46,-1,0),0)))))</f>
        <v>6</v>
      </c>
      <c r="N46" s="207" t="str">
        <f ca="1">IF($D46&lt;&gt;"Serviço","",IF(AUTOEVENTO="Manual",IF($A46=0,"&lt;-- defina o número do agrupador",OFFSET(EVENTOS!$D$14,$A46,0)),OFFSET($F$15,$A46,0)))</f>
        <v>DRENAGEM</v>
      </c>
      <c r="O46" s="208"/>
      <c r="Q46" s="208"/>
      <c r="R46" s="209"/>
      <c r="S46" s="209"/>
      <c r="T46" s="209"/>
      <c r="U46" s="209"/>
      <c r="V46" s="209"/>
      <c r="W46" s="209"/>
      <c r="X46" s="209"/>
      <c r="Y46" s="209"/>
      <c r="Z46" s="210"/>
      <c r="AB46" s="626">
        <f ca="1">IF(AND($D46="Serviço",AB$12&lt;&gt;0,$H46&gt;0,OR(AUTOEVENTO&lt;&gt;"manual",$M46&lt;&gt;1)),
IF(Import.TipoArredondamento&lt;&gt;"TransfereGOV",
ROUND(OFFSET($P46,0,AB$13),15-13*ORÇAMENTO!$AF$7)/$H46*OFFSET(ORÇAMENTO!$X$15,ROW(AB46)-ROW(AB$15),0),
ROUND(ROUND(OFFSET($P46,0,AB$13),15-13*ORÇAMENTO!$AF$7)*OFFSET(ORÇAMENTO!$W$15,ROW(AB46)-ROW(AB$15),0),15-13*ORÇAMENTO!$AF$11)),0)</f>
        <v>0</v>
      </c>
      <c r="AC46" s="627">
        <f ca="1">IF(AND($D46="Serviço",AC$12&lt;&gt;0,$H46&gt;0,OR(AUTOEVENTO&lt;&gt;"manual",$M46&lt;&gt;1)),
IF(Import.TipoArredondamento&lt;&gt;"TransfereGOV",
ROUND(OFFSET($P46,0,AC$13),15-13*ORÇAMENTO!$AF$7)/$H46*OFFSET(ORÇAMENTO!$X$15,ROW(AC46)-ROW(AC$15),0),
ROUND(ROUND(OFFSET($P46,0,AC$13),15-13*ORÇAMENTO!$AF$7)*OFFSET(ORÇAMENTO!$W$15,ROW(AC46)-ROW(AC$15),0),15-13*ORÇAMENTO!$AF$11)),0)</f>
        <v>0</v>
      </c>
      <c r="AD46" s="627">
        <f ca="1">IF(AND($D46="Serviço",AD$12&lt;&gt;0,$H46&gt;0,OR(AUTOEVENTO&lt;&gt;"manual",$M46&lt;&gt;1)),
IF(Import.TipoArredondamento&lt;&gt;"TransfereGOV",
ROUND(OFFSET($P46,0,AD$13),15-13*ORÇAMENTO!$AF$7)/$H46*OFFSET(ORÇAMENTO!$X$15,ROW(AD46)-ROW(AD$15),0),
ROUND(ROUND(OFFSET($P46,0,AD$13),15-13*ORÇAMENTO!$AF$7)*OFFSET(ORÇAMENTO!$W$15,ROW(AD46)-ROW(AD$15),0),15-13*ORÇAMENTO!$AF$11)),0)</f>
        <v>0</v>
      </c>
      <c r="AE46" s="627">
        <f ca="1">IF(AND($D46="Serviço",AE$12&lt;&gt;0,$H46&gt;0,OR(AUTOEVENTO&lt;&gt;"manual",$M46&lt;&gt;1)),
IF(Import.TipoArredondamento&lt;&gt;"TransfereGOV",
ROUND(OFFSET($P46,0,AE$13),15-13*ORÇAMENTO!$AF$7)/$H46*OFFSET(ORÇAMENTO!$X$15,ROW(AE46)-ROW(AE$15),0),
ROUND(ROUND(OFFSET($P46,0,AE$13),15-13*ORÇAMENTO!$AF$7)*OFFSET(ORÇAMENTO!$W$15,ROW(AE46)-ROW(AE$15),0),15-13*ORÇAMENTO!$AF$11)),0)</f>
        <v>0</v>
      </c>
      <c r="AF46" s="627">
        <f ca="1">IF(AND($D46="Serviço",AF$12&lt;&gt;0,$H46&gt;0,OR(AUTOEVENTO&lt;&gt;"manual",$M46&lt;&gt;1)),
IF(Import.TipoArredondamento&lt;&gt;"TransfereGOV",
ROUND(OFFSET($P46,0,AF$13),15-13*ORÇAMENTO!$AF$7)/$H46*OFFSET(ORÇAMENTO!$X$15,ROW(AF46)-ROW(AF$15),0),
ROUND(ROUND(OFFSET($P46,0,AF$13),15-13*ORÇAMENTO!$AF$7)*OFFSET(ORÇAMENTO!$W$15,ROW(AF46)-ROW(AF$15),0),15-13*ORÇAMENTO!$AF$11)),0)</f>
        <v>0</v>
      </c>
      <c r="AG46" s="627">
        <f ca="1">IF(AND($D46="Serviço",AG$12&lt;&gt;0,$H46&gt;0,OR(AUTOEVENTO&lt;&gt;"manual",$M46&lt;&gt;1)),
IF(Import.TipoArredondamento&lt;&gt;"TransfereGOV",
ROUND(OFFSET($P46,0,AG$13),15-13*ORÇAMENTO!$AF$7)/$H46*OFFSET(ORÇAMENTO!$X$15,ROW(AG46)-ROW(AG$15),0),
ROUND(ROUND(OFFSET($P46,0,AG$13),15-13*ORÇAMENTO!$AF$7)*OFFSET(ORÇAMENTO!$W$15,ROW(AG46)-ROW(AG$15),0),15-13*ORÇAMENTO!$AF$11)),0)</f>
        <v>0</v>
      </c>
      <c r="AH46" s="627">
        <f ca="1">IF(AND($D46="Serviço",AH$12&lt;&gt;0,$H46&gt;0,OR(AUTOEVENTO&lt;&gt;"manual",$M46&lt;&gt;1)),
IF(Import.TipoArredondamento&lt;&gt;"TransfereGOV",
ROUND(OFFSET($P46,0,AH$13),15-13*ORÇAMENTO!$AF$7)/$H46*OFFSET(ORÇAMENTO!$X$15,ROW(AH46)-ROW(AH$15),0),
ROUND(ROUND(OFFSET($P46,0,AH$13),15-13*ORÇAMENTO!$AF$7)*OFFSET(ORÇAMENTO!$W$15,ROW(AH46)-ROW(AH$15),0),15-13*ORÇAMENTO!$AF$11)),0)</f>
        <v>0</v>
      </c>
      <c r="AI46" s="627">
        <f ca="1">IF(AND($D46="Serviço",AI$12&lt;&gt;0,$H46&gt;0,OR(AUTOEVENTO&lt;&gt;"manual",$M46&lt;&gt;1)),
IF(Import.TipoArredondamento&lt;&gt;"TransfereGOV",
ROUND(OFFSET($P46,0,AI$13),15-13*ORÇAMENTO!$AF$7)/$H46*OFFSET(ORÇAMENTO!$X$15,ROW(AI46)-ROW(AI$15),0),
ROUND(ROUND(OFFSET($P46,0,AI$13),15-13*ORÇAMENTO!$AF$7)*OFFSET(ORÇAMENTO!$W$15,ROW(AI46)-ROW(AI$15),0),15-13*ORÇAMENTO!$AF$11)),0)</f>
        <v>0</v>
      </c>
      <c r="AJ46" s="627">
        <f ca="1">IF(AND($D46="Serviço",AJ$12&lt;&gt;0,$H46&gt;0,OR(AUTOEVENTO&lt;&gt;"manual",$M46&lt;&gt;1)),
IF(Import.TipoArredondamento&lt;&gt;"TransfereGOV",
ROUND(OFFSET($P46,0,AJ$13),15-13*ORÇAMENTO!$AF$7)/$H46*OFFSET(ORÇAMENTO!$X$15,ROW(AJ46)-ROW(AJ$15),0),
ROUND(ROUND(OFFSET($P46,0,AJ$13),15-13*ORÇAMENTO!$AF$7)*OFFSET(ORÇAMENTO!$W$15,ROW(AJ46)-ROW(AJ$15),0),15-13*ORÇAMENTO!$AF$11)),0)</f>
        <v>0</v>
      </c>
      <c r="AK46" s="628">
        <f ca="1">IF(AND($D46="Serviço",AK$12&lt;&gt;0,$H46&gt;0,OR(AUTOEVENTO&lt;&gt;"manual",$M46&lt;&gt;1)),
IF(Import.TipoArredondamento&lt;&gt;"TransfereGOV",
ROUND(OFFSET($P46,0,AK$13),15-13*ORÇAMENTO!$AF$7)/$H46*OFFSET(ORÇAMENTO!$X$15,ROW(AK46)-ROW(AK$15),0),
ROUND(ROUND(OFFSET($P46,0,AK$13),15-13*ORÇAMENTO!$AF$7)*OFFSET(ORÇAMENTO!$W$15,ROW(AK46)-ROW(AK$15),0),15-13*ORÇAMENTO!$AF$11)),0)</f>
        <v>0</v>
      </c>
      <c r="AM46" s="211">
        <f ca="1">IF($D46&lt;&gt;"Serviço",0,IF(AND(AUTOEVENTO="Manual",$M46=1),0,IF(OFFSET(CRONOPLE!$F$14,$M46,AM$13)="",10^12,OFFSET(CRONOPLE!$F$14,$M46,AM$13))))</f>
        <v>2</v>
      </c>
      <c r="AN46" s="211">
        <f ca="1">IF($D46&lt;&gt;"Serviço",0,IF(AND(AUTOEVENTO="Manual",$M46=1),0,IF(OFFSET(CRONOPLE!$F$14,$M46,AN$13)="",10^12,OFFSET(CRONOPLE!$F$14,$M46,AN$13))))</f>
        <v>1</v>
      </c>
      <c r="AO46" s="211">
        <f ca="1">IF($D46&lt;&gt;"Serviço",0,IF(AND(AUTOEVENTO="Manual",$M46=1),0,IF(OFFSET(CRONOPLE!$F$14,$M46,AO$13)="",10^12,OFFSET(CRONOPLE!$F$14,$M46,AO$13))))</f>
        <v>2</v>
      </c>
      <c r="AP46" s="211">
        <f ca="1">IF($D46&lt;&gt;"Serviço",0,IF(AND(AUTOEVENTO="Manual",$M46=1),0,IF(OFFSET(CRONOPLE!$F$14,$M46,AP$13)="",10^12,OFFSET(CRONOPLE!$F$14,$M46,AP$13))))</f>
        <v>2</v>
      </c>
      <c r="AQ46" s="211">
        <f ca="1">IF($D46&lt;&gt;"Serviço",0,IF(AND(AUTOEVENTO="Manual",$M46=1),0,IF(OFFSET(CRONOPLE!$F$14,$M46,AQ$13)="",10^12,OFFSET(CRONOPLE!$F$14,$M46,AQ$13))))</f>
        <v>1000000000000</v>
      </c>
      <c r="AR46" s="211">
        <f ca="1">IF($D46&lt;&gt;"Serviço",0,IF(AND(AUTOEVENTO="Manual",$M46=1),0,IF(OFFSET(CRONOPLE!$F$14,$M46,AR$13)="",10^12,OFFSET(CRONOPLE!$F$14,$M46,AR$13))))</f>
        <v>1000000000000</v>
      </c>
      <c r="AS46" s="211">
        <f ca="1">IF($D46&lt;&gt;"Serviço",0,IF(AND(AUTOEVENTO="Manual",$M46=1),0,IF(OFFSET(CRONOPLE!$F$14,$M46,AS$13)="",10^12,OFFSET(CRONOPLE!$F$14,$M46,AS$13))))</f>
        <v>1000000000000</v>
      </c>
      <c r="AT46" s="211">
        <f ca="1">IF($D46&lt;&gt;"Serviço",0,IF(AND(AUTOEVENTO="Manual",$M46=1),0,IF(OFFSET(CRONOPLE!$F$14,$M46,AT$13)="",10^12,OFFSET(CRONOPLE!$F$14,$M46,AT$13))))</f>
        <v>1000000000000</v>
      </c>
      <c r="AU46" s="211">
        <f ca="1">IF($D46&lt;&gt;"Serviço",0,IF(AND(AUTOEVENTO="Manual",$M46=1),0,IF(OFFSET(CRONOPLE!$F$14,$M46,AU$13)="",10^12,OFFSET(CRONOPLE!$F$14,$M46,AU$13))))</f>
        <v>1000000000000</v>
      </c>
      <c r="AV46" s="211">
        <f ca="1">IF($D46&lt;&gt;"Serviço",0,IF(AND(AUTOEVENTO="Manual",$M46=1),0,IF(OFFSET(CRONOPLE!$F$14,$M46,AV$13)="",10^12,OFFSET(CRONOPLE!$F$14,$M46,AV$13))))</f>
        <v>1000000000000</v>
      </c>
      <c r="AX46" s="212">
        <f ca="1">IF($D46&lt;&gt;"Serviço",0,IF(OR(AND(AUTOEVENTO="Manual",$M46=1),$M46&gt;(ROW(PLE.lastrow)-ROW(PLE.firstrow))),0,IF(OFFSET(PLE!$G$14,$M46,AX$13)="",10^12,OFFSET(PLE!$G$14,$M46,AX$13))))</f>
        <v>1000000000000</v>
      </c>
      <c r="AY46" s="212">
        <f ca="1">IF($D46&lt;&gt;"Serviço",0,IF(OR(AND(AUTOEVENTO="Manual",$M46=1),$M46&gt;(ROW(PLE.lastrow)-ROW(PLE.firstrow))),0,IF(OFFSET(PLE!$G$14,$M46,AY$13)="",10^12,OFFSET(PLE!$G$14,$M46,AY$13))))</f>
        <v>1000000000000</v>
      </c>
      <c r="AZ46" s="212">
        <f ca="1">IF($D46&lt;&gt;"Serviço",0,IF(OR(AND(AUTOEVENTO="Manual",$M46=1),$M46&gt;(ROW(PLE.lastrow)-ROW(PLE.firstrow))),0,IF(OFFSET(PLE!$G$14,$M46,AZ$13)="",10^12,OFFSET(PLE!$G$14,$M46,AZ$13))))</f>
        <v>1000000000000</v>
      </c>
      <c r="BA46" s="212">
        <f ca="1">IF($D46&lt;&gt;"Serviço",0,IF(OR(AND(AUTOEVENTO="Manual",$M46=1),$M46&gt;(ROW(PLE.lastrow)-ROW(PLE.firstrow))),0,IF(OFFSET(PLE!$G$14,$M46,BA$13)="",10^12,OFFSET(PLE!$G$14,$M46,BA$13))))</f>
        <v>1000000000000</v>
      </c>
      <c r="BB46" s="212">
        <f ca="1">IF($D46&lt;&gt;"Serviço",0,IF(OR(AND(AUTOEVENTO="Manual",$M46=1),$M46&gt;(ROW(PLE.lastrow)-ROW(PLE.firstrow))),0,IF(OFFSET(PLE!$G$14,$M46,BB$13)="",10^12,OFFSET(PLE!$G$14,$M46,BB$13))))</f>
        <v>1000000000000</v>
      </c>
      <c r="BC46" s="212">
        <f ca="1">IF($D46&lt;&gt;"Serviço",0,IF(OR(AND(AUTOEVENTO="Manual",$M46=1),$M46&gt;(ROW(PLE.lastrow)-ROW(PLE.firstrow))),0,IF(OFFSET(PLE!$G$14,$M46,BC$13)="",10^12,OFFSET(PLE!$G$14,$M46,BC$13))))</f>
        <v>1000000000000</v>
      </c>
      <c r="BD46" s="212">
        <f ca="1">IF($D46&lt;&gt;"Serviço",0,IF(OR(AND(AUTOEVENTO="Manual",$M46=1),$M46&gt;(ROW(PLE.lastrow)-ROW(PLE.firstrow))),0,IF(OFFSET(PLE!$G$14,$M46,BD$13)="",10^12,OFFSET(PLE!$G$14,$M46,BD$13))))</f>
        <v>1000000000000</v>
      </c>
      <c r="BE46" s="212">
        <f ca="1">IF($D46&lt;&gt;"Serviço",0,IF(OR(AND(AUTOEVENTO="Manual",$M46=1),$M46&gt;(ROW(PLE.lastrow)-ROW(PLE.firstrow))),0,IF(OFFSET(PLE!$G$14,$M46,BE$13)="",10^12,OFFSET(PLE!$G$14,$M46,BE$13))))</f>
        <v>1000000000000</v>
      </c>
      <c r="BF46" s="212">
        <f ca="1">IF($D46&lt;&gt;"Serviço",0,IF(OR(AND(AUTOEVENTO="Manual",$M46=1),$M46&gt;(ROW(PLE.lastrow)-ROW(PLE.firstrow))),0,IF(OFFSET(PLE!$G$14,$M46,BF$13)="",10^12,OFFSET(PLE!$G$14,$M46,BF$13))))</f>
        <v>1000000000000</v>
      </c>
      <c r="BG46" s="212">
        <f ca="1">IF($D46&lt;&gt;"Serviço",0,IF(OR(AND(AUTOEVENTO="Manual",$M46=1),$M46&gt;(ROW(PLE.lastrow)-ROW(PLE.firstrow))),0,IF(OFFSET(PLE!$G$14,$M46,BG$13)="",10^12,OFFSET(PLE!$G$14,$M46,BG$13))))</f>
        <v>1000000000000</v>
      </c>
    </row>
    <row r="47" spans="1:59" ht="13.2">
      <c r="A47" s="9" t="str">
        <f t="shared" ca="1" si="8"/>
        <v>15</v>
      </c>
      <c r="B47" s="9" t="str">
        <f ca="1">OFFSET(ORÇAMENTO!C$15,ROW(B47)-ROW(B$15),0)</f>
        <v>S</v>
      </c>
      <c r="C47" s="9" t="str">
        <f ca="1">OFFSET(ORÇAMENTO!L$15,ROW(C47)-ROW(C$15),0)</f>
        <v/>
      </c>
      <c r="D47" s="141" t="str">
        <f ca="1">OFFSET(ORÇAMENTO!N$15,ROW(D47)-ROW(D$15),0)</f>
        <v>Serviço</v>
      </c>
      <c r="E47" s="201" t="str">
        <f ca="1">OFFSET(ORÇAMENTO!O$15,ROW(E47)-ROW(E$15),0)</f>
        <v>-</v>
      </c>
      <c r="F47" s="202" t="str">
        <f ca="1">OFFSET(ORÇAMENTO!R$15,ROW(F47)-ROW(F$15),0)</f>
        <v>(abra o arquivo 'Referência 11-2024.xlsm)</v>
      </c>
      <c r="G47" s="203" t="str">
        <f ca="1">IF($D47&lt;&gt;"Serviço","",OFFSET(ORÇAMENTO!S$15,ROW(G47)-ROW(G$15),0))</f>
        <v>-</v>
      </c>
      <c r="H47" s="147">
        <f ca="1">IF($D47&lt;&gt;"Serviço",0,IF(ACOMPANHAMENTO="BM",ROUND(OFFSET(ORÇAMENTO!AJ$15,ROW(H47)-ROW(H$15),0),15-13*ORÇAMENTO!$AF$7),SUMPRODUCT(($Q$12:$AA$12&lt;&gt;"")*ROUND($Q47:$AA47,15-13*ORÇAMENTO!$AF$7))))</f>
        <v>0</v>
      </c>
      <c r="I47" s="645"/>
      <c r="K47" s="204"/>
      <c r="L47" s="205" t="s">
        <v>255</v>
      </c>
      <c r="M47" s="206">
        <f ca="1">IF($D47&lt;&gt;"Serviço","",IF(AUTOEVENTO="manual",$A47,IF(ISERROR(MATCH($A47,$A$15:OFFSET($A47,-1,0),0)),MAX($M$15:OFFSET(M47,-1,0))+1,INDEX($M$15:OFFSET(M47,-1,0),MATCH($A47,$A$15:OFFSET($A47,-1,0),0)))))</f>
        <v>6</v>
      </c>
      <c r="N47" s="207" t="str">
        <f ca="1">IF($D47&lt;&gt;"Serviço","",IF(AUTOEVENTO="Manual",IF($A47=0,"&lt;-- defina o número do agrupador",OFFSET(EVENTOS!$D$14,$A47,0)),OFFSET($F$15,$A47,0)))</f>
        <v>DRENAGEM</v>
      </c>
      <c r="O47" s="208"/>
      <c r="Q47" s="208"/>
      <c r="R47" s="209"/>
      <c r="S47" s="209"/>
      <c r="T47" s="209"/>
      <c r="U47" s="209"/>
      <c r="V47" s="209"/>
      <c r="W47" s="209"/>
      <c r="X47" s="209"/>
      <c r="Y47" s="209"/>
      <c r="Z47" s="210"/>
      <c r="AB47" s="626">
        <f ca="1">IF(AND($D47="Serviço",AB$12&lt;&gt;0,$H47&gt;0,OR(AUTOEVENTO&lt;&gt;"manual",$M47&lt;&gt;1)),
IF(Import.TipoArredondamento&lt;&gt;"TransfereGOV",
ROUND(OFFSET($P47,0,AB$13),15-13*ORÇAMENTO!$AF$7)/$H47*OFFSET(ORÇAMENTO!$X$15,ROW(AB47)-ROW(AB$15),0),
ROUND(ROUND(OFFSET($P47,0,AB$13),15-13*ORÇAMENTO!$AF$7)*OFFSET(ORÇAMENTO!$W$15,ROW(AB47)-ROW(AB$15),0),15-13*ORÇAMENTO!$AF$11)),0)</f>
        <v>0</v>
      </c>
      <c r="AC47" s="627">
        <f ca="1">IF(AND($D47="Serviço",AC$12&lt;&gt;0,$H47&gt;0,OR(AUTOEVENTO&lt;&gt;"manual",$M47&lt;&gt;1)),
IF(Import.TipoArredondamento&lt;&gt;"TransfereGOV",
ROUND(OFFSET($P47,0,AC$13),15-13*ORÇAMENTO!$AF$7)/$H47*OFFSET(ORÇAMENTO!$X$15,ROW(AC47)-ROW(AC$15),0),
ROUND(ROUND(OFFSET($P47,0,AC$13),15-13*ORÇAMENTO!$AF$7)*OFFSET(ORÇAMENTO!$W$15,ROW(AC47)-ROW(AC$15),0),15-13*ORÇAMENTO!$AF$11)),0)</f>
        <v>0</v>
      </c>
      <c r="AD47" s="627">
        <f ca="1">IF(AND($D47="Serviço",AD$12&lt;&gt;0,$H47&gt;0,OR(AUTOEVENTO&lt;&gt;"manual",$M47&lt;&gt;1)),
IF(Import.TipoArredondamento&lt;&gt;"TransfereGOV",
ROUND(OFFSET($P47,0,AD$13),15-13*ORÇAMENTO!$AF$7)/$H47*OFFSET(ORÇAMENTO!$X$15,ROW(AD47)-ROW(AD$15),0),
ROUND(ROUND(OFFSET($P47,0,AD$13),15-13*ORÇAMENTO!$AF$7)*OFFSET(ORÇAMENTO!$W$15,ROW(AD47)-ROW(AD$15),0),15-13*ORÇAMENTO!$AF$11)),0)</f>
        <v>0</v>
      </c>
      <c r="AE47" s="627">
        <f ca="1">IF(AND($D47="Serviço",AE$12&lt;&gt;0,$H47&gt;0,OR(AUTOEVENTO&lt;&gt;"manual",$M47&lt;&gt;1)),
IF(Import.TipoArredondamento&lt;&gt;"TransfereGOV",
ROUND(OFFSET($P47,0,AE$13),15-13*ORÇAMENTO!$AF$7)/$H47*OFFSET(ORÇAMENTO!$X$15,ROW(AE47)-ROW(AE$15),0),
ROUND(ROUND(OFFSET($P47,0,AE$13),15-13*ORÇAMENTO!$AF$7)*OFFSET(ORÇAMENTO!$W$15,ROW(AE47)-ROW(AE$15),0),15-13*ORÇAMENTO!$AF$11)),0)</f>
        <v>0</v>
      </c>
      <c r="AF47" s="627">
        <f ca="1">IF(AND($D47="Serviço",AF$12&lt;&gt;0,$H47&gt;0,OR(AUTOEVENTO&lt;&gt;"manual",$M47&lt;&gt;1)),
IF(Import.TipoArredondamento&lt;&gt;"TransfereGOV",
ROUND(OFFSET($P47,0,AF$13),15-13*ORÇAMENTO!$AF$7)/$H47*OFFSET(ORÇAMENTO!$X$15,ROW(AF47)-ROW(AF$15),0),
ROUND(ROUND(OFFSET($P47,0,AF$13),15-13*ORÇAMENTO!$AF$7)*OFFSET(ORÇAMENTO!$W$15,ROW(AF47)-ROW(AF$15),0),15-13*ORÇAMENTO!$AF$11)),0)</f>
        <v>0</v>
      </c>
      <c r="AG47" s="627">
        <f ca="1">IF(AND($D47="Serviço",AG$12&lt;&gt;0,$H47&gt;0,OR(AUTOEVENTO&lt;&gt;"manual",$M47&lt;&gt;1)),
IF(Import.TipoArredondamento&lt;&gt;"TransfereGOV",
ROUND(OFFSET($P47,0,AG$13),15-13*ORÇAMENTO!$AF$7)/$H47*OFFSET(ORÇAMENTO!$X$15,ROW(AG47)-ROW(AG$15),0),
ROUND(ROUND(OFFSET($P47,0,AG$13),15-13*ORÇAMENTO!$AF$7)*OFFSET(ORÇAMENTO!$W$15,ROW(AG47)-ROW(AG$15),0),15-13*ORÇAMENTO!$AF$11)),0)</f>
        <v>0</v>
      </c>
      <c r="AH47" s="627">
        <f ca="1">IF(AND($D47="Serviço",AH$12&lt;&gt;0,$H47&gt;0,OR(AUTOEVENTO&lt;&gt;"manual",$M47&lt;&gt;1)),
IF(Import.TipoArredondamento&lt;&gt;"TransfereGOV",
ROUND(OFFSET($P47,0,AH$13),15-13*ORÇAMENTO!$AF$7)/$H47*OFFSET(ORÇAMENTO!$X$15,ROW(AH47)-ROW(AH$15),0),
ROUND(ROUND(OFFSET($P47,0,AH$13),15-13*ORÇAMENTO!$AF$7)*OFFSET(ORÇAMENTO!$W$15,ROW(AH47)-ROW(AH$15),0),15-13*ORÇAMENTO!$AF$11)),0)</f>
        <v>0</v>
      </c>
      <c r="AI47" s="627">
        <f ca="1">IF(AND($D47="Serviço",AI$12&lt;&gt;0,$H47&gt;0,OR(AUTOEVENTO&lt;&gt;"manual",$M47&lt;&gt;1)),
IF(Import.TipoArredondamento&lt;&gt;"TransfereGOV",
ROUND(OFFSET($P47,0,AI$13),15-13*ORÇAMENTO!$AF$7)/$H47*OFFSET(ORÇAMENTO!$X$15,ROW(AI47)-ROW(AI$15),0),
ROUND(ROUND(OFFSET($P47,0,AI$13),15-13*ORÇAMENTO!$AF$7)*OFFSET(ORÇAMENTO!$W$15,ROW(AI47)-ROW(AI$15),0),15-13*ORÇAMENTO!$AF$11)),0)</f>
        <v>0</v>
      </c>
      <c r="AJ47" s="627">
        <f ca="1">IF(AND($D47="Serviço",AJ$12&lt;&gt;0,$H47&gt;0,OR(AUTOEVENTO&lt;&gt;"manual",$M47&lt;&gt;1)),
IF(Import.TipoArredondamento&lt;&gt;"TransfereGOV",
ROUND(OFFSET($P47,0,AJ$13),15-13*ORÇAMENTO!$AF$7)/$H47*OFFSET(ORÇAMENTO!$X$15,ROW(AJ47)-ROW(AJ$15),0),
ROUND(ROUND(OFFSET($P47,0,AJ$13),15-13*ORÇAMENTO!$AF$7)*OFFSET(ORÇAMENTO!$W$15,ROW(AJ47)-ROW(AJ$15),0),15-13*ORÇAMENTO!$AF$11)),0)</f>
        <v>0</v>
      </c>
      <c r="AK47" s="628">
        <f ca="1">IF(AND($D47="Serviço",AK$12&lt;&gt;0,$H47&gt;0,OR(AUTOEVENTO&lt;&gt;"manual",$M47&lt;&gt;1)),
IF(Import.TipoArredondamento&lt;&gt;"TransfereGOV",
ROUND(OFFSET($P47,0,AK$13),15-13*ORÇAMENTO!$AF$7)/$H47*OFFSET(ORÇAMENTO!$X$15,ROW(AK47)-ROW(AK$15),0),
ROUND(ROUND(OFFSET($P47,0,AK$13),15-13*ORÇAMENTO!$AF$7)*OFFSET(ORÇAMENTO!$W$15,ROW(AK47)-ROW(AK$15),0),15-13*ORÇAMENTO!$AF$11)),0)</f>
        <v>0</v>
      </c>
      <c r="AM47" s="211">
        <f ca="1">IF($D47&lt;&gt;"Serviço",0,IF(AND(AUTOEVENTO="Manual",$M47=1),0,IF(OFFSET(CRONOPLE!$F$14,$M47,AM$13)="",10^12,OFFSET(CRONOPLE!$F$14,$M47,AM$13))))</f>
        <v>2</v>
      </c>
      <c r="AN47" s="211">
        <f ca="1">IF($D47&lt;&gt;"Serviço",0,IF(AND(AUTOEVENTO="Manual",$M47=1),0,IF(OFFSET(CRONOPLE!$F$14,$M47,AN$13)="",10^12,OFFSET(CRONOPLE!$F$14,$M47,AN$13))))</f>
        <v>1</v>
      </c>
      <c r="AO47" s="211">
        <f ca="1">IF($D47&lt;&gt;"Serviço",0,IF(AND(AUTOEVENTO="Manual",$M47=1),0,IF(OFFSET(CRONOPLE!$F$14,$M47,AO$13)="",10^12,OFFSET(CRONOPLE!$F$14,$M47,AO$13))))</f>
        <v>2</v>
      </c>
      <c r="AP47" s="211">
        <f ca="1">IF($D47&lt;&gt;"Serviço",0,IF(AND(AUTOEVENTO="Manual",$M47=1),0,IF(OFFSET(CRONOPLE!$F$14,$M47,AP$13)="",10^12,OFFSET(CRONOPLE!$F$14,$M47,AP$13))))</f>
        <v>2</v>
      </c>
      <c r="AQ47" s="211">
        <f ca="1">IF($D47&lt;&gt;"Serviço",0,IF(AND(AUTOEVENTO="Manual",$M47=1),0,IF(OFFSET(CRONOPLE!$F$14,$M47,AQ$13)="",10^12,OFFSET(CRONOPLE!$F$14,$M47,AQ$13))))</f>
        <v>1000000000000</v>
      </c>
      <c r="AR47" s="211">
        <f ca="1">IF($D47&lt;&gt;"Serviço",0,IF(AND(AUTOEVENTO="Manual",$M47=1),0,IF(OFFSET(CRONOPLE!$F$14,$M47,AR$13)="",10^12,OFFSET(CRONOPLE!$F$14,$M47,AR$13))))</f>
        <v>1000000000000</v>
      </c>
      <c r="AS47" s="211">
        <f ca="1">IF($D47&lt;&gt;"Serviço",0,IF(AND(AUTOEVENTO="Manual",$M47=1),0,IF(OFFSET(CRONOPLE!$F$14,$M47,AS$13)="",10^12,OFFSET(CRONOPLE!$F$14,$M47,AS$13))))</f>
        <v>1000000000000</v>
      </c>
      <c r="AT47" s="211">
        <f ca="1">IF($D47&lt;&gt;"Serviço",0,IF(AND(AUTOEVENTO="Manual",$M47=1),0,IF(OFFSET(CRONOPLE!$F$14,$M47,AT$13)="",10^12,OFFSET(CRONOPLE!$F$14,$M47,AT$13))))</f>
        <v>1000000000000</v>
      </c>
      <c r="AU47" s="211">
        <f ca="1">IF($D47&lt;&gt;"Serviço",0,IF(AND(AUTOEVENTO="Manual",$M47=1),0,IF(OFFSET(CRONOPLE!$F$14,$M47,AU$13)="",10^12,OFFSET(CRONOPLE!$F$14,$M47,AU$13))))</f>
        <v>1000000000000</v>
      </c>
      <c r="AV47" s="211">
        <f ca="1">IF($D47&lt;&gt;"Serviço",0,IF(AND(AUTOEVENTO="Manual",$M47=1),0,IF(OFFSET(CRONOPLE!$F$14,$M47,AV$13)="",10^12,OFFSET(CRONOPLE!$F$14,$M47,AV$13))))</f>
        <v>1000000000000</v>
      </c>
      <c r="AX47" s="212">
        <f ca="1">IF($D47&lt;&gt;"Serviço",0,IF(OR(AND(AUTOEVENTO="Manual",$M47=1),$M47&gt;(ROW(PLE.lastrow)-ROW(PLE.firstrow))),0,IF(OFFSET(PLE!$G$14,$M47,AX$13)="",10^12,OFFSET(PLE!$G$14,$M47,AX$13))))</f>
        <v>1000000000000</v>
      </c>
      <c r="AY47" s="212">
        <f ca="1">IF($D47&lt;&gt;"Serviço",0,IF(OR(AND(AUTOEVENTO="Manual",$M47=1),$M47&gt;(ROW(PLE.lastrow)-ROW(PLE.firstrow))),0,IF(OFFSET(PLE!$G$14,$M47,AY$13)="",10^12,OFFSET(PLE!$G$14,$M47,AY$13))))</f>
        <v>1000000000000</v>
      </c>
      <c r="AZ47" s="212">
        <f ca="1">IF($D47&lt;&gt;"Serviço",0,IF(OR(AND(AUTOEVENTO="Manual",$M47=1),$M47&gt;(ROW(PLE.lastrow)-ROW(PLE.firstrow))),0,IF(OFFSET(PLE!$G$14,$M47,AZ$13)="",10^12,OFFSET(PLE!$G$14,$M47,AZ$13))))</f>
        <v>1000000000000</v>
      </c>
      <c r="BA47" s="212">
        <f ca="1">IF($D47&lt;&gt;"Serviço",0,IF(OR(AND(AUTOEVENTO="Manual",$M47=1),$M47&gt;(ROW(PLE.lastrow)-ROW(PLE.firstrow))),0,IF(OFFSET(PLE!$G$14,$M47,BA$13)="",10^12,OFFSET(PLE!$G$14,$M47,BA$13))))</f>
        <v>1000000000000</v>
      </c>
      <c r="BB47" s="212">
        <f ca="1">IF($D47&lt;&gt;"Serviço",0,IF(OR(AND(AUTOEVENTO="Manual",$M47=1),$M47&gt;(ROW(PLE.lastrow)-ROW(PLE.firstrow))),0,IF(OFFSET(PLE!$G$14,$M47,BB$13)="",10^12,OFFSET(PLE!$G$14,$M47,BB$13))))</f>
        <v>1000000000000</v>
      </c>
      <c r="BC47" s="212">
        <f ca="1">IF($D47&lt;&gt;"Serviço",0,IF(OR(AND(AUTOEVENTO="Manual",$M47=1),$M47&gt;(ROW(PLE.lastrow)-ROW(PLE.firstrow))),0,IF(OFFSET(PLE!$G$14,$M47,BC$13)="",10^12,OFFSET(PLE!$G$14,$M47,BC$13))))</f>
        <v>1000000000000</v>
      </c>
      <c r="BD47" s="212">
        <f ca="1">IF($D47&lt;&gt;"Serviço",0,IF(OR(AND(AUTOEVENTO="Manual",$M47=1),$M47&gt;(ROW(PLE.lastrow)-ROW(PLE.firstrow))),0,IF(OFFSET(PLE!$G$14,$M47,BD$13)="",10^12,OFFSET(PLE!$G$14,$M47,BD$13))))</f>
        <v>1000000000000</v>
      </c>
      <c r="BE47" s="212">
        <f ca="1">IF($D47&lt;&gt;"Serviço",0,IF(OR(AND(AUTOEVENTO="Manual",$M47=1),$M47&gt;(ROW(PLE.lastrow)-ROW(PLE.firstrow))),0,IF(OFFSET(PLE!$G$14,$M47,BE$13)="",10^12,OFFSET(PLE!$G$14,$M47,BE$13))))</f>
        <v>1000000000000</v>
      </c>
      <c r="BF47" s="212">
        <f ca="1">IF($D47&lt;&gt;"Serviço",0,IF(OR(AND(AUTOEVENTO="Manual",$M47=1),$M47&gt;(ROW(PLE.lastrow)-ROW(PLE.firstrow))),0,IF(OFFSET(PLE!$G$14,$M47,BF$13)="",10^12,OFFSET(PLE!$G$14,$M47,BF$13))))</f>
        <v>1000000000000</v>
      </c>
      <c r="BG47" s="212">
        <f ca="1">IF($D47&lt;&gt;"Serviço",0,IF(OR(AND(AUTOEVENTO="Manual",$M47=1),$M47&gt;(ROW(PLE.lastrow)-ROW(PLE.firstrow))),0,IF(OFFSET(PLE!$G$14,$M47,BG$13)="",10^12,OFFSET(PLE!$G$14,$M47,BG$13))))</f>
        <v>1000000000000</v>
      </c>
    </row>
    <row r="48" spans="1:59" ht="13.2">
      <c r="A48" s="9" t="str">
        <f t="shared" ca="1" si="8"/>
        <v>15</v>
      </c>
      <c r="B48" s="9" t="str">
        <f ca="1">OFFSET(ORÇAMENTO!C$15,ROW(B48)-ROW(B$15),0)</f>
        <v>S</v>
      </c>
      <c r="C48" s="9" t="str">
        <f ca="1">OFFSET(ORÇAMENTO!L$15,ROW(C48)-ROW(C$15),0)</f>
        <v/>
      </c>
      <c r="D48" s="141" t="str">
        <f ca="1">OFFSET(ORÇAMENTO!N$15,ROW(D48)-ROW(D$15),0)</f>
        <v>Serviço</v>
      </c>
      <c r="E48" s="201" t="str">
        <f ca="1">OFFSET(ORÇAMENTO!O$15,ROW(E48)-ROW(E$15),0)</f>
        <v>-</v>
      </c>
      <c r="F48" s="202" t="str">
        <f ca="1">OFFSET(ORÇAMENTO!R$15,ROW(F48)-ROW(F$15),0)</f>
        <v>(abra o arquivo 'Referência 11-2024.xlsm)</v>
      </c>
      <c r="G48" s="203" t="str">
        <f ca="1">IF($D48&lt;&gt;"Serviço","",OFFSET(ORÇAMENTO!S$15,ROW(G48)-ROW(G$15),0))</f>
        <v>-</v>
      </c>
      <c r="H48" s="147">
        <f ca="1">IF($D48&lt;&gt;"Serviço",0,IF(ACOMPANHAMENTO="BM",ROUND(OFFSET(ORÇAMENTO!AJ$15,ROW(H48)-ROW(H$15),0),15-13*ORÇAMENTO!$AF$7),SUMPRODUCT(($Q$12:$AA$12&lt;&gt;"")*ROUND($Q48:$AA48,15-13*ORÇAMENTO!$AF$7))))</f>
        <v>0</v>
      </c>
      <c r="I48" s="645"/>
      <c r="K48" s="204"/>
      <c r="L48" s="205" t="s">
        <v>255</v>
      </c>
      <c r="M48" s="206">
        <f ca="1">IF($D48&lt;&gt;"Serviço","",IF(AUTOEVENTO="manual",$A48,IF(ISERROR(MATCH($A48,$A$15:OFFSET($A48,-1,0),0)),MAX($M$15:OFFSET(M48,-1,0))+1,INDEX($M$15:OFFSET(M48,-1,0),MATCH($A48,$A$15:OFFSET($A48,-1,0),0)))))</f>
        <v>6</v>
      </c>
      <c r="N48" s="207" t="str">
        <f ca="1">IF($D48&lt;&gt;"Serviço","",IF(AUTOEVENTO="Manual",IF($A48=0,"&lt;-- defina o número do agrupador",OFFSET(EVENTOS!$D$14,$A48,0)),OFFSET($F$15,$A48,0)))</f>
        <v>DRENAGEM</v>
      </c>
      <c r="O48" s="208"/>
      <c r="Q48" s="208"/>
      <c r="R48" s="209"/>
      <c r="S48" s="209"/>
      <c r="T48" s="209"/>
      <c r="U48" s="209"/>
      <c r="V48" s="209"/>
      <c r="W48" s="209"/>
      <c r="X48" s="209"/>
      <c r="Y48" s="209"/>
      <c r="Z48" s="210"/>
      <c r="AB48" s="626">
        <f ca="1">IF(AND($D48="Serviço",AB$12&lt;&gt;0,$H48&gt;0,OR(AUTOEVENTO&lt;&gt;"manual",$M48&lt;&gt;1)),
IF(Import.TipoArredondamento&lt;&gt;"TransfereGOV",
ROUND(OFFSET($P48,0,AB$13),15-13*ORÇAMENTO!$AF$7)/$H48*OFFSET(ORÇAMENTO!$X$15,ROW(AB48)-ROW(AB$15),0),
ROUND(ROUND(OFFSET($P48,0,AB$13),15-13*ORÇAMENTO!$AF$7)*OFFSET(ORÇAMENTO!$W$15,ROW(AB48)-ROW(AB$15),0),15-13*ORÇAMENTO!$AF$11)),0)</f>
        <v>0</v>
      </c>
      <c r="AC48" s="627">
        <f ca="1">IF(AND($D48="Serviço",AC$12&lt;&gt;0,$H48&gt;0,OR(AUTOEVENTO&lt;&gt;"manual",$M48&lt;&gt;1)),
IF(Import.TipoArredondamento&lt;&gt;"TransfereGOV",
ROUND(OFFSET($P48,0,AC$13),15-13*ORÇAMENTO!$AF$7)/$H48*OFFSET(ORÇAMENTO!$X$15,ROW(AC48)-ROW(AC$15),0),
ROUND(ROUND(OFFSET($P48,0,AC$13),15-13*ORÇAMENTO!$AF$7)*OFFSET(ORÇAMENTO!$W$15,ROW(AC48)-ROW(AC$15),0),15-13*ORÇAMENTO!$AF$11)),0)</f>
        <v>0</v>
      </c>
      <c r="AD48" s="627">
        <f ca="1">IF(AND($D48="Serviço",AD$12&lt;&gt;0,$H48&gt;0,OR(AUTOEVENTO&lt;&gt;"manual",$M48&lt;&gt;1)),
IF(Import.TipoArredondamento&lt;&gt;"TransfereGOV",
ROUND(OFFSET($P48,0,AD$13),15-13*ORÇAMENTO!$AF$7)/$H48*OFFSET(ORÇAMENTO!$X$15,ROW(AD48)-ROW(AD$15),0),
ROUND(ROUND(OFFSET($P48,0,AD$13),15-13*ORÇAMENTO!$AF$7)*OFFSET(ORÇAMENTO!$W$15,ROW(AD48)-ROW(AD$15),0),15-13*ORÇAMENTO!$AF$11)),0)</f>
        <v>0</v>
      </c>
      <c r="AE48" s="627">
        <f ca="1">IF(AND($D48="Serviço",AE$12&lt;&gt;0,$H48&gt;0,OR(AUTOEVENTO&lt;&gt;"manual",$M48&lt;&gt;1)),
IF(Import.TipoArredondamento&lt;&gt;"TransfereGOV",
ROUND(OFFSET($P48,0,AE$13),15-13*ORÇAMENTO!$AF$7)/$H48*OFFSET(ORÇAMENTO!$X$15,ROW(AE48)-ROW(AE$15),0),
ROUND(ROUND(OFFSET($P48,0,AE$13),15-13*ORÇAMENTO!$AF$7)*OFFSET(ORÇAMENTO!$W$15,ROW(AE48)-ROW(AE$15),0),15-13*ORÇAMENTO!$AF$11)),0)</f>
        <v>0</v>
      </c>
      <c r="AF48" s="627">
        <f ca="1">IF(AND($D48="Serviço",AF$12&lt;&gt;0,$H48&gt;0,OR(AUTOEVENTO&lt;&gt;"manual",$M48&lt;&gt;1)),
IF(Import.TipoArredondamento&lt;&gt;"TransfereGOV",
ROUND(OFFSET($P48,0,AF$13),15-13*ORÇAMENTO!$AF$7)/$H48*OFFSET(ORÇAMENTO!$X$15,ROW(AF48)-ROW(AF$15),0),
ROUND(ROUND(OFFSET($P48,0,AF$13),15-13*ORÇAMENTO!$AF$7)*OFFSET(ORÇAMENTO!$W$15,ROW(AF48)-ROW(AF$15),0),15-13*ORÇAMENTO!$AF$11)),0)</f>
        <v>0</v>
      </c>
      <c r="AG48" s="627">
        <f ca="1">IF(AND($D48="Serviço",AG$12&lt;&gt;0,$H48&gt;0,OR(AUTOEVENTO&lt;&gt;"manual",$M48&lt;&gt;1)),
IF(Import.TipoArredondamento&lt;&gt;"TransfereGOV",
ROUND(OFFSET($P48,0,AG$13),15-13*ORÇAMENTO!$AF$7)/$H48*OFFSET(ORÇAMENTO!$X$15,ROW(AG48)-ROW(AG$15),0),
ROUND(ROUND(OFFSET($P48,0,AG$13),15-13*ORÇAMENTO!$AF$7)*OFFSET(ORÇAMENTO!$W$15,ROW(AG48)-ROW(AG$15),0),15-13*ORÇAMENTO!$AF$11)),0)</f>
        <v>0</v>
      </c>
      <c r="AH48" s="627">
        <f ca="1">IF(AND($D48="Serviço",AH$12&lt;&gt;0,$H48&gt;0,OR(AUTOEVENTO&lt;&gt;"manual",$M48&lt;&gt;1)),
IF(Import.TipoArredondamento&lt;&gt;"TransfereGOV",
ROUND(OFFSET($P48,0,AH$13),15-13*ORÇAMENTO!$AF$7)/$H48*OFFSET(ORÇAMENTO!$X$15,ROW(AH48)-ROW(AH$15),0),
ROUND(ROUND(OFFSET($P48,0,AH$13),15-13*ORÇAMENTO!$AF$7)*OFFSET(ORÇAMENTO!$W$15,ROW(AH48)-ROW(AH$15),0),15-13*ORÇAMENTO!$AF$11)),0)</f>
        <v>0</v>
      </c>
      <c r="AI48" s="627">
        <f ca="1">IF(AND($D48="Serviço",AI$12&lt;&gt;0,$H48&gt;0,OR(AUTOEVENTO&lt;&gt;"manual",$M48&lt;&gt;1)),
IF(Import.TipoArredondamento&lt;&gt;"TransfereGOV",
ROUND(OFFSET($P48,0,AI$13),15-13*ORÇAMENTO!$AF$7)/$H48*OFFSET(ORÇAMENTO!$X$15,ROW(AI48)-ROW(AI$15),0),
ROUND(ROUND(OFFSET($P48,0,AI$13),15-13*ORÇAMENTO!$AF$7)*OFFSET(ORÇAMENTO!$W$15,ROW(AI48)-ROW(AI$15),0),15-13*ORÇAMENTO!$AF$11)),0)</f>
        <v>0</v>
      </c>
      <c r="AJ48" s="627">
        <f ca="1">IF(AND($D48="Serviço",AJ$12&lt;&gt;0,$H48&gt;0,OR(AUTOEVENTO&lt;&gt;"manual",$M48&lt;&gt;1)),
IF(Import.TipoArredondamento&lt;&gt;"TransfereGOV",
ROUND(OFFSET($P48,0,AJ$13),15-13*ORÇAMENTO!$AF$7)/$H48*OFFSET(ORÇAMENTO!$X$15,ROW(AJ48)-ROW(AJ$15),0),
ROUND(ROUND(OFFSET($P48,0,AJ$13),15-13*ORÇAMENTO!$AF$7)*OFFSET(ORÇAMENTO!$W$15,ROW(AJ48)-ROW(AJ$15),0),15-13*ORÇAMENTO!$AF$11)),0)</f>
        <v>0</v>
      </c>
      <c r="AK48" s="628">
        <f ca="1">IF(AND($D48="Serviço",AK$12&lt;&gt;0,$H48&gt;0,OR(AUTOEVENTO&lt;&gt;"manual",$M48&lt;&gt;1)),
IF(Import.TipoArredondamento&lt;&gt;"TransfereGOV",
ROUND(OFFSET($P48,0,AK$13),15-13*ORÇAMENTO!$AF$7)/$H48*OFFSET(ORÇAMENTO!$X$15,ROW(AK48)-ROW(AK$15),0),
ROUND(ROUND(OFFSET($P48,0,AK$13),15-13*ORÇAMENTO!$AF$7)*OFFSET(ORÇAMENTO!$W$15,ROW(AK48)-ROW(AK$15),0),15-13*ORÇAMENTO!$AF$11)),0)</f>
        <v>0</v>
      </c>
      <c r="AM48" s="211">
        <f ca="1">IF($D48&lt;&gt;"Serviço",0,IF(AND(AUTOEVENTO="Manual",$M48=1),0,IF(OFFSET(CRONOPLE!$F$14,$M48,AM$13)="",10^12,OFFSET(CRONOPLE!$F$14,$M48,AM$13))))</f>
        <v>2</v>
      </c>
      <c r="AN48" s="211">
        <f ca="1">IF($D48&lt;&gt;"Serviço",0,IF(AND(AUTOEVENTO="Manual",$M48=1),0,IF(OFFSET(CRONOPLE!$F$14,$M48,AN$13)="",10^12,OFFSET(CRONOPLE!$F$14,$M48,AN$13))))</f>
        <v>1</v>
      </c>
      <c r="AO48" s="211">
        <f ca="1">IF($D48&lt;&gt;"Serviço",0,IF(AND(AUTOEVENTO="Manual",$M48=1),0,IF(OFFSET(CRONOPLE!$F$14,$M48,AO$13)="",10^12,OFFSET(CRONOPLE!$F$14,$M48,AO$13))))</f>
        <v>2</v>
      </c>
      <c r="AP48" s="211">
        <f ca="1">IF($D48&lt;&gt;"Serviço",0,IF(AND(AUTOEVENTO="Manual",$M48=1),0,IF(OFFSET(CRONOPLE!$F$14,$M48,AP$13)="",10^12,OFFSET(CRONOPLE!$F$14,$M48,AP$13))))</f>
        <v>2</v>
      </c>
      <c r="AQ48" s="211">
        <f ca="1">IF($D48&lt;&gt;"Serviço",0,IF(AND(AUTOEVENTO="Manual",$M48=1),0,IF(OFFSET(CRONOPLE!$F$14,$M48,AQ$13)="",10^12,OFFSET(CRONOPLE!$F$14,$M48,AQ$13))))</f>
        <v>1000000000000</v>
      </c>
      <c r="AR48" s="211">
        <f ca="1">IF($D48&lt;&gt;"Serviço",0,IF(AND(AUTOEVENTO="Manual",$M48=1),0,IF(OFFSET(CRONOPLE!$F$14,$M48,AR$13)="",10^12,OFFSET(CRONOPLE!$F$14,$M48,AR$13))))</f>
        <v>1000000000000</v>
      </c>
      <c r="AS48" s="211">
        <f ca="1">IF($D48&lt;&gt;"Serviço",0,IF(AND(AUTOEVENTO="Manual",$M48=1),0,IF(OFFSET(CRONOPLE!$F$14,$M48,AS$13)="",10^12,OFFSET(CRONOPLE!$F$14,$M48,AS$13))))</f>
        <v>1000000000000</v>
      </c>
      <c r="AT48" s="211">
        <f ca="1">IF($D48&lt;&gt;"Serviço",0,IF(AND(AUTOEVENTO="Manual",$M48=1),0,IF(OFFSET(CRONOPLE!$F$14,$M48,AT$13)="",10^12,OFFSET(CRONOPLE!$F$14,$M48,AT$13))))</f>
        <v>1000000000000</v>
      </c>
      <c r="AU48" s="211">
        <f ca="1">IF($D48&lt;&gt;"Serviço",0,IF(AND(AUTOEVENTO="Manual",$M48=1),0,IF(OFFSET(CRONOPLE!$F$14,$M48,AU$13)="",10^12,OFFSET(CRONOPLE!$F$14,$M48,AU$13))))</f>
        <v>1000000000000</v>
      </c>
      <c r="AV48" s="211">
        <f ca="1">IF($D48&lt;&gt;"Serviço",0,IF(AND(AUTOEVENTO="Manual",$M48=1),0,IF(OFFSET(CRONOPLE!$F$14,$M48,AV$13)="",10^12,OFFSET(CRONOPLE!$F$14,$M48,AV$13))))</f>
        <v>1000000000000</v>
      </c>
      <c r="AX48" s="212">
        <f ca="1">IF($D48&lt;&gt;"Serviço",0,IF(OR(AND(AUTOEVENTO="Manual",$M48=1),$M48&gt;(ROW(PLE.lastrow)-ROW(PLE.firstrow))),0,IF(OFFSET(PLE!$G$14,$M48,AX$13)="",10^12,OFFSET(PLE!$G$14,$M48,AX$13))))</f>
        <v>1000000000000</v>
      </c>
      <c r="AY48" s="212">
        <f ca="1">IF($D48&lt;&gt;"Serviço",0,IF(OR(AND(AUTOEVENTO="Manual",$M48=1),$M48&gt;(ROW(PLE.lastrow)-ROW(PLE.firstrow))),0,IF(OFFSET(PLE!$G$14,$M48,AY$13)="",10^12,OFFSET(PLE!$G$14,$M48,AY$13))))</f>
        <v>1000000000000</v>
      </c>
      <c r="AZ48" s="212">
        <f ca="1">IF($D48&lt;&gt;"Serviço",0,IF(OR(AND(AUTOEVENTO="Manual",$M48=1),$M48&gt;(ROW(PLE.lastrow)-ROW(PLE.firstrow))),0,IF(OFFSET(PLE!$G$14,$M48,AZ$13)="",10^12,OFFSET(PLE!$G$14,$M48,AZ$13))))</f>
        <v>1000000000000</v>
      </c>
      <c r="BA48" s="212">
        <f ca="1">IF($D48&lt;&gt;"Serviço",0,IF(OR(AND(AUTOEVENTO="Manual",$M48=1),$M48&gt;(ROW(PLE.lastrow)-ROW(PLE.firstrow))),0,IF(OFFSET(PLE!$G$14,$M48,BA$13)="",10^12,OFFSET(PLE!$G$14,$M48,BA$13))))</f>
        <v>1000000000000</v>
      </c>
      <c r="BB48" s="212">
        <f ca="1">IF($D48&lt;&gt;"Serviço",0,IF(OR(AND(AUTOEVENTO="Manual",$M48=1),$M48&gt;(ROW(PLE.lastrow)-ROW(PLE.firstrow))),0,IF(OFFSET(PLE!$G$14,$M48,BB$13)="",10^12,OFFSET(PLE!$G$14,$M48,BB$13))))</f>
        <v>1000000000000</v>
      </c>
      <c r="BC48" s="212">
        <f ca="1">IF($D48&lt;&gt;"Serviço",0,IF(OR(AND(AUTOEVENTO="Manual",$M48=1),$M48&gt;(ROW(PLE.lastrow)-ROW(PLE.firstrow))),0,IF(OFFSET(PLE!$G$14,$M48,BC$13)="",10^12,OFFSET(PLE!$G$14,$M48,BC$13))))</f>
        <v>1000000000000</v>
      </c>
      <c r="BD48" s="212">
        <f ca="1">IF($D48&lt;&gt;"Serviço",0,IF(OR(AND(AUTOEVENTO="Manual",$M48=1),$M48&gt;(ROW(PLE.lastrow)-ROW(PLE.firstrow))),0,IF(OFFSET(PLE!$G$14,$M48,BD$13)="",10^12,OFFSET(PLE!$G$14,$M48,BD$13))))</f>
        <v>1000000000000</v>
      </c>
      <c r="BE48" s="212">
        <f ca="1">IF($D48&lt;&gt;"Serviço",0,IF(OR(AND(AUTOEVENTO="Manual",$M48=1),$M48&gt;(ROW(PLE.lastrow)-ROW(PLE.firstrow))),0,IF(OFFSET(PLE!$G$14,$M48,BE$13)="",10^12,OFFSET(PLE!$G$14,$M48,BE$13))))</f>
        <v>1000000000000</v>
      </c>
      <c r="BF48" s="212">
        <f ca="1">IF($D48&lt;&gt;"Serviço",0,IF(OR(AND(AUTOEVENTO="Manual",$M48=1),$M48&gt;(ROW(PLE.lastrow)-ROW(PLE.firstrow))),0,IF(OFFSET(PLE!$G$14,$M48,BF$13)="",10^12,OFFSET(PLE!$G$14,$M48,BF$13))))</f>
        <v>1000000000000</v>
      </c>
      <c r="BG48" s="212">
        <f ca="1">IF($D48&lt;&gt;"Serviço",0,IF(OR(AND(AUTOEVENTO="Manual",$M48=1),$M48&gt;(ROW(PLE.lastrow)-ROW(PLE.firstrow))),0,IF(OFFSET(PLE!$G$14,$M48,BG$13)="",10^12,OFFSET(PLE!$G$14,$M48,BG$13))))</f>
        <v>1000000000000</v>
      </c>
    </row>
    <row r="49" spans="1:59" ht="13.2">
      <c r="A49" s="9" t="str">
        <f t="shared" ca="1" si="8"/>
        <v>15</v>
      </c>
      <c r="B49" s="9" t="str">
        <f ca="1">OFFSET(ORÇAMENTO!C$15,ROW(B49)-ROW(B$15),0)</f>
        <v>S</v>
      </c>
      <c r="C49" s="9" t="str">
        <f ca="1">OFFSET(ORÇAMENTO!L$15,ROW(C49)-ROW(C$15),0)</f>
        <v/>
      </c>
      <c r="D49" s="141" t="str">
        <f ca="1">OFFSET(ORÇAMENTO!N$15,ROW(D49)-ROW(D$15),0)</f>
        <v>Serviço</v>
      </c>
      <c r="E49" s="201" t="str">
        <f ca="1">OFFSET(ORÇAMENTO!O$15,ROW(E49)-ROW(E$15),0)</f>
        <v>-</v>
      </c>
      <c r="F49" s="202" t="str">
        <f ca="1">OFFSET(ORÇAMENTO!R$15,ROW(F49)-ROW(F$15),0)</f>
        <v>(abra o arquivo 'Referência 11-2024.xlsm)</v>
      </c>
      <c r="G49" s="203" t="str">
        <f ca="1">IF($D49&lt;&gt;"Serviço","",OFFSET(ORÇAMENTO!S$15,ROW(G49)-ROW(G$15),0))</f>
        <v>-</v>
      </c>
      <c r="H49" s="147">
        <f ca="1">IF($D49&lt;&gt;"Serviço",0,IF(ACOMPANHAMENTO="BM",ROUND(OFFSET(ORÇAMENTO!AJ$15,ROW(H49)-ROW(H$15),0),15-13*ORÇAMENTO!$AF$7),SUMPRODUCT(($Q$12:$AA$12&lt;&gt;"")*ROUND($Q49:$AA49,15-13*ORÇAMENTO!$AF$7))))</f>
        <v>0</v>
      </c>
      <c r="I49" s="645"/>
      <c r="K49" s="204"/>
      <c r="L49" s="205" t="s">
        <v>255</v>
      </c>
      <c r="M49" s="206">
        <f ca="1">IF($D49&lt;&gt;"Serviço","",IF(AUTOEVENTO="manual",$A49,IF(ISERROR(MATCH($A49,$A$15:OFFSET($A49,-1,0),0)),MAX($M$15:OFFSET(M49,-1,0))+1,INDEX($M$15:OFFSET(M49,-1,0),MATCH($A49,$A$15:OFFSET($A49,-1,0),0)))))</f>
        <v>6</v>
      </c>
      <c r="N49" s="207" t="str">
        <f ca="1">IF($D49&lt;&gt;"Serviço","",IF(AUTOEVENTO="Manual",IF($A49=0,"&lt;-- defina o número do agrupador",OFFSET(EVENTOS!$D$14,$A49,0)),OFFSET($F$15,$A49,0)))</f>
        <v>DRENAGEM</v>
      </c>
      <c r="O49" s="208"/>
      <c r="Q49" s="208"/>
      <c r="R49" s="209"/>
      <c r="S49" s="209"/>
      <c r="T49" s="209"/>
      <c r="U49" s="209"/>
      <c r="V49" s="209"/>
      <c r="W49" s="209"/>
      <c r="X49" s="209"/>
      <c r="Y49" s="209"/>
      <c r="Z49" s="210"/>
      <c r="AB49" s="626">
        <f ca="1">IF(AND($D49="Serviço",AB$12&lt;&gt;0,$H49&gt;0,OR(AUTOEVENTO&lt;&gt;"manual",$M49&lt;&gt;1)),
IF(Import.TipoArredondamento&lt;&gt;"TransfereGOV",
ROUND(OFFSET($P49,0,AB$13),15-13*ORÇAMENTO!$AF$7)/$H49*OFFSET(ORÇAMENTO!$X$15,ROW(AB49)-ROW(AB$15),0),
ROUND(ROUND(OFFSET($P49,0,AB$13),15-13*ORÇAMENTO!$AF$7)*OFFSET(ORÇAMENTO!$W$15,ROW(AB49)-ROW(AB$15),0),15-13*ORÇAMENTO!$AF$11)),0)</f>
        <v>0</v>
      </c>
      <c r="AC49" s="627">
        <f ca="1">IF(AND($D49="Serviço",AC$12&lt;&gt;0,$H49&gt;0,OR(AUTOEVENTO&lt;&gt;"manual",$M49&lt;&gt;1)),
IF(Import.TipoArredondamento&lt;&gt;"TransfereGOV",
ROUND(OFFSET($P49,0,AC$13),15-13*ORÇAMENTO!$AF$7)/$H49*OFFSET(ORÇAMENTO!$X$15,ROW(AC49)-ROW(AC$15),0),
ROUND(ROUND(OFFSET($P49,0,AC$13),15-13*ORÇAMENTO!$AF$7)*OFFSET(ORÇAMENTO!$W$15,ROW(AC49)-ROW(AC$15),0),15-13*ORÇAMENTO!$AF$11)),0)</f>
        <v>0</v>
      </c>
      <c r="AD49" s="627">
        <f ca="1">IF(AND($D49="Serviço",AD$12&lt;&gt;0,$H49&gt;0,OR(AUTOEVENTO&lt;&gt;"manual",$M49&lt;&gt;1)),
IF(Import.TipoArredondamento&lt;&gt;"TransfereGOV",
ROUND(OFFSET($P49,0,AD$13),15-13*ORÇAMENTO!$AF$7)/$H49*OFFSET(ORÇAMENTO!$X$15,ROW(AD49)-ROW(AD$15),0),
ROUND(ROUND(OFFSET($P49,0,AD$13),15-13*ORÇAMENTO!$AF$7)*OFFSET(ORÇAMENTO!$W$15,ROW(AD49)-ROW(AD$15),0),15-13*ORÇAMENTO!$AF$11)),0)</f>
        <v>0</v>
      </c>
      <c r="AE49" s="627">
        <f ca="1">IF(AND($D49="Serviço",AE$12&lt;&gt;0,$H49&gt;0,OR(AUTOEVENTO&lt;&gt;"manual",$M49&lt;&gt;1)),
IF(Import.TipoArredondamento&lt;&gt;"TransfereGOV",
ROUND(OFFSET($P49,0,AE$13),15-13*ORÇAMENTO!$AF$7)/$H49*OFFSET(ORÇAMENTO!$X$15,ROW(AE49)-ROW(AE$15),0),
ROUND(ROUND(OFFSET($P49,0,AE$13),15-13*ORÇAMENTO!$AF$7)*OFFSET(ORÇAMENTO!$W$15,ROW(AE49)-ROW(AE$15),0),15-13*ORÇAMENTO!$AF$11)),0)</f>
        <v>0</v>
      </c>
      <c r="AF49" s="627">
        <f ca="1">IF(AND($D49="Serviço",AF$12&lt;&gt;0,$H49&gt;0,OR(AUTOEVENTO&lt;&gt;"manual",$M49&lt;&gt;1)),
IF(Import.TipoArredondamento&lt;&gt;"TransfereGOV",
ROUND(OFFSET($P49,0,AF$13),15-13*ORÇAMENTO!$AF$7)/$H49*OFFSET(ORÇAMENTO!$X$15,ROW(AF49)-ROW(AF$15),0),
ROUND(ROUND(OFFSET($P49,0,AF$13),15-13*ORÇAMENTO!$AF$7)*OFFSET(ORÇAMENTO!$W$15,ROW(AF49)-ROW(AF$15),0),15-13*ORÇAMENTO!$AF$11)),0)</f>
        <v>0</v>
      </c>
      <c r="AG49" s="627">
        <f ca="1">IF(AND($D49="Serviço",AG$12&lt;&gt;0,$H49&gt;0,OR(AUTOEVENTO&lt;&gt;"manual",$M49&lt;&gt;1)),
IF(Import.TipoArredondamento&lt;&gt;"TransfereGOV",
ROUND(OFFSET($P49,0,AG$13),15-13*ORÇAMENTO!$AF$7)/$H49*OFFSET(ORÇAMENTO!$X$15,ROW(AG49)-ROW(AG$15),0),
ROUND(ROUND(OFFSET($P49,0,AG$13),15-13*ORÇAMENTO!$AF$7)*OFFSET(ORÇAMENTO!$W$15,ROW(AG49)-ROW(AG$15),0),15-13*ORÇAMENTO!$AF$11)),0)</f>
        <v>0</v>
      </c>
      <c r="AH49" s="627">
        <f ca="1">IF(AND($D49="Serviço",AH$12&lt;&gt;0,$H49&gt;0,OR(AUTOEVENTO&lt;&gt;"manual",$M49&lt;&gt;1)),
IF(Import.TipoArredondamento&lt;&gt;"TransfereGOV",
ROUND(OFFSET($P49,0,AH$13),15-13*ORÇAMENTO!$AF$7)/$H49*OFFSET(ORÇAMENTO!$X$15,ROW(AH49)-ROW(AH$15),0),
ROUND(ROUND(OFFSET($P49,0,AH$13),15-13*ORÇAMENTO!$AF$7)*OFFSET(ORÇAMENTO!$W$15,ROW(AH49)-ROW(AH$15),0),15-13*ORÇAMENTO!$AF$11)),0)</f>
        <v>0</v>
      </c>
      <c r="AI49" s="627">
        <f ca="1">IF(AND($D49="Serviço",AI$12&lt;&gt;0,$H49&gt;0,OR(AUTOEVENTO&lt;&gt;"manual",$M49&lt;&gt;1)),
IF(Import.TipoArredondamento&lt;&gt;"TransfereGOV",
ROUND(OFFSET($P49,0,AI$13),15-13*ORÇAMENTO!$AF$7)/$H49*OFFSET(ORÇAMENTO!$X$15,ROW(AI49)-ROW(AI$15),0),
ROUND(ROUND(OFFSET($P49,0,AI$13),15-13*ORÇAMENTO!$AF$7)*OFFSET(ORÇAMENTO!$W$15,ROW(AI49)-ROW(AI$15),0),15-13*ORÇAMENTO!$AF$11)),0)</f>
        <v>0</v>
      </c>
      <c r="AJ49" s="627">
        <f ca="1">IF(AND($D49="Serviço",AJ$12&lt;&gt;0,$H49&gt;0,OR(AUTOEVENTO&lt;&gt;"manual",$M49&lt;&gt;1)),
IF(Import.TipoArredondamento&lt;&gt;"TransfereGOV",
ROUND(OFFSET($P49,0,AJ$13),15-13*ORÇAMENTO!$AF$7)/$H49*OFFSET(ORÇAMENTO!$X$15,ROW(AJ49)-ROW(AJ$15),0),
ROUND(ROUND(OFFSET($P49,0,AJ$13),15-13*ORÇAMENTO!$AF$7)*OFFSET(ORÇAMENTO!$W$15,ROW(AJ49)-ROW(AJ$15),0),15-13*ORÇAMENTO!$AF$11)),0)</f>
        <v>0</v>
      </c>
      <c r="AK49" s="628">
        <f ca="1">IF(AND($D49="Serviço",AK$12&lt;&gt;0,$H49&gt;0,OR(AUTOEVENTO&lt;&gt;"manual",$M49&lt;&gt;1)),
IF(Import.TipoArredondamento&lt;&gt;"TransfereGOV",
ROUND(OFFSET($P49,0,AK$13),15-13*ORÇAMENTO!$AF$7)/$H49*OFFSET(ORÇAMENTO!$X$15,ROW(AK49)-ROW(AK$15),0),
ROUND(ROUND(OFFSET($P49,0,AK$13),15-13*ORÇAMENTO!$AF$7)*OFFSET(ORÇAMENTO!$W$15,ROW(AK49)-ROW(AK$15),0),15-13*ORÇAMENTO!$AF$11)),0)</f>
        <v>0</v>
      </c>
      <c r="AM49" s="211">
        <f ca="1">IF($D49&lt;&gt;"Serviço",0,IF(AND(AUTOEVENTO="Manual",$M49=1),0,IF(OFFSET(CRONOPLE!$F$14,$M49,AM$13)="",10^12,OFFSET(CRONOPLE!$F$14,$M49,AM$13))))</f>
        <v>2</v>
      </c>
      <c r="AN49" s="211">
        <f ca="1">IF($D49&lt;&gt;"Serviço",0,IF(AND(AUTOEVENTO="Manual",$M49=1),0,IF(OFFSET(CRONOPLE!$F$14,$M49,AN$13)="",10^12,OFFSET(CRONOPLE!$F$14,$M49,AN$13))))</f>
        <v>1</v>
      </c>
      <c r="AO49" s="211">
        <f ca="1">IF($D49&lt;&gt;"Serviço",0,IF(AND(AUTOEVENTO="Manual",$M49=1),0,IF(OFFSET(CRONOPLE!$F$14,$M49,AO$13)="",10^12,OFFSET(CRONOPLE!$F$14,$M49,AO$13))))</f>
        <v>2</v>
      </c>
      <c r="AP49" s="211">
        <f ca="1">IF($D49&lt;&gt;"Serviço",0,IF(AND(AUTOEVENTO="Manual",$M49=1),0,IF(OFFSET(CRONOPLE!$F$14,$M49,AP$13)="",10^12,OFFSET(CRONOPLE!$F$14,$M49,AP$13))))</f>
        <v>2</v>
      </c>
      <c r="AQ49" s="211">
        <f ca="1">IF($D49&lt;&gt;"Serviço",0,IF(AND(AUTOEVENTO="Manual",$M49=1),0,IF(OFFSET(CRONOPLE!$F$14,$M49,AQ$13)="",10^12,OFFSET(CRONOPLE!$F$14,$M49,AQ$13))))</f>
        <v>1000000000000</v>
      </c>
      <c r="AR49" s="211">
        <f ca="1">IF($D49&lt;&gt;"Serviço",0,IF(AND(AUTOEVENTO="Manual",$M49=1),0,IF(OFFSET(CRONOPLE!$F$14,$M49,AR$13)="",10^12,OFFSET(CRONOPLE!$F$14,$M49,AR$13))))</f>
        <v>1000000000000</v>
      </c>
      <c r="AS49" s="211">
        <f ca="1">IF($D49&lt;&gt;"Serviço",0,IF(AND(AUTOEVENTO="Manual",$M49=1),0,IF(OFFSET(CRONOPLE!$F$14,$M49,AS$13)="",10^12,OFFSET(CRONOPLE!$F$14,$M49,AS$13))))</f>
        <v>1000000000000</v>
      </c>
      <c r="AT49" s="211">
        <f ca="1">IF($D49&lt;&gt;"Serviço",0,IF(AND(AUTOEVENTO="Manual",$M49=1),0,IF(OFFSET(CRONOPLE!$F$14,$M49,AT$13)="",10^12,OFFSET(CRONOPLE!$F$14,$M49,AT$13))))</f>
        <v>1000000000000</v>
      </c>
      <c r="AU49" s="211">
        <f ca="1">IF($D49&lt;&gt;"Serviço",0,IF(AND(AUTOEVENTO="Manual",$M49=1),0,IF(OFFSET(CRONOPLE!$F$14,$M49,AU$13)="",10^12,OFFSET(CRONOPLE!$F$14,$M49,AU$13))))</f>
        <v>1000000000000</v>
      </c>
      <c r="AV49" s="211">
        <f ca="1">IF($D49&lt;&gt;"Serviço",0,IF(AND(AUTOEVENTO="Manual",$M49=1),0,IF(OFFSET(CRONOPLE!$F$14,$M49,AV$13)="",10^12,OFFSET(CRONOPLE!$F$14,$M49,AV$13))))</f>
        <v>1000000000000</v>
      </c>
      <c r="AX49" s="212">
        <f ca="1">IF($D49&lt;&gt;"Serviço",0,IF(OR(AND(AUTOEVENTO="Manual",$M49=1),$M49&gt;(ROW(PLE.lastrow)-ROW(PLE.firstrow))),0,IF(OFFSET(PLE!$G$14,$M49,AX$13)="",10^12,OFFSET(PLE!$G$14,$M49,AX$13))))</f>
        <v>1000000000000</v>
      </c>
      <c r="AY49" s="212">
        <f ca="1">IF($D49&lt;&gt;"Serviço",0,IF(OR(AND(AUTOEVENTO="Manual",$M49=1),$M49&gt;(ROW(PLE.lastrow)-ROW(PLE.firstrow))),0,IF(OFFSET(PLE!$G$14,$M49,AY$13)="",10^12,OFFSET(PLE!$G$14,$M49,AY$13))))</f>
        <v>1000000000000</v>
      </c>
      <c r="AZ49" s="212">
        <f ca="1">IF($D49&lt;&gt;"Serviço",0,IF(OR(AND(AUTOEVENTO="Manual",$M49=1),$M49&gt;(ROW(PLE.lastrow)-ROW(PLE.firstrow))),0,IF(OFFSET(PLE!$G$14,$M49,AZ$13)="",10^12,OFFSET(PLE!$G$14,$M49,AZ$13))))</f>
        <v>1000000000000</v>
      </c>
      <c r="BA49" s="212">
        <f ca="1">IF($D49&lt;&gt;"Serviço",0,IF(OR(AND(AUTOEVENTO="Manual",$M49=1),$M49&gt;(ROW(PLE.lastrow)-ROW(PLE.firstrow))),0,IF(OFFSET(PLE!$G$14,$M49,BA$13)="",10^12,OFFSET(PLE!$G$14,$M49,BA$13))))</f>
        <v>1000000000000</v>
      </c>
      <c r="BB49" s="212">
        <f ca="1">IF($D49&lt;&gt;"Serviço",0,IF(OR(AND(AUTOEVENTO="Manual",$M49=1),$M49&gt;(ROW(PLE.lastrow)-ROW(PLE.firstrow))),0,IF(OFFSET(PLE!$G$14,$M49,BB$13)="",10^12,OFFSET(PLE!$G$14,$M49,BB$13))))</f>
        <v>1000000000000</v>
      </c>
      <c r="BC49" s="212">
        <f ca="1">IF($D49&lt;&gt;"Serviço",0,IF(OR(AND(AUTOEVENTO="Manual",$M49=1),$M49&gt;(ROW(PLE.lastrow)-ROW(PLE.firstrow))),0,IF(OFFSET(PLE!$G$14,$M49,BC$13)="",10^12,OFFSET(PLE!$G$14,$M49,BC$13))))</f>
        <v>1000000000000</v>
      </c>
      <c r="BD49" s="212">
        <f ca="1">IF($D49&lt;&gt;"Serviço",0,IF(OR(AND(AUTOEVENTO="Manual",$M49=1),$M49&gt;(ROW(PLE.lastrow)-ROW(PLE.firstrow))),0,IF(OFFSET(PLE!$G$14,$M49,BD$13)="",10^12,OFFSET(PLE!$G$14,$M49,BD$13))))</f>
        <v>1000000000000</v>
      </c>
      <c r="BE49" s="212">
        <f ca="1">IF($D49&lt;&gt;"Serviço",0,IF(OR(AND(AUTOEVENTO="Manual",$M49=1),$M49&gt;(ROW(PLE.lastrow)-ROW(PLE.firstrow))),0,IF(OFFSET(PLE!$G$14,$M49,BE$13)="",10^12,OFFSET(PLE!$G$14,$M49,BE$13))))</f>
        <v>1000000000000</v>
      </c>
      <c r="BF49" s="212">
        <f ca="1">IF($D49&lt;&gt;"Serviço",0,IF(OR(AND(AUTOEVENTO="Manual",$M49=1),$M49&gt;(ROW(PLE.lastrow)-ROW(PLE.firstrow))),0,IF(OFFSET(PLE!$G$14,$M49,BF$13)="",10^12,OFFSET(PLE!$G$14,$M49,BF$13))))</f>
        <v>1000000000000</v>
      </c>
      <c r="BG49" s="212">
        <f ca="1">IF($D49&lt;&gt;"Serviço",0,IF(OR(AND(AUTOEVENTO="Manual",$M49=1),$M49&gt;(ROW(PLE.lastrow)-ROW(PLE.firstrow))),0,IF(OFFSET(PLE!$G$14,$M49,BG$13)="",10^12,OFFSET(PLE!$G$14,$M49,BG$13))))</f>
        <v>1000000000000</v>
      </c>
    </row>
    <row r="50" spans="1:59" ht="13.2">
      <c r="A50" s="9" t="str">
        <f t="shared" ca="1" si="8"/>
        <v>15</v>
      </c>
      <c r="B50" s="9" t="str">
        <f ca="1">OFFSET(ORÇAMENTO!C$15,ROW(B50)-ROW(B$15),0)</f>
        <v>S</v>
      </c>
      <c r="C50" s="9" t="str">
        <f ca="1">OFFSET(ORÇAMENTO!L$15,ROW(C50)-ROW(C$15),0)</f>
        <v/>
      </c>
      <c r="D50" s="141" t="str">
        <f ca="1">OFFSET(ORÇAMENTO!N$15,ROW(D50)-ROW(D$15),0)</f>
        <v>Serviço</v>
      </c>
      <c r="E50" s="201" t="str">
        <f ca="1">OFFSET(ORÇAMENTO!O$15,ROW(E50)-ROW(E$15),0)</f>
        <v>-</v>
      </c>
      <c r="F50" s="202" t="str">
        <f ca="1">OFFSET(ORÇAMENTO!R$15,ROW(F50)-ROW(F$15),0)</f>
        <v>(abra o arquivo 'Referência 11-2024.xlsm)</v>
      </c>
      <c r="G50" s="203" t="str">
        <f ca="1">IF($D50&lt;&gt;"Serviço","",OFFSET(ORÇAMENTO!S$15,ROW(G50)-ROW(G$15),0))</f>
        <v>-</v>
      </c>
      <c r="H50" s="147">
        <f ca="1">IF($D50&lt;&gt;"Serviço",0,IF(ACOMPANHAMENTO="BM",ROUND(OFFSET(ORÇAMENTO!AJ$15,ROW(H50)-ROW(H$15),0),15-13*ORÇAMENTO!$AF$7),SUMPRODUCT(($Q$12:$AA$12&lt;&gt;"")*ROUND($Q50:$AA50,15-13*ORÇAMENTO!$AF$7))))</f>
        <v>0</v>
      </c>
      <c r="I50" s="645"/>
      <c r="K50" s="204"/>
      <c r="L50" s="205" t="s">
        <v>255</v>
      </c>
      <c r="M50" s="206">
        <f ca="1">IF($D50&lt;&gt;"Serviço","",IF(AUTOEVENTO="manual",$A50,IF(ISERROR(MATCH($A50,$A$15:OFFSET($A50,-1,0),0)),MAX($M$15:OFFSET(M50,-1,0))+1,INDEX($M$15:OFFSET(M50,-1,0),MATCH($A50,$A$15:OFFSET($A50,-1,0),0)))))</f>
        <v>6</v>
      </c>
      <c r="N50" s="207" t="str">
        <f ca="1">IF($D50&lt;&gt;"Serviço","",IF(AUTOEVENTO="Manual",IF($A50=0,"&lt;-- defina o número do agrupador",OFFSET(EVENTOS!$D$14,$A50,0)),OFFSET($F$15,$A50,0)))</f>
        <v>DRENAGEM</v>
      </c>
      <c r="O50" s="208"/>
      <c r="Q50" s="208"/>
      <c r="R50" s="209"/>
      <c r="S50" s="209"/>
      <c r="T50" s="209"/>
      <c r="U50" s="209"/>
      <c r="V50" s="209"/>
      <c r="W50" s="209"/>
      <c r="X50" s="209"/>
      <c r="Y50" s="209"/>
      <c r="Z50" s="210"/>
      <c r="AB50" s="626">
        <f ca="1">IF(AND($D50="Serviço",AB$12&lt;&gt;0,$H50&gt;0,OR(AUTOEVENTO&lt;&gt;"manual",$M50&lt;&gt;1)),
IF(Import.TipoArredondamento&lt;&gt;"TransfereGOV",
ROUND(OFFSET($P50,0,AB$13),15-13*ORÇAMENTO!$AF$7)/$H50*OFFSET(ORÇAMENTO!$X$15,ROW(AB50)-ROW(AB$15),0),
ROUND(ROUND(OFFSET($P50,0,AB$13),15-13*ORÇAMENTO!$AF$7)*OFFSET(ORÇAMENTO!$W$15,ROW(AB50)-ROW(AB$15),0),15-13*ORÇAMENTO!$AF$11)),0)</f>
        <v>0</v>
      </c>
      <c r="AC50" s="627">
        <f ca="1">IF(AND($D50="Serviço",AC$12&lt;&gt;0,$H50&gt;0,OR(AUTOEVENTO&lt;&gt;"manual",$M50&lt;&gt;1)),
IF(Import.TipoArredondamento&lt;&gt;"TransfereGOV",
ROUND(OFFSET($P50,0,AC$13),15-13*ORÇAMENTO!$AF$7)/$H50*OFFSET(ORÇAMENTO!$X$15,ROW(AC50)-ROW(AC$15),0),
ROUND(ROUND(OFFSET($P50,0,AC$13),15-13*ORÇAMENTO!$AF$7)*OFFSET(ORÇAMENTO!$W$15,ROW(AC50)-ROW(AC$15),0),15-13*ORÇAMENTO!$AF$11)),0)</f>
        <v>0</v>
      </c>
      <c r="AD50" s="627">
        <f ca="1">IF(AND($D50="Serviço",AD$12&lt;&gt;0,$H50&gt;0,OR(AUTOEVENTO&lt;&gt;"manual",$M50&lt;&gt;1)),
IF(Import.TipoArredondamento&lt;&gt;"TransfereGOV",
ROUND(OFFSET($P50,0,AD$13),15-13*ORÇAMENTO!$AF$7)/$H50*OFFSET(ORÇAMENTO!$X$15,ROW(AD50)-ROW(AD$15),0),
ROUND(ROUND(OFFSET($P50,0,AD$13),15-13*ORÇAMENTO!$AF$7)*OFFSET(ORÇAMENTO!$W$15,ROW(AD50)-ROW(AD$15),0),15-13*ORÇAMENTO!$AF$11)),0)</f>
        <v>0</v>
      </c>
      <c r="AE50" s="627">
        <f ca="1">IF(AND($D50="Serviço",AE$12&lt;&gt;0,$H50&gt;0,OR(AUTOEVENTO&lt;&gt;"manual",$M50&lt;&gt;1)),
IF(Import.TipoArredondamento&lt;&gt;"TransfereGOV",
ROUND(OFFSET($P50,0,AE$13),15-13*ORÇAMENTO!$AF$7)/$H50*OFFSET(ORÇAMENTO!$X$15,ROW(AE50)-ROW(AE$15),0),
ROUND(ROUND(OFFSET($P50,0,AE$13),15-13*ORÇAMENTO!$AF$7)*OFFSET(ORÇAMENTO!$W$15,ROW(AE50)-ROW(AE$15),0),15-13*ORÇAMENTO!$AF$11)),0)</f>
        <v>0</v>
      </c>
      <c r="AF50" s="627">
        <f ca="1">IF(AND($D50="Serviço",AF$12&lt;&gt;0,$H50&gt;0,OR(AUTOEVENTO&lt;&gt;"manual",$M50&lt;&gt;1)),
IF(Import.TipoArredondamento&lt;&gt;"TransfereGOV",
ROUND(OFFSET($P50,0,AF$13),15-13*ORÇAMENTO!$AF$7)/$H50*OFFSET(ORÇAMENTO!$X$15,ROW(AF50)-ROW(AF$15),0),
ROUND(ROUND(OFFSET($P50,0,AF$13),15-13*ORÇAMENTO!$AF$7)*OFFSET(ORÇAMENTO!$W$15,ROW(AF50)-ROW(AF$15),0),15-13*ORÇAMENTO!$AF$11)),0)</f>
        <v>0</v>
      </c>
      <c r="AG50" s="627">
        <f ca="1">IF(AND($D50="Serviço",AG$12&lt;&gt;0,$H50&gt;0,OR(AUTOEVENTO&lt;&gt;"manual",$M50&lt;&gt;1)),
IF(Import.TipoArredondamento&lt;&gt;"TransfereGOV",
ROUND(OFFSET($P50,0,AG$13),15-13*ORÇAMENTO!$AF$7)/$H50*OFFSET(ORÇAMENTO!$X$15,ROW(AG50)-ROW(AG$15),0),
ROUND(ROUND(OFFSET($P50,0,AG$13),15-13*ORÇAMENTO!$AF$7)*OFFSET(ORÇAMENTO!$W$15,ROW(AG50)-ROW(AG$15),0),15-13*ORÇAMENTO!$AF$11)),0)</f>
        <v>0</v>
      </c>
      <c r="AH50" s="627">
        <f ca="1">IF(AND($D50="Serviço",AH$12&lt;&gt;0,$H50&gt;0,OR(AUTOEVENTO&lt;&gt;"manual",$M50&lt;&gt;1)),
IF(Import.TipoArredondamento&lt;&gt;"TransfereGOV",
ROUND(OFFSET($P50,0,AH$13),15-13*ORÇAMENTO!$AF$7)/$H50*OFFSET(ORÇAMENTO!$X$15,ROW(AH50)-ROW(AH$15),0),
ROUND(ROUND(OFFSET($P50,0,AH$13),15-13*ORÇAMENTO!$AF$7)*OFFSET(ORÇAMENTO!$W$15,ROW(AH50)-ROW(AH$15),0),15-13*ORÇAMENTO!$AF$11)),0)</f>
        <v>0</v>
      </c>
      <c r="AI50" s="627">
        <f ca="1">IF(AND($D50="Serviço",AI$12&lt;&gt;0,$H50&gt;0,OR(AUTOEVENTO&lt;&gt;"manual",$M50&lt;&gt;1)),
IF(Import.TipoArredondamento&lt;&gt;"TransfereGOV",
ROUND(OFFSET($P50,0,AI$13),15-13*ORÇAMENTO!$AF$7)/$H50*OFFSET(ORÇAMENTO!$X$15,ROW(AI50)-ROW(AI$15),0),
ROUND(ROUND(OFFSET($P50,0,AI$13),15-13*ORÇAMENTO!$AF$7)*OFFSET(ORÇAMENTO!$W$15,ROW(AI50)-ROW(AI$15),0),15-13*ORÇAMENTO!$AF$11)),0)</f>
        <v>0</v>
      </c>
      <c r="AJ50" s="627">
        <f ca="1">IF(AND($D50="Serviço",AJ$12&lt;&gt;0,$H50&gt;0,OR(AUTOEVENTO&lt;&gt;"manual",$M50&lt;&gt;1)),
IF(Import.TipoArredondamento&lt;&gt;"TransfereGOV",
ROUND(OFFSET($P50,0,AJ$13),15-13*ORÇAMENTO!$AF$7)/$H50*OFFSET(ORÇAMENTO!$X$15,ROW(AJ50)-ROW(AJ$15),0),
ROUND(ROUND(OFFSET($P50,0,AJ$13),15-13*ORÇAMENTO!$AF$7)*OFFSET(ORÇAMENTO!$W$15,ROW(AJ50)-ROW(AJ$15),0),15-13*ORÇAMENTO!$AF$11)),0)</f>
        <v>0</v>
      </c>
      <c r="AK50" s="628">
        <f ca="1">IF(AND($D50="Serviço",AK$12&lt;&gt;0,$H50&gt;0,OR(AUTOEVENTO&lt;&gt;"manual",$M50&lt;&gt;1)),
IF(Import.TipoArredondamento&lt;&gt;"TransfereGOV",
ROUND(OFFSET($P50,0,AK$13),15-13*ORÇAMENTO!$AF$7)/$H50*OFFSET(ORÇAMENTO!$X$15,ROW(AK50)-ROW(AK$15),0),
ROUND(ROUND(OFFSET($P50,0,AK$13),15-13*ORÇAMENTO!$AF$7)*OFFSET(ORÇAMENTO!$W$15,ROW(AK50)-ROW(AK$15),0),15-13*ORÇAMENTO!$AF$11)),0)</f>
        <v>0</v>
      </c>
      <c r="AM50" s="211">
        <f ca="1">IF($D50&lt;&gt;"Serviço",0,IF(AND(AUTOEVENTO="Manual",$M50=1),0,IF(OFFSET(CRONOPLE!$F$14,$M50,AM$13)="",10^12,OFFSET(CRONOPLE!$F$14,$M50,AM$13))))</f>
        <v>2</v>
      </c>
      <c r="AN50" s="211">
        <f ca="1">IF($D50&lt;&gt;"Serviço",0,IF(AND(AUTOEVENTO="Manual",$M50=1),0,IF(OFFSET(CRONOPLE!$F$14,$M50,AN$13)="",10^12,OFFSET(CRONOPLE!$F$14,$M50,AN$13))))</f>
        <v>1</v>
      </c>
      <c r="AO50" s="211">
        <f ca="1">IF($D50&lt;&gt;"Serviço",0,IF(AND(AUTOEVENTO="Manual",$M50=1),0,IF(OFFSET(CRONOPLE!$F$14,$M50,AO$13)="",10^12,OFFSET(CRONOPLE!$F$14,$M50,AO$13))))</f>
        <v>2</v>
      </c>
      <c r="AP50" s="211">
        <f ca="1">IF($D50&lt;&gt;"Serviço",0,IF(AND(AUTOEVENTO="Manual",$M50=1),0,IF(OFFSET(CRONOPLE!$F$14,$M50,AP$13)="",10^12,OFFSET(CRONOPLE!$F$14,$M50,AP$13))))</f>
        <v>2</v>
      </c>
      <c r="AQ50" s="211">
        <f ca="1">IF($D50&lt;&gt;"Serviço",0,IF(AND(AUTOEVENTO="Manual",$M50=1),0,IF(OFFSET(CRONOPLE!$F$14,$M50,AQ$13)="",10^12,OFFSET(CRONOPLE!$F$14,$M50,AQ$13))))</f>
        <v>1000000000000</v>
      </c>
      <c r="AR50" s="211">
        <f ca="1">IF($D50&lt;&gt;"Serviço",0,IF(AND(AUTOEVENTO="Manual",$M50=1),0,IF(OFFSET(CRONOPLE!$F$14,$M50,AR$13)="",10^12,OFFSET(CRONOPLE!$F$14,$M50,AR$13))))</f>
        <v>1000000000000</v>
      </c>
      <c r="AS50" s="211">
        <f ca="1">IF($D50&lt;&gt;"Serviço",0,IF(AND(AUTOEVENTO="Manual",$M50=1),0,IF(OFFSET(CRONOPLE!$F$14,$M50,AS$13)="",10^12,OFFSET(CRONOPLE!$F$14,$M50,AS$13))))</f>
        <v>1000000000000</v>
      </c>
      <c r="AT50" s="211">
        <f ca="1">IF($D50&lt;&gt;"Serviço",0,IF(AND(AUTOEVENTO="Manual",$M50=1),0,IF(OFFSET(CRONOPLE!$F$14,$M50,AT$13)="",10^12,OFFSET(CRONOPLE!$F$14,$M50,AT$13))))</f>
        <v>1000000000000</v>
      </c>
      <c r="AU50" s="211">
        <f ca="1">IF($D50&lt;&gt;"Serviço",0,IF(AND(AUTOEVENTO="Manual",$M50=1),0,IF(OFFSET(CRONOPLE!$F$14,$M50,AU$13)="",10^12,OFFSET(CRONOPLE!$F$14,$M50,AU$13))))</f>
        <v>1000000000000</v>
      </c>
      <c r="AV50" s="211">
        <f ca="1">IF($D50&lt;&gt;"Serviço",0,IF(AND(AUTOEVENTO="Manual",$M50=1),0,IF(OFFSET(CRONOPLE!$F$14,$M50,AV$13)="",10^12,OFFSET(CRONOPLE!$F$14,$M50,AV$13))))</f>
        <v>1000000000000</v>
      </c>
      <c r="AX50" s="212">
        <f ca="1">IF($D50&lt;&gt;"Serviço",0,IF(OR(AND(AUTOEVENTO="Manual",$M50=1),$M50&gt;(ROW(PLE.lastrow)-ROW(PLE.firstrow))),0,IF(OFFSET(PLE!$G$14,$M50,AX$13)="",10^12,OFFSET(PLE!$G$14,$M50,AX$13))))</f>
        <v>1000000000000</v>
      </c>
      <c r="AY50" s="212">
        <f ca="1">IF($D50&lt;&gt;"Serviço",0,IF(OR(AND(AUTOEVENTO="Manual",$M50=1),$M50&gt;(ROW(PLE.lastrow)-ROW(PLE.firstrow))),0,IF(OFFSET(PLE!$G$14,$M50,AY$13)="",10^12,OFFSET(PLE!$G$14,$M50,AY$13))))</f>
        <v>1000000000000</v>
      </c>
      <c r="AZ50" s="212">
        <f ca="1">IF($D50&lt;&gt;"Serviço",0,IF(OR(AND(AUTOEVENTO="Manual",$M50=1),$M50&gt;(ROW(PLE.lastrow)-ROW(PLE.firstrow))),0,IF(OFFSET(PLE!$G$14,$M50,AZ$13)="",10^12,OFFSET(PLE!$G$14,$M50,AZ$13))))</f>
        <v>1000000000000</v>
      </c>
      <c r="BA50" s="212">
        <f ca="1">IF($D50&lt;&gt;"Serviço",0,IF(OR(AND(AUTOEVENTO="Manual",$M50=1),$M50&gt;(ROW(PLE.lastrow)-ROW(PLE.firstrow))),0,IF(OFFSET(PLE!$G$14,$M50,BA$13)="",10^12,OFFSET(PLE!$G$14,$M50,BA$13))))</f>
        <v>1000000000000</v>
      </c>
      <c r="BB50" s="212">
        <f ca="1">IF($D50&lt;&gt;"Serviço",0,IF(OR(AND(AUTOEVENTO="Manual",$M50=1),$M50&gt;(ROW(PLE.lastrow)-ROW(PLE.firstrow))),0,IF(OFFSET(PLE!$G$14,$M50,BB$13)="",10^12,OFFSET(PLE!$G$14,$M50,BB$13))))</f>
        <v>1000000000000</v>
      </c>
      <c r="BC50" s="212">
        <f ca="1">IF($D50&lt;&gt;"Serviço",0,IF(OR(AND(AUTOEVENTO="Manual",$M50=1),$M50&gt;(ROW(PLE.lastrow)-ROW(PLE.firstrow))),0,IF(OFFSET(PLE!$G$14,$M50,BC$13)="",10^12,OFFSET(PLE!$G$14,$M50,BC$13))))</f>
        <v>1000000000000</v>
      </c>
      <c r="BD50" s="212">
        <f ca="1">IF($D50&lt;&gt;"Serviço",0,IF(OR(AND(AUTOEVENTO="Manual",$M50=1),$M50&gt;(ROW(PLE.lastrow)-ROW(PLE.firstrow))),0,IF(OFFSET(PLE!$G$14,$M50,BD$13)="",10^12,OFFSET(PLE!$G$14,$M50,BD$13))))</f>
        <v>1000000000000</v>
      </c>
      <c r="BE50" s="212">
        <f ca="1">IF($D50&lt;&gt;"Serviço",0,IF(OR(AND(AUTOEVENTO="Manual",$M50=1),$M50&gt;(ROW(PLE.lastrow)-ROW(PLE.firstrow))),0,IF(OFFSET(PLE!$G$14,$M50,BE$13)="",10^12,OFFSET(PLE!$G$14,$M50,BE$13))))</f>
        <v>1000000000000</v>
      </c>
      <c r="BF50" s="212">
        <f ca="1">IF($D50&lt;&gt;"Serviço",0,IF(OR(AND(AUTOEVENTO="Manual",$M50=1),$M50&gt;(ROW(PLE.lastrow)-ROW(PLE.firstrow))),0,IF(OFFSET(PLE!$G$14,$M50,BF$13)="",10^12,OFFSET(PLE!$G$14,$M50,BF$13))))</f>
        <v>1000000000000</v>
      </c>
      <c r="BG50" s="212">
        <f ca="1">IF($D50&lt;&gt;"Serviço",0,IF(OR(AND(AUTOEVENTO="Manual",$M50=1),$M50&gt;(ROW(PLE.lastrow)-ROW(PLE.firstrow))),0,IF(OFFSET(PLE!$G$14,$M50,BG$13)="",10^12,OFFSET(PLE!$G$14,$M50,BG$13))))</f>
        <v>1000000000000</v>
      </c>
    </row>
    <row r="51" spans="1:59" ht="13.2">
      <c r="A51" s="9" t="str">
        <f t="shared" ca="1" si="8"/>
        <v>15</v>
      </c>
      <c r="B51" s="9" t="str">
        <f ca="1">OFFSET(ORÇAMENTO!C$15,ROW(B51)-ROW(B$15),0)</f>
        <v>S</v>
      </c>
      <c r="C51" s="9" t="str">
        <f ca="1">OFFSET(ORÇAMENTO!L$15,ROW(C51)-ROW(C$15),0)</f>
        <v/>
      </c>
      <c r="D51" s="141" t="str">
        <f ca="1">OFFSET(ORÇAMENTO!N$15,ROW(D51)-ROW(D$15),0)</f>
        <v>Serviço</v>
      </c>
      <c r="E51" s="201" t="str">
        <f ca="1">OFFSET(ORÇAMENTO!O$15,ROW(E51)-ROW(E$15),0)</f>
        <v>-</v>
      </c>
      <c r="F51" s="202" t="str">
        <f ca="1">OFFSET(ORÇAMENTO!R$15,ROW(F51)-ROW(F$15),0)</f>
        <v>(abra o arquivo 'Referência 11-2024.xlsm)</v>
      </c>
      <c r="G51" s="203" t="str">
        <f ca="1">IF($D51&lt;&gt;"Serviço","",OFFSET(ORÇAMENTO!S$15,ROW(G51)-ROW(G$15),0))</f>
        <v>-</v>
      </c>
      <c r="H51" s="147">
        <f ca="1">IF($D51&lt;&gt;"Serviço",0,IF(ACOMPANHAMENTO="BM",ROUND(OFFSET(ORÇAMENTO!AJ$15,ROW(H51)-ROW(H$15),0),15-13*ORÇAMENTO!$AF$7),SUMPRODUCT(($Q$12:$AA$12&lt;&gt;"")*ROUND($Q51:$AA51,15-13*ORÇAMENTO!$AF$7))))</f>
        <v>0</v>
      </c>
      <c r="I51" s="645"/>
      <c r="K51" s="204"/>
      <c r="L51" s="205" t="s">
        <v>255</v>
      </c>
      <c r="M51" s="206">
        <f ca="1">IF($D51&lt;&gt;"Serviço","",IF(AUTOEVENTO="manual",$A51,IF(ISERROR(MATCH($A51,$A$15:OFFSET($A51,-1,0),0)),MAX($M$15:OFFSET(M51,-1,0))+1,INDEX($M$15:OFFSET(M51,-1,0),MATCH($A51,$A$15:OFFSET($A51,-1,0),0)))))</f>
        <v>6</v>
      </c>
      <c r="N51" s="207" t="str">
        <f ca="1">IF($D51&lt;&gt;"Serviço","",IF(AUTOEVENTO="Manual",IF($A51=0,"&lt;-- defina o número do agrupador",OFFSET(EVENTOS!$D$14,$A51,0)),OFFSET($F$15,$A51,0)))</f>
        <v>DRENAGEM</v>
      </c>
      <c r="O51" s="208"/>
      <c r="Q51" s="208"/>
      <c r="R51" s="209"/>
      <c r="S51" s="209"/>
      <c r="T51" s="209"/>
      <c r="U51" s="209"/>
      <c r="V51" s="209"/>
      <c r="W51" s="209"/>
      <c r="X51" s="209"/>
      <c r="Y51" s="209"/>
      <c r="Z51" s="210"/>
      <c r="AB51" s="626">
        <f ca="1">IF(AND($D51="Serviço",AB$12&lt;&gt;0,$H51&gt;0,OR(AUTOEVENTO&lt;&gt;"manual",$M51&lt;&gt;1)),
IF(Import.TipoArredondamento&lt;&gt;"TransfereGOV",
ROUND(OFFSET($P51,0,AB$13),15-13*ORÇAMENTO!$AF$7)/$H51*OFFSET(ORÇAMENTO!$X$15,ROW(AB51)-ROW(AB$15),0),
ROUND(ROUND(OFFSET($P51,0,AB$13),15-13*ORÇAMENTO!$AF$7)*OFFSET(ORÇAMENTO!$W$15,ROW(AB51)-ROW(AB$15),0),15-13*ORÇAMENTO!$AF$11)),0)</f>
        <v>0</v>
      </c>
      <c r="AC51" s="627">
        <f ca="1">IF(AND($D51="Serviço",AC$12&lt;&gt;0,$H51&gt;0,OR(AUTOEVENTO&lt;&gt;"manual",$M51&lt;&gt;1)),
IF(Import.TipoArredondamento&lt;&gt;"TransfereGOV",
ROUND(OFFSET($P51,0,AC$13),15-13*ORÇAMENTO!$AF$7)/$H51*OFFSET(ORÇAMENTO!$X$15,ROW(AC51)-ROW(AC$15),0),
ROUND(ROUND(OFFSET($P51,0,AC$13),15-13*ORÇAMENTO!$AF$7)*OFFSET(ORÇAMENTO!$W$15,ROW(AC51)-ROW(AC$15),0),15-13*ORÇAMENTO!$AF$11)),0)</f>
        <v>0</v>
      </c>
      <c r="AD51" s="627">
        <f ca="1">IF(AND($D51="Serviço",AD$12&lt;&gt;0,$H51&gt;0,OR(AUTOEVENTO&lt;&gt;"manual",$M51&lt;&gt;1)),
IF(Import.TipoArredondamento&lt;&gt;"TransfereGOV",
ROUND(OFFSET($P51,0,AD$13),15-13*ORÇAMENTO!$AF$7)/$H51*OFFSET(ORÇAMENTO!$X$15,ROW(AD51)-ROW(AD$15),0),
ROUND(ROUND(OFFSET($P51,0,AD$13),15-13*ORÇAMENTO!$AF$7)*OFFSET(ORÇAMENTO!$W$15,ROW(AD51)-ROW(AD$15),0),15-13*ORÇAMENTO!$AF$11)),0)</f>
        <v>0</v>
      </c>
      <c r="AE51" s="627">
        <f ca="1">IF(AND($D51="Serviço",AE$12&lt;&gt;0,$H51&gt;0,OR(AUTOEVENTO&lt;&gt;"manual",$M51&lt;&gt;1)),
IF(Import.TipoArredondamento&lt;&gt;"TransfereGOV",
ROUND(OFFSET($P51,0,AE$13),15-13*ORÇAMENTO!$AF$7)/$H51*OFFSET(ORÇAMENTO!$X$15,ROW(AE51)-ROW(AE$15),0),
ROUND(ROUND(OFFSET($P51,0,AE$13),15-13*ORÇAMENTO!$AF$7)*OFFSET(ORÇAMENTO!$W$15,ROW(AE51)-ROW(AE$15),0),15-13*ORÇAMENTO!$AF$11)),0)</f>
        <v>0</v>
      </c>
      <c r="AF51" s="627">
        <f ca="1">IF(AND($D51="Serviço",AF$12&lt;&gt;0,$H51&gt;0,OR(AUTOEVENTO&lt;&gt;"manual",$M51&lt;&gt;1)),
IF(Import.TipoArredondamento&lt;&gt;"TransfereGOV",
ROUND(OFFSET($P51,0,AF$13),15-13*ORÇAMENTO!$AF$7)/$H51*OFFSET(ORÇAMENTO!$X$15,ROW(AF51)-ROW(AF$15),0),
ROUND(ROUND(OFFSET($P51,0,AF$13),15-13*ORÇAMENTO!$AF$7)*OFFSET(ORÇAMENTO!$W$15,ROW(AF51)-ROW(AF$15),0),15-13*ORÇAMENTO!$AF$11)),0)</f>
        <v>0</v>
      </c>
      <c r="AG51" s="627">
        <f ca="1">IF(AND($D51="Serviço",AG$12&lt;&gt;0,$H51&gt;0,OR(AUTOEVENTO&lt;&gt;"manual",$M51&lt;&gt;1)),
IF(Import.TipoArredondamento&lt;&gt;"TransfereGOV",
ROUND(OFFSET($P51,0,AG$13),15-13*ORÇAMENTO!$AF$7)/$H51*OFFSET(ORÇAMENTO!$X$15,ROW(AG51)-ROW(AG$15),0),
ROUND(ROUND(OFFSET($P51,0,AG$13),15-13*ORÇAMENTO!$AF$7)*OFFSET(ORÇAMENTO!$W$15,ROW(AG51)-ROW(AG$15),0),15-13*ORÇAMENTO!$AF$11)),0)</f>
        <v>0</v>
      </c>
      <c r="AH51" s="627">
        <f ca="1">IF(AND($D51="Serviço",AH$12&lt;&gt;0,$H51&gt;0,OR(AUTOEVENTO&lt;&gt;"manual",$M51&lt;&gt;1)),
IF(Import.TipoArredondamento&lt;&gt;"TransfereGOV",
ROUND(OFFSET($P51,0,AH$13),15-13*ORÇAMENTO!$AF$7)/$H51*OFFSET(ORÇAMENTO!$X$15,ROW(AH51)-ROW(AH$15),0),
ROUND(ROUND(OFFSET($P51,0,AH$13),15-13*ORÇAMENTO!$AF$7)*OFFSET(ORÇAMENTO!$W$15,ROW(AH51)-ROW(AH$15),0),15-13*ORÇAMENTO!$AF$11)),0)</f>
        <v>0</v>
      </c>
      <c r="AI51" s="627">
        <f ca="1">IF(AND($D51="Serviço",AI$12&lt;&gt;0,$H51&gt;0,OR(AUTOEVENTO&lt;&gt;"manual",$M51&lt;&gt;1)),
IF(Import.TipoArredondamento&lt;&gt;"TransfereGOV",
ROUND(OFFSET($P51,0,AI$13),15-13*ORÇAMENTO!$AF$7)/$H51*OFFSET(ORÇAMENTO!$X$15,ROW(AI51)-ROW(AI$15),0),
ROUND(ROUND(OFFSET($P51,0,AI$13),15-13*ORÇAMENTO!$AF$7)*OFFSET(ORÇAMENTO!$W$15,ROW(AI51)-ROW(AI$15),0),15-13*ORÇAMENTO!$AF$11)),0)</f>
        <v>0</v>
      </c>
      <c r="AJ51" s="627">
        <f ca="1">IF(AND($D51="Serviço",AJ$12&lt;&gt;0,$H51&gt;0,OR(AUTOEVENTO&lt;&gt;"manual",$M51&lt;&gt;1)),
IF(Import.TipoArredondamento&lt;&gt;"TransfereGOV",
ROUND(OFFSET($P51,0,AJ$13),15-13*ORÇAMENTO!$AF$7)/$H51*OFFSET(ORÇAMENTO!$X$15,ROW(AJ51)-ROW(AJ$15),0),
ROUND(ROUND(OFFSET($P51,0,AJ$13),15-13*ORÇAMENTO!$AF$7)*OFFSET(ORÇAMENTO!$W$15,ROW(AJ51)-ROW(AJ$15),0),15-13*ORÇAMENTO!$AF$11)),0)</f>
        <v>0</v>
      </c>
      <c r="AK51" s="628">
        <f ca="1">IF(AND($D51="Serviço",AK$12&lt;&gt;0,$H51&gt;0,OR(AUTOEVENTO&lt;&gt;"manual",$M51&lt;&gt;1)),
IF(Import.TipoArredondamento&lt;&gt;"TransfereGOV",
ROUND(OFFSET($P51,0,AK$13),15-13*ORÇAMENTO!$AF$7)/$H51*OFFSET(ORÇAMENTO!$X$15,ROW(AK51)-ROW(AK$15),0),
ROUND(ROUND(OFFSET($P51,0,AK$13),15-13*ORÇAMENTO!$AF$7)*OFFSET(ORÇAMENTO!$W$15,ROW(AK51)-ROW(AK$15),0),15-13*ORÇAMENTO!$AF$11)),0)</f>
        <v>0</v>
      </c>
      <c r="AM51" s="211">
        <f ca="1">IF($D51&lt;&gt;"Serviço",0,IF(AND(AUTOEVENTO="Manual",$M51=1),0,IF(OFFSET(CRONOPLE!$F$14,$M51,AM$13)="",10^12,OFFSET(CRONOPLE!$F$14,$M51,AM$13))))</f>
        <v>2</v>
      </c>
      <c r="AN51" s="211">
        <f ca="1">IF($D51&lt;&gt;"Serviço",0,IF(AND(AUTOEVENTO="Manual",$M51=1),0,IF(OFFSET(CRONOPLE!$F$14,$M51,AN$13)="",10^12,OFFSET(CRONOPLE!$F$14,$M51,AN$13))))</f>
        <v>1</v>
      </c>
      <c r="AO51" s="211">
        <f ca="1">IF($D51&lt;&gt;"Serviço",0,IF(AND(AUTOEVENTO="Manual",$M51=1),0,IF(OFFSET(CRONOPLE!$F$14,$M51,AO$13)="",10^12,OFFSET(CRONOPLE!$F$14,$M51,AO$13))))</f>
        <v>2</v>
      </c>
      <c r="AP51" s="211">
        <f ca="1">IF($D51&lt;&gt;"Serviço",0,IF(AND(AUTOEVENTO="Manual",$M51=1),0,IF(OFFSET(CRONOPLE!$F$14,$M51,AP$13)="",10^12,OFFSET(CRONOPLE!$F$14,$M51,AP$13))))</f>
        <v>2</v>
      </c>
      <c r="AQ51" s="211">
        <f ca="1">IF($D51&lt;&gt;"Serviço",0,IF(AND(AUTOEVENTO="Manual",$M51=1),0,IF(OFFSET(CRONOPLE!$F$14,$M51,AQ$13)="",10^12,OFFSET(CRONOPLE!$F$14,$M51,AQ$13))))</f>
        <v>1000000000000</v>
      </c>
      <c r="AR51" s="211">
        <f ca="1">IF($D51&lt;&gt;"Serviço",0,IF(AND(AUTOEVENTO="Manual",$M51=1),0,IF(OFFSET(CRONOPLE!$F$14,$M51,AR$13)="",10^12,OFFSET(CRONOPLE!$F$14,$M51,AR$13))))</f>
        <v>1000000000000</v>
      </c>
      <c r="AS51" s="211">
        <f ca="1">IF($D51&lt;&gt;"Serviço",0,IF(AND(AUTOEVENTO="Manual",$M51=1),0,IF(OFFSET(CRONOPLE!$F$14,$M51,AS$13)="",10^12,OFFSET(CRONOPLE!$F$14,$M51,AS$13))))</f>
        <v>1000000000000</v>
      </c>
      <c r="AT51" s="211">
        <f ca="1">IF($D51&lt;&gt;"Serviço",0,IF(AND(AUTOEVENTO="Manual",$M51=1),0,IF(OFFSET(CRONOPLE!$F$14,$M51,AT$13)="",10^12,OFFSET(CRONOPLE!$F$14,$M51,AT$13))))</f>
        <v>1000000000000</v>
      </c>
      <c r="AU51" s="211">
        <f ca="1">IF($D51&lt;&gt;"Serviço",0,IF(AND(AUTOEVENTO="Manual",$M51=1),0,IF(OFFSET(CRONOPLE!$F$14,$M51,AU$13)="",10^12,OFFSET(CRONOPLE!$F$14,$M51,AU$13))))</f>
        <v>1000000000000</v>
      </c>
      <c r="AV51" s="211">
        <f ca="1">IF($D51&lt;&gt;"Serviço",0,IF(AND(AUTOEVENTO="Manual",$M51=1),0,IF(OFFSET(CRONOPLE!$F$14,$M51,AV$13)="",10^12,OFFSET(CRONOPLE!$F$14,$M51,AV$13))))</f>
        <v>1000000000000</v>
      </c>
      <c r="AX51" s="212">
        <f ca="1">IF($D51&lt;&gt;"Serviço",0,IF(OR(AND(AUTOEVENTO="Manual",$M51=1),$M51&gt;(ROW(PLE.lastrow)-ROW(PLE.firstrow))),0,IF(OFFSET(PLE!$G$14,$M51,AX$13)="",10^12,OFFSET(PLE!$G$14,$M51,AX$13))))</f>
        <v>1000000000000</v>
      </c>
      <c r="AY51" s="212">
        <f ca="1">IF($D51&lt;&gt;"Serviço",0,IF(OR(AND(AUTOEVENTO="Manual",$M51=1),$M51&gt;(ROW(PLE.lastrow)-ROW(PLE.firstrow))),0,IF(OFFSET(PLE!$G$14,$M51,AY$13)="",10^12,OFFSET(PLE!$G$14,$M51,AY$13))))</f>
        <v>1000000000000</v>
      </c>
      <c r="AZ51" s="212">
        <f ca="1">IF($D51&lt;&gt;"Serviço",0,IF(OR(AND(AUTOEVENTO="Manual",$M51=1),$M51&gt;(ROW(PLE.lastrow)-ROW(PLE.firstrow))),0,IF(OFFSET(PLE!$G$14,$M51,AZ$13)="",10^12,OFFSET(PLE!$G$14,$M51,AZ$13))))</f>
        <v>1000000000000</v>
      </c>
      <c r="BA51" s="212">
        <f ca="1">IF($D51&lt;&gt;"Serviço",0,IF(OR(AND(AUTOEVENTO="Manual",$M51=1),$M51&gt;(ROW(PLE.lastrow)-ROW(PLE.firstrow))),0,IF(OFFSET(PLE!$G$14,$M51,BA$13)="",10^12,OFFSET(PLE!$G$14,$M51,BA$13))))</f>
        <v>1000000000000</v>
      </c>
      <c r="BB51" s="212">
        <f ca="1">IF($D51&lt;&gt;"Serviço",0,IF(OR(AND(AUTOEVENTO="Manual",$M51=1),$M51&gt;(ROW(PLE.lastrow)-ROW(PLE.firstrow))),0,IF(OFFSET(PLE!$G$14,$M51,BB$13)="",10^12,OFFSET(PLE!$G$14,$M51,BB$13))))</f>
        <v>1000000000000</v>
      </c>
      <c r="BC51" s="212">
        <f ca="1">IF($D51&lt;&gt;"Serviço",0,IF(OR(AND(AUTOEVENTO="Manual",$M51=1),$M51&gt;(ROW(PLE.lastrow)-ROW(PLE.firstrow))),0,IF(OFFSET(PLE!$G$14,$M51,BC$13)="",10^12,OFFSET(PLE!$G$14,$M51,BC$13))))</f>
        <v>1000000000000</v>
      </c>
      <c r="BD51" s="212">
        <f ca="1">IF($D51&lt;&gt;"Serviço",0,IF(OR(AND(AUTOEVENTO="Manual",$M51=1),$M51&gt;(ROW(PLE.lastrow)-ROW(PLE.firstrow))),0,IF(OFFSET(PLE!$G$14,$M51,BD$13)="",10^12,OFFSET(PLE!$G$14,$M51,BD$13))))</f>
        <v>1000000000000</v>
      </c>
      <c r="BE51" s="212">
        <f ca="1">IF($D51&lt;&gt;"Serviço",0,IF(OR(AND(AUTOEVENTO="Manual",$M51=1),$M51&gt;(ROW(PLE.lastrow)-ROW(PLE.firstrow))),0,IF(OFFSET(PLE!$G$14,$M51,BE$13)="",10^12,OFFSET(PLE!$G$14,$M51,BE$13))))</f>
        <v>1000000000000</v>
      </c>
      <c r="BF51" s="212">
        <f ca="1">IF($D51&lt;&gt;"Serviço",0,IF(OR(AND(AUTOEVENTO="Manual",$M51=1),$M51&gt;(ROW(PLE.lastrow)-ROW(PLE.firstrow))),0,IF(OFFSET(PLE!$G$14,$M51,BF$13)="",10^12,OFFSET(PLE!$G$14,$M51,BF$13))))</f>
        <v>1000000000000</v>
      </c>
      <c r="BG51" s="212">
        <f ca="1">IF($D51&lt;&gt;"Serviço",0,IF(OR(AND(AUTOEVENTO="Manual",$M51=1),$M51&gt;(ROW(PLE.lastrow)-ROW(PLE.firstrow))),0,IF(OFFSET(PLE!$G$14,$M51,BG$13)="",10^12,OFFSET(PLE!$G$14,$M51,BG$13))))</f>
        <v>1000000000000</v>
      </c>
    </row>
    <row r="52" spans="1:59" ht="13.2">
      <c r="A52" s="9" t="str">
        <f t="shared" ca="1" si="8"/>
        <v>15</v>
      </c>
      <c r="B52" s="9" t="str">
        <f ca="1">OFFSET(ORÇAMENTO!C$15,ROW(B52)-ROW(B$15),0)</f>
        <v>S</v>
      </c>
      <c r="C52" s="9" t="str">
        <f ca="1">OFFSET(ORÇAMENTO!L$15,ROW(C52)-ROW(C$15),0)</f>
        <v/>
      </c>
      <c r="D52" s="141" t="str">
        <f ca="1">OFFSET(ORÇAMENTO!N$15,ROW(D52)-ROW(D$15),0)</f>
        <v>Serviço</v>
      </c>
      <c r="E52" s="201" t="str">
        <f ca="1">OFFSET(ORÇAMENTO!O$15,ROW(E52)-ROW(E$15),0)</f>
        <v>-</v>
      </c>
      <c r="F52" s="202" t="str">
        <f ca="1">OFFSET(ORÇAMENTO!R$15,ROW(F52)-ROW(F$15),0)</f>
        <v>(abra o arquivo 'Referência 11-2024.xlsm)</v>
      </c>
      <c r="G52" s="203" t="str">
        <f ca="1">IF($D52&lt;&gt;"Serviço","",OFFSET(ORÇAMENTO!S$15,ROW(G52)-ROW(G$15),0))</f>
        <v>-</v>
      </c>
      <c r="H52" s="147">
        <f ca="1">IF($D52&lt;&gt;"Serviço",0,IF(ACOMPANHAMENTO="BM",ROUND(OFFSET(ORÇAMENTO!AJ$15,ROW(H52)-ROW(H$15),0),15-13*ORÇAMENTO!$AF$7),SUMPRODUCT(($Q$12:$AA$12&lt;&gt;"")*ROUND($Q52:$AA52,15-13*ORÇAMENTO!$AF$7))))</f>
        <v>0</v>
      </c>
      <c r="I52" s="645"/>
      <c r="K52" s="204"/>
      <c r="L52" s="205" t="s">
        <v>255</v>
      </c>
      <c r="M52" s="206">
        <f ca="1">IF($D52&lt;&gt;"Serviço","",IF(AUTOEVENTO="manual",$A52,IF(ISERROR(MATCH($A52,$A$15:OFFSET($A52,-1,0),0)),MAX($M$15:OFFSET(M52,-1,0))+1,INDEX($M$15:OFFSET(M52,-1,0),MATCH($A52,$A$15:OFFSET($A52,-1,0),0)))))</f>
        <v>6</v>
      </c>
      <c r="N52" s="207" t="str">
        <f ca="1">IF($D52&lt;&gt;"Serviço","",IF(AUTOEVENTO="Manual",IF($A52=0,"&lt;-- defina o número do agrupador",OFFSET(EVENTOS!$D$14,$A52,0)),OFFSET($F$15,$A52,0)))</f>
        <v>DRENAGEM</v>
      </c>
      <c r="O52" s="208"/>
      <c r="Q52" s="208"/>
      <c r="R52" s="209"/>
      <c r="S52" s="209"/>
      <c r="T52" s="209"/>
      <c r="U52" s="209"/>
      <c r="V52" s="209"/>
      <c r="W52" s="209"/>
      <c r="X52" s="209"/>
      <c r="Y52" s="209"/>
      <c r="Z52" s="210"/>
      <c r="AB52" s="626">
        <f ca="1">IF(AND($D52="Serviço",AB$12&lt;&gt;0,$H52&gt;0,OR(AUTOEVENTO&lt;&gt;"manual",$M52&lt;&gt;1)),
IF(Import.TipoArredondamento&lt;&gt;"TransfereGOV",
ROUND(OFFSET($P52,0,AB$13),15-13*ORÇAMENTO!$AF$7)/$H52*OFFSET(ORÇAMENTO!$X$15,ROW(AB52)-ROW(AB$15),0),
ROUND(ROUND(OFFSET($P52,0,AB$13),15-13*ORÇAMENTO!$AF$7)*OFFSET(ORÇAMENTO!$W$15,ROW(AB52)-ROW(AB$15),0),15-13*ORÇAMENTO!$AF$11)),0)</f>
        <v>0</v>
      </c>
      <c r="AC52" s="627">
        <f ca="1">IF(AND($D52="Serviço",AC$12&lt;&gt;0,$H52&gt;0,OR(AUTOEVENTO&lt;&gt;"manual",$M52&lt;&gt;1)),
IF(Import.TipoArredondamento&lt;&gt;"TransfereGOV",
ROUND(OFFSET($P52,0,AC$13),15-13*ORÇAMENTO!$AF$7)/$H52*OFFSET(ORÇAMENTO!$X$15,ROW(AC52)-ROW(AC$15),0),
ROUND(ROUND(OFFSET($P52,0,AC$13),15-13*ORÇAMENTO!$AF$7)*OFFSET(ORÇAMENTO!$W$15,ROW(AC52)-ROW(AC$15),0),15-13*ORÇAMENTO!$AF$11)),0)</f>
        <v>0</v>
      </c>
      <c r="AD52" s="627">
        <f ca="1">IF(AND($D52="Serviço",AD$12&lt;&gt;0,$H52&gt;0,OR(AUTOEVENTO&lt;&gt;"manual",$M52&lt;&gt;1)),
IF(Import.TipoArredondamento&lt;&gt;"TransfereGOV",
ROUND(OFFSET($P52,0,AD$13),15-13*ORÇAMENTO!$AF$7)/$H52*OFFSET(ORÇAMENTO!$X$15,ROW(AD52)-ROW(AD$15),0),
ROUND(ROUND(OFFSET($P52,0,AD$13),15-13*ORÇAMENTO!$AF$7)*OFFSET(ORÇAMENTO!$W$15,ROW(AD52)-ROW(AD$15),0),15-13*ORÇAMENTO!$AF$11)),0)</f>
        <v>0</v>
      </c>
      <c r="AE52" s="627">
        <f ca="1">IF(AND($D52="Serviço",AE$12&lt;&gt;0,$H52&gt;0,OR(AUTOEVENTO&lt;&gt;"manual",$M52&lt;&gt;1)),
IF(Import.TipoArredondamento&lt;&gt;"TransfereGOV",
ROUND(OFFSET($P52,0,AE$13),15-13*ORÇAMENTO!$AF$7)/$H52*OFFSET(ORÇAMENTO!$X$15,ROW(AE52)-ROW(AE$15),0),
ROUND(ROUND(OFFSET($P52,0,AE$13),15-13*ORÇAMENTO!$AF$7)*OFFSET(ORÇAMENTO!$W$15,ROW(AE52)-ROW(AE$15),0),15-13*ORÇAMENTO!$AF$11)),0)</f>
        <v>0</v>
      </c>
      <c r="AF52" s="627">
        <f ca="1">IF(AND($D52="Serviço",AF$12&lt;&gt;0,$H52&gt;0,OR(AUTOEVENTO&lt;&gt;"manual",$M52&lt;&gt;1)),
IF(Import.TipoArredondamento&lt;&gt;"TransfereGOV",
ROUND(OFFSET($P52,0,AF$13),15-13*ORÇAMENTO!$AF$7)/$H52*OFFSET(ORÇAMENTO!$X$15,ROW(AF52)-ROW(AF$15),0),
ROUND(ROUND(OFFSET($P52,0,AF$13),15-13*ORÇAMENTO!$AF$7)*OFFSET(ORÇAMENTO!$W$15,ROW(AF52)-ROW(AF$15),0),15-13*ORÇAMENTO!$AF$11)),0)</f>
        <v>0</v>
      </c>
      <c r="AG52" s="627">
        <f ca="1">IF(AND($D52="Serviço",AG$12&lt;&gt;0,$H52&gt;0,OR(AUTOEVENTO&lt;&gt;"manual",$M52&lt;&gt;1)),
IF(Import.TipoArredondamento&lt;&gt;"TransfereGOV",
ROUND(OFFSET($P52,0,AG$13),15-13*ORÇAMENTO!$AF$7)/$H52*OFFSET(ORÇAMENTO!$X$15,ROW(AG52)-ROW(AG$15),0),
ROUND(ROUND(OFFSET($P52,0,AG$13),15-13*ORÇAMENTO!$AF$7)*OFFSET(ORÇAMENTO!$W$15,ROW(AG52)-ROW(AG$15),0),15-13*ORÇAMENTO!$AF$11)),0)</f>
        <v>0</v>
      </c>
      <c r="AH52" s="627">
        <f ca="1">IF(AND($D52="Serviço",AH$12&lt;&gt;0,$H52&gt;0,OR(AUTOEVENTO&lt;&gt;"manual",$M52&lt;&gt;1)),
IF(Import.TipoArredondamento&lt;&gt;"TransfereGOV",
ROUND(OFFSET($P52,0,AH$13),15-13*ORÇAMENTO!$AF$7)/$H52*OFFSET(ORÇAMENTO!$X$15,ROW(AH52)-ROW(AH$15),0),
ROUND(ROUND(OFFSET($P52,0,AH$13),15-13*ORÇAMENTO!$AF$7)*OFFSET(ORÇAMENTO!$W$15,ROW(AH52)-ROW(AH$15),0),15-13*ORÇAMENTO!$AF$11)),0)</f>
        <v>0</v>
      </c>
      <c r="AI52" s="627">
        <f ca="1">IF(AND($D52="Serviço",AI$12&lt;&gt;0,$H52&gt;0,OR(AUTOEVENTO&lt;&gt;"manual",$M52&lt;&gt;1)),
IF(Import.TipoArredondamento&lt;&gt;"TransfereGOV",
ROUND(OFFSET($P52,0,AI$13),15-13*ORÇAMENTO!$AF$7)/$H52*OFFSET(ORÇAMENTO!$X$15,ROW(AI52)-ROW(AI$15),0),
ROUND(ROUND(OFFSET($P52,0,AI$13),15-13*ORÇAMENTO!$AF$7)*OFFSET(ORÇAMENTO!$W$15,ROW(AI52)-ROW(AI$15),0),15-13*ORÇAMENTO!$AF$11)),0)</f>
        <v>0</v>
      </c>
      <c r="AJ52" s="627">
        <f ca="1">IF(AND($D52="Serviço",AJ$12&lt;&gt;0,$H52&gt;0,OR(AUTOEVENTO&lt;&gt;"manual",$M52&lt;&gt;1)),
IF(Import.TipoArredondamento&lt;&gt;"TransfereGOV",
ROUND(OFFSET($P52,0,AJ$13),15-13*ORÇAMENTO!$AF$7)/$H52*OFFSET(ORÇAMENTO!$X$15,ROW(AJ52)-ROW(AJ$15),0),
ROUND(ROUND(OFFSET($P52,0,AJ$13),15-13*ORÇAMENTO!$AF$7)*OFFSET(ORÇAMENTO!$W$15,ROW(AJ52)-ROW(AJ$15),0),15-13*ORÇAMENTO!$AF$11)),0)</f>
        <v>0</v>
      </c>
      <c r="AK52" s="628">
        <f ca="1">IF(AND($D52="Serviço",AK$12&lt;&gt;0,$H52&gt;0,OR(AUTOEVENTO&lt;&gt;"manual",$M52&lt;&gt;1)),
IF(Import.TipoArredondamento&lt;&gt;"TransfereGOV",
ROUND(OFFSET($P52,0,AK$13),15-13*ORÇAMENTO!$AF$7)/$H52*OFFSET(ORÇAMENTO!$X$15,ROW(AK52)-ROW(AK$15),0),
ROUND(ROUND(OFFSET($P52,0,AK$13),15-13*ORÇAMENTO!$AF$7)*OFFSET(ORÇAMENTO!$W$15,ROW(AK52)-ROW(AK$15),0),15-13*ORÇAMENTO!$AF$11)),0)</f>
        <v>0</v>
      </c>
      <c r="AM52" s="211">
        <f ca="1">IF($D52&lt;&gt;"Serviço",0,IF(AND(AUTOEVENTO="Manual",$M52=1),0,IF(OFFSET(CRONOPLE!$F$14,$M52,AM$13)="",10^12,OFFSET(CRONOPLE!$F$14,$M52,AM$13))))</f>
        <v>2</v>
      </c>
      <c r="AN52" s="211">
        <f ca="1">IF($D52&lt;&gt;"Serviço",0,IF(AND(AUTOEVENTO="Manual",$M52=1),0,IF(OFFSET(CRONOPLE!$F$14,$M52,AN$13)="",10^12,OFFSET(CRONOPLE!$F$14,$M52,AN$13))))</f>
        <v>1</v>
      </c>
      <c r="AO52" s="211">
        <f ca="1">IF($D52&lt;&gt;"Serviço",0,IF(AND(AUTOEVENTO="Manual",$M52=1),0,IF(OFFSET(CRONOPLE!$F$14,$M52,AO$13)="",10^12,OFFSET(CRONOPLE!$F$14,$M52,AO$13))))</f>
        <v>2</v>
      </c>
      <c r="AP52" s="211">
        <f ca="1">IF($D52&lt;&gt;"Serviço",0,IF(AND(AUTOEVENTO="Manual",$M52=1),0,IF(OFFSET(CRONOPLE!$F$14,$M52,AP$13)="",10^12,OFFSET(CRONOPLE!$F$14,$M52,AP$13))))</f>
        <v>2</v>
      </c>
      <c r="AQ52" s="211">
        <f ca="1">IF($D52&lt;&gt;"Serviço",0,IF(AND(AUTOEVENTO="Manual",$M52=1),0,IF(OFFSET(CRONOPLE!$F$14,$M52,AQ$13)="",10^12,OFFSET(CRONOPLE!$F$14,$M52,AQ$13))))</f>
        <v>1000000000000</v>
      </c>
      <c r="AR52" s="211">
        <f ca="1">IF($D52&lt;&gt;"Serviço",0,IF(AND(AUTOEVENTO="Manual",$M52=1),0,IF(OFFSET(CRONOPLE!$F$14,$M52,AR$13)="",10^12,OFFSET(CRONOPLE!$F$14,$M52,AR$13))))</f>
        <v>1000000000000</v>
      </c>
      <c r="AS52" s="211">
        <f ca="1">IF($D52&lt;&gt;"Serviço",0,IF(AND(AUTOEVENTO="Manual",$M52=1),0,IF(OFFSET(CRONOPLE!$F$14,$M52,AS$13)="",10^12,OFFSET(CRONOPLE!$F$14,$M52,AS$13))))</f>
        <v>1000000000000</v>
      </c>
      <c r="AT52" s="211">
        <f ca="1">IF($D52&lt;&gt;"Serviço",0,IF(AND(AUTOEVENTO="Manual",$M52=1),0,IF(OFFSET(CRONOPLE!$F$14,$M52,AT$13)="",10^12,OFFSET(CRONOPLE!$F$14,$M52,AT$13))))</f>
        <v>1000000000000</v>
      </c>
      <c r="AU52" s="211">
        <f ca="1">IF($D52&lt;&gt;"Serviço",0,IF(AND(AUTOEVENTO="Manual",$M52=1),0,IF(OFFSET(CRONOPLE!$F$14,$M52,AU$13)="",10^12,OFFSET(CRONOPLE!$F$14,$M52,AU$13))))</f>
        <v>1000000000000</v>
      </c>
      <c r="AV52" s="211">
        <f ca="1">IF($D52&lt;&gt;"Serviço",0,IF(AND(AUTOEVENTO="Manual",$M52=1),0,IF(OFFSET(CRONOPLE!$F$14,$M52,AV$13)="",10^12,OFFSET(CRONOPLE!$F$14,$M52,AV$13))))</f>
        <v>1000000000000</v>
      </c>
      <c r="AX52" s="212">
        <f ca="1">IF($D52&lt;&gt;"Serviço",0,IF(OR(AND(AUTOEVENTO="Manual",$M52=1),$M52&gt;(ROW(PLE.lastrow)-ROW(PLE.firstrow))),0,IF(OFFSET(PLE!$G$14,$M52,AX$13)="",10^12,OFFSET(PLE!$G$14,$M52,AX$13))))</f>
        <v>1000000000000</v>
      </c>
      <c r="AY52" s="212">
        <f ca="1">IF($D52&lt;&gt;"Serviço",0,IF(OR(AND(AUTOEVENTO="Manual",$M52=1),$M52&gt;(ROW(PLE.lastrow)-ROW(PLE.firstrow))),0,IF(OFFSET(PLE!$G$14,$M52,AY$13)="",10^12,OFFSET(PLE!$G$14,$M52,AY$13))))</f>
        <v>1000000000000</v>
      </c>
      <c r="AZ52" s="212">
        <f ca="1">IF($D52&lt;&gt;"Serviço",0,IF(OR(AND(AUTOEVENTO="Manual",$M52=1),$M52&gt;(ROW(PLE.lastrow)-ROW(PLE.firstrow))),0,IF(OFFSET(PLE!$G$14,$M52,AZ$13)="",10^12,OFFSET(PLE!$G$14,$M52,AZ$13))))</f>
        <v>1000000000000</v>
      </c>
      <c r="BA52" s="212">
        <f ca="1">IF($D52&lt;&gt;"Serviço",0,IF(OR(AND(AUTOEVENTO="Manual",$M52=1),$M52&gt;(ROW(PLE.lastrow)-ROW(PLE.firstrow))),0,IF(OFFSET(PLE!$G$14,$M52,BA$13)="",10^12,OFFSET(PLE!$G$14,$M52,BA$13))))</f>
        <v>1000000000000</v>
      </c>
      <c r="BB52" s="212">
        <f ca="1">IF($D52&lt;&gt;"Serviço",0,IF(OR(AND(AUTOEVENTO="Manual",$M52=1),$M52&gt;(ROW(PLE.lastrow)-ROW(PLE.firstrow))),0,IF(OFFSET(PLE!$G$14,$M52,BB$13)="",10^12,OFFSET(PLE!$G$14,$M52,BB$13))))</f>
        <v>1000000000000</v>
      </c>
      <c r="BC52" s="212">
        <f ca="1">IF($D52&lt;&gt;"Serviço",0,IF(OR(AND(AUTOEVENTO="Manual",$M52=1),$M52&gt;(ROW(PLE.lastrow)-ROW(PLE.firstrow))),0,IF(OFFSET(PLE!$G$14,$M52,BC$13)="",10^12,OFFSET(PLE!$G$14,$M52,BC$13))))</f>
        <v>1000000000000</v>
      </c>
      <c r="BD52" s="212">
        <f ca="1">IF($D52&lt;&gt;"Serviço",0,IF(OR(AND(AUTOEVENTO="Manual",$M52=1),$M52&gt;(ROW(PLE.lastrow)-ROW(PLE.firstrow))),0,IF(OFFSET(PLE!$G$14,$M52,BD$13)="",10^12,OFFSET(PLE!$G$14,$M52,BD$13))))</f>
        <v>1000000000000</v>
      </c>
      <c r="BE52" s="212">
        <f ca="1">IF($D52&lt;&gt;"Serviço",0,IF(OR(AND(AUTOEVENTO="Manual",$M52=1),$M52&gt;(ROW(PLE.lastrow)-ROW(PLE.firstrow))),0,IF(OFFSET(PLE!$G$14,$M52,BE$13)="",10^12,OFFSET(PLE!$G$14,$M52,BE$13))))</f>
        <v>1000000000000</v>
      </c>
      <c r="BF52" s="212">
        <f ca="1">IF($D52&lt;&gt;"Serviço",0,IF(OR(AND(AUTOEVENTO="Manual",$M52=1),$M52&gt;(ROW(PLE.lastrow)-ROW(PLE.firstrow))),0,IF(OFFSET(PLE!$G$14,$M52,BF$13)="",10^12,OFFSET(PLE!$G$14,$M52,BF$13))))</f>
        <v>1000000000000</v>
      </c>
      <c r="BG52" s="212">
        <f ca="1">IF($D52&lt;&gt;"Serviço",0,IF(OR(AND(AUTOEVENTO="Manual",$M52=1),$M52&gt;(ROW(PLE.lastrow)-ROW(PLE.firstrow))),0,IF(OFFSET(PLE!$G$14,$M52,BG$13)="",10^12,OFFSET(PLE!$G$14,$M52,BG$13))))</f>
        <v>1000000000000</v>
      </c>
    </row>
    <row r="53" spans="1:59" ht="13.2">
      <c r="A53" s="9" t="str">
        <f t="shared" ca="1" si="8"/>
        <v>15</v>
      </c>
      <c r="B53" s="9" t="str">
        <f ca="1">OFFSET(ORÇAMENTO!C$15,ROW(B53)-ROW(B$15),0)</f>
        <v>S</v>
      </c>
      <c r="C53" s="9" t="str">
        <f ca="1">OFFSET(ORÇAMENTO!L$15,ROW(C53)-ROW(C$15),0)</f>
        <v/>
      </c>
      <c r="D53" s="141" t="str">
        <f ca="1">OFFSET(ORÇAMENTO!N$15,ROW(D53)-ROW(D$15),0)</f>
        <v>Serviço</v>
      </c>
      <c r="E53" s="201" t="str">
        <f ca="1">OFFSET(ORÇAMENTO!O$15,ROW(E53)-ROW(E$15),0)</f>
        <v>-</v>
      </c>
      <c r="F53" s="202" t="str">
        <f ca="1">OFFSET(ORÇAMENTO!R$15,ROW(F53)-ROW(F$15),0)</f>
        <v>(abra o arquivo 'Referência 11-2024.xlsm)</v>
      </c>
      <c r="G53" s="203" t="str">
        <f ca="1">IF($D53&lt;&gt;"Serviço","",OFFSET(ORÇAMENTO!S$15,ROW(G53)-ROW(G$15),0))</f>
        <v>-</v>
      </c>
      <c r="H53" s="147">
        <f ca="1">IF($D53&lt;&gt;"Serviço",0,IF(ACOMPANHAMENTO="BM",ROUND(OFFSET(ORÇAMENTO!AJ$15,ROW(H53)-ROW(H$15),0),15-13*ORÇAMENTO!$AF$7),SUMPRODUCT(($Q$12:$AA$12&lt;&gt;"")*ROUND($Q53:$AA53,15-13*ORÇAMENTO!$AF$7))))</f>
        <v>0</v>
      </c>
      <c r="I53" s="645"/>
      <c r="K53" s="204"/>
      <c r="L53" s="205" t="s">
        <v>255</v>
      </c>
      <c r="M53" s="206">
        <f ca="1">IF($D53&lt;&gt;"Serviço","",IF(AUTOEVENTO="manual",$A53,IF(ISERROR(MATCH($A53,$A$15:OFFSET($A53,-1,0),0)),MAX($M$15:OFFSET(M53,-1,0))+1,INDEX($M$15:OFFSET(M53,-1,0),MATCH($A53,$A$15:OFFSET($A53,-1,0),0)))))</f>
        <v>6</v>
      </c>
      <c r="N53" s="207" t="str">
        <f ca="1">IF($D53&lt;&gt;"Serviço","",IF(AUTOEVENTO="Manual",IF($A53=0,"&lt;-- defina o número do agrupador",OFFSET(EVENTOS!$D$14,$A53,0)),OFFSET($F$15,$A53,0)))</f>
        <v>DRENAGEM</v>
      </c>
      <c r="O53" s="208"/>
      <c r="Q53" s="208"/>
      <c r="R53" s="209"/>
      <c r="S53" s="209"/>
      <c r="T53" s="209"/>
      <c r="U53" s="209"/>
      <c r="V53" s="209"/>
      <c r="W53" s="209"/>
      <c r="X53" s="209"/>
      <c r="Y53" s="209"/>
      <c r="Z53" s="210"/>
      <c r="AB53" s="626">
        <f ca="1">IF(AND($D53="Serviço",AB$12&lt;&gt;0,$H53&gt;0,OR(AUTOEVENTO&lt;&gt;"manual",$M53&lt;&gt;1)),
IF(Import.TipoArredondamento&lt;&gt;"TransfereGOV",
ROUND(OFFSET($P53,0,AB$13),15-13*ORÇAMENTO!$AF$7)/$H53*OFFSET(ORÇAMENTO!$X$15,ROW(AB53)-ROW(AB$15),0),
ROUND(ROUND(OFFSET($P53,0,AB$13),15-13*ORÇAMENTO!$AF$7)*OFFSET(ORÇAMENTO!$W$15,ROW(AB53)-ROW(AB$15),0),15-13*ORÇAMENTO!$AF$11)),0)</f>
        <v>0</v>
      </c>
      <c r="AC53" s="627">
        <f ca="1">IF(AND($D53="Serviço",AC$12&lt;&gt;0,$H53&gt;0,OR(AUTOEVENTO&lt;&gt;"manual",$M53&lt;&gt;1)),
IF(Import.TipoArredondamento&lt;&gt;"TransfereGOV",
ROUND(OFFSET($P53,0,AC$13),15-13*ORÇAMENTO!$AF$7)/$H53*OFFSET(ORÇAMENTO!$X$15,ROW(AC53)-ROW(AC$15),0),
ROUND(ROUND(OFFSET($P53,0,AC$13),15-13*ORÇAMENTO!$AF$7)*OFFSET(ORÇAMENTO!$W$15,ROW(AC53)-ROW(AC$15),0),15-13*ORÇAMENTO!$AF$11)),0)</f>
        <v>0</v>
      </c>
      <c r="AD53" s="627">
        <f ca="1">IF(AND($D53="Serviço",AD$12&lt;&gt;0,$H53&gt;0,OR(AUTOEVENTO&lt;&gt;"manual",$M53&lt;&gt;1)),
IF(Import.TipoArredondamento&lt;&gt;"TransfereGOV",
ROUND(OFFSET($P53,0,AD$13),15-13*ORÇAMENTO!$AF$7)/$H53*OFFSET(ORÇAMENTO!$X$15,ROW(AD53)-ROW(AD$15),0),
ROUND(ROUND(OFFSET($P53,0,AD$13),15-13*ORÇAMENTO!$AF$7)*OFFSET(ORÇAMENTO!$W$15,ROW(AD53)-ROW(AD$15),0),15-13*ORÇAMENTO!$AF$11)),0)</f>
        <v>0</v>
      </c>
      <c r="AE53" s="627">
        <f ca="1">IF(AND($D53="Serviço",AE$12&lt;&gt;0,$H53&gt;0,OR(AUTOEVENTO&lt;&gt;"manual",$M53&lt;&gt;1)),
IF(Import.TipoArredondamento&lt;&gt;"TransfereGOV",
ROUND(OFFSET($P53,0,AE$13),15-13*ORÇAMENTO!$AF$7)/$H53*OFFSET(ORÇAMENTO!$X$15,ROW(AE53)-ROW(AE$15),0),
ROUND(ROUND(OFFSET($P53,0,AE$13),15-13*ORÇAMENTO!$AF$7)*OFFSET(ORÇAMENTO!$W$15,ROW(AE53)-ROW(AE$15),0),15-13*ORÇAMENTO!$AF$11)),0)</f>
        <v>0</v>
      </c>
      <c r="AF53" s="627">
        <f ca="1">IF(AND($D53="Serviço",AF$12&lt;&gt;0,$H53&gt;0,OR(AUTOEVENTO&lt;&gt;"manual",$M53&lt;&gt;1)),
IF(Import.TipoArredondamento&lt;&gt;"TransfereGOV",
ROUND(OFFSET($P53,0,AF$13),15-13*ORÇAMENTO!$AF$7)/$H53*OFFSET(ORÇAMENTO!$X$15,ROW(AF53)-ROW(AF$15),0),
ROUND(ROUND(OFFSET($P53,0,AF$13),15-13*ORÇAMENTO!$AF$7)*OFFSET(ORÇAMENTO!$W$15,ROW(AF53)-ROW(AF$15),0),15-13*ORÇAMENTO!$AF$11)),0)</f>
        <v>0</v>
      </c>
      <c r="AG53" s="627">
        <f ca="1">IF(AND($D53="Serviço",AG$12&lt;&gt;0,$H53&gt;0,OR(AUTOEVENTO&lt;&gt;"manual",$M53&lt;&gt;1)),
IF(Import.TipoArredondamento&lt;&gt;"TransfereGOV",
ROUND(OFFSET($P53,0,AG$13),15-13*ORÇAMENTO!$AF$7)/$H53*OFFSET(ORÇAMENTO!$X$15,ROW(AG53)-ROW(AG$15),0),
ROUND(ROUND(OFFSET($P53,0,AG$13),15-13*ORÇAMENTO!$AF$7)*OFFSET(ORÇAMENTO!$W$15,ROW(AG53)-ROW(AG$15),0),15-13*ORÇAMENTO!$AF$11)),0)</f>
        <v>0</v>
      </c>
      <c r="AH53" s="627">
        <f ca="1">IF(AND($D53="Serviço",AH$12&lt;&gt;0,$H53&gt;0,OR(AUTOEVENTO&lt;&gt;"manual",$M53&lt;&gt;1)),
IF(Import.TipoArredondamento&lt;&gt;"TransfereGOV",
ROUND(OFFSET($P53,0,AH$13),15-13*ORÇAMENTO!$AF$7)/$H53*OFFSET(ORÇAMENTO!$X$15,ROW(AH53)-ROW(AH$15),0),
ROUND(ROUND(OFFSET($P53,0,AH$13),15-13*ORÇAMENTO!$AF$7)*OFFSET(ORÇAMENTO!$W$15,ROW(AH53)-ROW(AH$15),0),15-13*ORÇAMENTO!$AF$11)),0)</f>
        <v>0</v>
      </c>
      <c r="AI53" s="627">
        <f ca="1">IF(AND($D53="Serviço",AI$12&lt;&gt;0,$H53&gt;0,OR(AUTOEVENTO&lt;&gt;"manual",$M53&lt;&gt;1)),
IF(Import.TipoArredondamento&lt;&gt;"TransfereGOV",
ROUND(OFFSET($P53,0,AI$13),15-13*ORÇAMENTO!$AF$7)/$H53*OFFSET(ORÇAMENTO!$X$15,ROW(AI53)-ROW(AI$15),0),
ROUND(ROUND(OFFSET($P53,0,AI$13),15-13*ORÇAMENTO!$AF$7)*OFFSET(ORÇAMENTO!$W$15,ROW(AI53)-ROW(AI$15),0),15-13*ORÇAMENTO!$AF$11)),0)</f>
        <v>0</v>
      </c>
      <c r="AJ53" s="627">
        <f ca="1">IF(AND($D53="Serviço",AJ$12&lt;&gt;0,$H53&gt;0,OR(AUTOEVENTO&lt;&gt;"manual",$M53&lt;&gt;1)),
IF(Import.TipoArredondamento&lt;&gt;"TransfereGOV",
ROUND(OFFSET($P53,0,AJ$13),15-13*ORÇAMENTO!$AF$7)/$H53*OFFSET(ORÇAMENTO!$X$15,ROW(AJ53)-ROW(AJ$15),0),
ROUND(ROUND(OFFSET($P53,0,AJ$13),15-13*ORÇAMENTO!$AF$7)*OFFSET(ORÇAMENTO!$W$15,ROW(AJ53)-ROW(AJ$15),0),15-13*ORÇAMENTO!$AF$11)),0)</f>
        <v>0</v>
      </c>
      <c r="AK53" s="628">
        <f ca="1">IF(AND($D53="Serviço",AK$12&lt;&gt;0,$H53&gt;0,OR(AUTOEVENTO&lt;&gt;"manual",$M53&lt;&gt;1)),
IF(Import.TipoArredondamento&lt;&gt;"TransfereGOV",
ROUND(OFFSET($P53,0,AK$13),15-13*ORÇAMENTO!$AF$7)/$H53*OFFSET(ORÇAMENTO!$X$15,ROW(AK53)-ROW(AK$15),0),
ROUND(ROUND(OFFSET($P53,0,AK$13),15-13*ORÇAMENTO!$AF$7)*OFFSET(ORÇAMENTO!$W$15,ROW(AK53)-ROW(AK$15),0),15-13*ORÇAMENTO!$AF$11)),0)</f>
        <v>0</v>
      </c>
      <c r="AM53" s="211">
        <f ca="1">IF($D53&lt;&gt;"Serviço",0,IF(AND(AUTOEVENTO="Manual",$M53=1),0,IF(OFFSET(CRONOPLE!$F$14,$M53,AM$13)="",10^12,OFFSET(CRONOPLE!$F$14,$M53,AM$13))))</f>
        <v>2</v>
      </c>
      <c r="AN53" s="211">
        <f ca="1">IF($D53&lt;&gt;"Serviço",0,IF(AND(AUTOEVENTO="Manual",$M53=1),0,IF(OFFSET(CRONOPLE!$F$14,$M53,AN$13)="",10^12,OFFSET(CRONOPLE!$F$14,$M53,AN$13))))</f>
        <v>1</v>
      </c>
      <c r="AO53" s="211">
        <f ca="1">IF($D53&lt;&gt;"Serviço",0,IF(AND(AUTOEVENTO="Manual",$M53=1),0,IF(OFFSET(CRONOPLE!$F$14,$M53,AO$13)="",10^12,OFFSET(CRONOPLE!$F$14,$M53,AO$13))))</f>
        <v>2</v>
      </c>
      <c r="AP53" s="211">
        <f ca="1">IF($D53&lt;&gt;"Serviço",0,IF(AND(AUTOEVENTO="Manual",$M53=1),0,IF(OFFSET(CRONOPLE!$F$14,$M53,AP$13)="",10^12,OFFSET(CRONOPLE!$F$14,$M53,AP$13))))</f>
        <v>2</v>
      </c>
      <c r="AQ53" s="211">
        <f ca="1">IF($D53&lt;&gt;"Serviço",0,IF(AND(AUTOEVENTO="Manual",$M53=1),0,IF(OFFSET(CRONOPLE!$F$14,$M53,AQ$13)="",10^12,OFFSET(CRONOPLE!$F$14,$M53,AQ$13))))</f>
        <v>1000000000000</v>
      </c>
      <c r="AR53" s="211">
        <f ca="1">IF($D53&lt;&gt;"Serviço",0,IF(AND(AUTOEVENTO="Manual",$M53=1),0,IF(OFFSET(CRONOPLE!$F$14,$M53,AR$13)="",10^12,OFFSET(CRONOPLE!$F$14,$M53,AR$13))))</f>
        <v>1000000000000</v>
      </c>
      <c r="AS53" s="211">
        <f ca="1">IF($D53&lt;&gt;"Serviço",0,IF(AND(AUTOEVENTO="Manual",$M53=1),0,IF(OFFSET(CRONOPLE!$F$14,$M53,AS$13)="",10^12,OFFSET(CRONOPLE!$F$14,$M53,AS$13))))</f>
        <v>1000000000000</v>
      </c>
      <c r="AT53" s="211">
        <f ca="1">IF($D53&lt;&gt;"Serviço",0,IF(AND(AUTOEVENTO="Manual",$M53=1),0,IF(OFFSET(CRONOPLE!$F$14,$M53,AT$13)="",10^12,OFFSET(CRONOPLE!$F$14,$M53,AT$13))))</f>
        <v>1000000000000</v>
      </c>
      <c r="AU53" s="211">
        <f ca="1">IF($D53&lt;&gt;"Serviço",0,IF(AND(AUTOEVENTO="Manual",$M53=1),0,IF(OFFSET(CRONOPLE!$F$14,$M53,AU$13)="",10^12,OFFSET(CRONOPLE!$F$14,$M53,AU$13))))</f>
        <v>1000000000000</v>
      </c>
      <c r="AV53" s="211">
        <f ca="1">IF($D53&lt;&gt;"Serviço",0,IF(AND(AUTOEVENTO="Manual",$M53=1),0,IF(OFFSET(CRONOPLE!$F$14,$M53,AV$13)="",10^12,OFFSET(CRONOPLE!$F$14,$M53,AV$13))))</f>
        <v>1000000000000</v>
      </c>
      <c r="AX53" s="212">
        <f ca="1">IF($D53&lt;&gt;"Serviço",0,IF(OR(AND(AUTOEVENTO="Manual",$M53=1),$M53&gt;(ROW(PLE.lastrow)-ROW(PLE.firstrow))),0,IF(OFFSET(PLE!$G$14,$M53,AX$13)="",10^12,OFFSET(PLE!$G$14,$M53,AX$13))))</f>
        <v>1000000000000</v>
      </c>
      <c r="AY53" s="212">
        <f ca="1">IF($D53&lt;&gt;"Serviço",0,IF(OR(AND(AUTOEVENTO="Manual",$M53=1),$M53&gt;(ROW(PLE.lastrow)-ROW(PLE.firstrow))),0,IF(OFFSET(PLE!$G$14,$M53,AY$13)="",10^12,OFFSET(PLE!$G$14,$M53,AY$13))))</f>
        <v>1000000000000</v>
      </c>
      <c r="AZ53" s="212">
        <f ca="1">IF($D53&lt;&gt;"Serviço",0,IF(OR(AND(AUTOEVENTO="Manual",$M53=1),$M53&gt;(ROW(PLE.lastrow)-ROW(PLE.firstrow))),0,IF(OFFSET(PLE!$G$14,$M53,AZ$13)="",10^12,OFFSET(PLE!$G$14,$M53,AZ$13))))</f>
        <v>1000000000000</v>
      </c>
      <c r="BA53" s="212">
        <f ca="1">IF($D53&lt;&gt;"Serviço",0,IF(OR(AND(AUTOEVENTO="Manual",$M53=1),$M53&gt;(ROW(PLE.lastrow)-ROW(PLE.firstrow))),0,IF(OFFSET(PLE!$G$14,$M53,BA$13)="",10^12,OFFSET(PLE!$G$14,$M53,BA$13))))</f>
        <v>1000000000000</v>
      </c>
      <c r="BB53" s="212">
        <f ca="1">IF($D53&lt;&gt;"Serviço",0,IF(OR(AND(AUTOEVENTO="Manual",$M53=1),$M53&gt;(ROW(PLE.lastrow)-ROW(PLE.firstrow))),0,IF(OFFSET(PLE!$G$14,$M53,BB$13)="",10^12,OFFSET(PLE!$G$14,$M53,BB$13))))</f>
        <v>1000000000000</v>
      </c>
      <c r="BC53" s="212">
        <f ca="1">IF($D53&lt;&gt;"Serviço",0,IF(OR(AND(AUTOEVENTO="Manual",$M53=1),$M53&gt;(ROW(PLE.lastrow)-ROW(PLE.firstrow))),0,IF(OFFSET(PLE!$G$14,$M53,BC$13)="",10^12,OFFSET(PLE!$G$14,$M53,BC$13))))</f>
        <v>1000000000000</v>
      </c>
      <c r="BD53" s="212">
        <f ca="1">IF($D53&lt;&gt;"Serviço",0,IF(OR(AND(AUTOEVENTO="Manual",$M53=1),$M53&gt;(ROW(PLE.lastrow)-ROW(PLE.firstrow))),0,IF(OFFSET(PLE!$G$14,$M53,BD$13)="",10^12,OFFSET(PLE!$G$14,$M53,BD$13))))</f>
        <v>1000000000000</v>
      </c>
      <c r="BE53" s="212">
        <f ca="1">IF($D53&lt;&gt;"Serviço",0,IF(OR(AND(AUTOEVENTO="Manual",$M53=1),$M53&gt;(ROW(PLE.lastrow)-ROW(PLE.firstrow))),0,IF(OFFSET(PLE!$G$14,$M53,BE$13)="",10^12,OFFSET(PLE!$G$14,$M53,BE$13))))</f>
        <v>1000000000000</v>
      </c>
      <c r="BF53" s="212">
        <f ca="1">IF($D53&lt;&gt;"Serviço",0,IF(OR(AND(AUTOEVENTO="Manual",$M53=1),$M53&gt;(ROW(PLE.lastrow)-ROW(PLE.firstrow))),0,IF(OFFSET(PLE!$G$14,$M53,BF$13)="",10^12,OFFSET(PLE!$G$14,$M53,BF$13))))</f>
        <v>1000000000000</v>
      </c>
      <c r="BG53" s="212">
        <f ca="1">IF($D53&lt;&gt;"Serviço",0,IF(OR(AND(AUTOEVENTO="Manual",$M53=1),$M53&gt;(ROW(PLE.lastrow)-ROW(PLE.firstrow))),0,IF(OFFSET(PLE!$G$14,$M53,BG$13)="",10^12,OFFSET(PLE!$G$14,$M53,BG$13))))</f>
        <v>1000000000000</v>
      </c>
    </row>
    <row r="54" spans="1:59" ht="13.2">
      <c r="A54" s="9" t="str">
        <f t="shared" ca="1" si="8"/>
        <v>15</v>
      </c>
      <c r="B54" s="9" t="str">
        <f ca="1">OFFSET(ORÇAMENTO!C$15,ROW(B54)-ROW(B$15),0)</f>
        <v>S</v>
      </c>
      <c r="C54" s="9" t="str">
        <f ca="1">OFFSET(ORÇAMENTO!L$15,ROW(C54)-ROW(C$15),0)</f>
        <v/>
      </c>
      <c r="D54" s="141" t="str">
        <f ca="1">OFFSET(ORÇAMENTO!N$15,ROW(D54)-ROW(D$15),0)</f>
        <v>Serviço</v>
      </c>
      <c r="E54" s="201" t="str">
        <f ca="1">OFFSET(ORÇAMENTO!O$15,ROW(E54)-ROW(E$15),0)</f>
        <v>-</v>
      </c>
      <c r="F54" s="202" t="str">
        <f ca="1">OFFSET(ORÇAMENTO!R$15,ROW(F54)-ROW(F$15),0)</f>
        <v>(abra o arquivo 'Referência 11-2024.xlsm)</v>
      </c>
      <c r="G54" s="203" t="str">
        <f ca="1">IF($D54&lt;&gt;"Serviço","",OFFSET(ORÇAMENTO!S$15,ROW(G54)-ROW(G$15),0))</f>
        <v>-</v>
      </c>
      <c r="H54" s="147">
        <f ca="1">IF($D54&lt;&gt;"Serviço",0,IF(ACOMPANHAMENTO="BM",ROUND(OFFSET(ORÇAMENTO!AJ$15,ROW(H54)-ROW(H$15),0),15-13*ORÇAMENTO!$AF$7),SUMPRODUCT(($Q$12:$AA$12&lt;&gt;"")*ROUND($Q54:$AA54,15-13*ORÇAMENTO!$AF$7))))</f>
        <v>0</v>
      </c>
      <c r="I54" s="645"/>
      <c r="K54" s="204"/>
      <c r="L54" s="205" t="s">
        <v>255</v>
      </c>
      <c r="M54" s="206">
        <f ca="1">IF($D54&lt;&gt;"Serviço","",IF(AUTOEVENTO="manual",$A54,IF(ISERROR(MATCH($A54,$A$15:OFFSET($A54,-1,0),0)),MAX($M$15:OFFSET(M54,-1,0))+1,INDEX($M$15:OFFSET(M54,-1,0),MATCH($A54,$A$15:OFFSET($A54,-1,0),0)))))</f>
        <v>6</v>
      </c>
      <c r="N54" s="207" t="str">
        <f ca="1">IF($D54&lt;&gt;"Serviço","",IF(AUTOEVENTO="Manual",IF($A54=0,"&lt;-- defina o número do agrupador",OFFSET(EVENTOS!$D$14,$A54,0)),OFFSET($F$15,$A54,0)))</f>
        <v>DRENAGEM</v>
      </c>
      <c r="O54" s="208"/>
      <c r="Q54" s="208"/>
      <c r="R54" s="209"/>
      <c r="S54" s="209"/>
      <c r="T54" s="209"/>
      <c r="U54" s="209"/>
      <c r="V54" s="209"/>
      <c r="W54" s="209"/>
      <c r="X54" s="209"/>
      <c r="Y54" s="209"/>
      <c r="Z54" s="210"/>
      <c r="AB54" s="626">
        <f ca="1">IF(AND($D54="Serviço",AB$12&lt;&gt;0,$H54&gt;0,OR(AUTOEVENTO&lt;&gt;"manual",$M54&lt;&gt;1)),
IF(Import.TipoArredondamento&lt;&gt;"TransfereGOV",
ROUND(OFFSET($P54,0,AB$13),15-13*ORÇAMENTO!$AF$7)/$H54*OFFSET(ORÇAMENTO!$X$15,ROW(AB54)-ROW(AB$15),0),
ROUND(ROUND(OFFSET($P54,0,AB$13),15-13*ORÇAMENTO!$AF$7)*OFFSET(ORÇAMENTO!$W$15,ROW(AB54)-ROW(AB$15),0),15-13*ORÇAMENTO!$AF$11)),0)</f>
        <v>0</v>
      </c>
      <c r="AC54" s="627">
        <f ca="1">IF(AND($D54="Serviço",AC$12&lt;&gt;0,$H54&gt;0,OR(AUTOEVENTO&lt;&gt;"manual",$M54&lt;&gt;1)),
IF(Import.TipoArredondamento&lt;&gt;"TransfereGOV",
ROUND(OFFSET($P54,0,AC$13),15-13*ORÇAMENTO!$AF$7)/$H54*OFFSET(ORÇAMENTO!$X$15,ROW(AC54)-ROW(AC$15),0),
ROUND(ROUND(OFFSET($P54,0,AC$13),15-13*ORÇAMENTO!$AF$7)*OFFSET(ORÇAMENTO!$W$15,ROW(AC54)-ROW(AC$15),0),15-13*ORÇAMENTO!$AF$11)),0)</f>
        <v>0</v>
      </c>
      <c r="AD54" s="627">
        <f ca="1">IF(AND($D54="Serviço",AD$12&lt;&gt;0,$H54&gt;0,OR(AUTOEVENTO&lt;&gt;"manual",$M54&lt;&gt;1)),
IF(Import.TipoArredondamento&lt;&gt;"TransfereGOV",
ROUND(OFFSET($P54,0,AD$13),15-13*ORÇAMENTO!$AF$7)/$H54*OFFSET(ORÇAMENTO!$X$15,ROW(AD54)-ROW(AD$15),0),
ROUND(ROUND(OFFSET($P54,0,AD$13),15-13*ORÇAMENTO!$AF$7)*OFFSET(ORÇAMENTO!$W$15,ROW(AD54)-ROW(AD$15),0),15-13*ORÇAMENTO!$AF$11)),0)</f>
        <v>0</v>
      </c>
      <c r="AE54" s="627">
        <f ca="1">IF(AND($D54="Serviço",AE$12&lt;&gt;0,$H54&gt;0,OR(AUTOEVENTO&lt;&gt;"manual",$M54&lt;&gt;1)),
IF(Import.TipoArredondamento&lt;&gt;"TransfereGOV",
ROUND(OFFSET($P54,0,AE$13),15-13*ORÇAMENTO!$AF$7)/$H54*OFFSET(ORÇAMENTO!$X$15,ROW(AE54)-ROW(AE$15),0),
ROUND(ROUND(OFFSET($P54,0,AE$13),15-13*ORÇAMENTO!$AF$7)*OFFSET(ORÇAMENTO!$W$15,ROW(AE54)-ROW(AE$15),0),15-13*ORÇAMENTO!$AF$11)),0)</f>
        <v>0</v>
      </c>
      <c r="AF54" s="627">
        <f ca="1">IF(AND($D54="Serviço",AF$12&lt;&gt;0,$H54&gt;0,OR(AUTOEVENTO&lt;&gt;"manual",$M54&lt;&gt;1)),
IF(Import.TipoArredondamento&lt;&gt;"TransfereGOV",
ROUND(OFFSET($P54,0,AF$13),15-13*ORÇAMENTO!$AF$7)/$H54*OFFSET(ORÇAMENTO!$X$15,ROW(AF54)-ROW(AF$15),0),
ROUND(ROUND(OFFSET($P54,0,AF$13),15-13*ORÇAMENTO!$AF$7)*OFFSET(ORÇAMENTO!$W$15,ROW(AF54)-ROW(AF$15),0),15-13*ORÇAMENTO!$AF$11)),0)</f>
        <v>0</v>
      </c>
      <c r="AG54" s="627">
        <f ca="1">IF(AND($D54="Serviço",AG$12&lt;&gt;0,$H54&gt;0,OR(AUTOEVENTO&lt;&gt;"manual",$M54&lt;&gt;1)),
IF(Import.TipoArredondamento&lt;&gt;"TransfereGOV",
ROUND(OFFSET($P54,0,AG$13),15-13*ORÇAMENTO!$AF$7)/$H54*OFFSET(ORÇAMENTO!$X$15,ROW(AG54)-ROW(AG$15),0),
ROUND(ROUND(OFFSET($P54,0,AG$13),15-13*ORÇAMENTO!$AF$7)*OFFSET(ORÇAMENTO!$W$15,ROW(AG54)-ROW(AG$15),0),15-13*ORÇAMENTO!$AF$11)),0)</f>
        <v>0</v>
      </c>
      <c r="AH54" s="627">
        <f ca="1">IF(AND($D54="Serviço",AH$12&lt;&gt;0,$H54&gt;0,OR(AUTOEVENTO&lt;&gt;"manual",$M54&lt;&gt;1)),
IF(Import.TipoArredondamento&lt;&gt;"TransfereGOV",
ROUND(OFFSET($P54,0,AH$13),15-13*ORÇAMENTO!$AF$7)/$H54*OFFSET(ORÇAMENTO!$X$15,ROW(AH54)-ROW(AH$15),0),
ROUND(ROUND(OFFSET($P54,0,AH$13),15-13*ORÇAMENTO!$AF$7)*OFFSET(ORÇAMENTO!$W$15,ROW(AH54)-ROW(AH$15),0),15-13*ORÇAMENTO!$AF$11)),0)</f>
        <v>0</v>
      </c>
      <c r="AI54" s="627">
        <f ca="1">IF(AND($D54="Serviço",AI$12&lt;&gt;0,$H54&gt;0,OR(AUTOEVENTO&lt;&gt;"manual",$M54&lt;&gt;1)),
IF(Import.TipoArredondamento&lt;&gt;"TransfereGOV",
ROUND(OFFSET($P54,0,AI$13),15-13*ORÇAMENTO!$AF$7)/$H54*OFFSET(ORÇAMENTO!$X$15,ROW(AI54)-ROW(AI$15),0),
ROUND(ROUND(OFFSET($P54,0,AI$13),15-13*ORÇAMENTO!$AF$7)*OFFSET(ORÇAMENTO!$W$15,ROW(AI54)-ROW(AI$15),0),15-13*ORÇAMENTO!$AF$11)),0)</f>
        <v>0</v>
      </c>
      <c r="AJ54" s="627">
        <f ca="1">IF(AND($D54="Serviço",AJ$12&lt;&gt;0,$H54&gt;0,OR(AUTOEVENTO&lt;&gt;"manual",$M54&lt;&gt;1)),
IF(Import.TipoArredondamento&lt;&gt;"TransfereGOV",
ROUND(OFFSET($P54,0,AJ$13),15-13*ORÇAMENTO!$AF$7)/$H54*OFFSET(ORÇAMENTO!$X$15,ROW(AJ54)-ROW(AJ$15),0),
ROUND(ROUND(OFFSET($P54,0,AJ$13),15-13*ORÇAMENTO!$AF$7)*OFFSET(ORÇAMENTO!$W$15,ROW(AJ54)-ROW(AJ$15),0),15-13*ORÇAMENTO!$AF$11)),0)</f>
        <v>0</v>
      </c>
      <c r="AK54" s="628">
        <f ca="1">IF(AND($D54="Serviço",AK$12&lt;&gt;0,$H54&gt;0,OR(AUTOEVENTO&lt;&gt;"manual",$M54&lt;&gt;1)),
IF(Import.TipoArredondamento&lt;&gt;"TransfereGOV",
ROUND(OFFSET($P54,0,AK$13),15-13*ORÇAMENTO!$AF$7)/$H54*OFFSET(ORÇAMENTO!$X$15,ROW(AK54)-ROW(AK$15),0),
ROUND(ROUND(OFFSET($P54,0,AK$13),15-13*ORÇAMENTO!$AF$7)*OFFSET(ORÇAMENTO!$W$15,ROW(AK54)-ROW(AK$15),0),15-13*ORÇAMENTO!$AF$11)),0)</f>
        <v>0</v>
      </c>
      <c r="AM54" s="211">
        <f ca="1">IF($D54&lt;&gt;"Serviço",0,IF(AND(AUTOEVENTO="Manual",$M54=1),0,IF(OFFSET(CRONOPLE!$F$14,$M54,AM$13)="",10^12,OFFSET(CRONOPLE!$F$14,$M54,AM$13))))</f>
        <v>2</v>
      </c>
      <c r="AN54" s="211">
        <f ca="1">IF($D54&lt;&gt;"Serviço",0,IF(AND(AUTOEVENTO="Manual",$M54=1),0,IF(OFFSET(CRONOPLE!$F$14,$M54,AN$13)="",10^12,OFFSET(CRONOPLE!$F$14,$M54,AN$13))))</f>
        <v>1</v>
      </c>
      <c r="AO54" s="211">
        <f ca="1">IF($D54&lt;&gt;"Serviço",0,IF(AND(AUTOEVENTO="Manual",$M54=1),0,IF(OFFSET(CRONOPLE!$F$14,$M54,AO$13)="",10^12,OFFSET(CRONOPLE!$F$14,$M54,AO$13))))</f>
        <v>2</v>
      </c>
      <c r="AP54" s="211">
        <f ca="1">IF($D54&lt;&gt;"Serviço",0,IF(AND(AUTOEVENTO="Manual",$M54=1),0,IF(OFFSET(CRONOPLE!$F$14,$M54,AP$13)="",10^12,OFFSET(CRONOPLE!$F$14,$M54,AP$13))))</f>
        <v>2</v>
      </c>
      <c r="AQ54" s="211">
        <f ca="1">IF($D54&lt;&gt;"Serviço",0,IF(AND(AUTOEVENTO="Manual",$M54=1),0,IF(OFFSET(CRONOPLE!$F$14,$M54,AQ$13)="",10^12,OFFSET(CRONOPLE!$F$14,$M54,AQ$13))))</f>
        <v>1000000000000</v>
      </c>
      <c r="AR54" s="211">
        <f ca="1">IF($D54&lt;&gt;"Serviço",0,IF(AND(AUTOEVENTO="Manual",$M54=1),0,IF(OFFSET(CRONOPLE!$F$14,$M54,AR$13)="",10^12,OFFSET(CRONOPLE!$F$14,$M54,AR$13))))</f>
        <v>1000000000000</v>
      </c>
      <c r="AS54" s="211">
        <f ca="1">IF($D54&lt;&gt;"Serviço",0,IF(AND(AUTOEVENTO="Manual",$M54=1),0,IF(OFFSET(CRONOPLE!$F$14,$M54,AS$13)="",10^12,OFFSET(CRONOPLE!$F$14,$M54,AS$13))))</f>
        <v>1000000000000</v>
      </c>
      <c r="AT54" s="211">
        <f ca="1">IF($D54&lt;&gt;"Serviço",0,IF(AND(AUTOEVENTO="Manual",$M54=1),0,IF(OFFSET(CRONOPLE!$F$14,$M54,AT$13)="",10^12,OFFSET(CRONOPLE!$F$14,$M54,AT$13))))</f>
        <v>1000000000000</v>
      </c>
      <c r="AU54" s="211">
        <f ca="1">IF($D54&lt;&gt;"Serviço",0,IF(AND(AUTOEVENTO="Manual",$M54=1),0,IF(OFFSET(CRONOPLE!$F$14,$M54,AU$13)="",10^12,OFFSET(CRONOPLE!$F$14,$M54,AU$13))))</f>
        <v>1000000000000</v>
      </c>
      <c r="AV54" s="211">
        <f ca="1">IF($D54&lt;&gt;"Serviço",0,IF(AND(AUTOEVENTO="Manual",$M54=1),0,IF(OFFSET(CRONOPLE!$F$14,$M54,AV$13)="",10^12,OFFSET(CRONOPLE!$F$14,$M54,AV$13))))</f>
        <v>1000000000000</v>
      </c>
      <c r="AX54" s="212">
        <f ca="1">IF($D54&lt;&gt;"Serviço",0,IF(OR(AND(AUTOEVENTO="Manual",$M54=1),$M54&gt;(ROW(PLE.lastrow)-ROW(PLE.firstrow))),0,IF(OFFSET(PLE!$G$14,$M54,AX$13)="",10^12,OFFSET(PLE!$G$14,$M54,AX$13))))</f>
        <v>1000000000000</v>
      </c>
      <c r="AY54" s="212">
        <f ca="1">IF($D54&lt;&gt;"Serviço",0,IF(OR(AND(AUTOEVENTO="Manual",$M54=1),$M54&gt;(ROW(PLE.lastrow)-ROW(PLE.firstrow))),0,IF(OFFSET(PLE!$G$14,$M54,AY$13)="",10^12,OFFSET(PLE!$G$14,$M54,AY$13))))</f>
        <v>1000000000000</v>
      </c>
      <c r="AZ54" s="212">
        <f ca="1">IF($D54&lt;&gt;"Serviço",0,IF(OR(AND(AUTOEVENTO="Manual",$M54=1),$M54&gt;(ROW(PLE.lastrow)-ROW(PLE.firstrow))),0,IF(OFFSET(PLE!$G$14,$M54,AZ$13)="",10^12,OFFSET(PLE!$G$14,$M54,AZ$13))))</f>
        <v>1000000000000</v>
      </c>
      <c r="BA54" s="212">
        <f ca="1">IF($D54&lt;&gt;"Serviço",0,IF(OR(AND(AUTOEVENTO="Manual",$M54=1),$M54&gt;(ROW(PLE.lastrow)-ROW(PLE.firstrow))),0,IF(OFFSET(PLE!$G$14,$M54,BA$13)="",10^12,OFFSET(PLE!$G$14,$M54,BA$13))))</f>
        <v>1000000000000</v>
      </c>
      <c r="BB54" s="212">
        <f ca="1">IF($D54&lt;&gt;"Serviço",0,IF(OR(AND(AUTOEVENTO="Manual",$M54=1),$M54&gt;(ROW(PLE.lastrow)-ROW(PLE.firstrow))),0,IF(OFFSET(PLE!$G$14,$M54,BB$13)="",10^12,OFFSET(PLE!$G$14,$M54,BB$13))))</f>
        <v>1000000000000</v>
      </c>
      <c r="BC54" s="212">
        <f ca="1">IF($D54&lt;&gt;"Serviço",0,IF(OR(AND(AUTOEVENTO="Manual",$M54=1),$M54&gt;(ROW(PLE.lastrow)-ROW(PLE.firstrow))),0,IF(OFFSET(PLE!$G$14,$M54,BC$13)="",10^12,OFFSET(PLE!$G$14,$M54,BC$13))))</f>
        <v>1000000000000</v>
      </c>
      <c r="BD54" s="212">
        <f ca="1">IF($D54&lt;&gt;"Serviço",0,IF(OR(AND(AUTOEVENTO="Manual",$M54=1),$M54&gt;(ROW(PLE.lastrow)-ROW(PLE.firstrow))),0,IF(OFFSET(PLE!$G$14,$M54,BD$13)="",10^12,OFFSET(PLE!$G$14,$M54,BD$13))))</f>
        <v>1000000000000</v>
      </c>
      <c r="BE54" s="212">
        <f ca="1">IF($D54&lt;&gt;"Serviço",0,IF(OR(AND(AUTOEVENTO="Manual",$M54=1),$M54&gt;(ROW(PLE.lastrow)-ROW(PLE.firstrow))),0,IF(OFFSET(PLE!$G$14,$M54,BE$13)="",10^12,OFFSET(PLE!$G$14,$M54,BE$13))))</f>
        <v>1000000000000</v>
      </c>
      <c r="BF54" s="212">
        <f ca="1">IF($D54&lt;&gt;"Serviço",0,IF(OR(AND(AUTOEVENTO="Manual",$M54=1),$M54&gt;(ROW(PLE.lastrow)-ROW(PLE.firstrow))),0,IF(OFFSET(PLE!$G$14,$M54,BF$13)="",10^12,OFFSET(PLE!$G$14,$M54,BF$13))))</f>
        <v>1000000000000</v>
      </c>
      <c r="BG54" s="212">
        <f ca="1">IF($D54&lt;&gt;"Serviço",0,IF(OR(AND(AUTOEVENTO="Manual",$M54=1),$M54&gt;(ROW(PLE.lastrow)-ROW(PLE.firstrow))),0,IF(OFFSET(PLE!$G$14,$M54,BG$13)="",10^12,OFFSET(PLE!$G$14,$M54,BG$13))))</f>
        <v>1000000000000</v>
      </c>
    </row>
    <row r="55" spans="1:59" ht="13.2">
      <c r="A55" s="9" t="str">
        <f t="shared" ca="1" si="8"/>
        <v>15</v>
      </c>
      <c r="B55" s="9" t="str">
        <f ca="1">OFFSET(ORÇAMENTO!C$15,ROW(B55)-ROW(B$15),0)</f>
        <v>S</v>
      </c>
      <c r="C55" s="9" t="str">
        <f ca="1">OFFSET(ORÇAMENTO!L$15,ROW(C55)-ROW(C$15),0)</f>
        <v/>
      </c>
      <c r="D55" s="141" t="str">
        <f ca="1">OFFSET(ORÇAMENTO!N$15,ROW(D55)-ROW(D$15),0)</f>
        <v>Serviço</v>
      </c>
      <c r="E55" s="201" t="str">
        <f ca="1">OFFSET(ORÇAMENTO!O$15,ROW(E55)-ROW(E$15),0)</f>
        <v>-</v>
      </c>
      <c r="F55" s="202" t="str">
        <f ca="1">OFFSET(ORÇAMENTO!R$15,ROW(F55)-ROW(F$15),0)</f>
        <v>(abra o arquivo 'Referência 11-2024.xlsm)</v>
      </c>
      <c r="G55" s="203" t="str">
        <f ca="1">IF($D55&lt;&gt;"Serviço","",OFFSET(ORÇAMENTO!S$15,ROW(G55)-ROW(G$15),0))</f>
        <v>-</v>
      </c>
      <c r="H55" s="147">
        <f ca="1">IF($D55&lt;&gt;"Serviço",0,IF(ACOMPANHAMENTO="BM",ROUND(OFFSET(ORÇAMENTO!AJ$15,ROW(H55)-ROW(H$15),0),15-13*ORÇAMENTO!$AF$7),SUMPRODUCT(($Q$12:$AA$12&lt;&gt;"")*ROUND($Q55:$AA55,15-13*ORÇAMENTO!$AF$7))))</f>
        <v>0</v>
      </c>
      <c r="I55" s="645"/>
      <c r="K55" s="204"/>
      <c r="L55" s="205" t="s">
        <v>255</v>
      </c>
      <c r="M55" s="206">
        <f ca="1">IF($D55&lt;&gt;"Serviço","",IF(AUTOEVENTO="manual",$A55,IF(ISERROR(MATCH($A55,$A$15:OFFSET($A55,-1,0),0)),MAX($M$15:OFFSET(M55,-1,0))+1,INDEX($M$15:OFFSET(M55,-1,0),MATCH($A55,$A$15:OFFSET($A55,-1,0),0)))))</f>
        <v>6</v>
      </c>
      <c r="N55" s="207" t="str">
        <f ca="1">IF($D55&lt;&gt;"Serviço","",IF(AUTOEVENTO="Manual",IF($A55=0,"&lt;-- defina o número do agrupador",OFFSET(EVENTOS!$D$14,$A55,0)),OFFSET($F$15,$A55,0)))</f>
        <v>DRENAGEM</v>
      </c>
      <c r="O55" s="208"/>
      <c r="Q55" s="208"/>
      <c r="R55" s="209"/>
      <c r="S55" s="209"/>
      <c r="T55" s="209"/>
      <c r="U55" s="209"/>
      <c r="V55" s="209"/>
      <c r="W55" s="209"/>
      <c r="X55" s="209"/>
      <c r="Y55" s="209"/>
      <c r="Z55" s="210"/>
      <c r="AB55" s="626">
        <f ca="1">IF(AND($D55="Serviço",AB$12&lt;&gt;0,$H55&gt;0,OR(AUTOEVENTO&lt;&gt;"manual",$M55&lt;&gt;1)),
IF(Import.TipoArredondamento&lt;&gt;"TransfereGOV",
ROUND(OFFSET($P55,0,AB$13),15-13*ORÇAMENTO!$AF$7)/$H55*OFFSET(ORÇAMENTO!$X$15,ROW(AB55)-ROW(AB$15),0),
ROUND(ROUND(OFFSET($P55,0,AB$13),15-13*ORÇAMENTO!$AF$7)*OFFSET(ORÇAMENTO!$W$15,ROW(AB55)-ROW(AB$15),0),15-13*ORÇAMENTO!$AF$11)),0)</f>
        <v>0</v>
      </c>
      <c r="AC55" s="627">
        <f ca="1">IF(AND($D55="Serviço",AC$12&lt;&gt;0,$H55&gt;0,OR(AUTOEVENTO&lt;&gt;"manual",$M55&lt;&gt;1)),
IF(Import.TipoArredondamento&lt;&gt;"TransfereGOV",
ROUND(OFFSET($P55,0,AC$13),15-13*ORÇAMENTO!$AF$7)/$H55*OFFSET(ORÇAMENTO!$X$15,ROW(AC55)-ROW(AC$15),0),
ROUND(ROUND(OFFSET($P55,0,AC$13),15-13*ORÇAMENTO!$AF$7)*OFFSET(ORÇAMENTO!$W$15,ROW(AC55)-ROW(AC$15),0),15-13*ORÇAMENTO!$AF$11)),0)</f>
        <v>0</v>
      </c>
      <c r="AD55" s="627">
        <f ca="1">IF(AND($D55="Serviço",AD$12&lt;&gt;0,$H55&gt;0,OR(AUTOEVENTO&lt;&gt;"manual",$M55&lt;&gt;1)),
IF(Import.TipoArredondamento&lt;&gt;"TransfereGOV",
ROUND(OFFSET($P55,0,AD$13),15-13*ORÇAMENTO!$AF$7)/$H55*OFFSET(ORÇAMENTO!$X$15,ROW(AD55)-ROW(AD$15),0),
ROUND(ROUND(OFFSET($P55,0,AD$13),15-13*ORÇAMENTO!$AF$7)*OFFSET(ORÇAMENTO!$W$15,ROW(AD55)-ROW(AD$15),0),15-13*ORÇAMENTO!$AF$11)),0)</f>
        <v>0</v>
      </c>
      <c r="AE55" s="627">
        <f ca="1">IF(AND($D55="Serviço",AE$12&lt;&gt;0,$H55&gt;0,OR(AUTOEVENTO&lt;&gt;"manual",$M55&lt;&gt;1)),
IF(Import.TipoArredondamento&lt;&gt;"TransfereGOV",
ROUND(OFFSET($P55,0,AE$13),15-13*ORÇAMENTO!$AF$7)/$H55*OFFSET(ORÇAMENTO!$X$15,ROW(AE55)-ROW(AE$15),0),
ROUND(ROUND(OFFSET($P55,0,AE$13),15-13*ORÇAMENTO!$AF$7)*OFFSET(ORÇAMENTO!$W$15,ROW(AE55)-ROW(AE$15),0),15-13*ORÇAMENTO!$AF$11)),0)</f>
        <v>0</v>
      </c>
      <c r="AF55" s="627">
        <f ca="1">IF(AND($D55="Serviço",AF$12&lt;&gt;0,$H55&gt;0,OR(AUTOEVENTO&lt;&gt;"manual",$M55&lt;&gt;1)),
IF(Import.TipoArredondamento&lt;&gt;"TransfereGOV",
ROUND(OFFSET($P55,0,AF$13),15-13*ORÇAMENTO!$AF$7)/$H55*OFFSET(ORÇAMENTO!$X$15,ROW(AF55)-ROW(AF$15),0),
ROUND(ROUND(OFFSET($P55,0,AF$13),15-13*ORÇAMENTO!$AF$7)*OFFSET(ORÇAMENTO!$W$15,ROW(AF55)-ROW(AF$15),0),15-13*ORÇAMENTO!$AF$11)),0)</f>
        <v>0</v>
      </c>
      <c r="AG55" s="627">
        <f ca="1">IF(AND($D55="Serviço",AG$12&lt;&gt;0,$H55&gt;0,OR(AUTOEVENTO&lt;&gt;"manual",$M55&lt;&gt;1)),
IF(Import.TipoArredondamento&lt;&gt;"TransfereGOV",
ROUND(OFFSET($P55,0,AG$13),15-13*ORÇAMENTO!$AF$7)/$H55*OFFSET(ORÇAMENTO!$X$15,ROW(AG55)-ROW(AG$15),0),
ROUND(ROUND(OFFSET($P55,0,AG$13),15-13*ORÇAMENTO!$AF$7)*OFFSET(ORÇAMENTO!$W$15,ROW(AG55)-ROW(AG$15),0),15-13*ORÇAMENTO!$AF$11)),0)</f>
        <v>0</v>
      </c>
      <c r="AH55" s="627">
        <f ca="1">IF(AND($D55="Serviço",AH$12&lt;&gt;0,$H55&gt;0,OR(AUTOEVENTO&lt;&gt;"manual",$M55&lt;&gt;1)),
IF(Import.TipoArredondamento&lt;&gt;"TransfereGOV",
ROUND(OFFSET($P55,0,AH$13),15-13*ORÇAMENTO!$AF$7)/$H55*OFFSET(ORÇAMENTO!$X$15,ROW(AH55)-ROW(AH$15),0),
ROUND(ROUND(OFFSET($P55,0,AH$13),15-13*ORÇAMENTO!$AF$7)*OFFSET(ORÇAMENTO!$W$15,ROW(AH55)-ROW(AH$15),0),15-13*ORÇAMENTO!$AF$11)),0)</f>
        <v>0</v>
      </c>
      <c r="AI55" s="627">
        <f ca="1">IF(AND($D55="Serviço",AI$12&lt;&gt;0,$H55&gt;0,OR(AUTOEVENTO&lt;&gt;"manual",$M55&lt;&gt;1)),
IF(Import.TipoArredondamento&lt;&gt;"TransfereGOV",
ROUND(OFFSET($P55,0,AI$13),15-13*ORÇAMENTO!$AF$7)/$H55*OFFSET(ORÇAMENTO!$X$15,ROW(AI55)-ROW(AI$15),0),
ROUND(ROUND(OFFSET($P55,0,AI$13),15-13*ORÇAMENTO!$AF$7)*OFFSET(ORÇAMENTO!$W$15,ROW(AI55)-ROW(AI$15),0),15-13*ORÇAMENTO!$AF$11)),0)</f>
        <v>0</v>
      </c>
      <c r="AJ55" s="627">
        <f ca="1">IF(AND($D55="Serviço",AJ$12&lt;&gt;0,$H55&gt;0,OR(AUTOEVENTO&lt;&gt;"manual",$M55&lt;&gt;1)),
IF(Import.TipoArredondamento&lt;&gt;"TransfereGOV",
ROUND(OFFSET($P55,0,AJ$13),15-13*ORÇAMENTO!$AF$7)/$H55*OFFSET(ORÇAMENTO!$X$15,ROW(AJ55)-ROW(AJ$15),0),
ROUND(ROUND(OFFSET($P55,0,AJ$13),15-13*ORÇAMENTO!$AF$7)*OFFSET(ORÇAMENTO!$W$15,ROW(AJ55)-ROW(AJ$15),0),15-13*ORÇAMENTO!$AF$11)),0)</f>
        <v>0</v>
      </c>
      <c r="AK55" s="628">
        <f ca="1">IF(AND($D55="Serviço",AK$12&lt;&gt;0,$H55&gt;0,OR(AUTOEVENTO&lt;&gt;"manual",$M55&lt;&gt;1)),
IF(Import.TipoArredondamento&lt;&gt;"TransfereGOV",
ROUND(OFFSET($P55,0,AK$13),15-13*ORÇAMENTO!$AF$7)/$H55*OFFSET(ORÇAMENTO!$X$15,ROW(AK55)-ROW(AK$15),0),
ROUND(ROUND(OFFSET($P55,0,AK$13),15-13*ORÇAMENTO!$AF$7)*OFFSET(ORÇAMENTO!$W$15,ROW(AK55)-ROW(AK$15),0),15-13*ORÇAMENTO!$AF$11)),0)</f>
        <v>0</v>
      </c>
      <c r="AM55" s="211">
        <f ca="1">IF($D55&lt;&gt;"Serviço",0,IF(AND(AUTOEVENTO="Manual",$M55=1),0,IF(OFFSET(CRONOPLE!$F$14,$M55,AM$13)="",10^12,OFFSET(CRONOPLE!$F$14,$M55,AM$13))))</f>
        <v>2</v>
      </c>
      <c r="AN55" s="211">
        <f ca="1">IF($D55&lt;&gt;"Serviço",0,IF(AND(AUTOEVENTO="Manual",$M55=1),0,IF(OFFSET(CRONOPLE!$F$14,$M55,AN$13)="",10^12,OFFSET(CRONOPLE!$F$14,$M55,AN$13))))</f>
        <v>1</v>
      </c>
      <c r="AO55" s="211">
        <f ca="1">IF($D55&lt;&gt;"Serviço",0,IF(AND(AUTOEVENTO="Manual",$M55=1),0,IF(OFFSET(CRONOPLE!$F$14,$M55,AO$13)="",10^12,OFFSET(CRONOPLE!$F$14,$M55,AO$13))))</f>
        <v>2</v>
      </c>
      <c r="AP55" s="211">
        <f ca="1">IF($D55&lt;&gt;"Serviço",0,IF(AND(AUTOEVENTO="Manual",$M55=1),0,IF(OFFSET(CRONOPLE!$F$14,$M55,AP$13)="",10^12,OFFSET(CRONOPLE!$F$14,$M55,AP$13))))</f>
        <v>2</v>
      </c>
      <c r="AQ55" s="211">
        <f ca="1">IF($D55&lt;&gt;"Serviço",0,IF(AND(AUTOEVENTO="Manual",$M55=1),0,IF(OFFSET(CRONOPLE!$F$14,$M55,AQ$13)="",10^12,OFFSET(CRONOPLE!$F$14,$M55,AQ$13))))</f>
        <v>1000000000000</v>
      </c>
      <c r="AR55" s="211">
        <f ca="1">IF($D55&lt;&gt;"Serviço",0,IF(AND(AUTOEVENTO="Manual",$M55=1),0,IF(OFFSET(CRONOPLE!$F$14,$M55,AR$13)="",10^12,OFFSET(CRONOPLE!$F$14,$M55,AR$13))))</f>
        <v>1000000000000</v>
      </c>
      <c r="AS55" s="211">
        <f ca="1">IF($D55&lt;&gt;"Serviço",0,IF(AND(AUTOEVENTO="Manual",$M55=1),0,IF(OFFSET(CRONOPLE!$F$14,$M55,AS$13)="",10^12,OFFSET(CRONOPLE!$F$14,$M55,AS$13))))</f>
        <v>1000000000000</v>
      </c>
      <c r="AT55" s="211">
        <f ca="1">IF($D55&lt;&gt;"Serviço",0,IF(AND(AUTOEVENTO="Manual",$M55=1),0,IF(OFFSET(CRONOPLE!$F$14,$M55,AT$13)="",10^12,OFFSET(CRONOPLE!$F$14,$M55,AT$13))))</f>
        <v>1000000000000</v>
      </c>
      <c r="AU55" s="211">
        <f ca="1">IF($D55&lt;&gt;"Serviço",0,IF(AND(AUTOEVENTO="Manual",$M55=1),0,IF(OFFSET(CRONOPLE!$F$14,$M55,AU$13)="",10^12,OFFSET(CRONOPLE!$F$14,$M55,AU$13))))</f>
        <v>1000000000000</v>
      </c>
      <c r="AV55" s="211">
        <f ca="1">IF($D55&lt;&gt;"Serviço",0,IF(AND(AUTOEVENTO="Manual",$M55=1),0,IF(OFFSET(CRONOPLE!$F$14,$M55,AV$13)="",10^12,OFFSET(CRONOPLE!$F$14,$M55,AV$13))))</f>
        <v>1000000000000</v>
      </c>
      <c r="AX55" s="212">
        <f ca="1">IF($D55&lt;&gt;"Serviço",0,IF(OR(AND(AUTOEVENTO="Manual",$M55=1),$M55&gt;(ROW(PLE.lastrow)-ROW(PLE.firstrow))),0,IF(OFFSET(PLE!$G$14,$M55,AX$13)="",10^12,OFFSET(PLE!$G$14,$M55,AX$13))))</f>
        <v>1000000000000</v>
      </c>
      <c r="AY55" s="212">
        <f ca="1">IF($D55&lt;&gt;"Serviço",0,IF(OR(AND(AUTOEVENTO="Manual",$M55=1),$M55&gt;(ROW(PLE.lastrow)-ROW(PLE.firstrow))),0,IF(OFFSET(PLE!$G$14,$M55,AY$13)="",10^12,OFFSET(PLE!$G$14,$M55,AY$13))))</f>
        <v>1000000000000</v>
      </c>
      <c r="AZ55" s="212">
        <f ca="1">IF($D55&lt;&gt;"Serviço",0,IF(OR(AND(AUTOEVENTO="Manual",$M55=1),$M55&gt;(ROW(PLE.lastrow)-ROW(PLE.firstrow))),0,IF(OFFSET(PLE!$G$14,$M55,AZ$13)="",10^12,OFFSET(PLE!$G$14,$M55,AZ$13))))</f>
        <v>1000000000000</v>
      </c>
      <c r="BA55" s="212">
        <f ca="1">IF($D55&lt;&gt;"Serviço",0,IF(OR(AND(AUTOEVENTO="Manual",$M55=1),$M55&gt;(ROW(PLE.lastrow)-ROW(PLE.firstrow))),0,IF(OFFSET(PLE!$G$14,$M55,BA$13)="",10^12,OFFSET(PLE!$G$14,$M55,BA$13))))</f>
        <v>1000000000000</v>
      </c>
      <c r="BB55" s="212">
        <f ca="1">IF($D55&lt;&gt;"Serviço",0,IF(OR(AND(AUTOEVENTO="Manual",$M55=1),$M55&gt;(ROW(PLE.lastrow)-ROW(PLE.firstrow))),0,IF(OFFSET(PLE!$G$14,$M55,BB$13)="",10^12,OFFSET(PLE!$G$14,$M55,BB$13))))</f>
        <v>1000000000000</v>
      </c>
      <c r="BC55" s="212">
        <f ca="1">IF($D55&lt;&gt;"Serviço",0,IF(OR(AND(AUTOEVENTO="Manual",$M55=1),$M55&gt;(ROW(PLE.lastrow)-ROW(PLE.firstrow))),0,IF(OFFSET(PLE!$G$14,$M55,BC$13)="",10^12,OFFSET(PLE!$G$14,$M55,BC$13))))</f>
        <v>1000000000000</v>
      </c>
      <c r="BD55" s="212">
        <f ca="1">IF($D55&lt;&gt;"Serviço",0,IF(OR(AND(AUTOEVENTO="Manual",$M55=1),$M55&gt;(ROW(PLE.lastrow)-ROW(PLE.firstrow))),0,IF(OFFSET(PLE!$G$14,$M55,BD$13)="",10^12,OFFSET(PLE!$G$14,$M55,BD$13))))</f>
        <v>1000000000000</v>
      </c>
      <c r="BE55" s="212">
        <f ca="1">IF($D55&lt;&gt;"Serviço",0,IF(OR(AND(AUTOEVENTO="Manual",$M55=1),$M55&gt;(ROW(PLE.lastrow)-ROW(PLE.firstrow))),0,IF(OFFSET(PLE!$G$14,$M55,BE$13)="",10^12,OFFSET(PLE!$G$14,$M55,BE$13))))</f>
        <v>1000000000000</v>
      </c>
      <c r="BF55" s="212">
        <f ca="1">IF($D55&lt;&gt;"Serviço",0,IF(OR(AND(AUTOEVENTO="Manual",$M55=1),$M55&gt;(ROW(PLE.lastrow)-ROW(PLE.firstrow))),0,IF(OFFSET(PLE!$G$14,$M55,BF$13)="",10^12,OFFSET(PLE!$G$14,$M55,BF$13))))</f>
        <v>1000000000000</v>
      </c>
      <c r="BG55" s="212">
        <f ca="1">IF($D55&lt;&gt;"Serviço",0,IF(OR(AND(AUTOEVENTO="Manual",$M55=1),$M55&gt;(ROW(PLE.lastrow)-ROW(PLE.firstrow))),0,IF(OFFSET(PLE!$G$14,$M55,BG$13)="",10^12,OFFSET(PLE!$G$14,$M55,BG$13))))</f>
        <v>1000000000000</v>
      </c>
    </row>
    <row r="56" spans="1:59" ht="13.2">
      <c r="A56" s="9" t="str">
        <f t="shared" ca="1" si="8"/>
        <v>15</v>
      </c>
      <c r="B56" s="9" t="str">
        <f ca="1">OFFSET(ORÇAMENTO!C$15,ROW(B56)-ROW(B$15),0)</f>
        <v>S</v>
      </c>
      <c r="C56" s="9" t="str">
        <f ca="1">OFFSET(ORÇAMENTO!L$15,ROW(C56)-ROW(C$15),0)</f>
        <v/>
      </c>
      <c r="D56" s="141" t="str">
        <f ca="1">OFFSET(ORÇAMENTO!N$15,ROW(D56)-ROW(D$15),0)</f>
        <v>Serviço</v>
      </c>
      <c r="E56" s="201" t="str">
        <f ca="1">OFFSET(ORÇAMENTO!O$15,ROW(E56)-ROW(E$15),0)</f>
        <v>-</v>
      </c>
      <c r="F56" s="202" t="str">
        <f ca="1">OFFSET(ORÇAMENTO!R$15,ROW(F56)-ROW(F$15),0)</f>
        <v>(abra o arquivo 'Referência 11-2024.xlsm)</v>
      </c>
      <c r="G56" s="203" t="str">
        <f ca="1">IF($D56&lt;&gt;"Serviço","",OFFSET(ORÇAMENTO!S$15,ROW(G56)-ROW(G$15),0))</f>
        <v>-</v>
      </c>
      <c r="H56" s="147">
        <f ca="1">IF($D56&lt;&gt;"Serviço",0,IF(ACOMPANHAMENTO="BM",ROUND(OFFSET(ORÇAMENTO!AJ$15,ROW(H56)-ROW(H$15),0),15-13*ORÇAMENTO!$AF$7),SUMPRODUCT(($Q$12:$AA$12&lt;&gt;"")*ROUND($Q56:$AA56,15-13*ORÇAMENTO!$AF$7))))</f>
        <v>0</v>
      </c>
      <c r="I56" s="645"/>
      <c r="K56" s="204"/>
      <c r="L56" s="205" t="s">
        <v>255</v>
      </c>
      <c r="M56" s="206">
        <f ca="1">IF($D56&lt;&gt;"Serviço","",IF(AUTOEVENTO="manual",$A56,IF(ISERROR(MATCH($A56,$A$15:OFFSET($A56,-1,0),0)),MAX($M$15:OFFSET(M56,-1,0))+1,INDEX($M$15:OFFSET(M56,-1,0),MATCH($A56,$A$15:OFFSET($A56,-1,0),0)))))</f>
        <v>6</v>
      </c>
      <c r="N56" s="207" t="str">
        <f ca="1">IF($D56&lt;&gt;"Serviço","",IF(AUTOEVENTO="Manual",IF($A56=0,"&lt;-- defina o número do agrupador",OFFSET(EVENTOS!$D$14,$A56,0)),OFFSET($F$15,$A56,0)))</f>
        <v>DRENAGEM</v>
      </c>
      <c r="O56" s="208"/>
      <c r="Q56" s="208"/>
      <c r="R56" s="209"/>
      <c r="S56" s="209"/>
      <c r="T56" s="209"/>
      <c r="U56" s="209"/>
      <c r="V56" s="209"/>
      <c r="W56" s="209"/>
      <c r="X56" s="209"/>
      <c r="Y56" s="209"/>
      <c r="Z56" s="210"/>
      <c r="AB56" s="626">
        <f ca="1">IF(AND($D56="Serviço",AB$12&lt;&gt;0,$H56&gt;0,OR(AUTOEVENTO&lt;&gt;"manual",$M56&lt;&gt;1)),
IF(Import.TipoArredondamento&lt;&gt;"TransfereGOV",
ROUND(OFFSET($P56,0,AB$13),15-13*ORÇAMENTO!$AF$7)/$H56*OFFSET(ORÇAMENTO!$X$15,ROW(AB56)-ROW(AB$15),0),
ROUND(ROUND(OFFSET($P56,0,AB$13),15-13*ORÇAMENTO!$AF$7)*OFFSET(ORÇAMENTO!$W$15,ROW(AB56)-ROW(AB$15),0),15-13*ORÇAMENTO!$AF$11)),0)</f>
        <v>0</v>
      </c>
      <c r="AC56" s="627">
        <f ca="1">IF(AND($D56="Serviço",AC$12&lt;&gt;0,$H56&gt;0,OR(AUTOEVENTO&lt;&gt;"manual",$M56&lt;&gt;1)),
IF(Import.TipoArredondamento&lt;&gt;"TransfereGOV",
ROUND(OFFSET($P56,0,AC$13),15-13*ORÇAMENTO!$AF$7)/$H56*OFFSET(ORÇAMENTO!$X$15,ROW(AC56)-ROW(AC$15),0),
ROUND(ROUND(OFFSET($P56,0,AC$13),15-13*ORÇAMENTO!$AF$7)*OFFSET(ORÇAMENTO!$W$15,ROW(AC56)-ROW(AC$15),0),15-13*ORÇAMENTO!$AF$11)),0)</f>
        <v>0</v>
      </c>
      <c r="AD56" s="627">
        <f ca="1">IF(AND($D56="Serviço",AD$12&lt;&gt;0,$H56&gt;0,OR(AUTOEVENTO&lt;&gt;"manual",$M56&lt;&gt;1)),
IF(Import.TipoArredondamento&lt;&gt;"TransfereGOV",
ROUND(OFFSET($P56,0,AD$13),15-13*ORÇAMENTO!$AF$7)/$H56*OFFSET(ORÇAMENTO!$X$15,ROW(AD56)-ROW(AD$15),0),
ROUND(ROUND(OFFSET($P56,0,AD$13),15-13*ORÇAMENTO!$AF$7)*OFFSET(ORÇAMENTO!$W$15,ROW(AD56)-ROW(AD$15),0),15-13*ORÇAMENTO!$AF$11)),0)</f>
        <v>0</v>
      </c>
      <c r="AE56" s="627">
        <f ca="1">IF(AND($D56="Serviço",AE$12&lt;&gt;0,$H56&gt;0,OR(AUTOEVENTO&lt;&gt;"manual",$M56&lt;&gt;1)),
IF(Import.TipoArredondamento&lt;&gt;"TransfereGOV",
ROUND(OFFSET($P56,0,AE$13),15-13*ORÇAMENTO!$AF$7)/$H56*OFFSET(ORÇAMENTO!$X$15,ROW(AE56)-ROW(AE$15),0),
ROUND(ROUND(OFFSET($P56,0,AE$13),15-13*ORÇAMENTO!$AF$7)*OFFSET(ORÇAMENTO!$W$15,ROW(AE56)-ROW(AE$15),0),15-13*ORÇAMENTO!$AF$11)),0)</f>
        <v>0</v>
      </c>
      <c r="AF56" s="627">
        <f ca="1">IF(AND($D56="Serviço",AF$12&lt;&gt;0,$H56&gt;0,OR(AUTOEVENTO&lt;&gt;"manual",$M56&lt;&gt;1)),
IF(Import.TipoArredondamento&lt;&gt;"TransfereGOV",
ROUND(OFFSET($P56,0,AF$13),15-13*ORÇAMENTO!$AF$7)/$H56*OFFSET(ORÇAMENTO!$X$15,ROW(AF56)-ROW(AF$15),0),
ROUND(ROUND(OFFSET($P56,0,AF$13),15-13*ORÇAMENTO!$AF$7)*OFFSET(ORÇAMENTO!$W$15,ROW(AF56)-ROW(AF$15),0),15-13*ORÇAMENTO!$AF$11)),0)</f>
        <v>0</v>
      </c>
      <c r="AG56" s="627">
        <f ca="1">IF(AND($D56="Serviço",AG$12&lt;&gt;0,$H56&gt;0,OR(AUTOEVENTO&lt;&gt;"manual",$M56&lt;&gt;1)),
IF(Import.TipoArredondamento&lt;&gt;"TransfereGOV",
ROUND(OFFSET($P56,0,AG$13),15-13*ORÇAMENTO!$AF$7)/$H56*OFFSET(ORÇAMENTO!$X$15,ROW(AG56)-ROW(AG$15),0),
ROUND(ROUND(OFFSET($P56,0,AG$13),15-13*ORÇAMENTO!$AF$7)*OFFSET(ORÇAMENTO!$W$15,ROW(AG56)-ROW(AG$15),0),15-13*ORÇAMENTO!$AF$11)),0)</f>
        <v>0</v>
      </c>
      <c r="AH56" s="627">
        <f ca="1">IF(AND($D56="Serviço",AH$12&lt;&gt;0,$H56&gt;0,OR(AUTOEVENTO&lt;&gt;"manual",$M56&lt;&gt;1)),
IF(Import.TipoArredondamento&lt;&gt;"TransfereGOV",
ROUND(OFFSET($P56,0,AH$13),15-13*ORÇAMENTO!$AF$7)/$H56*OFFSET(ORÇAMENTO!$X$15,ROW(AH56)-ROW(AH$15),0),
ROUND(ROUND(OFFSET($P56,0,AH$13),15-13*ORÇAMENTO!$AF$7)*OFFSET(ORÇAMENTO!$W$15,ROW(AH56)-ROW(AH$15),0),15-13*ORÇAMENTO!$AF$11)),0)</f>
        <v>0</v>
      </c>
      <c r="AI56" s="627">
        <f ca="1">IF(AND($D56="Serviço",AI$12&lt;&gt;0,$H56&gt;0,OR(AUTOEVENTO&lt;&gt;"manual",$M56&lt;&gt;1)),
IF(Import.TipoArredondamento&lt;&gt;"TransfereGOV",
ROUND(OFFSET($P56,0,AI$13),15-13*ORÇAMENTO!$AF$7)/$H56*OFFSET(ORÇAMENTO!$X$15,ROW(AI56)-ROW(AI$15),0),
ROUND(ROUND(OFFSET($P56,0,AI$13),15-13*ORÇAMENTO!$AF$7)*OFFSET(ORÇAMENTO!$W$15,ROW(AI56)-ROW(AI$15),0),15-13*ORÇAMENTO!$AF$11)),0)</f>
        <v>0</v>
      </c>
      <c r="AJ56" s="627">
        <f ca="1">IF(AND($D56="Serviço",AJ$12&lt;&gt;0,$H56&gt;0,OR(AUTOEVENTO&lt;&gt;"manual",$M56&lt;&gt;1)),
IF(Import.TipoArredondamento&lt;&gt;"TransfereGOV",
ROUND(OFFSET($P56,0,AJ$13),15-13*ORÇAMENTO!$AF$7)/$H56*OFFSET(ORÇAMENTO!$X$15,ROW(AJ56)-ROW(AJ$15),0),
ROUND(ROUND(OFFSET($P56,0,AJ$13),15-13*ORÇAMENTO!$AF$7)*OFFSET(ORÇAMENTO!$W$15,ROW(AJ56)-ROW(AJ$15),0),15-13*ORÇAMENTO!$AF$11)),0)</f>
        <v>0</v>
      </c>
      <c r="AK56" s="628">
        <f ca="1">IF(AND($D56="Serviço",AK$12&lt;&gt;0,$H56&gt;0,OR(AUTOEVENTO&lt;&gt;"manual",$M56&lt;&gt;1)),
IF(Import.TipoArredondamento&lt;&gt;"TransfereGOV",
ROUND(OFFSET($P56,0,AK$13),15-13*ORÇAMENTO!$AF$7)/$H56*OFFSET(ORÇAMENTO!$X$15,ROW(AK56)-ROW(AK$15),0),
ROUND(ROUND(OFFSET($P56,0,AK$13),15-13*ORÇAMENTO!$AF$7)*OFFSET(ORÇAMENTO!$W$15,ROW(AK56)-ROW(AK$15),0),15-13*ORÇAMENTO!$AF$11)),0)</f>
        <v>0</v>
      </c>
      <c r="AM56" s="211">
        <f ca="1">IF($D56&lt;&gt;"Serviço",0,IF(AND(AUTOEVENTO="Manual",$M56=1),0,IF(OFFSET(CRONOPLE!$F$14,$M56,AM$13)="",10^12,OFFSET(CRONOPLE!$F$14,$M56,AM$13))))</f>
        <v>2</v>
      </c>
      <c r="AN56" s="211">
        <f ca="1">IF($D56&lt;&gt;"Serviço",0,IF(AND(AUTOEVENTO="Manual",$M56=1),0,IF(OFFSET(CRONOPLE!$F$14,$M56,AN$13)="",10^12,OFFSET(CRONOPLE!$F$14,$M56,AN$13))))</f>
        <v>1</v>
      </c>
      <c r="AO56" s="211">
        <f ca="1">IF($D56&lt;&gt;"Serviço",0,IF(AND(AUTOEVENTO="Manual",$M56=1),0,IF(OFFSET(CRONOPLE!$F$14,$M56,AO$13)="",10^12,OFFSET(CRONOPLE!$F$14,$M56,AO$13))))</f>
        <v>2</v>
      </c>
      <c r="AP56" s="211">
        <f ca="1">IF($D56&lt;&gt;"Serviço",0,IF(AND(AUTOEVENTO="Manual",$M56=1),0,IF(OFFSET(CRONOPLE!$F$14,$M56,AP$13)="",10^12,OFFSET(CRONOPLE!$F$14,$M56,AP$13))))</f>
        <v>2</v>
      </c>
      <c r="AQ56" s="211">
        <f ca="1">IF($D56&lt;&gt;"Serviço",0,IF(AND(AUTOEVENTO="Manual",$M56=1),0,IF(OFFSET(CRONOPLE!$F$14,$M56,AQ$13)="",10^12,OFFSET(CRONOPLE!$F$14,$M56,AQ$13))))</f>
        <v>1000000000000</v>
      </c>
      <c r="AR56" s="211">
        <f ca="1">IF($D56&lt;&gt;"Serviço",0,IF(AND(AUTOEVENTO="Manual",$M56=1),0,IF(OFFSET(CRONOPLE!$F$14,$M56,AR$13)="",10^12,OFFSET(CRONOPLE!$F$14,$M56,AR$13))))</f>
        <v>1000000000000</v>
      </c>
      <c r="AS56" s="211">
        <f ca="1">IF($D56&lt;&gt;"Serviço",0,IF(AND(AUTOEVENTO="Manual",$M56=1),0,IF(OFFSET(CRONOPLE!$F$14,$M56,AS$13)="",10^12,OFFSET(CRONOPLE!$F$14,$M56,AS$13))))</f>
        <v>1000000000000</v>
      </c>
      <c r="AT56" s="211">
        <f ca="1">IF($D56&lt;&gt;"Serviço",0,IF(AND(AUTOEVENTO="Manual",$M56=1),0,IF(OFFSET(CRONOPLE!$F$14,$M56,AT$13)="",10^12,OFFSET(CRONOPLE!$F$14,$M56,AT$13))))</f>
        <v>1000000000000</v>
      </c>
      <c r="AU56" s="211">
        <f ca="1">IF($D56&lt;&gt;"Serviço",0,IF(AND(AUTOEVENTO="Manual",$M56=1),0,IF(OFFSET(CRONOPLE!$F$14,$M56,AU$13)="",10^12,OFFSET(CRONOPLE!$F$14,$M56,AU$13))))</f>
        <v>1000000000000</v>
      </c>
      <c r="AV56" s="211">
        <f ca="1">IF($D56&lt;&gt;"Serviço",0,IF(AND(AUTOEVENTO="Manual",$M56=1),0,IF(OFFSET(CRONOPLE!$F$14,$M56,AV$13)="",10^12,OFFSET(CRONOPLE!$F$14,$M56,AV$13))))</f>
        <v>1000000000000</v>
      </c>
      <c r="AX56" s="212">
        <f ca="1">IF($D56&lt;&gt;"Serviço",0,IF(OR(AND(AUTOEVENTO="Manual",$M56=1),$M56&gt;(ROW(PLE.lastrow)-ROW(PLE.firstrow))),0,IF(OFFSET(PLE!$G$14,$M56,AX$13)="",10^12,OFFSET(PLE!$G$14,$M56,AX$13))))</f>
        <v>1000000000000</v>
      </c>
      <c r="AY56" s="212">
        <f ca="1">IF($D56&lt;&gt;"Serviço",0,IF(OR(AND(AUTOEVENTO="Manual",$M56=1),$M56&gt;(ROW(PLE.lastrow)-ROW(PLE.firstrow))),0,IF(OFFSET(PLE!$G$14,$M56,AY$13)="",10^12,OFFSET(PLE!$G$14,$M56,AY$13))))</f>
        <v>1000000000000</v>
      </c>
      <c r="AZ56" s="212">
        <f ca="1">IF($D56&lt;&gt;"Serviço",0,IF(OR(AND(AUTOEVENTO="Manual",$M56=1),$M56&gt;(ROW(PLE.lastrow)-ROW(PLE.firstrow))),0,IF(OFFSET(PLE!$G$14,$M56,AZ$13)="",10^12,OFFSET(PLE!$G$14,$M56,AZ$13))))</f>
        <v>1000000000000</v>
      </c>
      <c r="BA56" s="212">
        <f ca="1">IF($D56&lt;&gt;"Serviço",0,IF(OR(AND(AUTOEVENTO="Manual",$M56=1),$M56&gt;(ROW(PLE.lastrow)-ROW(PLE.firstrow))),0,IF(OFFSET(PLE!$G$14,$M56,BA$13)="",10^12,OFFSET(PLE!$G$14,$M56,BA$13))))</f>
        <v>1000000000000</v>
      </c>
      <c r="BB56" s="212">
        <f ca="1">IF($D56&lt;&gt;"Serviço",0,IF(OR(AND(AUTOEVENTO="Manual",$M56=1),$M56&gt;(ROW(PLE.lastrow)-ROW(PLE.firstrow))),0,IF(OFFSET(PLE!$G$14,$M56,BB$13)="",10^12,OFFSET(PLE!$G$14,$M56,BB$13))))</f>
        <v>1000000000000</v>
      </c>
      <c r="BC56" s="212">
        <f ca="1">IF($D56&lt;&gt;"Serviço",0,IF(OR(AND(AUTOEVENTO="Manual",$M56=1),$M56&gt;(ROW(PLE.lastrow)-ROW(PLE.firstrow))),0,IF(OFFSET(PLE!$G$14,$M56,BC$13)="",10^12,OFFSET(PLE!$G$14,$M56,BC$13))))</f>
        <v>1000000000000</v>
      </c>
      <c r="BD56" s="212">
        <f ca="1">IF($D56&lt;&gt;"Serviço",0,IF(OR(AND(AUTOEVENTO="Manual",$M56=1),$M56&gt;(ROW(PLE.lastrow)-ROW(PLE.firstrow))),0,IF(OFFSET(PLE!$G$14,$M56,BD$13)="",10^12,OFFSET(PLE!$G$14,$M56,BD$13))))</f>
        <v>1000000000000</v>
      </c>
      <c r="BE56" s="212">
        <f ca="1">IF($D56&lt;&gt;"Serviço",0,IF(OR(AND(AUTOEVENTO="Manual",$M56=1),$M56&gt;(ROW(PLE.lastrow)-ROW(PLE.firstrow))),0,IF(OFFSET(PLE!$G$14,$M56,BE$13)="",10^12,OFFSET(PLE!$G$14,$M56,BE$13))))</f>
        <v>1000000000000</v>
      </c>
      <c r="BF56" s="212">
        <f ca="1">IF($D56&lt;&gt;"Serviço",0,IF(OR(AND(AUTOEVENTO="Manual",$M56=1),$M56&gt;(ROW(PLE.lastrow)-ROW(PLE.firstrow))),0,IF(OFFSET(PLE!$G$14,$M56,BF$13)="",10^12,OFFSET(PLE!$G$14,$M56,BF$13))))</f>
        <v>1000000000000</v>
      </c>
      <c r="BG56" s="212">
        <f ca="1">IF($D56&lt;&gt;"Serviço",0,IF(OR(AND(AUTOEVENTO="Manual",$M56=1),$M56&gt;(ROW(PLE.lastrow)-ROW(PLE.firstrow))),0,IF(OFFSET(PLE!$G$14,$M56,BG$13)="",10^12,OFFSET(PLE!$G$14,$M56,BG$13))))</f>
        <v>1000000000000</v>
      </c>
    </row>
    <row r="57" spans="1:59" ht="13.2">
      <c r="A57" s="9" t="str">
        <f t="shared" ca="1" si="8"/>
        <v>15</v>
      </c>
      <c r="B57" s="9" t="str">
        <f ca="1">OFFSET(ORÇAMENTO!C$15,ROW(B57)-ROW(B$15),0)</f>
        <v>S</v>
      </c>
      <c r="C57" s="9" t="str">
        <f ca="1">OFFSET(ORÇAMENTO!L$15,ROW(C57)-ROW(C$15),0)</f>
        <v/>
      </c>
      <c r="D57" s="141" t="str">
        <f ca="1">OFFSET(ORÇAMENTO!N$15,ROW(D57)-ROW(D$15),0)</f>
        <v>Serviço</v>
      </c>
      <c r="E57" s="201" t="str">
        <f ca="1">OFFSET(ORÇAMENTO!O$15,ROW(E57)-ROW(E$15),0)</f>
        <v>-</v>
      </c>
      <c r="F57" s="202" t="str">
        <f ca="1">OFFSET(ORÇAMENTO!R$15,ROW(F57)-ROW(F$15),0)</f>
        <v>(abra o arquivo 'Referência 11-2024.xlsm)</v>
      </c>
      <c r="G57" s="203" t="str">
        <f ca="1">IF($D57&lt;&gt;"Serviço","",OFFSET(ORÇAMENTO!S$15,ROW(G57)-ROW(G$15),0))</f>
        <v>-</v>
      </c>
      <c r="H57" s="147">
        <f ca="1">IF($D57&lt;&gt;"Serviço",0,IF(ACOMPANHAMENTO="BM",ROUND(OFFSET(ORÇAMENTO!AJ$15,ROW(H57)-ROW(H$15),0),15-13*ORÇAMENTO!$AF$7),SUMPRODUCT(($Q$12:$AA$12&lt;&gt;"")*ROUND($Q57:$AA57,15-13*ORÇAMENTO!$AF$7))))</f>
        <v>0</v>
      </c>
      <c r="I57" s="645"/>
      <c r="K57" s="204"/>
      <c r="L57" s="205" t="s">
        <v>255</v>
      </c>
      <c r="M57" s="206">
        <f ca="1">IF($D57&lt;&gt;"Serviço","",IF(AUTOEVENTO="manual",$A57,IF(ISERROR(MATCH($A57,$A$15:OFFSET($A57,-1,0),0)),MAX($M$15:OFFSET(M57,-1,0))+1,INDEX($M$15:OFFSET(M57,-1,0),MATCH($A57,$A$15:OFFSET($A57,-1,0),0)))))</f>
        <v>6</v>
      </c>
      <c r="N57" s="207" t="str">
        <f ca="1">IF($D57&lt;&gt;"Serviço","",IF(AUTOEVENTO="Manual",IF($A57=0,"&lt;-- defina o número do agrupador",OFFSET(EVENTOS!$D$14,$A57,0)),OFFSET($F$15,$A57,0)))</f>
        <v>DRENAGEM</v>
      </c>
      <c r="O57" s="208"/>
      <c r="Q57" s="208"/>
      <c r="R57" s="209"/>
      <c r="S57" s="209"/>
      <c r="T57" s="209"/>
      <c r="U57" s="209"/>
      <c r="V57" s="209"/>
      <c r="W57" s="209"/>
      <c r="X57" s="209"/>
      <c r="Y57" s="209"/>
      <c r="Z57" s="210"/>
      <c r="AB57" s="626">
        <f ca="1">IF(AND($D57="Serviço",AB$12&lt;&gt;0,$H57&gt;0,OR(AUTOEVENTO&lt;&gt;"manual",$M57&lt;&gt;1)),
IF(Import.TipoArredondamento&lt;&gt;"TransfereGOV",
ROUND(OFFSET($P57,0,AB$13),15-13*ORÇAMENTO!$AF$7)/$H57*OFFSET(ORÇAMENTO!$X$15,ROW(AB57)-ROW(AB$15),0),
ROUND(ROUND(OFFSET($P57,0,AB$13),15-13*ORÇAMENTO!$AF$7)*OFFSET(ORÇAMENTO!$W$15,ROW(AB57)-ROW(AB$15),0),15-13*ORÇAMENTO!$AF$11)),0)</f>
        <v>0</v>
      </c>
      <c r="AC57" s="627">
        <f ca="1">IF(AND($D57="Serviço",AC$12&lt;&gt;0,$H57&gt;0,OR(AUTOEVENTO&lt;&gt;"manual",$M57&lt;&gt;1)),
IF(Import.TipoArredondamento&lt;&gt;"TransfereGOV",
ROUND(OFFSET($P57,0,AC$13),15-13*ORÇAMENTO!$AF$7)/$H57*OFFSET(ORÇAMENTO!$X$15,ROW(AC57)-ROW(AC$15),0),
ROUND(ROUND(OFFSET($P57,0,AC$13),15-13*ORÇAMENTO!$AF$7)*OFFSET(ORÇAMENTO!$W$15,ROW(AC57)-ROW(AC$15),0),15-13*ORÇAMENTO!$AF$11)),0)</f>
        <v>0</v>
      </c>
      <c r="AD57" s="627">
        <f ca="1">IF(AND($D57="Serviço",AD$12&lt;&gt;0,$H57&gt;0,OR(AUTOEVENTO&lt;&gt;"manual",$M57&lt;&gt;1)),
IF(Import.TipoArredondamento&lt;&gt;"TransfereGOV",
ROUND(OFFSET($P57,0,AD$13),15-13*ORÇAMENTO!$AF$7)/$H57*OFFSET(ORÇAMENTO!$X$15,ROW(AD57)-ROW(AD$15),0),
ROUND(ROUND(OFFSET($P57,0,AD$13),15-13*ORÇAMENTO!$AF$7)*OFFSET(ORÇAMENTO!$W$15,ROW(AD57)-ROW(AD$15),0),15-13*ORÇAMENTO!$AF$11)),0)</f>
        <v>0</v>
      </c>
      <c r="AE57" s="627">
        <f ca="1">IF(AND($D57="Serviço",AE$12&lt;&gt;0,$H57&gt;0,OR(AUTOEVENTO&lt;&gt;"manual",$M57&lt;&gt;1)),
IF(Import.TipoArredondamento&lt;&gt;"TransfereGOV",
ROUND(OFFSET($P57,0,AE$13),15-13*ORÇAMENTO!$AF$7)/$H57*OFFSET(ORÇAMENTO!$X$15,ROW(AE57)-ROW(AE$15),0),
ROUND(ROUND(OFFSET($P57,0,AE$13),15-13*ORÇAMENTO!$AF$7)*OFFSET(ORÇAMENTO!$W$15,ROW(AE57)-ROW(AE$15),0),15-13*ORÇAMENTO!$AF$11)),0)</f>
        <v>0</v>
      </c>
      <c r="AF57" s="627">
        <f ca="1">IF(AND($D57="Serviço",AF$12&lt;&gt;0,$H57&gt;0,OR(AUTOEVENTO&lt;&gt;"manual",$M57&lt;&gt;1)),
IF(Import.TipoArredondamento&lt;&gt;"TransfereGOV",
ROUND(OFFSET($P57,0,AF$13),15-13*ORÇAMENTO!$AF$7)/$H57*OFFSET(ORÇAMENTO!$X$15,ROW(AF57)-ROW(AF$15),0),
ROUND(ROUND(OFFSET($P57,0,AF$13),15-13*ORÇAMENTO!$AF$7)*OFFSET(ORÇAMENTO!$W$15,ROW(AF57)-ROW(AF$15),0),15-13*ORÇAMENTO!$AF$11)),0)</f>
        <v>0</v>
      </c>
      <c r="AG57" s="627">
        <f ca="1">IF(AND($D57="Serviço",AG$12&lt;&gt;0,$H57&gt;0,OR(AUTOEVENTO&lt;&gt;"manual",$M57&lt;&gt;1)),
IF(Import.TipoArredondamento&lt;&gt;"TransfereGOV",
ROUND(OFFSET($P57,0,AG$13),15-13*ORÇAMENTO!$AF$7)/$H57*OFFSET(ORÇAMENTO!$X$15,ROW(AG57)-ROW(AG$15),0),
ROUND(ROUND(OFFSET($P57,0,AG$13),15-13*ORÇAMENTO!$AF$7)*OFFSET(ORÇAMENTO!$W$15,ROW(AG57)-ROW(AG$15),0),15-13*ORÇAMENTO!$AF$11)),0)</f>
        <v>0</v>
      </c>
      <c r="AH57" s="627">
        <f ca="1">IF(AND($D57="Serviço",AH$12&lt;&gt;0,$H57&gt;0,OR(AUTOEVENTO&lt;&gt;"manual",$M57&lt;&gt;1)),
IF(Import.TipoArredondamento&lt;&gt;"TransfereGOV",
ROUND(OFFSET($P57,0,AH$13),15-13*ORÇAMENTO!$AF$7)/$H57*OFFSET(ORÇAMENTO!$X$15,ROW(AH57)-ROW(AH$15),0),
ROUND(ROUND(OFFSET($P57,0,AH$13),15-13*ORÇAMENTO!$AF$7)*OFFSET(ORÇAMENTO!$W$15,ROW(AH57)-ROW(AH$15),0),15-13*ORÇAMENTO!$AF$11)),0)</f>
        <v>0</v>
      </c>
      <c r="AI57" s="627">
        <f ca="1">IF(AND($D57="Serviço",AI$12&lt;&gt;0,$H57&gt;0,OR(AUTOEVENTO&lt;&gt;"manual",$M57&lt;&gt;1)),
IF(Import.TipoArredondamento&lt;&gt;"TransfereGOV",
ROUND(OFFSET($P57,0,AI$13),15-13*ORÇAMENTO!$AF$7)/$H57*OFFSET(ORÇAMENTO!$X$15,ROW(AI57)-ROW(AI$15),0),
ROUND(ROUND(OFFSET($P57,0,AI$13),15-13*ORÇAMENTO!$AF$7)*OFFSET(ORÇAMENTO!$W$15,ROW(AI57)-ROW(AI$15),0),15-13*ORÇAMENTO!$AF$11)),0)</f>
        <v>0</v>
      </c>
      <c r="AJ57" s="627">
        <f ca="1">IF(AND($D57="Serviço",AJ$12&lt;&gt;0,$H57&gt;0,OR(AUTOEVENTO&lt;&gt;"manual",$M57&lt;&gt;1)),
IF(Import.TipoArredondamento&lt;&gt;"TransfereGOV",
ROUND(OFFSET($P57,0,AJ$13),15-13*ORÇAMENTO!$AF$7)/$H57*OFFSET(ORÇAMENTO!$X$15,ROW(AJ57)-ROW(AJ$15),0),
ROUND(ROUND(OFFSET($P57,0,AJ$13),15-13*ORÇAMENTO!$AF$7)*OFFSET(ORÇAMENTO!$W$15,ROW(AJ57)-ROW(AJ$15),0),15-13*ORÇAMENTO!$AF$11)),0)</f>
        <v>0</v>
      </c>
      <c r="AK57" s="628">
        <f ca="1">IF(AND($D57="Serviço",AK$12&lt;&gt;0,$H57&gt;0,OR(AUTOEVENTO&lt;&gt;"manual",$M57&lt;&gt;1)),
IF(Import.TipoArredondamento&lt;&gt;"TransfereGOV",
ROUND(OFFSET($P57,0,AK$13),15-13*ORÇAMENTO!$AF$7)/$H57*OFFSET(ORÇAMENTO!$X$15,ROW(AK57)-ROW(AK$15),0),
ROUND(ROUND(OFFSET($P57,0,AK$13),15-13*ORÇAMENTO!$AF$7)*OFFSET(ORÇAMENTO!$W$15,ROW(AK57)-ROW(AK$15),0),15-13*ORÇAMENTO!$AF$11)),0)</f>
        <v>0</v>
      </c>
      <c r="AM57" s="211">
        <f ca="1">IF($D57&lt;&gt;"Serviço",0,IF(AND(AUTOEVENTO="Manual",$M57=1),0,IF(OFFSET(CRONOPLE!$F$14,$M57,AM$13)="",10^12,OFFSET(CRONOPLE!$F$14,$M57,AM$13))))</f>
        <v>2</v>
      </c>
      <c r="AN57" s="211">
        <f ca="1">IF($D57&lt;&gt;"Serviço",0,IF(AND(AUTOEVENTO="Manual",$M57=1),0,IF(OFFSET(CRONOPLE!$F$14,$M57,AN$13)="",10^12,OFFSET(CRONOPLE!$F$14,$M57,AN$13))))</f>
        <v>1</v>
      </c>
      <c r="AO57" s="211">
        <f ca="1">IF($D57&lt;&gt;"Serviço",0,IF(AND(AUTOEVENTO="Manual",$M57=1),0,IF(OFFSET(CRONOPLE!$F$14,$M57,AO$13)="",10^12,OFFSET(CRONOPLE!$F$14,$M57,AO$13))))</f>
        <v>2</v>
      </c>
      <c r="AP57" s="211">
        <f ca="1">IF($D57&lt;&gt;"Serviço",0,IF(AND(AUTOEVENTO="Manual",$M57=1),0,IF(OFFSET(CRONOPLE!$F$14,$M57,AP$13)="",10^12,OFFSET(CRONOPLE!$F$14,$M57,AP$13))))</f>
        <v>2</v>
      </c>
      <c r="AQ57" s="211">
        <f ca="1">IF($D57&lt;&gt;"Serviço",0,IF(AND(AUTOEVENTO="Manual",$M57=1),0,IF(OFFSET(CRONOPLE!$F$14,$M57,AQ$13)="",10^12,OFFSET(CRONOPLE!$F$14,$M57,AQ$13))))</f>
        <v>1000000000000</v>
      </c>
      <c r="AR57" s="211">
        <f ca="1">IF($D57&lt;&gt;"Serviço",0,IF(AND(AUTOEVENTO="Manual",$M57=1),0,IF(OFFSET(CRONOPLE!$F$14,$M57,AR$13)="",10^12,OFFSET(CRONOPLE!$F$14,$M57,AR$13))))</f>
        <v>1000000000000</v>
      </c>
      <c r="AS57" s="211">
        <f ca="1">IF($D57&lt;&gt;"Serviço",0,IF(AND(AUTOEVENTO="Manual",$M57=1),0,IF(OFFSET(CRONOPLE!$F$14,$M57,AS$13)="",10^12,OFFSET(CRONOPLE!$F$14,$M57,AS$13))))</f>
        <v>1000000000000</v>
      </c>
      <c r="AT57" s="211">
        <f ca="1">IF($D57&lt;&gt;"Serviço",0,IF(AND(AUTOEVENTO="Manual",$M57=1),0,IF(OFFSET(CRONOPLE!$F$14,$M57,AT$13)="",10^12,OFFSET(CRONOPLE!$F$14,$M57,AT$13))))</f>
        <v>1000000000000</v>
      </c>
      <c r="AU57" s="211">
        <f ca="1">IF($D57&lt;&gt;"Serviço",0,IF(AND(AUTOEVENTO="Manual",$M57=1),0,IF(OFFSET(CRONOPLE!$F$14,$M57,AU$13)="",10^12,OFFSET(CRONOPLE!$F$14,$M57,AU$13))))</f>
        <v>1000000000000</v>
      </c>
      <c r="AV57" s="211">
        <f ca="1">IF($D57&lt;&gt;"Serviço",0,IF(AND(AUTOEVENTO="Manual",$M57=1),0,IF(OFFSET(CRONOPLE!$F$14,$M57,AV$13)="",10^12,OFFSET(CRONOPLE!$F$14,$M57,AV$13))))</f>
        <v>1000000000000</v>
      </c>
      <c r="AX57" s="212">
        <f ca="1">IF($D57&lt;&gt;"Serviço",0,IF(OR(AND(AUTOEVENTO="Manual",$M57=1),$M57&gt;(ROW(PLE.lastrow)-ROW(PLE.firstrow))),0,IF(OFFSET(PLE!$G$14,$M57,AX$13)="",10^12,OFFSET(PLE!$G$14,$M57,AX$13))))</f>
        <v>1000000000000</v>
      </c>
      <c r="AY57" s="212">
        <f ca="1">IF($D57&lt;&gt;"Serviço",0,IF(OR(AND(AUTOEVENTO="Manual",$M57=1),$M57&gt;(ROW(PLE.lastrow)-ROW(PLE.firstrow))),0,IF(OFFSET(PLE!$G$14,$M57,AY$13)="",10^12,OFFSET(PLE!$G$14,$M57,AY$13))))</f>
        <v>1000000000000</v>
      </c>
      <c r="AZ57" s="212">
        <f ca="1">IF($D57&lt;&gt;"Serviço",0,IF(OR(AND(AUTOEVENTO="Manual",$M57=1),$M57&gt;(ROW(PLE.lastrow)-ROW(PLE.firstrow))),0,IF(OFFSET(PLE!$G$14,$M57,AZ$13)="",10^12,OFFSET(PLE!$G$14,$M57,AZ$13))))</f>
        <v>1000000000000</v>
      </c>
      <c r="BA57" s="212">
        <f ca="1">IF($D57&lt;&gt;"Serviço",0,IF(OR(AND(AUTOEVENTO="Manual",$M57=1),$M57&gt;(ROW(PLE.lastrow)-ROW(PLE.firstrow))),0,IF(OFFSET(PLE!$G$14,$M57,BA$13)="",10^12,OFFSET(PLE!$G$14,$M57,BA$13))))</f>
        <v>1000000000000</v>
      </c>
      <c r="BB57" s="212">
        <f ca="1">IF($D57&lt;&gt;"Serviço",0,IF(OR(AND(AUTOEVENTO="Manual",$M57=1),$M57&gt;(ROW(PLE.lastrow)-ROW(PLE.firstrow))),0,IF(OFFSET(PLE!$G$14,$M57,BB$13)="",10^12,OFFSET(PLE!$G$14,$M57,BB$13))))</f>
        <v>1000000000000</v>
      </c>
      <c r="BC57" s="212">
        <f ca="1">IF($D57&lt;&gt;"Serviço",0,IF(OR(AND(AUTOEVENTO="Manual",$M57=1),$M57&gt;(ROW(PLE.lastrow)-ROW(PLE.firstrow))),0,IF(OFFSET(PLE!$G$14,$M57,BC$13)="",10^12,OFFSET(PLE!$G$14,$M57,BC$13))))</f>
        <v>1000000000000</v>
      </c>
      <c r="BD57" s="212">
        <f ca="1">IF($D57&lt;&gt;"Serviço",0,IF(OR(AND(AUTOEVENTO="Manual",$M57=1),$M57&gt;(ROW(PLE.lastrow)-ROW(PLE.firstrow))),0,IF(OFFSET(PLE!$G$14,$M57,BD$13)="",10^12,OFFSET(PLE!$G$14,$M57,BD$13))))</f>
        <v>1000000000000</v>
      </c>
      <c r="BE57" s="212">
        <f ca="1">IF($D57&lt;&gt;"Serviço",0,IF(OR(AND(AUTOEVENTO="Manual",$M57=1),$M57&gt;(ROW(PLE.lastrow)-ROW(PLE.firstrow))),0,IF(OFFSET(PLE!$G$14,$M57,BE$13)="",10^12,OFFSET(PLE!$G$14,$M57,BE$13))))</f>
        <v>1000000000000</v>
      </c>
      <c r="BF57" s="212">
        <f ca="1">IF($D57&lt;&gt;"Serviço",0,IF(OR(AND(AUTOEVENTO="Manual",$M57=1),$M57&gt;(ROW(PLE.lastrow)-ROW(PLE.firstrow))),0,IF(OFFSET(PLE!$G$14,$M57,BF$13)="",10^12,OFFSET(PLE!$G$14,$M57,BF$13))))</f>
        <v>1000000000000</v>
      </c>
      <c r="BG57" s="212">
        <f ca="1">IF($D57&lt;&gt;"Serviço",0,IF(OR(AND(AUTOEVENTO="Manual",$M57=1),$M57&gt;(ROW(PLE.lastrow)-ROW(PLE.firstrow))),0,IF(OFFSET(PLE!$G$14,$M57,BG$13)="",10^12,OFFSET(PLE!$G$14,$M57,BG$13))))</f>
        <v>1000000000000</v>
      </c>
    </row>
    <row r="58" spans="1:59" ht="13.2">
      <c r="A58" s="9" t="str">
        <f t="shared" ca="1" si="8"/>
        <v>15</v>
      </c>
      <c r="B58" s="9" t="str">
        <f ca="1">OFFSET(ORÇAMENTO!C$15,ROW(B58)-ROW(B$15),0)</f>
        <v>S</v>
      </c>
      <c r="C58" s="9" t="str">
        <f ca="1">OFFSET(ORÇAMENTO!L$15,ROW(C58)-ROW(C$15),0)</f>
        <v/>
      </c>
      <c r="D58" s="141" t="str">
        <f ca="1">OFFSET(ORÇAMENTO!N$15,ROW(D58)-ROW(D$15),0)</f>
        <v>Serviço</v>
      </c>
      <c r="E58" s="201" t="str">
        <f ca="1">OFFSET(ORÇAMENTO!O$15,ROW(E58)-ROW(E$15),0)</f>
        <v>-</v>
      </c>
      <c r="F58" s="202" t="str">
        <f ca="1">OFFSET(ORÇAMENTO!R$15,ROW(F58)-ROW(F$15),0)</f>
        <v>(abra o arquivo 'Referência 11-2024.xlsm)</v>
      </c>
      <c r="G58" s="203" t="str">
        <f ca="1">IF($D58&lt;&gt;"Serviço","",OFFSET(ORÇAMENTO!S$15,ROW(G58)-ROW(G$15),0))</f>
        <v>-</v>
      </c>
      <c r="H58" s="147">
        <f ca="1">IF($D58&lt;&gt;"Serviço",0,IF(ACOMPANHAMENTO="BM",ROUND(OFFSET(ORÇAMENTO!AJ$15,ROW(H58)-ROW(H$15),0),15-13*ORÇAMENTO!$AF$7),SUMPRODUCT(($Q$12:$AA$12&lt;&gt;"")*ROUND($Q58:$AA58,15-13*ORÇAMENTO!$AF$7))))</f>
        <v>0</v>
      </c>
      <c r="I58" s="645"/>
      <c r="K58" s="204"/>
      <c r="L58" s="205" t="s">
        <v>255</v>
      </c>
      <c r="M58" s="206">
        <f ca="1">IF($D58&lt;&gt;"Serviço","",IF(AUTOEVENTO="manual",$A58,IF(ISERROR(MATCH($A58,$A$15:OFFSET($A58,-1,0),0)),MAX($M$15:OFFSET(M58,-1,0))+1,INDEX($M$15:OFFSET(M58,-1,0),MATCH($A58,$A$15:OFFSET($A58,-1,0),0)))))</f>
        <v>6</v>
      </c>
      <c r="N58" s="207" t="str">
        <f ca="1">IF($D58&lt;&gt;"Serviço","",IF(AUTOEVENTO="Manual",IF($A58=0,"&lt;-- defina o número do agrupador",OFFSET(EVENTOS!$D$14,$A58,0)),OFFSET($F$15,$A58,0)))</f>
        <v>DRENAGEM</v>
      </c>
      <c r="O58" s="208"/>
      <c r="Q58" s="208"/>
      <c r="R58" s="209"/>
      <c r="S58" s="209"/>
      <c r="T58" s="209"/>
      <c r="U58" s="209"/>
      <c r="V58" s="209"/>
      <c r="W58" s="209"/>
      <c r="X58" s="209"/>
      <c r="Y58" s="209"/>
      <c r="Z58" s="210"/>
      <c r="AB58" s="626">
        <f ca="1">IF(AND($D58="Serviço",AB$12&lt;&gt;0,$H58&gt;0,OR(AUTOEVENTO&lt;&gt;"manual",$M58&lt;&gt;1)),
IF(Import.TipoArredondamento&lt;&gt;"TransfereGOV",
ROUND(OFFSET($P58,0,AB$13),15-13*ORÇAMENTO!$AF$7)/$H58*OFFSET(ORÇAMENTO!$X$15,ROW(AB58)-ROW(AB$15),0),
ROUND(ROUND(OFFSET($P58,0,AB$13),15-13*ORÇAMENTO!$AF$7)*OFFSET(ORÇAMENTO!$W$15,ROW(AB58)-ROW(AB$15),0),15-13*ORÇAMENTO!$AF$11)),0)</f>
        <v>0</v>
      </c>
      <c r="AC58" s="627">
        <f ca="1">IF(AND($D58="Serviço",AC$12&lt;&gt;0,$H58&gt;0,OR(AUTOEVENTO&lt;&gt;"manual",$M58&lt;&gt;1)),
IF(Import.TipoArredondamento&lt;&gt;"TransfereGOV",
ROUND(OFFSET($P58,0,AC$13),15-13*ORÇAMENTO!$AF$7)/$H58*OFFSET(ORÇAMENTO!$X$15,ROW(AC58)-ROW(AC$15),0),
ROUND(ROUND(OFFSET($P58,0,AC$13),15-13*ORÇAMENTO!$AF$7)*OFFSET(ORÇAMENTO!$W$15,ROW(AC58)-ROW(AC$15),0),15-13*ORÇAMENTO!$AF$11)),0)</f>
        <v>0</v>
      </c>
      <c r="AD58" s="627">
        <f ca="1">IF(AND($D58="Serviço",AD$12&lt;&gt;0,$H58&gt;0,OR(AUTOEVENTO&lt;&gt;"manual",$M58&lt;&gt;1)),
IF(Import.TipoArredondamento&lt;&gt;"TransfereGOV",
ROUND(OFFSET($P58,0,AD$13),15-13*ORÇAMENTO!$AF$7)/$H58*OFFSET(ORÇAMENTO!$X$15,ROW(AD58)-ROW(AD$15),0),
ROUND(ROUND(OFFSET($P58,0,AD$13),15-13*ORÇAMENTO!$AF$7)*OFFSET(ORÇAMENTO!$W$15,ROW(AD58)-ROW(AD$15),0),15-13*ORÇAMENTO!$AF$11)),0)</f>
        <v>0</v>
      </c>
      <c r="AE58" s="627">
        <f ca="1">IF(AND($D58="Serviço",AE$12&lt;&gt;0,$H58&gt;0,OR(AUTOEVENTO&lt;&gt;"manual",$M58&lt;&gt;1)),
IF(Import.TipoArredondamento&lt;&gt;"TransfereGOV",
ROUND(OFFSET($P58,0,AE$13),15-13*ORÇAMENTO!$AF$7)/$H58*OFFSET(ORÇAMENTO!$X$15,ROW(AE58)-ROW(AE$15),0),
ROUND(ROUND(OFFSET($P58,0,AE$13),15-13*ORÇAMENTO!$AF$7)*OFFSET(ORÇAMENTO!$W$15,ROW(AE58)-ROW(AE$15),0),15-13*ORÇAMENTO!$AF$11)),0)</f>
        <v>0</v>
      </c>
      <c r="AF58" s="627">
        <f ca="1">IF(AND($D58="Serviço",AF$12&lt;&gt;0,$H58&gt;0,OR(AUTOEVENTO&lt;&gt;"manual",$M58&lt;&gt;1)),
IF(Import.TipoArredondamento&lt;&gt;"TransfereGOV",
ROUND(OFFSET($P58,0,AF$13),15-13*ORÇAMENTO!$AF$7)/$H58*OFFSET(ORÇAMENTO!$X$15,ROW(AF58)-ROW(AF$15),0),
ROUND(ROUND(OFFSET($P58,0,AF$13),15-13*ORÇAMENTO!$AF$7)*OFFSET(ORÇAMENTO!$W$15,ROW(AF58)-ROW(AF$15),0),15-13*ORÇAMENTO!$AF$11)),0)</f>
        <v>0</v>
      </c>
      <c r="AG58" s="627">
        <f ca="1">IF(AND($D58="Serviço",AG$12&lt;&gt;0,$H58&gt;0,OR(AUTOEVENTO&lt;&gt;"manual",$M58&lt;&gt;1)),
IF(Import.TipoArredondamento&lt;&gt;"TransfereGOV",
ROUND(OFFSET($P58,0,AG$13),15-13*ORÇAMENTO!$AF$7)/$H58*OFFSET(ORÇAMENTO!$X$15,ROW(AG58)-ROW(AG$15),0),
ROUND(ROUND(OFFSET($P58,0,AG$13),15-13*ORÇAMENTO!$AF$7)*OFFSET(ORÇAMENTO!$W$15,ROW(AG58)-ROW(AG$15),0),15-13*ORÇAMENTO!$AF$11)),0)</f>
        <v>0</v>
      </c>
      <c r="AH58" s="627">
        <f ca="1">IF(AND($D58="Serviço",AH$12&lt;&gt;0,$H58&gt;0,OR(AUTOEVENTO&lt;&gt;"manual",$M58&lt;&gt;1)),
IF(Import.TipoArredondamento&lt;&gt;"TransfereGOV",
ROUND(OFFSET($P58,0,AH$13),15-13*ORÇAMENTO!$AF$7)/$H58*OFFSET(ORÇAMENTO!$X$15,ROW(AH58)-ROW(AH$15),0),
ROUND(ROUND(OFFSET($P58,0,AH$13),15-13*ORÇAMENTO!$AF$7)*OFFSET(ORÇAMENTO!$W$15,ROW(AH58)-ROW(AH$15),0),15-13*ORÇAMENTO!$AF$11)),0)</f>
        <v>0</v>
      </c>
      <c r="AI58" s="627">
        <f ca="1">IF(AND($D58="Serviço",AI$12&lt;&gt;0,$H58&gt;0,OR(AUTOEVENTO&lt;&gt;"manual",$M58&lt;&gt;1)),
IF(Import.TipoArredondamento&lt;&gt;"TransfereGOV",
ROUND(OFFSET($P58,0,AI$13),15-13*ORÇAMENTO!$AF$7)/$H58*OFFSET(ORÇAMENTO!$X$15,ROW(AI58)-ROW(AI$15),0),
ROUND(ROUND(OFFSET($P58,0,AI$13),15-13*ORÇAMENTO!$AF$7)*OFFSET(ORÇAMENTO!$W$15,ROW(AI58)-ROW(AI$15),0),15-13*ORÇAMENTO!$AF$11)),0)</f>
        <v>0</v>
      </c>
      <c r="AJ58" s="627">
        <f ca="1">IF(AND($D58="Serviço",AJ$12&lt;&gt;0,$H58&gt;0,OR(AUTOEVENTO&lt;&gt;"manual",$M58&lt;&gt;1)),
IF(Import.TipoArredondamento&lt;&gt;"TransfereGOV",
ROUND(OFFSET($P58,0,AJ$13),15-13*ORÇAMENTO!$AF$7)/$H58*OFFSET(ORÇAMENTO!$X$15,ROW(AJ58)-ROW(AJ$15),0),
ROUND(ROUND(OFFSET($P58,0,AJ$13),15-13*ORÇAMENTO!$AF$7)*OFFSET(ORÇAMENTO!$W$15,ROW(AJ58)-ROW(AJ$15),0),15-13*ORÇAMENTO!$AF$11)),0)</f>
        <v>0</v>
      </c>
      <c r="AK58" s="628">
        <f ca="1">IF(AND($D58="Serviço",AK$12&lt;&gt;0,$H58&gt;0,OR(AUTOEVENTO&lt;&gt;"manual",$M58&lt;&gt;1)),
IF(Import.TipoArredondamento&lt;&gt;"TransfereGOV",
ROUND(OFFSET($P58,0,AK$13),15-13*ORÇAMENTO!$AF$7)/$H58*OFFSET(ORÇAMENTO!$X$15,ROW(AK58)-ROW(AK$15),0),
ROUND(ROUND(OFFSET($P58,0,AK$13),15-13*ORÇAMENTO!$AF$7)*OFFSET(ORÇAMENTO!$W$15,ROW(AK58)-ROW(AK$15),0),15-13*ORÇAMENTO!$AF$11)),0)</f>
        <v>0</v>
      </c>
      <c r="AM58" s="211">
        <f ca="1">IF($D58&lt;&gt;"Serviço",0,IF(AND(AUTOEVENTO="Manual",$M58=1),0,IF(OFFSET(CRONOPLE!$F$14,$M58,AM$13)="",10^12,OFFSET(CRONOPLE!$F$14,$M58,AM$13))))</f>
        <v>2</v>
      </c>
      <c r="AN58" s="211">
        <f ca="1">IF($D58&lt;&gt;"Serviço",0,IF(AND(AUTOEVENTO="Manual",$M58=1),0,IF(OFFSET(CRONOPLE!$F$14,$M58,AN$13)="",10^12,OFFSET(CRONOPLE!$F$14,$M58,AN$13))))</f>
        <v>1</v>
      </c>
      <c r="AO58" s="211">
        <f ca="1">IF($D58&lt;&gt;"Serviço",0,IF(AND(AUTOEVENTO="Manual",$M58=1),0,IF(OFFSET(CRONOPLE!$F$14,$M58,AO$13)="",10^12,OFFSET(CRONOPLE!$F$14,$M58,AO$13))))</f>
        <v>2</v>
      </c>
      <c r="AP58" s="211">
        <f ca="1">IF($D58&lt;&gt;"Serviço",0,IF(AND(AUTOEVENTO="Manual",$M58=1),0,IF(OFFSET(CRONOPLE!$F$14,$M58,AP$13)="",10^12,OFFSET(CRONOPLE!$F$14,$M58,AP$13))))</f>
        <v>2</v>
      </c>
      <c r="AQ58" s="211">
        <f ca="1">IF($D58&lt;&gt;"Serviço",0,IF(AND(AUTOEVENTO="Manual",$M58=1),0,IF(OFFSET(CRONOPLE!$F$14,$M58,AQ$13)="",10^12,OFFSET(CRONOPLE!$F$14,$M58,AQ$13))))</f>
        <v>1000000000000</v>
      </c>
      <c r="AR58" s="211">
        <f ca="1">IF($D58&lt;&gt;"Serviço",0,IF(AND(AUTOEVENTO="Manual",$M58=1),0,IF(OFFSET(CRONOPLE!$F$14,$M58,AR$13)="",10^12,OFFSET(CRONOPLE!$F$14,$M58,AR$13))))</f>
        <v>1000000000000</v>
      </c>
      <c r="AS58" s="211">
        <f ca="1">IF($D58&lt;&gt;"Serviço",0,IF(AND(AUTOEVENTO="Manual",$M58=1),0,IF(OFFSET(CRONOPLE!$F$14,$M58,AS$13)="",10^12,OFFSET(CRONOPLE!$F$14,$M58,AS$13))))</f>
        <v>1000000000000</v>
      </c>
      <c r="AT58" s="211">
        <f ca="1">IF($D58&lt;&gt;"Serviço",0,IF(AND(AUTOEVENTO="Manual",$M58=1),0,IF(OFFSET(CRONOPLE!$F$14,$M58,AT$13)="",10^12,OFFSET(CRONOPLE!$F$14,$M58,AT$13))))</f>
        <v>1000000000000</v>
      </c>
      <c r="AU58" s="211">
        <f ca="1">IF($D58&lt;&gt;"Serviço",0,IF(AND(AUTOEVENTO="Manual",$M58=1),0,IF(OFFSET(CRONOPLE!$F$14,$M58,AU$13)="",10^12,OFFSET(CRONOPLE!$F$14,$M58,AU$13))))</f>
        <v>1000000000000</v>
      </c>
      <c r="AV58" s="211">
        <f ca="1">IF($D58&lt;&gt;"Serviço",0,IF(AND(AUTOEVENTO="Manual",$M58=1),0,IF(OFFSET(CRONOPLE!$F$14,$M58,AV$13)="",10^12,OFFSET(CRONOPLE!$F$14,$M58,AV$13))))</f>
        <v>1000000000000</v>
      </c>
      <c r="AX58" s="212">
        <f ca="1">IF($D58&lt;&gt;"Serviço",0,IF(OR(AND(AUTOEVENTO="Manual",$M58=1),$M58&gt;(ROW(PLE.lastrow)-ROW(PLE.firstrow))),0,IF(OFFSET(PLE!$G$14,$M58,AX$13)="",10^12,OFFSET(PLE!$G$14,$M58,AX$13))))</f>
        <v>1000000000000</v>
      </c>
      <c r="AY58" s="212">
        <f ca="1">IF($D58&lt;&gt;"Serviço",0,IF(OR(AND(AUTOEVENTO="Manual",$M58=1),$M58&gt;(ROW(PLE.lastrow)-ROW(PLE.firstrow))),0,IF(OFFSET(PLE!$G$14,$M58,AY$13)="",10^12,OFFSET(PLE!$G$14,$M58,AY$13))))</f>
        <v>1000000000000</v>
      </c>
      <c r="AZ58" s="212">
        <f ca="1">IF($D58&lt;&gt;"Serviço",0,IF(OR(AND(AUTOEVENTO="Manual",$M58=1),$M58&gt;(ROW(PLE.lastrow)-ROW(PLE.firstrow))),0,IF(OFFSET(PLE!$G$14,$M58,AZ$13)="",10^12,OFFSET(PLE!$G$14,$M58,AZ$13))))</f>
        <v>1000000000000</v>
      </c>
      <c r="BA58" s="212">
        <f ca="1">IF($D58&lt;&gt;"Serviço",0,IF(OR(AND(AUTOEVENTO="Manual",$M58=1),$M58&gt;(ROW(PLE.lastrow)-ROW(PLE.firstrow))),0,IF(OFFSET(PLE!$G$14,$M58,BA$13)="",10^12,OFFSET(PLE!$G$14,$M58,BA$13))))</f>
        <v>1000000000000</v>
      </c>
      <c r="BB58" s="212">
        <f ca="1">IF($D58&lt;&gt;"Serviço",0,IF(OR(AND(AUTOEVENTO="Manual",$M58=1),$M58&gt;(ROW(PLE.lastrow)-ROW(PLE.firstrow))),0,IF(OFFSET(PLE!$G$14,$M58,BB$13)="",10^12,OFFSET(PLE!$G$14,$M58,BB$13))))</f>
        <v>1000000000000</v>
      </c>
      <c r="BC58" s="212">
        <f ca="1">IF($D58&lt;&gt;"Serviço",0,IF(OR(AND(AUTOEVENTO="Manual",$M58=1),$M58&gt;(ROW(PLE.lastrow)-ROW(PLE.firstrow))),0,IF(OFFSET(PLE!$G$14,$M58,BC$13)="",10^12,OFFSET(PLE!$G$14,$M58,BC$13))))</f>
        <v>1000000000000</v>
      </c>
      <c r="BD58" s="212">
        <f ca="1">IF($D58&lt;&gt;"Serviço",0,IF(OR(AND(AUTOEVENTO="Manual",$M58=1),$M58&gt;(ROW(PLE.lastrow)-ROW(PLE.firstrow))),0,IF(OFFSET(PLE!$G$14,$M58,BD$13)="",10^12,OFFSET(PLE!$G$14,$M58,BD$13))))</f>
        <v>1000000000000</v>
      </c>
      <c r="BE58" s="212">
        <f ca="1">IF($D58&lt;&gt;"Serviço",0,IF(OR(AND(AUTOEVENTO="Manual",$M58=1),$M58&gt;(ROW(PLE.lastrow)-ROW(PLE.firstrow))),0,IF(OFFSET(PLE!$G$14,$M58,BE$13)="",10^12,OFFSET(PLE!$G$14,$M58,BE$13))))</f>
        <v>1000000000000</v>
      </c>
      <c r="BF58" s="212">
        <f ca="1">IF($D58&lt;&gt;"Serviço",0,IF(OR(AND(AUTOEVENTO="Manual",$M58=1),$M58&gt;(ROW(PLE.lastrow)-ROW(PLE.firstrow))),0,IF(OFFSET(PLE!$G$14,$M58,BF$13)="",10^12,OFFSET(PLE!$G$14,$M58,BF$13))))</f>
        <v>1000000000000</v>
      </c>
      <c r="BG58" s="212">
        <f ca="1">IF($D58&lt;&gt;"Serviço",0,IF(OR(AND(AUTOEVENTO="Manual",$M58=1),$M58&gt;(ROW(PLE.lastrow)-ROW(PLE.firstrow))),0,IF(OFFSET(PLE!$G$14,$M58,BG$13)="",10^12,OFFSET(PLE!$G$14,$M58,BG$13))))</f>
        <v>1000000000000</v>
      </c>
    </row>
    <row r="59" spans="1:59" ht="13.2">
      <c r="A59" s="9" t="str">
        <f t="shared" ca="1" si="8"/>
        <v>15</v>
      </c>
      <c r="B59" s="9" t="str">
        <f ca="1">OFFSET(ORÇAMENTO!C$15,ROW(B59)-ROW(B$15),0)</f>
        <v>S</v>
      </c>
      <c r="C59" s="9" t="str">
        <f ca="1">OFFSET(ORÇAMENTO!L$15,ROW(C59)-ROW(C$15),0)</f>
        <v/>
      </c>
      <c r="D59" s="141" t="str">
        <f ca="1">OFFSET(ORÇAMENTO!N$15,ROW(D59)-ROW(D$15),0)</f>
        <v>Serviço</v>
      </c>
      <c r="E59" s="201" t="str">
        <f ca="1">OFFSET(ORÇAMENTO!O$15,ROW(E59)-ROW(E$15),0)</f>
        <v>-</v>
      </c>
      <c r="F59" s="202" t="str">
        <f ca="1">OFFSET(ORÇAMENTO!R$15,ROW(F59)-ROW(F$15),0)</f>
        <v>(abra o arquivo 'Referência 11-2024.xlsm)</v>
      </c>
      <c r="G59" s="203" t="str">
        <f ca="1">IF($D59&lt;&gt;"Serviço","",OFFSET(ORÇAMENTO!S$15,ROW(G59)-ROW(G$15),0))</f>
        <v>-</v>
      </c>
      <c r="H59" s="147">
        <f ca="1">IF($D59&lt;&gt;"Serviço",0,IF(ACOMPANHAMENTO="BM",ROUND(OFFSET(ORÇAMENTO!AJ$15,ROW(H59)-ROW(H$15),0),15-13*ORÇAMENTO!$AF$7),SUMPRODUCT(($Q$12:$AA$12&lt;&gt;"")*ROUND($Q59:$AA59,15-13*ORÇAMENTO!$AF$7))))</f>
        <v>0</v>
      </c>
      <c r="I59" s="645"/>
      <c r="K59" s="204"/>
      <c r="L59" s="205" t="s">
        <v>255</v>
      </c>
      <c r="M59" s="206">
        <f ca="1">IF($D59&lt;&gt;"Serviço","",IF(AUTOEVENTO="manual",$A59,IF(ISERROR(MATCH($A59,$A$15:OFFSET($A59,-1,0),0)),MAX($M$15:OFFSET(M59,-1,0))+1,INDEX($M$15:OFFSET(M59,-1,0),MATCH($A59,$A$15:OFFSET($A59,-1,0),0)))))</f>
        <v>6</v>
      </c>
      <c r="N59" s="207" t="str">
        <f ca="1">IF($D59&lt;&gt;"Serviço","",IF(AUTOEVENTO="Manual",IF($A59=0,"&lt;-- defina o número do agrupador",OFFSET(EVENTOS!$D$14,$A59,0)),OFFSET($F$15,$A59,0)))</f>
        <v>DRENAGEM</v>
      </c>
      <c r="O59" s="208"/>
      <c r="Q59" s="208"/>
      <c r="R59" s="209"/>
      <c r="S59" s="209"/>
      <c r="T59" s="209"/>
      <c r="U59" s="209"/>
      <c r="V59" s="209"/>
      <c r="W59" s="209"/>
      <c r="X59" s="209"/>
      <c r="Y59" s="209"/>
      <c r="Z59" s="210"/>
      <c r="AB59" s="626">
        <f ca="1">IF(AND($D59="Serviço",AB$12&lt;&gt;0,$H59&gt;0,OR(AUTOEVENTO&lt;&gt;"manual",$M59&lt;&gt;1)),
IF(Import.TipoArredondamento&lt;&gt;"TransfereGOV",
ROUND(OFFSET($P59,0,AB$13),15-13*ORÇAMENTO!$AF$7)/$H59*OFFSET(ORÇAMENTO!$X$15,ROW(AB59)-ROW(AB$15),0),
ROUND(ROUND(OFFSET($P59,0,AB$13),15-13*ORÇAMENTO!$AF$7)*OFFSET(ORÇAMENTO!$W$15,ROW(AB59)-ROW(AB$15),0),15-13*ORÇAMENTO!$AF$11)),0)</f>
        <v>0</v>
      </c>
      <c r="AC59" s="627">
        <f ca="1">IF(AND($D59="Serviço",AC$12&lt;&gt;0,$H59&gt;0,OR(AUTOEVENTO&lt;&gt;"manual",$M59&lt;&gt;1)),
IF(Import.TipoArredondamento&lt;&gt;"TransfereGOV",
ROUND(OFFSET($P59,0,AC$13),15-13*ORÇAMENTO!$AF$7)/$H59*OFFSET(ORÇAMENTO!$X$15,ROW(AC59)-ROW(AC$15),0),
ROUND(ROUND(OFFSET($P59,0,AC$13),15-13*ORÇAMENTO!$AF$7)*OFFSET(ORÇAMENTO!$W$15,ROW(AC59)-ROW(AC$15),0),15-13*ORÇAMENTO!$AF$11)),0)</f>
        <v>0</v>
      </c>
      <c r="AD59" s="627">
        <f ca="1">IF(AND($D59="Serviço",AD$12&lt;&gt;0,$H59&gt;0,OR(AUTOEVENTO&lt;&gt;"manual",$M59&lt;&gt;1)),
IF(Import.TipoArredondamento&lt;&gt;"TransfereGOV",
ROUND(OFFSET($P59,0,AD$13),15-13*ORÇAMENTO!$AF$7)/$H59*OFFSET(ORÇAMENTO!$X$15,ROW(AD59)-ROW(AD$15),0),
ROUND(ROUND(OFFSET($P59,0,AD$13),15-13*ORÇAMENTO!$AF$7)*OFFSET(ORÇAMENTO!$W$15,ROW(AD59)-ROW(AD$15),0),15-13*ORÇAMENTO!$AF$11)),0)</f>
        <v>0</v>
      </c>
      <c r="AE59" s="627">
        <f ca="1">IF(AND($D59="Serviço",AE$12&lt;&gt;0,$H59&gt;0,OR(AUTOEVENTO&lt;&gt;"manual",$M59&lt;&gt;1)),
IF(Import.TipoArredondamento&lt;&gt;"TransfereGOV",
ROUND(OFFSET($P59,0,AE$13),15-13*ORÇAMENTO!$AF$7)/$H59*OFFSET(ORÇAMENTO!$X$15,ROW(AE59)-ROW(AE$15),0),
ROUND(ROUND(OFFSET($P59,0,AE$13),15-13*ORÇAMENTO!$AF$7)*OFFSET(ORÇAMENTO!$W$15,ROW(AE59)-ROW(AE$15),0),15-13*ORÇAMENTO!$AF$11)),0)</f>
        <v>0</v>
      </c>
      <c r="AF59" s="627">
        <f ca="1">IF(AND($D59="Serviço",AF$12&lt;&gt;0,$H59&gt;0,OR(AUTOEVENTO&lt;&gt;"manual",$M59&lt;&gt;1)),
IF(Import.TipoArredondamento&lt;&gt;"TransfereGOV",
ROUND(OFFSET($P59,0,AF$13),15-13*ORÇAMENTO!$AF$7)/$H59*OFFSET(ORÇAMENTO!$X$15,ROW(AF59)-ROW(AF$15),0),
ROUND(ROUND(OFFSET($P59,0,AF$13),15-13*ORÇAMENTO!$AF$7)*OFFSET(ORÇAMENTO!$W$15,ROW(AF59)-ROW(AF$15),0),15-13*ORÇAMENTO!$AF$11)),0)</f>
        <v>0</v>
      </c>
      <c r="AG59" s="627">
        <f ca="1">IF(AND($D59="Serviço",AG$12&lt;&gt;0,$H59&gt;0,OR(AUTOEVENTO&lt;&gt;"manual",$M59&lt;&gt;1)),
IF(Import.TipoArredondamento&lt;&gt;"TransfereGOV",
ROUND(OFFSET($P59,0,AG$13),15-13*ORÇAMENTO!$AF$7)/$H59*OFFSET(ORÇAMENTO!$X$15,ROW(AG59)-ROW(AG$15),0),
ROUND(ROUND(OFFSET($P59,0,AG$13),15-13*ORÇAMENTO!$AF$7)*OFFSET(ORÇAMENTO!$W$15,ROW(AG59)-ROW(AG$15),0),15-13*ORÇAMENTO!$AF$11)),0)</f>
        <v>0</v>
      </c>
      <c r="AH59" s="627">
        <f ca="1">IF(AND($D59="Serviço",AH$12&lt;&gt;0,$H59&gt;0,OR(AUTOEVENTO&lt;&gt;"manual",$M59&lt;&gt;1)),
IF(Import.TipoArredondamento&lt;&gt;"TransfereGOV",
ROUND(OFFSET($P59,0,AH$13),15-13*ORÇAMENTO!$AF$7)/$H59*OFFSET(ORÇAMENTO!$X$15,ROW(AH59)-ROW(AH$15),0),
ROUND(ROUND(OFFSET($P59,0,AH$13),15-13*ORÇAMENTO!$AF$7)*OFFSET(ORÇAMENTO!$W$15,ROW(AH59)-ROW(AH$15),0),15-13*ORÇAMENTO!$AF$11)),0)</f>
        <v>0</v>
      </c>
      <c r="AI59" s="627">
        <f ca="1">IF(AND($D59="Serviço",AI$12&lt;&gt;0,$H59&gt;0,OR(AUTOEVENTO&lt;&gt;"manual",$M59&lt;&gt;1)),
IF(Import.TipoArredondamento&lt;&gt;"TransfereGOV",
ROUND(OFFSET($P59,0,AI$13),15-13*ORÇAMENTO!$AF$7)/$H59*OFFSET(ORÇAMENTO!$X$15,ROW(AI59)-ROW(AI$15),0),
ROUND(ROUND(OFFSET($P59,0,AI$13),15-13*ORÇAMENTO!$AF$7)*OFFSET(ORÇAMENTO!$W$15,ROW(AI59)-ROW(AI$15),0),15-13*ORÇAMENTO!$AF$11)),0)</f>
        <v>0</v>
      </c>
      <c r="AJ59" s="627">
        <f ca="1">IF(AND($D59="Serviço",AJ$12&lt;&gt;0,$H59&gt;0,OR(AUTOEVENTO&lt;&gt;"manual",$M59&lt;&gt;1)),
IF(Import.TipoArredondamento&lt;&gt;"TransfereGOV",
ROUND(OFFSET($P59,0,AJ$13),15-13*ORÇAMENTO!$AF$7)/$H59*OFFSET(ORÇAMENTO!$X$15,ROW(AJ59)-ROW(AJ$15),0),
ROUND(ROUND(OFFSET($P59,0,AJ$13),15-13*ORÇAMENTO!$AF$7)*OFFSET(ORÇAMENTO!$W$15,ROW(AJ59)-ROW(AJ$15),0),15-13*ORÇAMENTO!$AF$11)),0)</f>
        <v>0</v>
      </c>
      <c r="AK59" s="628">
        <f ca="1">IF(AND($D59="Serviço",AK$12&lt;&gt;0,$H59&gt;0,OR(AUTOEVENTO&lt;&gt;"manual",$M59&lt;&gt;1)),
IF(Import.TipoArredondamento&lt;&gt;"TransfereGOV",
ROUND(OFFSET($P59,0,AK$13),15-13*ORÇAMENTO!$AF$7)/$H59*OFFSET(ORÇAMENTO!$X$15,ROW(AK59)-ROW(AK$15),0),
ROUND(ROUND(OFFSET($P59,0,AK$13),15-13*ORÇAMENTO!$AF$7)*OFFSET(ORÇAMENTO!$W$15,ROW(AK59)-ROW(AK$15),0),15-13*ORÇAMENTO!$AF$11)),0)</f>
        <v>0</v>
      </c>
      <c r="AM59" s="211">
        <f ca="1">IF($D59&lt;&gt;"Serviço",0,IF(AND(AUTOEVENTO="Manual",$M59=1),0,IF(OFFSET(CRONOPLE!$F$14,$M59,AM$13)="",10^12,OFFSET(CRONOPLE!$F$14,$M59,AM$13))))</f>
        <v>2</v>
      </c>
      <c r="AN59" s="211">
        <f ca="1">IF($D59&lt;&gt;"Serviço",0,IF(AND(AUTOEVENTO="Manual",$M59=1),0,IF(OFFSET(CRONOPLE!$F$14,$M59,AN$13)="",10^12,OFFSET(CRONOPLE!$F$14,$M59,AN$13))))</f>
        <v>1</v>
      </c>
      <c r="AO59" s="211">
        <f ca="1">IF($D59&lt;&gt;"Serviço",0,IF(AND(AUTOEVENTO="Manual",$M59=1),0,IF(OFFSET(CRONOPLE!$F$14,$M59,AO$13)="",10^12,OFFSET(CRONOPLE!$F$14,$M59,AO$13))))</f>
        <v>2</v>
      </c>
      <c r="AP59" s="211">
        <f ca="1">IF($D59&lt;&gt;"Serviço",0,IF(AND(AUTOEVENTO="Manual",$M59=1),0,IF(OFFSET(CRONOPLE!$F$14,$M59,AP$13)="",10^12,OFFSET(CRONOPLE!$F$14,$M59,AP$13))))</f>
        <v>2</v>
      </c>
      <c r="AQ59" s="211">
        <f ca="1">IF($D59&lt;&gt;"Serviço",0,IF(AND(AUTOEVENTO="Manual",$M59=1),0,IF(OFFSET(CRONOPLE!$F$14,$M59,AQ$13)="",10^12,OFFSET(CRONOPLE!$F$14,$M59,AQ$13))))</f>
        <v>1000000000000</v>
      </c>
      <c r="AR59" s="211">
        <f ca="1">IF($D59&lt;&gt;"Serviço",0,IF(AND(AUTOEVENTO="Manual",$M59=1),0,IF(OFFSET(CRONOPLE!$F$14,$M59,AR$13)="",10^12,OFFSET(CRONOPLE!$F$14,$M59,AR$13))))</f>
        <v>1000000000000</v>
      </c>
      <c r="AS59" s="211">
        <f ca="1">IF($D59&lt;&gt;"Serviço",0,IF(AND(AUTOEVENTO="Manual",$M59=1),0,IF(OFFSET(CRONOPLE!$F$14,$M59,AS$13)="",10^12,OFFSET(CRONOPLE!$F$14,$M59,AS$13))))</f>
        <v>1000000000000</v>
      </c>
      <c r="AT59" s="211">
        <f ca="1">IF($D59&lt;&gt;"Serviço",0,IF(AND(AUTOEVENTO="Manual",$M59=1),0,IF(OFFSET(CRONOPLE!$F$14,$M59,AT$13)="",10^12,OFFSET(CRONOPLE!$F$14,$M59,AT$13))))</f>
        <v>1000000000000</v>
      </c>
      <c r="AU59" s="211">
        <f ca="1">IF($D59&lt;&gt;"Serviço",0,IF(AND(AUTOEVENTO="Manual",$M59=1),0,IF(OFFSET(CRONOPLE!$F$14,$M59,AU$13)="",10^12,OFFSET(CRONOPLE!$F$14,$M59,AU$13))))</f>
        <v>1000000000000</v>
      </c>
      <c r="AV59" s="211">
        <f ca="1">IF($D59&lt;&gt;"Serviço",0,IF(AND(AUTOEVENTO="Manual",$M59=1),0,IF(OFFSET(CRONOPLE!$F$14,$M59,AV$13)="",10^12,OFFSET(CRONOPLE!$F$14,$M59,AV$13))))</f>
        <v>1000000000000</v>
      </c>
      <c r="AX59" s="212">
        <f ca="1">IF($D59&lt;&gt;"Serviço",0,IF(OR(AND(AUTOEVENTO="Manual",$M59=1),$M59&gt;(ROW(PLE.lastrow)-ROW(PLE.firstrow))),0,IF(OFFSET(PLE!$G$14,$M59,AX$13)="",10^12,OFFSET(PLE!$G$14,$M59,AX$13))))</f>
        <v>1000000000000</v>
      </c>
      <c r="AY59" s="212">
        <f ca="1">IF($D59&lt;&gt;"Serviço",0,IF(OR(AND(AUTOEVENTO="Manual",$M59=1),$M59&gt;(ROW(PLE.lastrow)-ROW(PLE.firstrow))),0,IF(OFFSET(PLE!$G$14,$M59,AY$13)="",10^12,OFFSET(PLE!$G$14,$M59,AY$13))))</f>
        <v>1000000000000</v>
      </c>
      <c r="AZ59" s="212">
        <f ca="1">IF($D59&lt;&gt;"Serviço",0,IF(OR(AND(AUTOEVENTO="Manual",$M59=1),$M59&gt;(ROW(PLE.lastrow)-ROW(PLE.firstrow))),0,IF(OFFSET(PLE!$G$14,$M59,AZ$13)="",10^12,OFFSET(PLE!$G$14,$M59,AZ$13))))</f>
        <v>1000000000000</v>
      </c>
      <c r="BA59" s="212">
        <f ca="1">IF($D59&lt;&gt;"Serviço",0,IF(OR(AND(AUTOEVENTO="Manual",$M59=1),$M59&gt;(ROW(PLE.lastrow)-ROW(PLE.firstrow))),0,IF(OFFSET(PLE!$G$14,$M59,BA$13)="",10^12,OFFSET(PLE!$G$14,$M59,BA$13))))</f>
        <v>1000000000000</v>
      </c>
      <c r="BB59" s="212">
        <f ca="1">IF($D59&lt;&gt;"Serviço",0,IF(OR(AND(AUTOEVENTO="Manual",$M59=1),$M59&gt;(ROW(PLE.lastrow)-ROW(PLE.firstrow))),0,IF(OFFSET(PLE!$G$14,$M59,BB$13)="",10^12,OFFSET(PLE!$G$14,$M59,BB$13))))</f>
        <v>1000000000000</v>
      </c>
      <c r="BC59" s="212">
        <f ca="1">IF($D59&lt;&gt;"Serviço",0,IF(OR(AND(AUTOEVENTO="Manual",$M59=1),$M59&gt;(ROW(PLE.lastrow)-ROW(PLE.firstrow))),0,IF(OFFSET(PLE!$G$14,$M59,BC$13)="",10^12,OFFSET(PLE!$G$14,$M59,BC$13))))</f>
        <v>1000000000000</v>
      </c>
      <c r="BD59" s="212">
        <f ca="1">IF($D59&lt;&gt;"Serviço",0,IF(OR(AND(AUTOEVENTO="Manual",$M59=1),$M59&gt;(ROW(PLE.lastrow)-ROW(PLE.firstrow))),0,IF(OFFSET(PLE!$G$14,$M59,BD$13)="",10^12,OFFSET(PLE!$G$14,$M59,BD$13))))</f>
        <v>1000000000000</v>
      </c>
      <c r="BE59" s="212">
        <f ca="1">IF($D59&lt;&gt;"Serviço",0,IF(OR(AND(AUTOEVENTO="Manual",$M59=1),$M59&gt;(ROW(PLE.lastrow)-ROW(PLE.firstrow))),0,IF(OFFSET(PLE!$G$14,$M59,BE$13)="",10^12,OFFSET(PLE!$G$14,$M59,BE$13))))</f>
        <v>1000000000000</v>
      </c>
      <c r="BF59" s="212">
        <f ca="1">IF($D59&lt;&gt;"Serviço",0,IF(OR(AND(AUTOEVENTO="Manual",$M59=1),$M59&gt;(ROW(PLE.lastrow)-ROW(PLE.firstrow))),0,IF(OFFSET(PLE!$G$14,$M59,BF$13)="",10^12,OFFSET(PLE!$G$14,$M59,BF$13))))</f>
        <v>1000000000000</v>
      </c>
      <c r="BG59" s="212">
        <f ca="1">IF($D59&lt;&gt;"Serviço",0,IF(OR(AND(AUTOEVENTO="Manual",$M59=1),$M59&gt;(ROW(PLE.lastrow)-ROW(PLE.firstrow))),0,IF(OFFSET(PLE!$G$14,$M59,BG$13)="",10^12,OFFSET(PLE!$G$14,$M59,BG$13))))</f>
        <v>1000000000000</v>
      </c>
    </row>
    <row r="60" spans="1:59" ht="13.2">
      <c r="A60" s="9" t="str">
        <f t="shared" ca="1" si="8"/>
        <v>15</v>
      </c>
      <c r="B60" s="9" t="str">
        <f ca="1">OFFSET(ORÇAMENTO!C$15,ROW(B60)-ROW(B$15),0)</f>
        <v>S</v>
      </c>
      <c r="C60" s="9" t="str">
        <f ca="1">OFFSET(ORÇAMENTO!L$15,ROW(C60)-ROW(C$15),0)</f>
        <v/>
      </c>
      <c r="D60" s="141" t="str">
        <f ca="1">OFFSET(ORÇAMENTO!N$15,ROW(D60)-ROW(D$15),0)</f>
        <v>Serviço</v>
      </c>
      <c r="E60" s="201" t="str">
        <f ca="1">OFFSET(ORÇAMENTO!O$15,ROW(E60)-ROW(E$15),0)</f>
        <v>-</v>
      </c>
      <c r="F60" s="202" t="str">
        <f ca="1">OFFSET(ORÇAMENTO!R$15,ROW(F60)-ROW(F$15),0)</f>
        <v>(abra o arquivo 'Referência 11-2024.xlsm)</v>
      </c>
      <c r="G60" s="203" t="str">
        <f ca="1">IF($D60&lt;&gt;"Serviço","",OFFSET(ORÇAMENTO!S$15,ROW(G60)-ROW(G$15),0))</f>
        <v>-</v>
      </c>
      <c r="H60" s="147">
        <f ca="1">IF($D60&lt;&gt;"Serviço",0,IF(ACOMPANHAMENTO="BM",ROUND(OFFSET(ORÇAMENTO!AJ$15,ROW(H60)-ROW(H$15),0),15-13*ORÇAMENTO!$AF$7),SUMPRODUCT(($Q$12:$AA$12&lt;&gt;"")*ROUND($Q60:$AA60,15-13*ORÇAMENTO!$AF$7))))</f>
        <v>0</v>
      </c>
      <c r="I60" s="645"/>
      <c r="K60" s="204"/>
      <c r="L60" s="205" t="s">
        <v>255</v>
      </c>
      <c r="M60" s="206">
        <f ca="1">IF($D60&lt;&gt;"Serviço","",IF(AUTOEVENTO="manual",$A60,IF(ISERROR(MATCH($A60,$A$15:OFFSET($A60,-1,0),0)),MAX($M$15:OFFSET(M60,-1,0))+1,INDEX($M$15:OFFSET(M60,-1,0),MATCH($A60,$A$15:OFFSET($A60,-1,0),0)))))</f>
        <v>6</v>
      </c>
      <c r="N60" s="207" t="str">
        <f ca="1">IF($D60&lt;&gt;"Serviço","",IF(AUTOEVENTO="Manual",IF($A60=0,"&lt;-- defina o número do agrupador",OFFSET(EVENTOS!$D$14,$A60,0)),OFFSET($F$15,$A60,0)))</f>
        <v>DRENAGEM</v>
      </c>
      <c r="O60" s="208"/>
      <c r="Q60" s="208"/>
      <c r="R60" s="209"/>
      <c r="S60" s="209"/>
      <c r="T60" s="209"/>
      <c r="U60" s="209"/>
      <c r="V60" s="209"/>
      <c r="W60" s="209"/>
      <c r="X60" s="209"/>
      <c r="Y60" s="209"/>
      <c r="Z60" s="210"/>
      <c r="AB60" s="626">
        <f ca="1">IF(AND($D60="Serviço",AB$12&lt;&gt;0,$H60&gt;0,OR(AUTOEVENTO&lt;&gt;"manual",$M60&lt;&gt;1)),
IF(Import.TipoArredondamento&lt;&gt;"TransfereGOV",
ROUND(OFFSET($P60,0,AB$13),15-13*ORÇAMENTO!$AF$7)/$H60*OFFSET(ORÇAMENTO!$X$15,ROW(AB60)-ROW(AB$15),0),
ROUND(ROUND(OFFSET($P60,0,AB$13),15-13*ORÇAMENTO!$AF$7)*OFFSET(ORÇAMENTO!$W$15,ROW(AB60)-ROW(AB$15),0),15-13*ORÇAMENTO!$AF$11)),0)</f>
        <v>0</v>
      </c>
      <c r="AC60" s="627">
        <f ca="1">IF(AND($D60="Serviço",AC$12&lt;&gt;0,$H60&gt;0,OR(AUTOEVENTO&lt;&gt;"manual",$M60&lt;&gt;1)),
IF(Import.TipoArredondamento&lt;&gt;"TransfereGOV",
ROUND(OFFSET($P60,0,AC$13),15-13*ORÇAMENTO!$AF$7)/$H60*OFFSET(ORÇAMENTO!$X$15,ROW(AC60)-ROW(AC$15),0),
ROUND(ROUND(OFFSET($P60,0,AC$13),15-13*ORÇAMENTO!$AF$7)*OFFSET(ORÇAMENTO!$W$15,ROW(AC60)-ROW(AC$15),0),15-13*ORÇAMENTO!$AF$11)),0)</f>
        <v>0</v>
      </c>
      <c r="AD60" s="627">
        <f ca="1">IF(AND($D60="Serviço",AD$12&lt;&gt;0,$H60&gt;0,OR(AUTOEVENTO&lt;&gt;"manual",$M60&lt;&gt;1)),
IF(Import.TipoArredondamento&lt;&gt;"TransfereGOV",
ROUND(OFFSET($P60,0,AD$13),15-13*ORÇAMENTO!$AF$7)/$H60*OFFSET(ORÇAMENTO!$X$15,ROW(AD60)-ROW(AD$15),0),
ROUND(ROUND(OFFSET($P60,0,AD$13),15-13*ORÇAMENTO!$AF$7)*OFFSET(ORÇAMENTO!$W$15,ROW(AD60)-ROW(AD$15),0),15-13*ORÇAMENTO!$AF$11)),0)</f>
        <v>0</v>
      </c>
      <c r="AE60" s="627">
        <f ca="1">IF(AND($D60="Serviço",AE$12&lt;&gt;0,$H60&gt;0,OR(AUTOEVENTO&lt;&gt;"manual",$M60&lt;&gt;1)),
IF(Import.TipoArredondamento&lt;&gt;"TransfereGOV",
ROUND(OFFSET($P60,0,AE$13),15-13*ORÇAMENTO!$AF$7)/$H60*OFFSET(ORÇAMENTO!$X$15,ROW(AE60)-ROW(AE$15),0),
ROUND(ROUND(OFFSET($P60,0,AE$13),15-13*ORÇAMENTO!$AF$7)*OFFSET(ORÇAMENTO!$W$15,ROW(AE60)-ROW(AE$15),0),15-13*ORÇAMENTO!$AF$11)),0)</f>
        <v>0</v>
      </c>
      <c r="AF60" s="627">
        <f ca="1">IF(AND($D60="Serviço",AF$12&lt;&gt;0,$H60&gt;0,OR(AUTOEVENTO&lt;&gt;"manual",$M60&lt;&gt;1)),
IF(Import.TipoArredondamento&lt;&gt;"TransfereGOV",
ROUND(OFFSET($P60,0,AF$13),15-13*ORÇAMENTO!$AF$7)/$H60*OFFSET(ORÇAMENTO!$X$15,ROW(AF60)-ROW(AF$15),0),
ROUND(ROUND(OFFSET($P60,0,AF$13),15-13*ORÇAMENTO!$AF$7)*OFFSET(ORÇAMENTO!$W$15,ROW(AF60)-ROW(AF$15),0),15-13*ORÇAMENTO!$AF$11)),0)</f>
        <v>0</v>
      </c>
      <c r="AG60" s="627">
        <f ca="1">IF(AND($D60="Serviço",AG$12&lt;&gt;0,$H60&gt;0,OR(AUTOEVENTO&lt;&gt;"manual",$M60&lt;&gt;1)),
IF(Import.TipoArredondamento&lt;&gt;"TransfereGOV",
ROUND(OFFSET($P60,0,AG$13),15-13*ORÇAMENTO!$AF$7)/$H60*OFFSET(ORÇAMENTO!$X$15,ROW(AG60)-ROW(AG$15),0),
ROUND(ROUND(OFFSET($P60,0,AG$13),15-13*ORÇAMENTO!$AF$7)*OFFSET(ORÇAMENTO!$W$15,ROW(AG60)-ROW(AG$15),0),15-13*ORÇAMENTO!$AF$11)),0)</f>
        <v>0</v>
      </c>
      <c r="AH60" s="627">
        <f ca="1">IF(AND($D60="Serviço",AH$12&lt;&gt;0,$H60&gt;0,OR(AUTOEVENTO&lt;&gt;"manual",$M60&lt;&gt;1)),
IF(Import.TipoArredondamento&lt;&gt;"TransfereGOV",
ROUND(OFFSET($P60,0,AH$13),15-13*ORÇAMENTO!$AF$7)/$H60*OFFSET(ORÇAMENTO!$X$15,ROW(AH60)-ROW(AH$15),0),
ROUND(ROUND(OFFSET($P60,0,AH$13),15-13*ORÇAMENTO!$AF$7)*OFFSET(ORÇAMENTO!$W$15,ROW(AH60)-ROW(AH$15),0),15-13*ORÇAMENTO!$AF$11)),0)</f>
        <v>0</v>
      </c>
      <c r="AI60" s="627">
        <f ca="1">IF(AND($D60="Serviço",AI$12&lt;&gt;0,$H60&gt;0,OR(AUTOEVENTO&lt;&gt;"manual",$M60&lt;&gt;1)),
IF(Import.TipoArredondamento&lt;&gt;"TransfereGOV",
ROUND(OFFSET($P60,0,AI$13),15-13*ORÇAMENTO!$AF$7)/$H60*OFFSET(ORÇAMENTO!$X$15,ROW(AI60)-ROW(AI$15),0),
ROUND(ROUND(OFFSET($P60,0,AI$13),15-13*ORÇAMENTO!$AF$7)*OFFSET(ORÇAMENTO!$W$15,ROW(AI60)-ROW(AI$15),0),15-13*ORÇAMENTO!$AF$11)),0)</f>
        <v>0</v>
      </c>
      <c r="AJ60" s="627">
        <f ca="1">IF(AND($D60="Serviço",AJ$12&lt;&gt;0,$H60&gt;0,OR(AUTOEVENTO&lt;&gt;"manual",$M60&lt;&gt;1)),
IF(Import.TipoArredondamento&lt;&gt;"TransfereGOV",
ROUND(OFFSET($P60,0,AJ$13),15-13*ORÇAMENTO!$AF$7)/$H60*OFFSET(ORÇAMENTO!$X$15,ROW(AJ60)-ROW(AJ$15),0),
ROUND(ROUND(OFFSET($P60,0,AJ$13),15-13*ORÇAMENTO!$AF$7)*OFFSET(ORÇAMENTO!$W$15,ROW(AJ60)-ROW(AJ$15),0),15-13*ORÇAMENTO!$AF$11)),0)</f>
        <v>0</v>
      </c>
      <c r="AK60" s="628">
        <f ca="1">IF(AND($D60="Serviço",AK$12&lt;&gt;0,$H60&gt;0,OR(AUTOEVENTO&lt;&gt;"manual",$M60&lt;&gt;1)),
IF(Import.TipoArredondamento&lt;&gt;"TransfereGOV",
ROUND(OFFSET($P60,0,AK$13),15-13*ORÇAMENTO!$AF$7)/$H60*OFFSET(ORÇAMENTO!$X$15,ROW(AK60)-ROW(AK$15),0),
ROUND(ROUND(OFFSET($P60,0,AK$13),15-13*ORÇAMENTO!$AF$7)*OFFSET(ORÇAMENTO!$W$15,ROW(AK60)-ROW(AK$15),0),15-13*ORÇAMENTO!$AF$11)),0)</f>
        <v>0</v>
      </c>
      <c r="AM60" s="211">
        <f ca="1">IF($D60&lt;&gt;"Serviço",0,IF(AND(AUTOEVENTO="Manual",$M60=1),0,IF(OFFSET(CRONOPLE!$F$14,$M60,AM$13)="",10^12,OFFSET(CRONOPLE!$F$14,$M60,AM$13))))</f>
        <v>2</v>
      </c>
      <c r="AN60" s="211">
        <f ca="1">IF($D60&lt;&gt;"Serviço",0,IF(AND(AUTOEVENTO="Manual",$M60=1),0,IF(OFFSET(CRONOPLE!$F$14,$M60,AN$13)="",10^12,OFFSET(CRONOPLE!$F$14,$M60,AN$13))))</f>
        <v>1</v>
      </c>
      <c r="AO60" s="211">
        <f ca="1">IF($D60&lt;&gt;"Serviço",0,IF(AND(AUTOEVENTO="Manual",$M60=1),0,IF(OFFSET(CRONOPLE!$F$14,$M60,AO$13)="",10^12,OFFSET(CRONOPLE!$F$14,$M60,AO$13))))</f>
        <v>2</v>
      </c>
      <c r="AP60" s="211">
        <f ca="1">IF($D60&lt;&gt;"Serviço",0,IF(AND(AUTOEVENTO="Manual",$M60=1),0,IF(OFFSET(CRONOPLE!$F$14,$M60,AP$13)="",10^12,OFFSET(CRONOPLE!$F$14,$M60,AP$13))))</f>
        <v>2</v>
      </c>
      <c r="AQ60" s="211">
        <f ca="1">IF($D60&lt;&gt;"Serviço",0,IF(AND(AUTOEVENTO="Manual",$M60=1),0,IF(OFFSET(CRONOPLE!$F$14,$M60,AQ$13)="",10^12,OFFSET(CRONOPLE!$F$14,$M60,AQ$13))))</f>
        <v>1000000000000</v>
      </c>
      <c r="AR60" s="211">
        <f ca="1">IF($D60&lt;&gt;"Serviço",0,IF(AND(AUTOEVENTO="Manual",$M60=1),0,IF(OFFSET(CRONOPLE!$F$14,$M60,AR$13)="",10^12,OFFSET(CRONOPLE!$F$14,$M60,AR$13))))</f>
        <v>1000000000000</v>
      </c>
      <c r="AS60" s="211">
        <f ca="1">IF($D60&lt;&gt;"Serviço",0,IF(AND(AUTOEVENTO="Manual",$M60=1),0,IF(OFFSET(CRONOPLE!$F$14,$M60,AS$13)="",10^12,OFFSET(CRONOPLE!$F$14,$M60,AS$13))))</f>
        <v>1000000000000</v>
      </c>
      <c r="AT60" s="211">
        <f ca="1">IF($D60&lt;&gt;"Serviço",0,IF(AND(AUTOEVENTO="Manual",$M60=1),0,IF(OFFSET(CRONOPLE!$F$14,$M60,AT$13)="",10^12,OFFSET(CRONOPLE!$F$14,$M60,AT$13))))</f>
        <v>1000000000000</v>
      </c>
      <c r="AU60" s="211">
        <f ca="1">IF($D60&lt;&gt;"Serviço",0,IF(AND(AUTOEVENTO="Manual",$M60=1),0,IF(OFFSET(CRONOPLE!$F$14,$M60,AU$13)="",10^12,OFFSET(CRONOPLE!$F$14,$M60,AU$13))))</f>
        <v>1000000000000</v>
      </c>
      <c r="AV60" s="211">
        <f ca="1">IF($D60&lt;&gt;"Serviço",0,IF(AND(AUTOEVENTO="Manual",$M60=1),0,IF(OFFSET(CRONOPLE!$F$14,$M60,AV$13)="",10^12,OFFSET(CRONOPLE!$F$14,$M60,AV$13))))</f>
        <v>1000000000000</v>
      </c>
      <c r="AX60" s="212">
        <f ca="1">IF($D60&lt;&gt;"Serviço",0,IF(OR(AND(AUTOEVENTO="Manual",$M60=1),$M60&gt;(ROW(PLE.lastrow)-ROW(PLE.firstrow))),0,IF(OFFSET(PLE!$G$14,$M60,AX$13)="",10^12,OFFSET(PLE!$G$14,$M60,AX$13))))</f>
        <v>1000000000000</v>
      </c>
      <c r="AY60" s="212">
        <f ca="1">IF($D60&lt;&gt;"Serviço",0,IF(OR(AND(AUTOEVENTO="Manual",$M60=1),$M60&gt;(ROW(PLE.lastrow)-ROW(PLE.firstrow))),0,IF(OFFSET(PLE!$G$14,$M60,AY$13)="",10^12,OFFSET(PLE!$G$14,$M60,AY$13))))</f>
        <v>1000000000000</v>
      </c>
      <c r="AZ60" s="212">
        <f ca="1">IF($D60&lt;&gt;"Serviço",0,IF(OR(AND(AUTOEVENTO="Manual",$M60=1),$M60&gt;(ROW(PLE.lastrow)-ROW(PLE.firstrow))),0,IF(OFFSET(PLE!$G$14,$M60,AZ$13)="",10^12,OFFSET(PLE!$G$14,$M60,AZ$13))))</f>
        <v>1000000000000</v>
      </c>
      <c r="BA60" s="212">
        <f ca="1">IF($D60&lt;&gt;"Serviço",0,IF(OR(AND(AUTOEVENTO="Manual",$M60=1),$M60&gt;(ROW(PLE.lastrow)-ROW(PLE.firstrow))),0,IF(OFFSET(PLE!$G$14,$M60,BA$13)="",10^12,OFFSET(PLE!$G$14,$M60,BA$13))))</f>
        <v>1000000000000</v>
      </c>
      <c r="BB60" s="212">
        <f ca="1">IF($D60&lt;&gt;"Serviço",0,IF(OR(AND(AUTOEVENTO="Manual",$M60=1),$M60&gt;(ROW(PLE.lastrow)-ROW(PLE.firstrow))),0,IF(OFFSET(PLE!$G$14,$M60,BB$13)="",10^12,OFFSET(PLE!$G$14,$M60,BB$13))))</f>
        <v>1000000000000</v>
      </c>
      <c r="BC60" s="212">
        <f ca="1">IF($D60&lt;&gt;"Serviço",0,IF(OR(AND(AUTOEVENTO="Manual",$M60=1),$M60&gt;(ROW(PLE.lastrow)-ROW(PLE.firstrow))),0,IF(OFFSET(PLE!$G$14,$M60,BC$13)="",10^12,OFFSET(PLE!$G$14,$M60,BC$13))))</f>
        <v>1000000000000</v>
      </c>
      <c r="BD60" s="212">
        <f ca="1">IF($D60&lt;&gt;"Serviço",0,IF(OR(AND(AUTOEVENTO="Manual",$M60=1),$M60&gt;(ROW(PLE.lastrow)-ROW(PLE.firstrow))),0,IF(OFFSET(PLE!$G$14,$M60,BD$13)="",10^12,OFFSET(PLE!$G$14,$M60,BD$13))))</f>
        <v>1000000000000</v>
      </c>
      <c r="BE60" s="212">
        <f ca="1">IF($D60&lt;&gt;"Serviço",0,IF(OR(AND(AUTOEVENTO="Manual",$M60=1),$M60&gt;(ROW(PLE.lastrow)-ROW(PLE.firstrow))),0,IF(OFFSET(PLE!$G$14,$M60,BE$13)="",10^12,OFFSET(PLE!$G$14,$M60,BE$13))))</f>
        <v>1000000000000</v>
      </c>
      <c r="BF60" s="212">
        <f ca="1">IF($D60&lt;&gt;"Serviço",0,IF(OR(AND(AUTOEVENTO="Manual",$M60=1),$M60&gt;(ROW(PLE.lastrow)-ROW(PLE.firstrow))),0,IF(OFFSET(PLE!$G$14,$M60,BF$13)="",10^12,OFFSET(PLE!$G$14,$M60,BF$13))))</f>
        <v>1000000000000</v>
      </c>
      <c r="BG60" s="212">
        <f ca="1">IF($D60&lt;&gt;"Serviço",0,IF(OR(AND(AUTOEVENTO="Manual",$M60=1),$M60&gt;(ROW(PLE.lastrow)-ROW(PLE.firstrow))),0,IF(OFFSET(PLE!$G$14,$M60,BG$13)="",10^12,OFFSET(PLE!$G$14,$M60,BG$13))))</f>
        <v>1000000000000</v>
      </c>
    </row>
    <row r="61" spans="1:59" ht="13.2">
      <c r="A61" s="9" t="str">
        <f t="shared" ca="1" si="8"/>
        <v>15</v>
      </c>
      <c r="B61" s="9" t="str">
        <f ca="1">OFFSET(ORÇAMENTO!C$15,ROW(B61)-ROW(B$15),0)</f>
        <v>S</v>
      </c>
      <c r="C61" s="9" t="str">
        <f ca="1">OFFSET(ORÇAMENTO!L$15,ROW(C61)-ROW(C$15),0)</f>
        <v/>
      </c>
      <c r="D61" s="141" t="str">
        <f ca="1">OFFSET(ORÇAMENTO!N$15,ROW(D61)-ROW(D$15),0)</f>
        <v>Serviço</v>
      </c>
      <c r="E61" s="201" t="str">
        <f ca="1">OFFSET(ORÇAMENTO!O$15,ROW(E61)-ROW(E$15),0)</f>
        <v>-</v>
      </c>
      <c r="F61" s="202" t="str">
        <f ca="1">OFFSET(ORÇAMENTO!R$15,ROW(F61)-ROW(F$15),0)</f>
        <v>(abra o arquivo 'Referência 11-2024.xlsm)</v>
      </c>
      <c r="G61" s="203" t="str">
        <f ca="1">IF($D61&lt;&gt;"Serviço","",OFFSET(ORÇAMENTO!S$15,ROW(G61)-ROW(G$15),0))</f>
        <v>-</v>
      </c>
      <c r="H61" s="147">
        <f ca="1">IF($D61&lt;&gt;"Serviço",0,IF(ACOMPANHAMENTO="BM",ROUND(OFFSET(ORÇAMENTO!AJ$15,ROW(H61)-ROW(H$15),0),15-13*ORÇAMENTO!$AF$7),SUMPRODUCT(($Q$12:$AA$12&lt;&gt;"")*ROUND($Q61:$AA61,15-13*ORÇAMENTO!$AF$7))))</f>
        <v>0</v>
      </c>
      <c r="I61" s="645"/>
      <c r="K61" s="204"/>
      <c r="L61" s="205" t="s">
        <v>255</v>
      </c>
      <c r="M61" s="206">
        <f ca="1">IF($D61&lt;&gt;"Serviço","",IF(AUTOEVENTO="manual",$A61,IF(ISERROR(MATCH($A61,$A$15:OFFSET($A61,-1,0),0)),MAX($M$15:OFFSET(M61,-1,0))+1,INDEX($M$15:OFFSET(M61,-1,0),MATCH($A61,$A$15:OFFSET($A61,-1,0),0)))))</f>
        <v>6</v>
      </c>
      <c r="N61" s="207" t="str">
        <f ca="1">IF($D61&lt;&gt;"Serviço","",IF(AUTOEVENTO="Manual",IF($A61=0,"&lt;-- defina o número do agrupador",OFFSET(EVENTOS!$D$14,$A61,0)),OFFSET($F$15,$A61,0)))</f>
        <v>DRENAGEM</v>
      </c>
      <c r="O61" s="208"/>
      <c r="Q61" s="208"/>
      <c r="R61" s="209"/>
      <c r="S61" s="209"/>
      <c r="T61" s="209"/>
      <c r="U61" s="209"/>
      <c r="V61" s="209"/>
      <c r="W61" s="209"/>
      <c r="X61" s="209"/>
      <c r="Y61" s="209"/>
      <c r="Z61" s="210"/>
      <c r="AB61" s="626">
        <f ca="1">IF(AND($D61="Serviço",AB$12&lt;&gt;0,$H61&gt;0,OR(AUTOEVENTO&lt;&gt;"manual",$M61&lt;&gt;1)),
IF(Import.TipoArredondamento&lt;&gt;"TransfereGOV",
ROUND(OFFSET($P61,0,AB$13),15-13*ORÇAMENTO!$AF$7)/$H61*OFFSET(ORÇAMENTO!$X$15,ROW(AB61)-ROW(AB$15),0),
ROUND(ROUND(OFFSET($P61,0,AB$13),15-13*ORÇAMENTO!$AF$7)*OFFSET(ORÇAMENTO!$W$15,ROW(AB61)-ROW(AB$15),0),15-13*ORÇAMENTO!$AF$11)),0)</f>
        <v>0</v>
      </c>
      <c r="AC61" s="627">
        <f ca="1">IF(AND($D61="Serviço",AC$12&lt;&gt;0,$H61&gt;0,OR(AUTOEVENTO&lt;&gt;"manual",$M61&lt;&gt;1)),
IF(Import.TipoArredondamento&lt;&gt;"TransfereGOV",
ROUND(OFFSET($P61,0,AC$13),15-13*ORÇAMENTO!$AF$7)/$H61*OFFSET(ORÇAMENTO!$X$15,ROW(AC61)-ROW(AC$15),0),
ROUND(ROUND(OFFSET($P61,0,AC$13),15-13*ORÇAMENTO!$AF$7)*OFFSET(ORÇAMENTO!$W$15,ROW(AC61)-ROW(AC$15),0),15-13*ORÇAMENTO!$AF$11)),0)</f>
        <v>0</v>
      </c>
      <c r="AD61" s="627">
        <f ca="1">IF(AND($D61="Serviço",AD$12&lt;&gt;0,$H61&gt;0,OR(AUTOEVENTO&lt;&gt;"manual",$M61&lt;&gt;1)),
IF(Import.TipoArredondamento&lt;&gt;"TransfereGOV",
ROUND(OFFSET($P61,0,AD$13),15-13*ORÇAMENTO!$AF$7)/$H61*OFFSET(ORÇAMENTO!$X$15,ROW(AD61)-ROW(AD$15),0),
ROUND(ROUND(OFFSET($P61,0,AD$13),15-13*ORÇAMENTO!$AF$7)*OFFSET(ORÇAMENTO!$W$15,ROW(AD61)-ROW(AD$15),0),15-13*ORÇAMENTO!$AF$11)),0)</f>
        <v>0</v>
      </c>
      <c r="AE61" s="627">
        <f ca="1">IF(AND($D61="Serviço",AE$12&lt;&gt;0,$H61&gt;0,OR(AUTOEVENTO&lt;&gt;"manual",$M61&lt;&gt;1)),
IF(Import.TipoArredondamento&lt;&gt;"TransfereGOV",
ROUND(OFFSET($P61,0,AE$13),15-13*ORÇAMENTO!$AF$7)/$H61*OFFSET(ORÇAMENTO!$X$15,ROW(AE61)-ROW(AE$15),0),
ROUND(ROUND(OFFSET($P61,0,AE$13),15-13*ORÇAMENTO!$AF$7)*OFFSET(ORÇAMENTO!$W$15,ROW(AE61)-ROW(AE$15),0),15-13*ORÇAMENTO!$AF$11)),0)</f>
        <v>0</v>
      </c>
      <c r="AF61" s="627">
        <f ca="1">IF(AND($D61="Serviço",AF$12&lt;&gt;0,$H61&gt;0,OR(AUTOEVENTO&lt;&gt;"manual",$M61&lt;&gt;1)),
IF(Import.TipoArredondamento&lt;&gt;"TransfereGOV",
ROUND(OFFSET($P61,0,AF$13),15-13*ORÇAMENTO!$AF$7)/$H61*OFFSET(ORÇAMENTO!$X$15,ROW(AF61)-ROW(AF$15),0),
ROUND(ROUND(OFFSET($P61,0,AF$13),15-13*ORÇAMENTO!$AF$7)*OFFSET(ORÇAMENTO!$W$15,ROW(AF61)-ROW(AF$15),0),15-13*ORÇAMENTO!$AF$11)),0)</f>
        <v>0</v>
      </c>
      <c r="AG61" s="627">
        <f ca="1">IF(AND($D61="Serviço",AG$12&lt;&gt;0,$H61&gt;0,OR(AUTOEVENTO&lt;&gt;"manual",$M61&lt;&gt;1)),
IF(Import.TipoArredondamento&lt;&gt;"TransfereGOV",
ROUND(OFFSET($P61,0,AG$13),15-13*ORÇAMENTO!$AF$7)/$H61*OFFSET(ORÇAMENTO!$X$15,ROW(AG61)-ROW(AG$15),0),
ROUND(ROUND(OFFSET($P61,0,AG$13),15-13*ORÇAMENTO!$AF$7)*OFFSET(ORÇAMENTO!$W$15,ROW(AG61)-ROW(AG$15),0),15-13*ORÇAMENTO!$AF$11)),0)</f>
        <v>0</v>
      </c>
      <c r="AH61" s="627">
        <f ca="1">IF(AND($D61="Serviço",AH$12&lt;&gt;0,$H61&gt;0,OR(AUTOEVENTO&lt;&gt;"manual",$M61&lt;&gt;1)),
IF(Import.TipoArredondamento&lt;&gt;"TransfereGOV",
ROUND(OFFSET($P61,0,AH$13),15-13*ORÇAMENTO!$AF$7)/$H61*OFFSET(ORÇAMENTO!$X$15,ROW(AH61)-ROW(AH$15),0),
ROUND(ROUND(OFFSET($P61,0,AH$13),15-13*ORÇAMENTO!$AF$7)*OFFSET(ORÇAMENTO!$W$15,ROW(AH61)-ROW(AH$15),0),15-13*ORÇAMENTO!$AF$11)),0)</f>
        <v>0</v>
      </c>
      <c r="AI61" s="627">
        <f ca="1">IF(AND($D61="Serviço",AI$12&lt;&gt;0,$H61&gt;0,OR(AUTOEVENTO&lt;&gt;"manual",$M61&lt;&gt;1)),
IF(Import.TipoArredondamento&lt;&gt;"TransfereGOV",
ROUND(OFFSET($P61,0,AI$13),15-13*ORÇAMENTO!$AF$7)/$H61*OFFSET(ORÇAMENTO!$X$15,ROW(AI61)-ROW(AI$15),0),
ROUND(ROUND(OFFSET($P61,0,AI$13),15-13*ORÇAMENTO!$AF$7)*OFFSET(ORÇAMENTO!$W$15,ROW(AI61)-ROW(AI$15),0),15-13*ORÇAMENTO!$AF$11)),0)</f>
        <v>0</v>
      </c>
      <c r="AJ61" s="627">
        <f ca="1">IF(AND($D61="Serviço",AJ$12&lt;&gt;0,$H61&gt;0,OR(AUTOEVENTO&lt;&gt;"manual",$M61&lt;&gt;1)),
IF(Import.TipoArredondamento&lt;&gt;"TransfereGOV",
ROUND(OFFSET($P61,0,AJ$13),15-13*ORÇAMENTO!$AF$7)/$H61*OFFSET(ORÇAMENTO!$X$15,ROW(AJ61)-ROW(AJ$15),0),
ROUND(ROUND(OFFSET($P61,0,AJ$13),15-13*ORÇAMENTO!$AF$7)*OFFSET(ORÇAMENTO!$W$15,ROW(AJ61)-ROW(AJ$15),0),15-13*ORÇAMENTO!$AF$11)),0)</f>
        <v>0</v>
      </c>
      <c r="AK61" s="628">
        <f ca="1">IF(AND($D61="Serviço",AK$12&lt;&gt;0,$H61&gt;0,OR(AUTOEVENTO&lt;&gt;"manual",$M61&lt;&gt;1)),
IF(Import.TipoArredondamento&lt;&gt;"TransfereGOV",
ROUND(OFFSET($P61,0,AK$13),15-13*ORÇAMENTO!$AF$7)/$H61*OFFSET(ORÇAMENTO!$X$15,ROW(AK61)-ROW(AK$15),0),
ROUND(ROUND(OFFSET($P61,0,AK$13),15-13*ORÇAMENTO!$AF$7)*OFFSET(ORÇAMENTO!$W$15,ROW(AK61)-ROW(AK$15),0),15-13*ORÇAMENTO!$AF$11)),0)</f>
        <v>0</v>
      </c>
      <c r="AM61" s="211">
        <f ca="1">IF($D61&lt;&gt;"Serviço",0,IF(AND(AUTOEVENTO="Manual",$M61=1),0,IF(OFFSET(CRONOPLE!$F$14,$M61,AM$13)="",10^12,OFFSET(CRONOPLE!$F$14,$M61,AM$13))))</f>
        <v>2</v>
      </c>
      <c r="AN61" s="211">
        <f ca="1">IF($D61&lt;&gt;"Serviço",0,IF(AND(AUTOEVENTO="Manual",$M61=1),0,IF(OFFSET(CRONOPLE!$F$14,$M61,AN$13)="",10^12,OFFSET(CRONOPLE!$F$14,$M61,AN$13))))</f>
        <v>1</v>
      </c>
      <c r="AO61" s="211">
        <f ca="1">IF($D61&lt;&gt;"Serviço",0,IF(AND(AUTOEVENTO="Manual",$M61=1),0,IF(OFFSET(CRONOPLE!$F$14,$M61,AO$13)="",10^12,OFFSET(CRONOPLE!$F$14,$M61,AO$13))))</f>
        <v>2</v>
      </c>
      <c r="AP61" s="211">
        <f ca="1">IF($D61&lt;&gt;"Serviço",0,IF(AND(AUTOEVENTO="Manual",$M61=1),0,IF(OFFSET(CRONOPLE!$F$14,$M61,AP$13)="",10^12,OFFSET(CRONOPLE!$F$14,$M61,AP$13))))</f>
        <v>2</v>
      </c>
      <c r="AQ61" s="211">
        <f ca="1">IF($D61&lt;&gt;"Serviço",0,IF(AND(AUTOEVENTO="Manual",$M61=1),0,IF(OFFSET(CRONOPLE!$F$14,$M61,AQ$13)="",10^12,OFFSET(CRONOPLE!$F$14,$M61,AQ$13))))</f>
        <v>1000000000000</v>
      </c>
      <c r="AR61" s="211">
        <f ca="1">IF($D61&lt;&gt;"Serviço",0,IF(AND(AUTOEVENTO="Manual",$M61=1),0,IF(OFFSET(CRONOPLE!$F$14,$M61,AR$13)="",10^12,OFFSET(CRONOPLE!$F$14,$M61,AR$13))))</f>
        <v>1000000000000</v>
      </c>
      <c r="AS61" s="211">
        <f ca="1">IF($D61&lt;&gt;"Serviço",0,IF(AND(AUTOEVENTO="Manual",$M61=1),0,IF(OFFSET(CRONOPLE!$F$14,$M61,AS$13)="",10^12,OFFSET(CRONOPLE!$F$14,$M61,AS$13))))</f>
        <v>1000000000000</v>
      </c>
      <c r="AT61" s="211">
        <f ca="1">IF($D61&lt;&gt;"Serviço",0,IF(AND(AUTOEVENTO="Manual",$M61=1),0,IF(OFFSET(CRONOPLE!$F$14,$M61,AT$13)="",10^12,OFFSET(CRONOPLE!$F$14,$M61,AT$13))))</f>
        <v>1000000000000</v>
      </c>
      <c r="AU61" s="211">
        <f ca="1">IF($D61&lt;&gt;"Serviço",0,IF(AND(AUTOEVENTO="Manual",$M61=1),0,IF(OFFSET(CRONOPLE!$F$14,$M61,AU$13)="",10^12,OFFSET(CRONOPLE!$F$14,$M61,AU$13))))</f>
        <v>1000000000000</v>
      </c>
      <c r="AV61" s="211">
        <f ca="1">IF($D61&lt;&gt;"Serviço",0,IF(AND(AUTOEVENTO="Manual",$M61=1),0,IF(OFFSET(CRONOPLE!$F$14,$M61,AV$13)="",10^12,OFFSET(CRONOPLE!$F$14,$M61,AV$13))))</f>
        <v>1000000000000</v>
      </c>
      <c r="AX61" s="212">
        <f ca="1">IF($D61&lt;&gt;"Serviço",0,IF(OR(AND(AUTOEVENTO="Manual",$M61=1),$M61&gt;(ROW(PLE.lastrow)-ROW(PLE.firstrow))),0,IF(OFFSET(PLE!$G$14,$M61,AX$13)="",10^12,OFFSET(PLE!$G$14,$M61,AX$13))))</f>
        <v>1000000000000</v>
      </c>
      <c r="AY61" s="212">
        <f ca="1">IF($D61&lt;&gt;"Serviço",0,IF(OR(AND(AUTOEVENTO="Manual",$M61=1),$M61&gt;(ROW(PLE.lastrow)-ROW(PLE.firstrow))),0,IF(OFFSET(PLE!$G$14,$M61,AY$13)="",10^12,OFFSET(PLE!$G$14,$M61,AY$13))))</f>
        <v>1000000000000</v>
      </c>
      <c r="AZ61" s="212">
        <f ca="1">IF($D61&lt;&gt;"Serviço",0,IF(OR(AND(AUTOEVENTO="Manual",$M61=1),$M61&gt;(ROW(PLE.lastrow)-ROW(PLE.firstrow))),0,IF(OFFSET(PLE!$G$14,$M61,AZ$13)="",10^12,OFFSET(PLE!$G$14,$M61,AZ$13))))</f>
        <v>1000000000000</v>
      </c>
      <c r="BA61" s="212">
        <f ca="1">IF($D61&lt;&gt;"Serviço",0,IF(OR(AND(AUTOEVENTO="Manual",$M61=1),$M61&gt;(ROW(PLE.lastrow)-ROW(PLE.firstrow))),0,IF(OFFSET(PLE!$G$14,$M61,BA$13)="",10^12,OFFSET(PLE!$G$14,$M61,BA$13))))</f>
        <v>1000000000000</v>
      </c>
      <c r="BB61" s="212">
        <f ca="1">IF($D61&lt;&gt;"Serviço",0,IF(OR(AND(AUTOEVENTO="Manual",$M61=1),$M61&gt;(ROW(PLE.lastrow)-ROW(PLE.firstrow))),0,IF(OFFSET(PLE!$G$14,$M61,BB$13)="",10^12,OFFSET(PLE!$G$14,$M61,BB$13))))</f>
        <v>1000000000000</v>
      </c>
      <c r="BC61" s="212">
        <f ca="1">IF($D61&lt;&gt;"Serviço",0,IF(OR(AND(AUTOEVENTO="Manual",$M61=1),$M61&gt;(ROW(PLE.lastrow)-ROW(PLE.firstrow))),0,IF(OFFSET(PLE!$G$14,$M61,BC$13)="",10^12,OFFSET(PLE!$G$14,$M61,BC$13))))</f>
        <v>1000000000000</v>
      </c>
      <c r="BD61" s="212">
        <f ca="1">IF($D61&lt;&gt;"Serviço",0,IF(OR(AND(AUTOEVENTO="Manual",$M61=1),$M61&gt;(ROW(PLE.lastrow)-ROW(PLE.firstrow))),0,IF(OFFSET(PLE!$G$14,$M61,BD$13)="",10^12,OFFSET(PLE!$G$14,$M61,BD$13))))</f>
        <v>1000000000000</v>
      </c>
      <c r="BE61" s="212">
        <f ca="1">IF($D61&lt;&gt;"Serviço",0,IF(OR(AND(AUTOEVENTO="Manual",$M61=1),$M61&gt;(ROW(PLE.lastrow)-ROW(PLE.firstrow))),0,IF(OFFSET(PLE!$G$14,$M61,BE$13)="",10^12,OFFSET(PLE!$G$14,$M61,BE$13))))</f>
        <v>1000000000000</v>
      </c>
      <c r="BF61" s="212">
        <f ca="1">IF($D61&lt;&gt;"Serviço",0,IF(OR(AND(AUTOEVENTO="Manual",$M61=1),$M61&gt;(ROW(PLE.lastrow)-ROW(PLE.firstrow))),0,IF(OFFSET(PLE!$G$14,$M61,BF$13)="",10^12,OFFSET(PLE!$G$14,$M61,BF$13))))</f>
        <v>1000000000000</v>
      </c>
      <c r="BG61" s="212">
        <f ca="1">IF($D61&lt;&gt;"Serviço",0,IF(OR(AND(AUTOEVENTO="Manual",$M61=1),$M61&gt;(ROW(PLE.lastrow)-ROW(PLE.firstrow))),0,IF(OFFSET(PLE!$G$14,$M61,BG$13)="",10^12,OFFSET(PLE!$G$14,$M61,BG$13))))</f>
        <v>1000000000000</v>
      </c>
    </row>
    <row r="62" spans="1:59" ht="13.2">
      <c r="A62" s="9" t="str">
        <f t="shared" ca="1" si="8"/>
        <v>15</v>
      </c>
      <c r="B62" s="9" t="str">
        <f ca="1">OFFSET(ORÇAMENTO!C$15,ROW(B62)-ROW(B$15),0)</f>
        <v>S</v>
      </c>
      <c r="C62" s="9" t="str">
        <f ca="1">OFFSET(ORÇAMENTO!L$15,ROW(C62)-ROW(C$15),0)</f>
        <v/>
      </c>
      <c r="D62" s="141" t="str">
        <f ca="1">OFFSET(ORÇAMENTO!N$15,ROW(D62)-ROW(D$15),0)</f>
        <v>Serviço</v>
      </c>
      <c r="E62" s="201" t="str">
        <f ca="1">OFFSET(ORÇAMENTO!O$15,ROW(E62)-ROW(E$15),0)</f>
        <v>-</v>
      </c>
      <c r="F62" s="202" t="str">
        <f ca="1">OFFSET(ORÇAMENTO!R$15,ROW(F62)-ROW(F$15),0)</f>
        <v>(abra o arquivo 'Referência 11-2024.xlsm)</v>
      </c>
      <c r="G62" s="203" t="str">
        <f ca="1">IF($D62&lt;&gt;"Serviço","",OFFSET(ORÇAMENTO!S$15,ROW(G62)-ROW(G$15),0))</f>
        <v>-</v>
      </c>
      <c r="H62" s="147">
        <f ca="1">IF($D62&lt;&gt;"Serviço",0,IF(ACOMPANHAMENTO="BM",ROUND(OFFSET(ORÇAMENTO!AJ$15,ROW(H62)-ROW(H$15),0),15-13*ORÇAMENTO!$AF$7),SUMPRODUCT(($Q$12:$AA$12&lt;&gt;"")*ROUND($Q62:$AA62,15-13*ORÇAMENTO!$AF$7))))</f>
        <v>0</v>
      </c>
      <c r="I62" s="645"/>
      <c r="K62" s="204"/>
      <c r="L62" s="205" t="s">
        <v>255</v>
      </c>
      <c r="M62" s="206">
        <f ca="1">IF($D62&lt;&gt;"Serviço","",IF(AUTOEVENTO="manual",$A62,IF(ISERROR(MATCH($A62,$A$15:OFFSET($A62,-1,0),0)),MAX($M$15:OFFSET(M62,-1,0))+1,INDEX($M$15:OFFSET(M62,-1,0),MATCH($A62,$A$15:OFFSET($A62,-1,0),0)))))</f>
        <v>6</v>
      </c>
      <c r="N62" s="207" t="str">
        <f ca="1">IF($D62&lt;&gt;"Serviço","",IF(AUTOEVENTO="Manual",IF($A62=0,"&lt;-- defina o número do agrupador",OFFSET(EVENTOS!$D$14,$A62,0)),OFFSET($F$15,$A62,0)))</f>
        <v>DRENAGEM</v>
      </c>
      <c r="O62" s="208"/>
      <c r="Q62" s="208"/>
      <c r="R62" s="209"/>
      <c r="S62" s="209"/>
      <c r="T62" s="209"/>
      <c r="U62" s="209"/>
      <c r="V62" s="209"/>
      <c r="W62" s="209"/>
      <c r="X62" s="209"/>
      <c r="Y62" s="209"/>
      <c r="Z62" s="210"/>
      <c r="AB62" s="626">
        <f ca="1">IF(AND($D62="Serviço",AB$12&lt;&gt;0,$H62&gt;0,OR(AUTOEVENTO&lt;&gt;"manual",$M62&lt;&gt;1)),
IF(Import.TipoArredondamento&lt;&gt;"TransfereGOV",
ROUND(OFFSET($P62,0,AB$13),15-13*ORÇAMENTO!$AF$7)/$H62*OFFSET(ORÇAMENTO!$X$15,ROW(AB62)-ROW(AB$15),0),
ROUND(ROUND(OFFSET($P62,0,AB$13),15-13*ORÇAMENTO!$AF$7)*OFFSET(ORÇAMENTO!$W$15,ROW(AB62)-ROW(AB$15),0),15-13*ORÇAMENTO!$AF$11)),0)</f>
        <v>0</v>
      </c>
      <c r="AC62" s="627">
        <f ca="1">IF(AND($D62="Serviço",AC$12&lt;&gt;0,$H62&gt;0,OR(AUTOEVENTO&lt;&gt;"manual",$M62&lt;&gt;1)),
IF(Import.TipoArredondamento&lt;&gt;"TransfereGOV",
ROUND(OFFSET($P62,0,AC$13),15-13*ORÇAMENTO!$AF$7)/$H62*OFFSET(ORÇAMENTO!$X$15,ROW(AC62)-ROW(AC$15),0),
ROUND(ROUND(OFFSET($P62,0,AC$13),15-13*ORÇAMENTO!$AF$7)*OFFSET(ORÇAMENTO!$W$15,ROW(AC62)-ROW(AC$15),0),15-13*ORÇAMENTO!$AF$11)),0)</f>
        <v>0</v>
      </c>
      <c r="AD62" s="627">
        <f ca="1">IF(AND($D62="Serviço",AD$12&lt;&gt;0,$H62&gt;0,OR(AUTOEVENTO&lt;&gt;"manual",$M62&lt;&gt;1)),
IF(Import.TipoArredondamento&lt;&gt;"TransfereGOV",
ROUND(OFFSET($P62,0,AD$13),15-13*ORÇAMENTO!$AF$7)/$H62*OFFSET(ORÇAMENTO!$X$15,ROW(AD62)-ROW(AD$15),0),
ROUND(ROUND(OFFSET($P62,0,AD$13),15-13*ORÇAMENTO!$AF$7)*OFFSET(ORÇAMENTO!$W$15,ROW(AD62)-ROW(AD$15),0),15-13*ORÇAMENTO!$AF$11)),0)</f>
        <v>0</v>
      </c>
      <c r="AE62" s="627">
        <f ca="1">IF(AND($D62="Serviço",AE$12&lt;&gt;0,$H62&gt;0,OR(AUTOEVENTO&lt;&gt;"manual",$M62&lt;&gt;1)),
IF(Import.TipoArredondamento&lt;&gt;"TransfereGOV",
ROUND(OFFSET($P62,0,AE$13),15-13*ORÇAMENTO!$AF$7)/$H62*OFFSET(ORÇAMENTO!$X$15,ROW(AE62)-ROW(AE$15),0),
ROUND(ROUND(OFFSET($P62,0,AE$13),15-13*ORÇAMENTO!$AF$7)*OFFSET(ORÇAMENTO!$W$15,ROW(AE62)-ROW(AE$15),0),15-13*ORÇAMENTO!$AF$11)),0)</f>
        <v>0</v>
      </c>
      <c r="AF62" s="627">
        <f ca="1">IF(AND($D62="Serviço",AF$12&lt;&gt;0,$H62&gt;0,OR(AUTOEVENTO&lt;&gt;"manual",$M62&lt;&gt;1)),
IF(Import.TipoArredondamento&lt;&gt;"TransfereGOV",
ROUND(OFFSET($P62,0,AF$13),15-13*ORÇAMENTO!$AF$7)/$H62*OFFSET(ORÇAMENTO!$X$15,ROW(AF62)-ROW(AF$15),0),
ROUND(ROUND(OFFSET($P62,0,AF$13),15-13*ORÇAMENTO!$AF$7)*OFFSET(ORÇAMENTO!$W$15,ROW(AF62)-ROW(AF$15),0),15-13*ORÇAMENTO!$AF$11)),0)</f>
        <v>0</v>
      </c>
      <c r="AG62" s="627">
        <f ca="1">IF(AND($D62="Serviço",AG$12&lt;&gt;0,$H62&gt;0,OR(AUTOEVENTO&lt;&gt;"manual",$M62&lt;&gt;1)),
IF(Import.TipoArredondamento&lt;&gt;"TransfereGOV",
ROUND(OFFSET($P62,0,AG$13),15-13*ORÇAMENTO!$AF$7)/$H62*OFFSET(ORÇAMENTO!$X$15,ROW(AG62)-ROW(AG$15),0),
ROUND(ROUND(OFFSET($P62,0,AG$13),15-13*ORÇAMENTO!$AF$7)*OFFSET(ORÇAMENTO!$W$15,ROW(AG62)-ROW(AG$15),0),15-13*ORÇAMENTO!$AF$11)),0)</f>
        <v>0</v>
      </c>
      <c r="AH62" s="627">
        <f ca="1">IF(AND($D62="Serviço",AH$12&lt;&gt;0,$H62&gt;0,OR(AUTOEVENTO&lt;&gt;"manual",$M62&lt;&gt;1)),
IF(Import.TipoArredondamento&lt;&gt;"TransfereGOV",
ROUND(OFFSET($P62,0,AH$13),15-13*ORÇAMENTO!$AF$7)/$H62*OFFSET(ORÇAMENTO!$X$15,ROW(AH62)-ROW(AH$15),0),
ROUND(ROUND(OFFSET($P62,0,AH$13),15-13*ORÇAMENTO!$AF$7)*OFFSET(ORÇAMENTO!$W$15,ROW(AH62)-ROW(AH$15),0),15-13*ORÇAMENTO!$AF$11)),0)</f>
        <v>0</v>
      </c>
      <c r="AI62" s="627">
        <f ca="1">IF(AND($D62="Serviço",AI$12&lt;&gt;0,$H62&gt;0,OR(AUTOEVENTO&lt;&gt;"manual",$M62&lt;&gt;1)),
IF(Import.TipoArredondamento&lt;&gt;"TransfereGOV",
ROUND(OFFSET($P62,0,AI$13),15-13*ORÇAMENTO!$AF$7)/$H62*OFFSET(ORÇAMENTO!$X$15,ROW(AI62)-ROW(AI$15),0),
ROUND(ROUND(OFFSET($P62,0,AI$13),15-13*ORÇAMENTO!$AF$7)*OFFSET(ORÇAMENTO!$W$15,ROW(AI62)-ROW(AI$15),0),15-13*ORÇAMENTO!$AF$11)),0)</f>
        <v>0</v>
      </c>
      <c r="AJ62" s="627">
        <f ca="1">IF(AND($D62="Serviço",AJ$12&lt;&gt;0,$H62&gt;0,OR(AUTOEVENTO&lt;&gt;"manual",$M62&lt;&gt;1)),
IF(Import.TipoArredondamento&lt;&gt;"TransfereGOV",
ROUND(OFFSET($P62,0,AJ$13),15-13*ORÇAMENTO!$AF$7)/$H62*OFFSET(ORÇAMENTO!$X$15,ROW(AJ62)-ROW(AJ$15),0),
ROUND(ROUND(OFFSET($P62,0,AJ$13),15-13*ORÇAMENTO!$AF$7)*OFFSET(ORÇAMENTO!$W$15,ROW(AJ62)-ROW(AJ$15),0),15-13*ORÇAMENTO!$AF$11)),0)</f>
        <v>0</v>
      </c>
      <c r="AK62" s="628">
        <f ca="1">IF(AND($D62="Serviço",AK$12&lt;&gt;0,$H62&gt;0,OR(AUTOEVENTO&lt;&gt;"manual",$M62&lt;&gt;1)),
IF(Import.TipoArredondamento&lt;&gt;"TransfereGOV",
ROUND(OFFSET($P62,0,AK$13),15-13*ORÇAMENTO!$AF$7)/$H62*OFFSET(ORÇAMENTO!$X$15,ROW(AK62)-ROW(AK$15),0),
ROUND(ROUND(OFFSET($P62,0,AK$13),15-13*ORÇAMENTO!$AF$7)*OFFSET(ORÇAMENTO!$W$15,ROW(AK62)-ROW(AK$15),0),15-13*ORÇAMENTO!$AF$11)),0)</f>
        <v>0</v>
      </c>
      <c r="AM62" s="211">
        <f ca="1">IF($D62&lt;&gt;"Serviço",0,IF(AND(AUTOEVENTO="Manual",$M62=1),0,IF(OFFSET(CRONOPLE!$F$14,$M62,AM$13)="",10^12,OFFSET(CRONOPLE!$F$14,$M62,AM$13))))</f>
        <v>2</v>
      </c>
      <c r="AN62" s="211">
        <f ca="1">IF($D62&lt;&gt;"Serviço",0,IF(AND(AUTOEVENTO="Manual",$M62=1),0,IF(OFFSET(CRONOPLE!$F$14,$M62,AN$13)="",10^12,OFFSET(CRONOPLE!$F$14,$M62,AN$13))))</f>
        <v>1</v>
      </c>
      <c r="AO62" s="211">
        <f ca="1">IF($D62&lt;&gt;"Serviço",0,IF(AND(AUTOEVENTO="Manual",$M62=1),0,IF(OFFSET(CRONOPLE!$F$14,$M62,AO$13)="",10^12,OFFSET(CRONOPLE!$F$14,$M62,AO$13))))</f>
        <v>2</v>
      </c>
      <c r="AP62" s="211">
        <f ca="1">IF($D62&lt;&gt;"Serviço",0,IF(AND(AUTOEVENTO="Manual",$M62=1),0,IF(OFFSET(CRONOPLE!$F$14,$M62,AP$13)="",10^12,OFFSET(CRONOPLE!$F$14,$M62,AP$13))))</f>
        <v>2</v>
      </c>
      <c r="AQ62" s="211">
        <f ca="1">IF($D62&lt;&gt;"Serviço",0,IF(AND(AUTOEVENTO="Manual",$M62=1),0,IF(OFFSET(CRONOPLE!$F$14,$M62,AQ$13)="",10^12,OFFSET(CRONOPLE!$F$14,$M62,AQ$13))))</f>
        <v>1000000000000</v>
      </c>
      <c r="AR62" s="211">
        <f ca="1">IF($D62&lt;&gt;"Serviço",0,IF(AND(AUTOEVENTO="Manual",$M62=1),0,IF(OFFSET(CRONOPLE!$F$14,$M62,AR$13)="",10^12,OFFSET(CRONOPLE!$F$14,$M62,AR$13))))</f>
        <v>1000000000000</v>
      </c>
      <c r="AS62" s="211">
        <f ca="1">IF($D62&lt;&gt;"Serviço",0,IF(AND(AUTOEVENTO="Manual",$M62=1),0,IF(OFFSET(CRONOPLE!$F$14,$M62,AS$13)="",10^12,OFFSET(CRONOPLE!$F$14,$M62,AS$13))))</f>
        <v>1000000000000</v>
      </c>
      <c r="AT62" s="211">
        <f ca="1">IF($D62&lt;&gt;"Serviço",0,IF(AND(AUTOEVENTO="Manual",$M62=1),0,IF(OFFSET(CRONOPLE!$F$14,$M62,AT$13)="",10^12,OFFSET(CRONOPLE!$F$14,$M62,AT$13))))</f>
        <v>1000000000000</v>
      </c>
      <c r="AU62" s="211">
        <f ca="1">IF($D62&lt;&gt;"Serviço",0,IF(AND(AUTOEVENTO="Manual",$M62=1),0,IF(OFFSET(CRONOPLE!$F$14,$M62,AU$13)="",10^12,OFFSET(CRONOPLE!$F$14,$M62,AU$13))))</f>
        <v>1000000000000</v>
      </c>
      <c r="AV62" s="211">
        <f ca="1">IF($D62&lt;&gt;"Serviço",0,IF(AND(AUTOEVENTO="Manual",$M62=1),0,IF(OFFSET(CRONOPLE!$F$14,$M62,AV$13)="",10^12,OFFSET(CRONOPLE!$F$14,$M62,AV$13))))</f>
        <v>1000000000000</v>
      </c>
      <c r="AX62" s="212">
        <f ca="1">IF($D62&lt;&gt;"Serviço",0,IF(OR(AND(AUTOEVENTO="Manual",$M62=1),$M62&gt;(ROW(PLE.lastrow)-ROW(PLE.firstrow))),0,IF(OFFSET(PLE!$G$14,$M62,AX$13)="",10^12,OFFSET(PLE!$G$14,$M62,AX$13))))</f>
        <v>1000000000000</v>
      </c>
      <c r="AY62" s="212">
        <f ca="1">IF($D62&lt;&gt;"Serviço",0,IF(OR(AND(AUTOEVENTO="Manual",$M62=1),$M62&gt;(ROW(PLE.lastrow)-ROW(PLE.firstrow))),0,IF(OFFSET(PLE!$G$14,$M62,AY$13)="",10^12,OFFSET(PLE!$G$14,$M62,AY$13))))</f>
        <v>1000000000000</v>
      </c>
      <c r="AZ62" s="212">
        <f ca="1">IF($D62&lt;&gt;"Serviço",0,IF(OR(AND(AUTOEVENTO="Manual",$M62=1),$M62&gt;(ROW(PLE.lastrow)-ROW(PLE.firstrow))),0,IF(OFFSET(PLE!$G$14,$M62,AZ$13)="",10^12,OFFSET(PLE!$G$14,$M62,AZ$13))))</f>
        <v>1000000000000</v>
      </c>
      <c r="BA62" s="212">
        <f ca="1">IF($D62&lt;&gt;"Serviço",0,IF(OR(AND(AUTOEVENTO="Manual",$M62=1),$M62&gt;(ROW(PLE.lastrow)-ROW(PLE.firstrow))),0,IF(OFFSET(PLE!$G$14,$M62,BA$13)="",10^12,OFFSET(PLE!$G$14,$M62,BA$13))))</f>
        <v>1000000000000</v>
      </c>
      <c r="BB62" s="212">
        <f ca="1">IF($D62&lt;&gt;"Serviço",0,IF(OR(AND(AUTOEVENTO="Manual",$M62=1),$M62&gt;(ROW(PLE.lastrow)-ROW(PLE.firstrow))),0,IF(OFFSET(PLE!$G$14,$M62,BB$13)="",10^12,OFFSET(PLE!$G$14,$M62,BB$13))))</f>
        <v>1000000000000</v>
      </c>
      <c r="BC62" s="212">
        <f ca="1">IF($D62&lt;&gt;"Serviço",0,IF(OR(AND(AUTOEVENTO="Manual",$M62=1),$M62&gt;(ROW(PLE.lastrow)-ROW(PLE.firstrow))),0,IF(OFFSET(PLE!$G$14,$M62,BC$13)="",10^12,OFFSET(PLE!$G$14,$M62,BC$13))))</f>
        <v>1000000000000</v>
      </c>
      <c r="BD62" s="212">
        <f ca="1">IF($D62&lt;&gt;"Serviço",0,IF(OR(AND(AUTOEVENTO="Manual",$M62=1),$M62&gt;(ROW(PLE.lastrow)-ROW(PLE.firstrow))),0,IF(OFFSET(PLE!$G$14,$M62,BD$13)="",10^12,OFFSET(PLE!$G$14,$M62,BD$13))))</f>
        <v>1000000000000</v>
      </c>
      <c r="BE62" s="212">
        <f ca="1">IF($D62&lt;&gt;"Serviço",0,IF(OR(AND(AUTOEVENTO="Manual",$M62=1),$M62&gt;(ROW(PLE.lastrow)-ROW(PLE.firstrow))),0,IF(OFFSET(PLE!$G$14,$M62,BE$13)="",10^12,OFFSET(PLE!$G$14,$M62,BE$13))))</f>
        <v>1000000000000</v>
      </c>
      <c r="BF62" s="212">
        <f ca="1">IF($D62&lt;&gt;"Serviço",0,IF(OR(AND(AUTOEVENTO="Manual",$M62=1),$M62&gt;(ROW(PLE.lastrow)-ROW(PLE.firstrow))),0,IF(OFFSET(PLE!$G$14,$M62,BF$13)="",10^12,OFFSET(PLE!$G$14,$M62,BF$13))))</f>
        <v>1000000000000</v>
      </c>
      <c r="BG62" s="212">
        <f ca="1">IF($D62&lt;&gt;"Serviço",0,IF(OR(AND(AUTOEVENTO="Manual",$M62=1),$M62&gt;(ROW(PLE.lastrow)-ROW(PLE.firstrow))),0,IF(OFFSET(PLE!$G$14,$M62,BG$13)="",10^12,OFFSET(PLE!$G$14,$M62,BG$13))))</f>
        <v>1000000000000</v>
      </c>
    </row>
    <row r="63" spans="1:59" ht="13.2">
      <c r="A63" s="9" t="str">
        <f t="shared" ca="1" si="8"/>
        <v>15</v>
      </c>
      <c r="B63" s="9" t="str">
        <f ca="1">OFFSET(ORÇAMENTO!C$15,ROW(B63)-ROW(B$15),0)</f>
        <v>S</v>
      </c>
      <c r="C63" s="9" t="str">
        <f ca="1">OFFSET(ORÇAMENTO!L$15,ROW(C63)-ROW(C$15),0)</f>
        <v/>
      </c>
      <c r="D63" s="141" t="str">
        <f ca="1">OFFSET(ORÇAMENTO!N$15,ROW(D63)-ROW(D$15),0)</f>
        <v>Serviço</v>
      </c>
      <c r="E63" s="201" t="str">
        <f ca="1">OFFSET(ORÇAMENTO!O$15,ROW(E63)-ROW(E$15),0)</f>
        <v>-</v>
      </c>
      <c r="F63" s="202" t="str">
        <f ca="1">OFFSET(ORÇAMENTO!R$15,ROW(F63)-ROW(F$15),0)</f>
        <v>(abra o arquivo 'Referência 11-2024.xlsm)</v>
      </c>
      <c r="G63" s="203" t="str">
        <f ca="1">IF($D63&lt;&gt;"Serviço","",OFFSET(ORÇAMENTO!S$15,ROW(G63)-ROW(G$15),0))</f>
        <v>-</v>
      </c>
      <c r="H63" s="147">
        <f ca="1">IF($D63&lt;&gt;"Serviço",0,IF(ACOMPANHAMENTO="BM",ROUND(OFFSET(ORÇAMENTO!AJ$15,ROW(H63)-ROW(H$15),0),15-13*ORÇAMENTO!$AF$7),SUMPRODUCT(($Q$12:$AA$12&lt;&gt;"")*ROUND($Q63:$AA63,15-13*ORÇAMENTO!$AF$7))))</f>
        <v>0</v>
      </c>
      <c r="I63" s="645"/>
      <c r="K63" s="204"/>
      <c r="L63" s="205" t="s">
        <v>255</v>
      </c>
      <c r="M63" s="206">
        <f ca="1">IF($D63&lt;&gt;"Serviço","",IF(AUTOEVENTO="manual",$A63,IF(ISERROR(MATCH($A63,$A$15:OFFSET($A63,-1,0),0)),MAX($M$15:OFFSET(M63,-1,0))+1,INDEX($M$15:OFFSET(M63,-1,0),MATCH($A63,$A$15:OFFSET($A63,-1,0),0)))))</f>
        <v>6</v>
      </c>
      <c r="N63" s="207" t="str">
        <f ca="1">IF($D63&lt;&gt;"Serviço","",IF(AUTOEVENTO="Manual",IF($A63=0,"&lt;-- defina o número do agrupador",OFFSET(EVENTOS!$D$14,$A63,0)),OFFSET($F$15,$A63,0)))</f>
        <v>DRENAGEM</v>
      </c>
      <c r="O63" s="208"/>
      <c r="Q63" s="208"/>
      <c r="R63" s="209"/>
      <c r="S63" s="209"/>
      <c r="T63" s="209"/>
      <c r="U63" s="209"/>
      <c r="V63" s="209"/>
      <c r="W63" s="209"/>
      <c r="X63" s="209"/>
      <c r="Y63" s="209"/>
      <c r="Z63" s="210"/>
      <c r="AB63" s="626">
        <f ca="1">IF(AND($D63="Serviço",AB$12&lt;&gt;0,$H63&gt;0,OR(AUTOEVENTO&lt;&gt;"manual",$M63&lt;&gt;1)),
IF(Import.TipoArredondamento&lt;&gt;"TransfereGOV",
ROUND(OFFSET($P63,0,AB$13),15-13*ORÇAMENTO!$AF$7)/$H63*OFFSET(ORÇAMENTO!$X$15,ROW(AB63)-ROW(AB$15),0),
ROUND(ROUND(OFFSET($P63,0,AB$13),15-13*ORÇAMENTO!$AF$7)*OFFSET(ORÇAMENTO!$W$15,ROW(AB63)-ROW(AB$15),0),15-13*ORÇAMENTO!$AF$11)),0)</f>
        <v>0</v>
      </c>
      <c r="AC63" s="627">
        <f ca="1">IF(AND($D63="Serviço",AC$12&lt;&gt;0,$H63&gt;0,OR(AUTOEVENTO&lt;&gt;"manual",$M63&lt;&gt;1)),
IF(Import.TipoArredondamento&lt;&gt;"TransfereGOV",
ROUND(OFFSET($P63,0,AC$13),15-13*ORÇAMENTO!$AF$7)/$H63*OFFSET(ORÇAMENTO!$X$15,ROW(AC63)-ROW(AC$15),0),
ROUND(ROUND(OFFSET($P63,0,AC$13),15-13*ORÇAMENTO!$AF$7)*OFFSET(ORÇAMENTO!$W$15,ROW(AC63)-ROW(AC$15),0),15-13*ORÇAMENTO!$AF$11)),0)</f>
        <v>0</v>
      </c>
      <c r="AD63" s="627">
        <f ca="1">IF(AND($D63="Serviço",AD$12&lt;&gt;0,$H63&gt;0,OR(AUTOEVENTO&lt;&gt;"manual",$M63&lt;&gt;1)),
IF(Import.TipoArredondamento&lt;&gt;"TransfereGOV",
ROUND(OFFSET($P63,0,AD$13),15-13*ORÇAMENTO!$AF$7)/$H63*OFFSET(ORÇAMENTO!$X$15,ROW(AD63)-ROW(AD$15),0),
ROUND(ROUND(OFFSET($P63,0,AD$13),15-13*ORÇAMENTO!$AF$7)*OFFSET(ORÇAMENTO!$W$15,ROW(AD63)-ROW(AD$15),0),15-13*ORÇAMENTO!$AF$11)),0)</f>
        <v>0</v>
      </c>
      <c r="AE63" s="627">
        <f ca="1">IF(AND($D63="Serviço",AE$12&lt;&gt;0,$H63&gt;0,OR(AUTOEVENTO&lt;&gt;"manual",$M63&lt;&gt;1)),
IF(Import.TipoArredondamento&lt;&gt;"TransfereGOV",
ROUND(OFFSET($P63,0,AE$13),15-13*ORÇAMENTO!$AF$7)/$H63*OFFSET(ORÇAMENTO!$X$15,ROW(AE63)-ROW(AE$15),0),
ROUND(ROUND(OFFSET($P63,0,AE$13),15-13*ORÇAMENTO!$AF$7)*OFFSET(ORÇAMENTO!$W$15,ROW(AE63)-ROW(AE$15),0),15-13*ORÇAMENTO!$AF$11)),0)</f>
        <v>0</v>
      </c>
      <c r="AF63" s="627">
        <f ca="1">IF(AND($D63="Serviço",AF$12&lt;&gt;0,$H63&gt;0,OR(AUTOEVENTO&lt;&gt;"manual",$M63&lt;&gt;1)),
IF(Import.TipoArredondamento&lt;&gt;"TransfereGOV",
ROUND(OFFSET($P63,0,AF$13),15-13*ORÇAMENTO!$AF$7)/$H63*OFFSET(ORÇAMENTO!$X$15,ROW(AF63)-ROW(AF$15),0),
ROUND(ROUND(OFFSET($P63,0,AF$13),15-13*ORÇAMENTO!$AF$7)*OFFSET(ORÇAMENTO!$W$15,ROW(AF63)-ROW(AF$15),0),15-13*ORÇAMENTO!$AF$11)),0)</f>
        <v>0</v>
      </c>
      <c r="AG63" s="627">
        <f ca="1">IF(AND($D63="Serviço",AG$12&lt;&gt;0,$H63&gt;0,OR(AUTOEVENTO&lt;&gt;"manual",$M63&lt;&gt;1)),
IF(Import.TipoArredondamento&lt;&gt;"TransfereGOV",
ROUND(OFFSET($P63,0,AG$13),15-13*ORÇAMENTO!$AF$7)/$H63*OFFSET(ORÇAMENTO!$X$15,ROW(AG63)-ROW(AG$15),0),
ROUND(ROUND(OFFSET($P63,0,AG$13),15-13*ORÇAMENTO!$AF$7)*OFFSET(ORÇAMENTO!$W$15,ROW(AG63)-ROW(AG$15),0),15-13*ORÇAMENTO!$AF$11)),0)</f>
        <v>0</v>
      </c>
      <c r="AH63" s="627">
        <f ca="1">IF(AND($D63="Serviço",AH$12&lt;&gt;0,$H63&gt;0,OR(AUTOEVENTO&lt;&gt;"manual",$M63&lt;&gt;1)),
IF(Import.TipoArredondamento&lt;&gt;"TransfereGOV",
ROUND(OFFSET($P63,0,AH$13),15-13*ORÇAMENTO!$AF$7)/$H63*OFFSET(ORÇAMENTO!$X$15,ROW(AH63)-ROW(AH$15),0),
ROUND(ROUND(OFFSET($P63,0,AH$13),15-13*ORÇAMENTO!$AF$7)*OFFSET(ORÇAMENTO!$W$15,ROW(AH63)-ROW(AH$15),0),15-13*ORÇAMENTO!$AF$11)),0)</f>
        <v>0</v>
      </c>
      <c r="AI63" s="627">
        <f ca="1">IF(AND($D63="Serviço",AI$12&lt;&gt;0,$H63&gt;0,OR(AUTOEVENTO&lt;&gt;"manual",$M63&lt;&gt;1)),
IF(Import.TipoArredondamento&lt;&gt;"TransfereGOV",
ROUND(OFFSET($P63,0,AI$13),15-13*ORÇAMENTO!$AF$7)/$H63*OFFSET(ORÇAMENTO!$X$15,ROW(AI63)-ROW(AI$15),0),
ROUND(ROUND(OFFSET($P63,0,AI$13),15-13*ORÇAMENTO!$AF$7)*OFFSET(ORÇAMENTO!$W$15,ROW(AI63)-ROW(AI$15),0),15-13*ORÇAMENTO!$AF$11)),0)</f>
        <v>0</v>
      </c>
      <c r="AJ63" s="627">
        <f ca="1">IF(AND($D63="Serviço",AJ$12&lt;&gt;0,$H63&gt;0,OR(AUTOEVENTO&lt;&gt;"manual",$M63&lt;&gt;1)),
IF(Import.TipoArredondamento&lt;&gt;"TransfereGOV",
ROUND(OFFSET($P63,0,AJ$13),15-13*ORÇAMENTO!$AF$7)/$H63*OFFSET(ORÇAMENTO!$X$15,ROW(AJ63)-ROW(AJ$15),0),
ROUND(ROUND(OFFSET($P63,0,AJ$13),15-13*ORÇAMENTO!$AF$7)*OFFSET(ORÇAMENTO!$W$15,ROW(AJ63)-ROW(AJ$15),0),15-13*ORÇAMENTO!$AF$11)),0)</f>
        <v>0</v>
      </c>
      <c r="AK63" s="628">
        <f ca="1">IF(AND($D63="Serviço",AK$12&lt;&gt;0,$H63&gt;0,OR(AUTOEVENTO&lt;&gt;"manual",$M63&lt;&gt;1)),
IF(Import.TipoArredondamento&lt;&gt;"TransfereGOV",
ROUND(OFFSET($P63,0,AK$13),15-13*ORÇAMENTO!$AF$7)/$H63*OFFSET(ORÇAMENTO!$X$15,ROW(AK63)-ROW(AK$15),0),
ROUND(ROUND(OFFSET($P63,0,AK$13),15-13*ORÇAMENTO!$AF$7)*OFFSET(ORÇAMENTO!$W$15,ROW(AK63)-ROW(AK$15),0),15-13*ORÇAMENTO!$AF$11)),0)</f>
        <v>0</v>
      </c>
      <c r="AM63" s="211">
        <f ca="1">IF($D63&lt;&gt;"Serviço",0,IF(AND(AUTOEVENTO="Manual",$M63=1),0,IF(OFFSET(CRONOPLE!$F$14,$M63,AM$13)="",10^12,OFFSET(CRONOPLE!$F$14,$M63,AM$13))))</f>
        <v>2</v>
      </c>
      <c r="AN63" s="211">
        <f ca="1">IF($D63&lt;&gt;"Serviço",0,IF(AND(AUTOEVENTO="Manual",$M63=1),0,IF(OFFSET(CRONOPLE!$F$14,$M63,AN$13)="",10^12,OFFSET(CRONOPLE!$F$14,$M63,AN$13))))</f>
        <v>1</v>
      </c>
      <c r="AO63" s="211">
        <f ca="1">IF($D63&lt;&gt;"Serviço",0,IF(AND(AUTOEVENTO="Manual",$M63=1),0,IF(OFFSET(CRONOPLE!$F$14,$M63,AO$13)="",10^12,OFFSET(CRONOPLE!$F$14,$M63,AO$13))))</f>
        <v>2</v>
      </c>
      <c r="AP63" s="211">
        <f ca="1">IF($D63&lt;&gt;"Serviço",0,IF(AND(AUTOEVENTO="Manual",$M63=1),0,IF(OFFSET(CRONOPLE!$F$14,$M63,AP$13)="",10^12,OFFSET(CRONOPLE!$F$14,$M63,AP$13))))</f>
        <v>2</v>
      </c>
      <c r="AQ63" s="211">
        <f ca="1">IF($D63&lt;&gt;"Serviço",0,IF(AND(AUTOEVENTO="Manual",$M63=1),0,IF(OFFSET(CRONOPLE!$F$14,$M63,AQ$13)="",10^12,OFFSET(CRONOPLE!$F$14,$M63,AQ$13))))</f>
        <v>1000000000000</v>
      </c>
      <c r="AR63" s="211">
        <f ca="1">IF($D63&lt;&gt;"Serviço",0,IF(AND(AUTOEVENTO="Manual",$M63=1),0,IF(OFFSET(CRONOPLE!$F$14,$M63,AR$13)="",10^12,OFFSET(CRONOPLE!$F$14,$M63,AR$13))))</f>
        <v>1000000000000</v>
      </c>
      <c r="AS63" s="211">
        <f ca="1">IF($D63&lt;&gt;"Serviço",0,IF(AND(AUTOEVENTO="Manual",$M63=1),0,IF(OFFSET(CRONOPLE!$F$14,$M63,AS$13)="",10^12,OFFSET(CRONOPLE!$F$14,$M63,AS$13))))</f>
        <v>1000000000000</v>
      </c>
      <c r="AT63" s="211">
        <f ca="1">IF($D63&lt;&gt;"Serviço",0,IF(AND(AUTOEVENTO="Manual",$M63=1),0,IF(OFFSET(CRONOPLE!$F$14,$M63,AT$13)="",10^12,OFFSET(CRONOPLE!$F$14,$M63,AT$13))))</f>
        <v>1000000000000</v>
      </c>
      <c r="AU63" s="211">
        <f ca="1">IF($D63&lt;&gt;"Serviço",0,IF(AND(AUTOEVENTO="Manual",$M63=1),0,IF(OFFSET(CRONOPLE!$F$14,$M63,AU$13)="",10^12,OFFSET(CRONOPLE!$F$14,$M63,AU$13))))</f>
        <v>1000000000000</v>
      </c>
      <c r="AV63" s="211">
        <f ca="1">IF($D63&lt;&gt;"Serviço",0,IF(AND(AUTOEVENTO="Manual",$M63=1),0,IF(OFFSET(CRONOPLE!$F$14,$M63,AV$13)="",10^12,OFFSET(CRONOPLE!$F$14,$M63,AV$13))))</f>
        <v>1000000000000</v>
      </c>
      <c r="AX63" s="212">
        <f ca="1">IF($D63&lt;&gt;"Serviço",0,IF(OR(AND(AUTOEVENTO="Manual",$M63=1),$M63&gt;(ROW(PLE.lastrow)-ROW(PLE.firstrow))),0,IF(OFFSET(PLE!$G$14,$M63,AX$13)="",10^12,OFFSET(PLE!$G$14,$M63,AX$13))))</f>
        <v>1000000000000</v>
      </c>
      <c r="AY63" s="212">
        <f ca="1">IF($D63&lt;&gt;"Serviço",0,IF(OR(AND(AUTOEVENTO="Manual",$M63=1),$M63&gt;(ROW(PLE.lastrow)-ROW(PLE.firstrow))),0,IF(OFFSET(PLE!$G$14,$M63,AY$13)="",10^12,OFFSET(PLE!$G$14,$M63,AY$13))))</f>
        <v>1000000000000</v>
      </c>
      <c r="AZ63" s="212">
        <f ca="1">IF($D63&lt;&gt;"Serviço",0,IF(OR(AND(AUTOEVENTO="Manual",$M63=1),$M63&gt;(ROW(PLE.lastrow)-ROW(PLE.firstrow))),0,IF(OFFSET(PLE!$G$14,$M63,AZ$13)="",10^12,OFFSET(PLE!$G$14,$M63,AZ$13))))</f>
        <v>1000000000000</v>
      </c>
      <c r="BA63" s="212">
        <f ca="1">IF($D63&lt;&gt;"Serviço",0,IF(OR(AND(AUTOEVENTO="Manual",$M63=1),$M63&gt;(ROW(PLE.lastrow)-ROW(PLE.firstrow))),0,IF(OFFSET(PLE!$G$14,$M63,BA$13)="",10^12,OFFSET(PLE!$G$14,$M63,BA$13))))</f>
        <v>1000000000000</v>
      </c>
      <c r="BB63" s="212">
        <f ca="1">IF($D63&lt;&gt;"Serviço",0,IF(OR(AND(AUTOEVENTO="Manual",$M63=1),$M63&gt;(ROW(PLE.lastrow)-ROW(PLE.firstrow))),0,IF(OFFSET(PLE!$G$14,$M63,BB$13)="",10^12,OFFSET(PLE!$G$14,$M63,BB$13))))</f>
        <v>1000000000000</v>
      </c>
      <c r="BC63" s="212">
        <f ca="1">IF($D63&lt;&gt;"Serviço",0,IF(OR(AND(AUTOEVENTO="Manual",$M63=1),$M63&gt;(ROW(PLE.lastrow)-ROW(PLE.firstrow))),0,IF(OFFSET(PLE!$G$14,$M63,BC$13)="",10^12,OFFSET(PLE!$G$14,$M63,BC$13))))</f>
        <v>1000000000000</v>
      </c>
      <c r="BD63" s="212">
        <f ca="1">IF($D63&lt;&gt;"Serviço",0,IF(OR(AND(AUTOEVENTO="Manual",$M63=1),$M63&gt;(ROW(PLE.lastrow)-ROW(PLE.firstrow))),0,IF(OFFSET(PLE!$G$14,$M63,BD$13)="",10^12,OFFSET(PLE!$G$14,$M63,BD$13))))</f>
        <v>1000000000000</v>
      </c>
      <c r="BE63" s="212">
        <f ca="1">IF($D63&lt;&gt;"Serviço",0,IF(OR(AND(AUTOEVENTO="Manual",$M63=1),$M63&gt;(ROW(PLE.lastrow)-ROW(PLE.firstrow))),0,IF(OFFSET(PLE!$G$14,$M63,BE$13)="",10^12,OFFSET(PLE!$G$14,$M63,BE$13))))</f>
        <v>1000000000000</v>
      </c>
      <c r="BF63" s="212">
        <f ca="1">IF($D63&lt;&gt;"Serviço",0,IF(OR(AND(AUTOEVENTO="Manual",$M63=1),$M63&gt;(ROW(PLE.lastrow)-ROW(PLE.firstrow))),0,IF(OFFSET(PLE!$G$14,$M63,BF$13)="",10^12,OFFSET(PLE!$G$14,$M63,BF$13))))</f>
        <v>1000000000000</v>
      </c>
      <c r="BG63" s="212">
        <f ca="1">IF($D63&lt;&gt;"Serviço",0,IF(OR(AND(AUTOEVENTO="Manual",$M63=1),$M63&gt;(ROW(PLE.lastrow)-ROW(PLE.firstrow))),0,IF(OFFSET(PLE!$G$14,$M63,BG$13)="",10^12,OFFSET(PLE!$G$14,$M63,BG$13))))</f>
        <v>1000000000000</v>
      </c>
    </row>
    <row r="64" spans="1:59" ht="13.2">
      <c r="A64" s="9" t="str">
        <f t="shared" ca="1" si="8"/>
        <v>15</v>
      </c>
      <c r="B64" s="9" t="str">
        <f ca="1">OFFSET(ORÇAMENTO!C$15,ROW(B64)-ROW(B$15),0)</f>
        <v>S</v>
      </c>
      <c r="C64" s="9" t="str">
        <f ca="1">OFFSET(ORÇAMENTO!L$15,ROW(C64)-ROW(C$15),0)</f>
        <v/>
      </c>
      <c r="D64" s="141" t="str">
        <f ca="1">OFFSET(ORÇAMENTO!N$15,ROW(D64)-ROW(D$15),0)</f>
        <v>Serviço</v>
      </c>
      <c r="E64" s="201" t="str">
        <f ca="1">OFFSET(ORÇAMENTO!O$15,ROW(E64)-ROW(E$15),0)</f>
        <v>-</v>
      </c>
      <c r="F64" s="202" t="str">
        <f ca="1">OFFSET(ORÇAMENTO!R$15,ROW(F64)-ROW(F$15),0)</f>
        <v>(abra o arquivo 'Referência 11-2024.xlsm)</v>
      </c>
      <c r="G64" s="203" t="str">
        <f ca="1">IF($D64&lt;&gt;"Serviço","",OFFSET(ORÇAMENTO!S$15,ROW(G64)-ROW(G$15),0))</f>
        <v>-</v>
      </c>
      <c r="H64" s="147">
        <f ca="1">IF($D64&lt;&gt;"Serviço",0,IF(ACOMPANHAMENTO="BM",ROUND(OFFSET(ORÇAMENTO!AJ$15,ROW(H64)-ROW(H$15),0),15-13*ORÇAMENTO!$AF$7),SUMPRODUCT(($Q$12:$AA$12&lt;&gt;"")*ROUND($Q64:$AA64,15-13*ORÇAMENTO!$AF$7))))</f>
        <v>0</v>
      </c>
      <c r="I64" s="645"/>
      <c r="K64" s="204"/>
      <c r="L64" s="205" t="s">
        <v>255</v>
      </c>
      <c r="M64" s="206">
        <f ca="1">IF($D64&lt;&gt;"Serviço","",IF(AUTOEVENTO="manual",$A64,IF(ISERROR(MATCH($A64,$A$15:OFFSET($A64,-1,0),0)),MAX($M$15:OFFSET(M64,-1,0))+1,INDEX($M$15:OFFSET(M64,-1,0),MATCH($A64,$A$15:OFFSET($A64,-1,0),0)))))</f>
        <v>6</v>
      </c>
      <c r="N64" s="207" t="str">
        <f ca="1">IF($D64&lt;&gt;"Serviço","",IF(AUTOEVENTO="Manual",IF($A64=0,"&lt;-- defina o número do agrupador",OFFSET(EVENTOS!$D$14,$A64,0)),OFFSET($F$15,$A64,0)))</f>
        <v>DRENAGEM</v>
      </c>
      <c r="O64" s="208"/>
      <c r="Q64" s="208"/>
      <c r="R64" s="209"/>
      <c r="S64" s="209"/>
      <c r="T64" s="209"/>
      <c r="U64" s="209"/>
      <c r="V64" s="209"/>
      <c r="W64" s="209"/>
      <c r="X64" s="209"/>
      <c r="Y64" s="209"/>
      <c r="Z64" s="210"/>
      <c r="AB64" s="626">
        <f ca="1">IF(AND($D64="Serviço",AB$12&lt;&gt;0,$H64&gt;0,OR(AUTOEVENTO&lt;&gt;"manual",$M64&lt;&gt;1)),
IF(Import.TipoArredondamento&lt;&gt;"TransfereGOV",
ROUND(OFFSET($P64,0,AB$13),15-13*ORÇAMENTO!$AF$7)/$H64*OFFSET(ORÇAMENTO!$X$15,ROW(AB64)-ROW(AB$15),0),
ROUND(ROUND(OFFSET($P64,0,AB$13),15-13*ORÇAMENTO!$AF$7)*OFFSET(ORÇAMENTO!$W$15,ROW(AB64)-ROW(AB$15),0),15-13*ORÇAMENTO!$AF$11)),0)</f>
        <v>0</v>
      </c>
      <c r="AC64" s="627">
        <f ca="1">IF(AND($D64="Serviço",AC$12&lt;&gt;0,$H64&gt;0,OR(AUTOEVENTO&lt;&gt;"manual",$M64&lt;&gt;1)),
IF(Import.TipoArredondamento&lt;&gt;"TransfereGOV",
ROUND(OFFSET($P64,0,AC$13),15-13*ORÇAMENTO!$AF$7)/$H64*OFFSET(ORÇAMENTO!$X$15,ROW(AC64)-ROW(AC$15),0),
ROUND(ROUND(OFFSET($P64,0,AC$13),15-13*ORÇAMENTO!$AF$7)*OFFSET(ORÇAMENTO!$W$15,ROW(AC64)-ROW(AC$15),0),15-13*ORÇAMENTO!$AF$11)),0)</f>
        <v>0</v>
      </c>
      <c r="AD64" s="627">
        <f ca="1">IF(AND($D64="Serviço",AD$12&lt;&gt;0,$H64&gt;0,OR(AUTOEVENTO&lt;&gt;"manual",$M64&lt;&gt;1)),
IF(Import.TipoArredondamento&lt;&gt;"TransfereGOV",
ROUND(OFFSET($P64,0,AD$13),15-13*ORÇAMENTO!$AF$7)/$H64*OFFSET(ORÇAMENTO!$X$15,ROW(AD64)-ROW(AD$15),0),
ROUND(ROUND(OFFSET($P64,0,AD$13),15-13*ORÇAMENTO!$AF$7)*OFFSET(ORÇAMENTO!$W$15,ROW(AD64)-ROW(AD$15),0),15-13*ORÇAMENTO!$AF$11)),0)</f>
        <v>0</v>
      </c>
      <c r="AE64" s="627">
        <f ca="1">IF(AND($D64="Serviço",AE$12&lt;&gt;0,$H64&gt;0,OR(AUTOEVENTO&lt;&gt;"manual",$M64&lt;&gt;1)),
IF(Import.TipoArredondamento&lt;&gt;"TransfereGOV",
ROUND(OFFSET($P64,0,AE$13),15-13*ORÇAMENTO!$AF$7)/$H64*OFFSET(ORÇAMENTO!$X$15,ROW(AE64)-ROW(AE$15),0),
ROUND(ROUND(OFFSET($P64,0,AE$13),15-13*ORÇAMENTO!$AF$7)*OFFSET(ORÇAMENTO!$W$15,ROW(AE64)-ROW(AE$15),0),15-13*ORÇAMENTO!$AF$11)),0)</f>
        <v>0</v>
      </c>
      <c r="AF64" s="627">
        <f ca="1">IF(AND($D64="Serviço",AF$12&lt;&gt;0,$H64&gt;0,OR(AUTOEVENTO&lt;&gt;"manual",$M64&lt;&gt;1)),
IF(Import.TipoArredondamento&lt;&gt;"TransfereGOV",
ROUND(OFFSET($P64,0,AF$13),15-13*ORÇAMENTO!$AF$7)/$H64*OFFSET(ORÇAMENTO!$X$15,ROW(AF64)-ROW(AF$15),0),
ROUND(ROUND(OFFSET($P64,0,AF$13),15-13*ORÇAMENTO!$AF$7)*OFFSET(ORÇAMENTO!$W$15,ROW(AF64)-ROW(AF$15),0),15-13*ORÇAMENTO!$AF$11)),0)</f>
        <v>0</v>
      </c>
      <c r="AG64" s="627">
        <f ca="1">IF(AND($D64="Serviço",AG$12&lt;&gt;0,$H64&gt;0,OR(AUTOEVENTO&lt;&gt;"manual",$M64&lt;&gt;1)),
IF(Import.TipoArredondamento&lt;&gt;"TransfereGOV",
ROUND(OFFSET($P64,0,AG$13),15-13*ORÇAMENTO!$AF$7)/$H64*OFFSET(ORÇAMENTO!$X$15,ROW(AG64)-ROW(AG$15),0),
ROUND(ROUND(OFFSET($P64,0,AG$13),15-13*ORÇAMENTO!$AF$7)*OFFSET(ORÇAMENTO!$W$15,ROW(AG64)-ROW(AG$15),0),15-13*ORÇAMENTO!$AF$11)),0)</f>
        <v>0</v>
      </c>
      <c r="AH64" s="627">
        <f ca="1">IF(AND($D64="Serviço",AH$12&lt;&gt;0,$H64&gt;0,OR(AUTOEVENTO&lt;&gt;"manual",$M64&lt;&gt;1)),
IF(Import.TipoArredondamento&lt;&gt;"TransfereGOV",
ROUND(OFFSET($P64,0,AH$13),15-13*ORÇAMENTO!$AF$7)/$H64*OFFSET(ORÇAMENTO!$X$15,ROW(AH64)-ROW(AH$15),0),
ROUND(ROUND(OFFSET($P64,0,AH$13),15-13*ORÇAMENTO!$AF$7)*OFFSET(ORÇAMENTO!$W$15,ROW(AH64)-ROW(AH$15),0),15-13*ORÇAMENTO!$AF$11)),0)</f>
        <v>0</v>
      </c>
      <c r="AI64" s="627">
        <f ca="1">IF(AND($D64="Serviço",AI$12&lt;&gt;0,$H64&gt;0,OR(AUTOEVENTO&lt;&gt;"manual",$M64&lt;&gt;1)),
IF(Import.TipoArredondamento&lt;&gt;"TransfereGOV",
ROUND(OFFSET($P64,0,AI$13),15-13*ORÇAMENTO!$AF$7)/$H64*OFFSET(ORÇAMENTO!$X$15,ROW(AI64)-ROW(AI$15),0),
ROUND(ROUND(OFFSET($P64,0,AI$13),15-13*ORÇAMENTO!$AF$7)*OFFSET(ORÇAMENTO!$W$15,ROW(AI64)-ROW(AI$15),0),15-13*ORÇAMENTO!$AF$11)),0)</f>
        <v>0</v>
      </c>
      <c r="AJ64" s="627">
        <f ca="1">IF(AND($D64="Serviço",AJ$12&lt;&gt;0,$H64&gt;0,OR(AUTOEVENTO&lt;&gt;"manual",$M64&lt;&gt;1)),
IF(Import.TipoArredondamento&lt;&gt;"TransfereGOV",
ROUND(OFFSET($P64,0,AJ$13),15-13*ORÇAMENTO!$AF$7)/$H64*OFFSET(ORÇAMENTO!$X$15,ROW(AJ64)-ROW(AJ$15),0),
ROUND(ROUND(OFFSET($P64,0,AJ$13),15-13*ORÇAMENTO!$AF$7)*OFFSET(ORÇAMENTO!$W$15,ROW(AJ64)-ROW(AJ$15),0),15-13*ORÇAMENTO!$AF$11)),0)</f>
        <v>0</v>
      </c>
      <c r="AK64" s="628">
        <f ca="1">IF(AND($D64="Serviço",AK$12&lt;&gt;0,$H64&gt;0,OR(AUTOEVENTO&lt;&gt;"manual",$M64&lt;&gt;1)),
IF(Import.TipoArredondamento&lt;&gt;"TransfereGOV",
ROUND(OFFSET($P64,0,AK$13),15-13*ORÇAMENTO!$AF$7)/$H64*OFFSET(ORÇAMENTO!$X$15,ROW(AK64)-ROW(AK$15),0),
ROUND(ROUND(OFFSET($P64,0,AK$13),15-13*ORÇAMENTO!$AF$7)*OFFSET(ORÇAMENTO!$W$15,ROW(AK64)-ROW(AK$15),0),15-13*ORÇAMENTO!$AF$11)),0)</f>
        <v>0</v>
      </c>
      <c r="AM64" s="211">
        <f ca="1">IF($D64&lt;&gt;"Serviço",0,IF(AND(AUTOEVENTO="Manual",$M64=1),0,IF(OFFSET(CRONOPLE!$F$14,$M64,AM$13)="",10^12,OFFSET(CRONOPLE!$F$14,$M64,AM$13))))</f>
        <v>2</v>
      </c>
      <c r="AN64" s="211">
        <f ca="1">IF($D64&lt;&gt;"Serviço",0,IF(AND(AUTOEVENTO="Manual",$M64=1),0,IF(OFFSET(CRONOPLE!$F$14,$M64,AN$13)="",10^12,OFFSET(CRONOPLE!$F$14,$M64,AN$13))))</f>
        <v>1</v>
      </c>
      <c r="AO64" s="211">
        <f ca="1">IF($D64&lt;&gt;"Serviço",0,IF(AND(AUTOEVENTO="Manual",$M64=1),0,IF(OFFSET(CRONOPLE!$F$14,$M64,AO$13)="",10^12,OFFSET(CRONOPLE!$F$14,$M64,AO$13))))</f>
        <v>2</v>
      </c>
      <c r="AP64" s="211">
        <f ca="1">IF($D64&lt;&gt;"Serviço",0,IF(AND(AUTOEVENTO="Manual",$M64=1),0,IF(OFFSET(CRONOPLE!$F$14,$M64,AP$13)="",10^12,OFFSET(CRONOPLE!$F$14,$M64,AP$13))))</f>
        <v>2</v>
      </c>
      <c r="AQ64" s="211">
        <f ca="1">IF($D64&lt;&gt;"Serviço",0,IF(AND(AUTOEVENTO="Manual",$M64=1),0,IF(OFFSET(CRONOPLE!$F$14,$M64,AQ$13)="",10^12,OFFSET(CRONOPLE!$F$14,$M64,AQ$13))))</f>
        <v>1000000000000</v>
      </c>
      <c r="AR64" s="211">
        <f ca="1">IF($D64&lt;&gt;"Serviço",0,IF(AND(AUTOEVENTO="Manual",$M64=1),0,IF(OFFSET(CRONOPLE!$F$14,$M64,AR$13)="",10^12,OFFSET(CRONOPLE!$F$14,$M64,AR$13))))</f>
        <v>1000000000000</v>
      </c>
      <c r="AS64" s="211">
        <f ca="1">IF($D64&lt;&gt;"Serviço",0,IF(AND(AUTOEVENTO="Manual",$M64=1),0,IF(OFFSET(CRONOPLE!$F$14,$M64,AS$13)="",10^12,OFFSET(CRONOPLE!$F$14,$M64,AS$13))))</f>
        <v>1000000000000</v>
      </c>
      <c r="AT64" s="211">
        <f ca="1">IF($D64&lt;&gt;"Serviço",0,IF(AND(AUTOEVENTO="Manual",$M64=1),0,IF(OFFSET(CRONOPLE!$F$14,$M64,AT$13)="",10^12,OFFSET(CRONOPLE!$F$14,$M64,AT$13))))</f>
        <v>1000000000000</v>
      </c>
      <c r="AU64" s="211">
        <f ca="1">IF($D64&lt;&gt;"Serviço",0,IF(AND(AUTOEVENTO="Manual",$M64=1),0,IF(OFFSET(CRONOPLE!$F$14,$M64,AU$13)="",10^12,OFFSET(CRONOPLE!$F$14,$M64,AU$13))))</f>
        <v>1000000000000</v>
      </c>
      <c r="AV64" s="211">
        <f ca="1">IF($D64&lt;&gt;"Serviço",0,IF(AND(AUTOEVENTO="Manual",$M64=1),0,IF(OFFSET(CRONOPLE!$F$14,$M64,AV$13)="",10^12,OFFSET(CRONOPLE!$F$14,$M64,AV$13))))</f>
        <v>1000000000000</v>
      </c>
      <c r="AX64" s="212">
        <f ca="1">IF($D64&lt;&gt;"Serviço",0,IF(OR(AND(AUTOEVENTO="Manual",$M64=1),$M64&gt;(ROW(PLE.lastrow)-ROW(PLE.firstrow))),0,IF(OFFSET(PLE!$G$14,$M64,AX$13)="",10^12,OFFSET(PLE!$G$14,$M64,AX$13))))</f>
        <v>1000000000000</v>
      </c>
      <c r="AY64" s="212">
        <f ca="1">IF($D64&lt;&gt;"Serviço",0,IF(OR(AND(AUTOEVENTO="Manual",$M64=1),$M64&gt;(ROW(PLE.lastrow)-ROW(PLE.firstrow))),0,IF(OFFSET(PLE!$G$14,$M64,AY$13)="",10^12,OFFSET(PLE!$G$14,$M64,AY$13))))</f>
        <v>1000000000000</v>
      </c>
      <c r="AZ64" s="212">
        <f ca="1">IF($D64&lt;&gt;"Serviço",0,IF(OR(AND(AUTOEVENTO="Manual",$M64=1),$M64&gt;(ROW(PLE.lastrow)-ROW(PLE.firstrow))),0,IF(OFFSET(PLE!$G$14,$M64,AZ$13)="",10^12,OFFSET(PLE!$G$14,$M64,AZ$13))))</f>
        <v>1000000000000</v>
      </c>
      <c r="BA64" s="212">
        <f ca="1">IF($D64&lt;&gt;"Serviço",0,IF(OR(AND(AUTOEVENTO="Manual",$M64=1),$M64&gt;(ROW(PLE.lastrow)-ROW(PLE.firstrow))),0,IF(OFFSET(PLE!$G$14,$M64,BA$13)="",10^12,OFFSET(PLE!$G$14,$M64,BA$13))))</f>
        <v>1000000000000</v>
      </c>
      <c r="BB64" s="212">
        <f ca="1">IF($D64&lt;&gt;"Serviço",0,IF(OR(AND(AUTOEVENTO="Manual",$M64=1),$M64&gt;(ROW(PLE.lastrow)-ROW(PLE.firstrow))),0,IF(OFFSET(PLE!$G$14,$M64,BB$13)="",10^12,OFFSET(PLE!$G$14,$M64,BB$13))))</f>
        <v>1000000000000</v>
      </c>
      <c r="BC64" s="212">
        <f ca="1">IF($D64&lt;&gt;"Serviço",0,IF(OR(AND(AUTOEVENTO="Manual",$M64=1),$M64&gt;(ROW(PLE.lastrow)-ROW(PLE.firstrow))),0,IF(OFFSET(PLE!$G$14,$M64,BC$13)="",10^12,OFFSET(PLE!$G$14,$M64,BC$13))))</f>
        <v>1000000000000</v>
      </c>
      <c r="BD64" s="212">
        <f ca="1">IF($D64&lt;&gt;"Serviço",0,IF(OR(AND(AUTOEVENTO="Manual",$M64=1),$M64&gt;(ROW(PLE.lastrow)-ROW(PLE.firstrow))),0,IF(OFFSET(PLE!$G$14,$M64,BD$13)="",10^12,OFFSET(PLE!$G$14,$M64,BD$13))))</f>
        <v>1000000000000</v>
      </c>
      <c r="BE64" s="212">
        <f ca="1">IF($D64&lt;&gt;"Serviço",0,IF(OR(AND(AUTOEVENTO="Manual",$M64=1),$M64&gt;(ROW(PLE.lastrow)-ROW(PLE.firstrow))),0,IF(OFFSET(PLE!$G$14,$M64,BE$13)="",10^12,OFFSET(PLE!$G$14,$M64,BE$13))))</f>
        <v>1000000000000</v>
      </c>
      <c r="BF64" s="212">
        <f ca="1">IF($D64&lt;&gt;"Serviço",0,IF(OR(AND(AUTOEVENTO="Manual",$M64=1),$M64&gt;(ROW(PLE.lastrow)-ROW(PLE.firstrow))),0,IF(OFFSET(PLE!$G$14,$M64,BF$13)="",10^12,OFFSET(PLE!$G$14,$M64,BF$13))))</f>
        <v>1000000000000</v>
      </c>
      <c r="BG64" s="212">
        <f ca="1">IF($D64&lt;&gt;"Serviço",0,IF(OR(AND(AUTOEVENTO="Manual",$M64=1),$M64&gt;(ROW(PLE.lastrow)-ROW(PLE.firstrow))),0,IF(OFFSET(PLE!$G$14,$M64,BG$13)="",10^12,OFFSET(PLE!$G$14,$M64,BG$13))))</f>
        <v>1000000000000</v>
      </c>
    </row>
    <row r="65" spans="1:59" ht="13.2">
      <c r="A65" s="9" t="str">
        <f t="shared" ca="1" si="8"/>
        <v>15</v>
      </c>
      <c r="B65" s="9" t="str">
        <f ca="1">OFFSET(ORÇAMENTO!C$15,ROW(B65)-ROW(B$15),0)</f>
        <v>S</v>
      </c>
      <c r="C65" s="9" t="str">
        <f ca="1">OFFSET(ORÇAMENTO!L$15,ROW(C65)-ROW(C$15),0)</f>
        <v/>
      </c>
      <c r="D65" s="141" t="str">
        <f ca="1">OFFSET(ORÇAMENTO!N$15,ROW(D65)-ROW(D$15),0)</f>
        <v>Serviço</v>
      </c>
      <c r="E65" s="201" t="str">
        <f ca="1">OFFSET(ORÇAMENTO!O$15,ROW(E65)-ROW(E$15),0)</f>
        <v>-</v>
      </c>
      <c r="F65" s="202" t="str">
        <f ca="1">OFFSET(ORÇAMENTO!R$15,ROW(F65)-ROW(F$15),0)</f>
        <v>(abra o arquivo 'Referência 11-2024.xlsm)</v>
      </c>
      <c r="G65" s="203" t="str">
        <f ca="1">IF($D65&lt;&gt;"Serviço","",OFFSET(ORÇAMENTO!S$15,ROW(G65)-ROW(G$15),0))</f>
        <v>-</v>
      </c>
      <c r="H65" s="147">
        <f ca="1">IF($D65&lt;&gt;"Serviço",0,IF(ACOMPANHAMENTO="BM",ROUND(OFFSET(ORÇAMENTO!AJ$15,ROW(H65)-ROW(H$15),0),15-13*ORÇAMENTO!$AF$7),SUMPRODUCT(($Q$12:$AA$12&lt;&gt;"")*ROUND($Q65:$AA65,15-13*ORÇAMENTO!$AF$7))))</f>
        <v>0</v>
      </c>
      <c r="I65" s="645"/>
      <c r="K65" s="204"/>
      <c r="L65" s="205" t="s">
        <v>255</v>
      </c>
      <c r="M65" s="206">
        <f ca="1">IF($D65&lt;&gt;"Serviço","",IF(AUTOEVENTO="manual",$A65,IF(ISERROR(MATCH($A65,$A$15:OFFSET($A65,-1,0),0)),MAX($M$15:OFFSET(M65,-1,0))+1,INDEX($M$15:OFFSET(M65,-1,0),MATCH($A65,$A$15:OFFSET($A65,-1,0),0)))))</f>
        <v>6</v>
      </c>
      <c r="N65" s="207" t="str">
        <f ca="1">IF($D65&lt;&gt;"Serviço","",IF(AUTOEVENTO="Manual",IF($A65=0,"&lt;-- defina o número do agrupador",OFFSET(EVENTOS!$D$14,$A65,0)),OFFSET($F$15,$A65,0)))</f>
        <v>DRENAGEM</v>
      </c>
      <c r="O65" s="208"/>
      <c r="Q65" s="208"/>
      <c r="R65" s="209"/>
      <c r="S65" s="209"/>
      <c r="T65" s="209"/>
      <c r="U65" s="209"/>
      <c r="V65" s="209"/>
      <c r="W65" s="209"/>
      <c r="X65" s="209"/>
      <c r="Y65" s="209"/>
      <c r="Z65" s="210"/>
      <c r="AB65" s="626">
        <f ca="1">IF(AND($D65="Serviço",AB$12&lt;&gt;0,$H65&gt;0,OR(AUTOEVENTO&lt;&gt;"manual",$M65&lt;&gt;1)),
IF(Import.TipoArredondamento&lt;&gt;"TransfereGOV",
ROUND(OFFSET($P65,0,AB$13),15-13*ORÇAMENTO!$AF$7)/$H65*OFFSET(ORÇAMENTO!$X$15,ROW(AB65)-ROW(AB$15),0),
ROUND(ROUND(OFFSET($P65,0,AB$13),15-13*ORÇAMENTO!$AF$7)*OFFSET(ORÇAMENTO!$W$15,ROW(AB65)-ROW(AB$15),0),15-13*ORÇAMENTO!$AF$11)),0)</f>
        <v>0</v>
      </c>
      <c r="AC65" s="627">
        <f ca="1">IF(AND($D65="Serviço",AC$12&lt;&gt;0,$H65&gt;0,OR(AUTOEVENTO&lt;&gt;"manual",$M65&lt;&gt;1)),
IF(Import.TipoArredondamento&lt;&gt;"TransfereGOV",
ROUND(OFFSET($P65,0,AC$13),15-13*ORÇAMENTO!$AF$7)/$H65*OFFSET(ORÇAMENTO!$X$15,ROW(AC65)-ROW(AC$15),0),
ROUND(ROUND(OFFSET($P65,0,AC$13),15-13*ORÇAMENTO!$AF$7)*OFFSET(ORÇAMENTO!$W$15,ROW(AC65)-ROW(AC$15),0),15-13*ORÇAMENTO!$AF$11)),0)</f>
        <v>0</v>
      </c>
      <c r="AD65" s="627">
        <f ca="1">IF(AND($D65="Serviço",AD$12&lt;&gt;0,$H65&gt;0,OR(AUTOEVENTO&lt;&gt;"manual",$M65&lt;&gt;1)),
IF(Import.TipoArredondamento&lt;&gt;"TransfereGOV",
ROUND(OFFSET($P65,0,AD$13),15-13*ORÇAMENTO!$AF$7)/$H65*OFFSET(ORÇAMENTO!$X$15,ROW(AD65)-ROW(AD$15),0),
ROUND(ROUND(OFFSET($P65,0,AD$13),15-13*ORÇAMENTO!$AF$7)*OFFSET(ORÇAMENTO!$W$15,ROW(AD65)-ROW(AD$15),0),15-13*ORÇAMENTO!$AF$11)),0)</f>
        <v>0</v>
      </c>
      <c r="AE65" s="627">
        <f ca="1">IF(AND($D65="Serviço",AE$12&lt;&gt;0,$H65&gt;0,OR(AUTOEVENTO&lt;&gt;"manual",$M65&lt;&gt;1)),
IF(Import.TipoArredondamento&lt;&gt;"TransfereGOV",
ROUND(OFFSET($P65,0,AE$13),15-13*ORÇAMENTO!$AF$7)/$H65*OFFSET(ORÇAMENTO!$X$15,ROW(AE65)-ROW(AE$15),0),
ROUND(ROUND(OFFSET($P65,0,AE$13),15-13*ORÇAMENTO!$AF$7)*OFFSET(ORÇAMENTO!$W$15,ROW(AE65)-ROW(AE$15),0),15-13*ORÇAMENTO!$AF$11)),0)</f>
        <v>0</v>
      </c>
      <c r="AF65" s="627">
        <f ca="1">IF(AND($D65="Serviço",AF$12&lt;&gt;0,$H65&gt;0,OR(AUTOEVENTO&lt;&gt;"manual",$M65&lt;&gt;1)),
IF(Import.TipoArredondamento&lt;&gt;"TransfereGOV",
ROUND(OFFSET($P65,0,AF$13),15-13*ORÇAMENTO!$AF$7)/$H65*OFFSET(ORÇAMENTO!$X$15,ROW(AF65)-ROW(AF$15),0),
ROUND(ROUND(OFFSET($P65,0,AF$13),15-13*ORÇAMENTO!$AF$7)*OFFSET(ORÇAMENTO!$W$15,ROW(AF65)-ROW(AF$15),0),15-13*ORÇAMENTO!$AF$11)),0)</f>
        <v>0</v>
      </c>
      <c r="AG65" s="627">
        <f ca="1">IF(AND($D65="Serviço",AG$12&lt;&gt;0,$H65&gt;0,OR(AUTOEVENTO&lt;&gt;"manual",$M65&lt;&gt;1)),
IF(Import.TipoArredondamento&lt;&gt;"TransfereGOV",
ROUND(OFFSET($P65,0,AG$13),15-13*ORÇAMENTO!$AF$7)/$H65*OFFSET(ORÇAMENTO!$X$15,ROW(AG65)-ROW(AG$15),0),
ROUND(ROUND(OFFSET($P65,0,AG$13),15-13*ORÇAMENTO!$AF$7)*OFFSET(ORÇAMENTO!$W$15,ROW(AG65)-ROW(AG$15),0),15-13*ORÇAMENTO!$AF$11)),0)</f>
        <v>0</v>
      </c>
      <c r="AH65" s="627">
        <f ca="1">IF(AND($D65="Serviço",AH$12&lt;&gt;0,$H65&gt;0,OR(AUTOEVENTO&lt;&gt;"manual",$M65&lt;&gt;1)),
IF(Import.TipoArredondamento&lt;&gt;"TransfereGOV",
ROUND(OFFSET($P65,0,AH$13),15-13*ORÇAMENTO!$AF$7)/$H65*OFFSET(ORÇAMENTO!$X$15,ROW(AH65)-ROW(AH$15),0),
ROUND(ROUND(OFFSET($P65,0,AH$13),15-13*ORÇAMENTO!$AF$7)*OFFSET(ORÇAMENTO!$W$15,ROW(AH65)-ROW(AH$15),0),15-13*ORÇAMENTO!$AF$11)),0)</f>
        <v>0</v>
      </c>
      <c r="AI65" s="627">
        <f ca="1">IF(AND($D65="Serviço",AI$12&lt;&gt;0,$H65&gt;0,OR(AUTOEVENTO&lt;&gt;"manual",$M65&lt;&gt;1)),
IF(Import.TipoArredondamento&lt;&gt;"TransfereGOV",
ROUND(OFFSET($P65,0,AI$13),15-13*ORÇAMENTO!$AF$7)/$H65*OFFSET(ORÇAMENTO!$X$15,ROW(AI65)-ROW(AI$15),0),
ROUND(ROUND(OFFSET($P65,0,AI$13),15-13*ORÇAMENTO!$AF$7)*OFFSET(ORÇAMENTO!$W$15,ROW(AI65)-ROW(AI$15),0),15-13*ORÇAMENTO!$AF$11)),0)</f>
        <v>0</v>
      </c>
      <c r="AJ65" s="627">
        <f ca="1">IF(AND($D65="Serviço",AJ$12&lt;&gt;0,$H65&gt;0,OR(AUTOEVENTO&lt;&gt;"manual",$M65&lt;&gt;1)),
IF(Import.TipoArredondamento&lt;&gt;"TransfereGOV",
ROUND(OFFSET($P65,0,AJ$13),15-13*ORÇAMENTO!$AF$7)/$H65*OFFSET(ORÇAMENTO!$X$15,ROW(AJ65)-ROW(AJ$15),0),
ROUND(ROUND(OFFSET($P65,0,AJ$13),15-13*ORÇAMENTO!$AF$7)*OFFSET(ORÇAMENTO!$W$15,ROW(AJ65)-ROW(AJ$15),0),15-13*ORÇAMENTO!$AF$11)),0)</f>
        <v>0</v>
      </c>
      <c r="AK65" s="628">
        <f ca="1">IF(AND($D65="Serviço",AK$12&lt;&gt;0,$H65&gt;0,OR(AUTOEVENTO&lt;&gt;"manual",$M65&lt;&gt;1)),
IF(Import.TipoArredondamento&lt;&gt;"TransfereGOV",
ROUND(OFFSET($P65,0,AK$13),15-13*ORÇAMENTO!$AF$7)/$H65*OFFSET(ORÇAMENTO!$X$15,ROW(AK65)-ROW(AK$15),0),
ROUND(ROUND(OFFSET($P65,0,AK$13),15-13*ORÇAMENTO!$AF$7)*OFFSET(ORÇAMENTO!$W$15,ROW(AK65)-ROW(AK$15),0),15-13*ORÇAMENTO!$AF$11)),0)</f>
        <v>0</v>
      </c>
      <c r="AM65" s="211">
        <f ca="1">IF($D65&lt;&gt;"Serviço",0,IF(AND(AUTOEVENTO="Manual",$M65=1),0,IF(OFFSET(CRONOPLE!$F$14,$M65,AM$13)="",10^12,OFFSET(CRONOPLE!$F$14,$M65,AM$13))))</f>
        <v>2</v>
      </c>
      <c r="AN65" s="211">
        <f ca="1">IF($D65&lt;&gt;"Serviço",0,IF(AND(AUTOEVENTO="Manual",$M65=1),0,IF(OFFSET(CRONOPLE!$F$14,$M65,AN$13)="",10^12,OFFSET(CRONOPLE!$F$14,$M65,AN$13))))</f>
        <v>1</v>
      </c>
      <c r="AO65" s="211">
        <f ca="1">IF($D65&lt;&gt;"Serviço",0,IF(AND(AUTOEVENTO="Manual",$M65=1),0,IF(OFFSET(CRONOPLE!$F$14,$M65,AO$13)="",10^12,OFFSET(CRONOPLE!$F$14,$M65,AO$13))))</f>
        <v>2</v>
      </c>
      <c r="AP65" s="211">
        <f ca="1">IF($D65&lt;&gt;"Serviço",0,IF(AND(AUTOEVENTO="Manual",$M65=1),0,IF(OFFSET(CRONOPLE!$F$14,$M65,AP$13)="",10^12,OFFSET(CRONOPLE!$F$14,$M65,AP$13))))</f>
        <v>2</v>
      </c>
      <c r="AQ65" s="211">
        <f ca="1">IF($D65&lt;&gt;"Serviço",0,IF(AND(AUTOEVENTO="Manual",$M65=1),0,IF(OFFSET(CRONOPLE!$F$14,$M65,AQ$13)="",10^12,OFFSET(CRONOPLE!$F$14,$M65,AQ$13))))</f>
        <v>1000000000000</v>
      </c>
      <c r="AR65" s="211">
        <f ca="1">IF($D65&lt;&gt;"Serviço",0,IF(AND(AUTOEVENTO="Manual",$M65=1),0,IF(OFFSET(CRONOPLE!$F$14,$M65,AR$13)="",10^12,OFFSET(CRONOPLE!$F$14,$M65,AR$13))))</f>
        <v>1000000000000</v>
      </c>
      <c r="AS65" s="211">
        <f ca="1">IF($D65&lt;&gt;"Serviço",0,IF(AND(AUTOEVENTO="Manual",$M65=1),0,IF(OFFSET(CRONOPLE!$F$14,$M65,AS$13)="",10^12,OFFSET(CRONOPLE!$F$14,$M65,AS$13))))</f>
        <v>1000000000000</v>
      </c>
      <c r="AT65" s="211">
        <f ca="1">IF($D65&lt;&gt;"Serviço",0,IF(AND(AUTOEVENTO="Manual",$M65=1),0,IF(OFFSET(CRONOPLE!$F$14,$M65,AT$13)="",10^12,OFFSET(CRONOPLE!$F$14,$M65,AT$13))))</f>
        <v>1000000000000</v>
      </c>
      <c r="AU65" s="211">
        <f ca="1">IF($D65&lt;&gt;"Serviço",0,IF(AND(AUTOEVENTO="Manual",$M65=1),0,IF(OFFSET(CRONOPLE!$F$14,$M65,AU$13)="",10^12,OFFSET(CRONOPLE!$F$14,$M65,AU$13))))</f>
        <v>1000000000000</v>
      </c>
      <c r="AV65" s="211">
        <f ca="1">IF($D65&lt;&gt;"Serviço",0,IF(AND(AUTOEVENTO="Manual",$M65=1),0,IF(OFFSET(CRONOPLE!$F$14,$M65,AV$13)="",10^12,OFFSET(CRONOPLE!$F$14,$M65,AV$13))))</f>
        <v>1000000000000</v>
      </c>
      <c r="AX65" s="212">
        <f ca="1">IF($D65&lt;&gt;"Serviço",0,IF(OR(AND(AUTOEVENTO="Manual",$M65=1),$M65&gt;(ROW(PLE.lastrow)-ROW(PLE.firstrow))),0,IF(OFFSET(PLE!$G$14,$M65,AX$13)="",10^12,OFFSET(PLE!$G$14,$M65,AX$13))))</f>
        <v>1000000000000</v>
      </c>
      <c r="AY65" s="212">
        <f ca="1">IF($D65&lt;&gt;"Serviço",0,IF(OR(AND(AUTOEVENTO="Manual",$M65=1),$M65&gt;(ROW(PLE.lastrow)-ROW(PLE.firstrow))),0,IF(OFFSET(PLE!$G$14,$M65,AY$13)="",10^12,OFFSET(PLE!$G$14,$M65,AY$13))))</f>
        <v>1000000000000</v>
      </c>
      <c r="AZ65" s="212">
        <f ca="1">IF($D65&lt;&gt;"Serviço",0,IF(OR(AND(AUTOEVENTO="Manual",$M65=1),$M65&gt;(ROW(PLE.lastrow)-ROW(PLE.firstrow))),0,IF(OFFSET(PLE!$G$14,$M65,AZ$13)="",10^12,OFFSET(PLE!$G$14,$M65,AZ$13))))</f>
        <v>1000000000000</v>
      </c>
      <c r="BA65" s="212">
        <f ca="1">IF($D65&lt;&gt;"Serviço",0,IF(OR(AND(AUTOEVENTO="Manual",$M65=1),$M65&gt;(ROW(PLE.lastrow)-ROW(PLE.firstrow))),0,IF(OFFSET(PLE!$G$14,$M65,BA$13)="",10^12,OFFSET(PLE!$G$14,$M65,BA$13))))</f>
        <v>1000000000000</v>
      </c>
      <c r="BB65" s="212">
        <f ca="1">IF($D65&lt;&gt;"Serviço",0,IF(OR(AND(AUTOEVENTO="Manual",$M65=1),$M65&gt;(ROW(PLE.lastrow)-ROW(PLE.firstrow))),0,IF(OFFSET(PLE!$G$14,$M65,BB$13)="",10^12,OFFSET(PLE!$G$14,$M65,BB$13))))</f>
        <v>1000000000000</v>
      </c>
      <c r="BC65" s="212">
        <f ca="1">IF($D65&lt;&gt;"Serviço",0,IF(OR(AND(AUTOEVENTO="Manual",$M65=1),$M65&gt;(ROW(PLE.lastrow)-ROW(PLE.firstrow))),0,IF(OFFSET(PLE!$G$14,$M65,BC$13)="",10^12,OFFSET(PLE!$G$14,$M65,BC$13))))</f>
        <v>1000000000000</v>
      </c>
      <c r="BD65" s="212">
        <f ca="1">IF($D65&lt;&gt;"Serviço",0,IF(OR(AND(AUTOEVENTO="Manual",$M65=1),$M65&gt;(ROW(PLE.lastrow)-ROW(PLE.firstrow))),0,IF(OFFSET(PLE!$G$14,$M65,BD$13)="",10^12,OFFSET(PLE!$G$14,$M65,BD$13))))</f>
        <v>1000000000000</v>
      </c>
      <c r="BE65" s="212">
        <f ca="1">IF($D65&lt;&gt;"Serviço",0,IF(OR(AND(AUTOEVENTO="Manual",$M65=1),$M65&gt;(ROW(PLE.lastrow)-ROW(PLE.firstrow))),0,IF(OFFSET(PLE!$G$14,$M65,BE$13)="",10^12,OFFSET(PLE!$G$14,$M65,BE$13))))</f>
        <v>1000000000000</v>
      </c>
      <c r="BF65" s="212">
        <f ca="1">IF($D65&lt;&gt;"Serviço",0,IF(OR(AND(AUTOEVENTO="Manual",$M65=1),$M65&gt;(ROW(PLE.lastrow)-ROW(PLE.firstrow))),0,IF(OFFSET(PLE!$G$14,$M65,BF$13)="",10^12,OFFSET(PLE!$G$14,$M65,BF$13))))</f>
        <v>1000000000000</v>
      </c>
      <c r="BG65" s="212">
        <f ca="1">IF($D65&lt;&gt;"Serviço",0,IF(OR(AND(AUTOEVENTO="Manual",$M65=1),$M65&gt;(ROW(PLE.lastrow)-ROW(PLE.firstrow))),0,IF(OFFSET(PLE!$G$14,$M65,BG$13)="",10^12,OFFSET(PLE!$G$14,$M65,BG$13))))</f>
        <v>1000000000000</v>
      </c>
    </row>
    <row r="66" spans="1:59" ht="13.2">
      <c r="A66" s="9" t="str">
        <f t="shared" ca="1" si="8"/>
        <v>15</v>
      </c>
      <c r="B66" s="9" t="str">
        <f ca="1">OFFSET(ORÇAMENTO!C$15,ROW(B66)-ROW(B$15),0)</f>
        <v>S</v>
      </c>
      <c r="C66" s="9" t="str">
        <f ca="1">OFFSET(ORÇAMENTO!L$15,ROW(C66)-ROW(C$15),0)</f>
        <v/>
      </c>
      <c r="D66" s="141" t="str">
        <f ca="1">OFFSET(ORÇAMENTO!N$15,ROW(D66)-ROW(D$15),0)</f>
        <v>Serviço</v>
      </c>
      <c r="E66" s="201" t="str">
        <f ca="1">OFFSET(ORÇAMENTO!O$15,ROW(E66)-ROW(E$15),0)</f>
        <v>-</v>
      </c>
      <c r="F66" s="202" t="str">
        <f ca="1">OFFSET(ORÇAMENTO!R$15,ROW(F66)-ROW(F$15),0)</f>
        <v>(abra o arquivo 'Referência 11-2024.xlsm)</v>
      </c>
      <c r="G66" s="203" t="str">
        <f ca="1">IF($D66&lt;&gt;"Serviço","",OFFSET(ORÇAMENTO!S$15,ROW(G66)-ROW(G$15),0))</f>
        <v>-</v>
      </c>
      <c r="H66" s="147">
        <f ca="1">IF($D66&lt;&gt;"Serviço",0,IF(ACOMPANHAMENTO="BM",ROUND(OFFSET(ORÇAMENTO!AJ$15,ROW(H66)-ROW(H$15),0),15-13*ORÇAMENTO!$AF$7),SUMPRODUCT(($Q$12:$AA$12&lt;&gt;"")*ROUND($Q66:$AA66,15-13*ORÇAMENTO!$AF$7))))</f>
        <v>0</v>
      </c>
      <c r="I66" s="645"/>
      <c r="K66" s="204"/>
      <c r="L66" s="205" t="s">
        <v>255</v>
      </c>
      <c r="M66" s="206">
        <f ca="1">IF($D66&lt;&gt;"Serviço","",IF(AUTOEVENTO="manual",$A66,IF(ISERROR(MATCH($A66,$A$15:OFFSET($A66,-1,0),0)),MAX($M$15:OFFSET(M66,-1,0))+1,INDEX($M$15:OFFSET(M66,-1,0),MATCH($A66,$A$15:OFFSET($A66,-1,0),0)))))</f>
        <v>6</v>
      </c>
      <c r="N66" s="207" t="str">
        <f ca="1">IF($D66&lt;&gt;"Serviço","",IF(AUTOEVENTO="Manual",IF($A66=0,"&lt;-- defina o número do agrupador",OFFSET(EVENTOS!$D$14,$A66,0)),OFFSET($F$15,$A66,0)))</f>
        <v>DRENAGEM</v>
      </c>
      <c r="O66" s="208"/>
      <c r="Q66" s="208"/>
      <c r="R66" s="209"/>
      <c r="S66" s="209"/>
      <c r="T66" s="209"/>
      <c r="U66" s="209"/>
      <c r="V66" s="209"/>
      <c r="W66" s="209"/>
      <c r="X66" s="209"/>
      <c r="Y66" s="209"/>
      <c r="Z66" s="210"/>
      <c r="AB66" s="626">
        <f ca="1">IF(AND($D66="Serviço",AB$12&lt;&gt;0,$H66&gt;0,OR(AUTOEVENTO&lt;&gt;"manual",$M66&lt;&gt;1)),
IF(Import.TipoArredondamento&lt;&gt;"TransfereGOV",
ROUND(OFFSET($P66,0,AB$13),15-13*ORÇAMENTO!$AF$7)/$H66*OFFSET(ORÇAMENTO!$X$15,ROW(AB66)-ROW(AB$15),0),
ROUND(ROUND(OFFSET($P66,0,AB$13),15-13*ORÇAMENTO!$AF$7)*OFFSET(ORÇAMENTO!$W$15,ROW(AB66)-ROW(AB$15),0),15-13*ORÇAMENTO!$AF$11)),0)</f>
        <v>0</v>
      </c>
      <c r="AC66" s="627">
        <f ca="1">IF(AND($D66="Serviço",AC$12&lt;&gt;0,$H66&gt;0,OR(AUTOEVENTO&lt;&gt;"manual",$M66&lt;&gt;1)),
IF(Import.TipoArredondamento&lt;&gt;"TransfereGOV",
ROUND(OFFSET($P66,0,AC$13),15-13*ORÇAMENTO!$AF$7)/$H66*OFFSET(ORÇAMENTO!$X$15,ROW(AC66)-ROW(AC$15),0),
ROUND(ROUND(OFFSET($P66,0,AC$13),15-13*ORÇAMENTO!$AF$7)*OFFSET(ORÇAMENTO!$W$15,ROW(AC66)-ROW(AC$15),0),15-13*ORÇAMENTO!$AF$11)),0)</f>
        <v>0</v>
      </c>
      <c r="AD66" s="627">
        <f ca="1">IF(AND($D66="Serviço",AD$12&lt;&gt;0,$H66&gt;0,OR(AUTOEVENTO&lt;&gt;"manual",$M66&lt;&gt;1)),
IF(Import.TipoArredondamento&lt;&gt;"TransfereGOV",
ROUND(OFFSET($P66,0,AD$13),15-13*ORÇAMENTO!$AF$7)/$H66*OFFSET(ORÇAMENTO!$X$15,ROW(AD66)-ROW(AD$15),0),
ROUND(ROUND(OFFSET($P66,0,AD$13),15-13*ORÇAMENTO!$AF$7)*OFFSET(ORÇAMENTO!$W$15,ROW(AD66)-ROW(AD$15),0),15-13*ORÇAMENTO!$AF$11)),0)</f>
        <v>0</v>
      </c>
      <c r="AE66" s="627">
        <f ca="1">IF(AND($D66="Serviço",AE$12&lt;&gt;0,$H66&gt;0,OR(AUTOEVENTO&lt;&gt;"manual",$M66&lt;&gt;1)),
IF(Import.TipoArredondamento&lt;&gt;"TransfereGOV",
ROUND(OFFSET($P66,0,AE$13),15-13*ORÇAMENTO!$AF$7)/$H66*OFFSET(ORÇAMENTO!$X$15,ROW(AE66)-ROW(AE$15),0),
ROUND(ROUND(OFFSET($P66,0,AE$13),15-13*ORÇAMENTO!$AF$7)*OFFSET(ORÇAMENTO!$W$15,ROW(AE66)-ROW(AE$15),0),15-13*ORÇAMENTO!$AF$11)),0)</f>
        <v>0</v>
      </c>
      <c r="AF66" s="627">
        <f ca="1">IF(AND($D66="Serviço",AF$12&lt;&gt;0,$H66&gt;0,OR(AUTOEVENTO&lt;&gt;"manual",$M66&lt;&gt;1)),
IF(Import.TipoArredondamento&lt;&gt;"TransfereGOV",
ROUND(OFFSET($P66,0,AF$13),15-13*ORÇAMENTO!$AF$7)/$H66*OFFSET(ORÇAMENTO!$X$15,ROW(AF66)-ROW(AF$15),0),
ROUND(ROUND(OFFSET($P66,0,AF$13),15-13*ORÇAMENTO!$AF$7)*OFFSET(ORÇAMENTO!$W$15,ROW(AF66)-ROW(AF$15),0),15-13*ORÇAMENTO!$AF$11)),0)</f>
        <v>0</v>
      </c>
      <c r="AG66" s="627">
        <f ca="1">IF(AND($D66="Serviço",AG$12&lt;&gt;0,$H66&gt;0,OR(AUTOEVENTO&lt;&gt;"manual",$M66&lt;&gt;1)),
IF(Import.TipoArredondamento&lt;&gt;"TransfereGOV",
ROUND(OFFSET($P66,0,AG$13),15-13*ORÇAMENTO!$AF$7)/$H66*OFFSET(ORÇAMENTO!$X$15,ROW(AG66)-ROW(AG$15),0),
ROUND(ROUND(OFFSET($P66,0,AG$13),15-13*ORÇAMENTO!$AF$7)*OFFSET(ORÇAMENTO!$W$15,ROW(AG66)-ROW(AG$15),0),15-13*ORÇAMENTO!$AF$11)),0)</f>
        <v>0</v>
      </c>
      <c r="AH66" s="627">
        <f ca="1">IF(AND($D66="Serviço",AH$12&lt;&gt;0,$H66&gt;0,OR(AUTOEVENTO&lt;&gt;"manual",$M66&lt;&gt;1)),
IF(Import.TipoArredondamento&lt;&gt;"TransfereGOV",
ROUND(OFFSET($P66,0,AH$13),15-13*ORÇAMENTO!$AF$7)/$H66*OFFSET(ORÇAMENTO!$X$15,ROW(AH66)-ROW(AH$15),0),
ROUND(ROUND(OFFSET($P66,0,AH$13),15-13*ORÇAMENTO!$AF$7)*OFFSET(ORÇAMENTO!$W$15,ROW(AH66)-ROW(AH$15),0),15-13*ORÇAMENTO!$AF$11)),0)</f>
        <v>0</v>
      </c>
      <c r="AI66" s="627">
        <f ca="1">IF(AND($D66="Serviço",AI$12&lt;&gt;0,$H66&gt;0,OR(AUTOEVENTO&lt;&gt;"manual",$M66&lt;&gt;1)),
IF(Import.TipoArredondamento&lt;&gt;"TransfereGOV",
ROUND(OFFSET($P66,0,AI$13),15-13*ORÇAMENTO!$AF$7)/$H66*OFFSET(ORÇAMENTO!$X$15,ROW(AI66)-ROW(AI$15),0),
ROUND(ROUND(OFFSET($P66,0,AI$13),15-13*ORÇAMENTO!$AF$7)*OFFSET(ORÇAMENTO!$W$15,ROW(AI66)-ROW(AI$15),0),15-13*ORÇAMENTO!$AF$11)),0)</f>
        <v>0</v>
      </c>
      <c r="AJ66" s="627">
        <f ca="1">IF(AND($D66="Serviço",AJ$12&lt;&gt;0,$H66&gt;0,OR(AUTOEVENTO&lt;&gt;"manual",$M66&lt;&gt;1)),
IF(Import.TipoArredondamento&lt;&gt;"TransfereGOV",
ROUND(OFFSET($P66,0,AJ$13),15-13*ORÇAMENTO!$AF$7)/$H66*OFFSET(ORÇAMENTO!$X$15,ROW(AJ66)-ROW(AJ$15),0),
ROUND(ROUND(OFFSET($P66,0,AJ$13),15-13*ORÇAMENTO!$AF$7)*OFFSET(ORÇAMENTO!$W$15,ROW(AJ66)-ROW(AJ$15),0),15-13*ORÇAMENTO!$AF$11)),0)</f>
        <v>0</v>
      </c>
      <c r="AK66" s="628">
        <f ca="1">IF(AND($D66="Serviço",AK$12&lt;&gt;0,$H66&gt;0,OR(AUTOEVENTO&lt;&gt;"manual",$M66&lt;&gt;1)),
IF(Import.TipoArredondamento&lt;&gt;"TransfereGOV",
ROUND(OFFSET($P66,0,AK$13),15-13*ORÇAMENTO!$AF$7)/$H66*OFFSET(ORÇAMENTO!$X$15,ROW(AK66)-ROW(AK$15),0),
ROUND(ROUND(OFFSET($P66,0,AK$13),15-13*ORÇAMENTO!$AF$7)*OFFSET(ORÇAMENTO!$W$15,ROW(AK66)-ROW(AK$15),0),15-13*ORÇAMENTO!$AF$11)),0)</f>
        <v>0</v>
      </c>
      <c r="AM66" s="211">
        <f ca="1">IF($D66&lt;&gt;"Serviço",0,IF(AND(AUTOEVENTO="Manual",$M66=1),0,IF(OFFSET(CRONOPLE!$F$14,$M66,AM$13)="",10^12,OFFSET(CRONOPLE!$F$14,$M66,AM$13))))</f>
        <v>2</v>
      </c>
      <c r="AN66" s="211">
        <f ca="1">IF($D66&lt;&gt;"Serviço",0,IF(AND(AUTOEVENTO="Manual",$M66=1),0,IF(OFFSET(CRONOPLE!$F$14,$M66,AN$13)="",10^12,OFFSET(CRONOPLE!$F$14,$M66,AN$13))))</f>
        <v>1</v>
      </c>
      <c r="AO66" s="211">
        <f ca="1">IF($D66&lt;&gt;"Serviço",0,IF(AND(AUTOEVENTO="Manual",$M66=1),0,IF(OFFSET(CRONOPLE!$F$14,$M66,AO$13)="",10^12,OFFSET(CRONOPLE!$F$14,$M66,AO$13))))</f>
        <v>2</v>
      </c>
      <c r="AP66" s="211">
        <f ca="1">IF($D66&lt;&gt;"Serviço",0,IF(AND(AUTOEVENTO="Manual",$M66=1),0,IF(OFFSET(CRONOPLE!$F$14,$M66,AP$13)="",10^12,OFFSET(CRONOPLE!$F$14,$M66,AP$13))))</f>
        <v>2</v>
      </c>
      <c r="AQ66" s="211">
        <f ca="1">IF($D66&lt;&gt;"Serviço",0,IF(AND(AUTOEVENTO="Manual",$M66=1),0,IF(OFFSET(CRONOPLE!$F$14,$M66,AQ$13)="",10^12,OFFSET(CRONOPLE!$F$14,$M66,AQ$13))))</f>
        <v>1000000000000</v>
      </c>
      <c r="AR66" s="211">
        <f ca="1">IF($D66&lt;&gt;"Serviço",0,IF(AND(AUTOEVENTO="Manual",$M66=1),0,IF(OFFSET(CRONOPLE!$F$14,$M66,AR$13)="",10^12,OFFSET(CRONOPLE!$F$14,$M66,AR$13))))</f>
        <v>1000000000000</v>
      </c>
      <c r="AS66" s="211">
        <f ca="1">IF($D66&lt;&gt;"Serviço",0,IF(AND(AUTOEVENTO="Manual",$M66=1),0,IF(OFFSET(CRONOPLE!$F$14,$M66,AS$13)="",10^12,OFFSET(CRONOPLE!$F$14,$M66,AS$13))))</f>
        <v>1000000000000</v>
      </c>
      <c r="AT66" s="211">
        <f ca="1">IF($D66&lt;&gt;"Serviço",0,IF(AND(AUTOEVENTO="Manual",$M66=1),0,IF(OFFSET(CRONOPLE!$F$14,$M66,AT$13)="",10^12,OFFSET(CRONOPLE!$F$14,$M66,AT$13))))</f>
        <v>1000000000000</v>
      </c>
      <c r="AU66" s="211">
        <f ca="1">IF($D66&lt;&gt;"Serviço",0,IF(AND(AUTOEVENTO="Manual",$M66=1),0,IF(OFFSET(CRONOPLE!$F$14,$M66,AU$13)="",10^12,OFFSET(CRONOPLE!$F$14,$M66,AU$13))))</f>
        <v>1000000000000</v>
      </c>
      <c r="AV66" s="211">
        <f ca="1">IF($D66&lt;&gt;"Serviço",0,IF(AND(AUTOEVENTO="Manual",$M66=1),0,IF(OFFSET(CRONOPLE!$F$14,$M66,AV$13)="",10^12,OFFSET(CRONOPLE!$F$14,$M66,AV$13))))</f>
        <v>1000000000000</v>
      </c>
      <c r="AX66" s="212">
        <f ca="1">IF($D66&lt;&gt;"Serviço",0,IF(OR(AND(AUTOEVENTO="Manual",$M66=1),$M66&gt;(ROW(PLE.lastrow)-ROW(PLE.firstrow))),0,IF(OFFSET(PLE!$G$14,$M66,AX$13)="",10^12,OFFSET(PLE!$G$14,$M66,AX$13))))</f>
        <v>1000000000000</v>
      </c>
      <c r="AY66" s="212">
        <f ca="1">IF($D66&lt;&gt;"Serviço",0,IF(OR(AND(AUTOEVENTO="Manual",$M66=1),$M66&gt;(ROW(PLE.lastrow)-ROW(PLE.firstrow))),0,IF(OFFSET(PLE!$G$14,$M66,AY$13)="",10^12,OFFSET(PLE!$G$14,$M66,AY$13))))</f>
        <v>1000000000000</v>
      </c>
      <c r="AZ66" s="212">
        <f ca="1">IF($D66&lt;&gt;"Serviço",0,IF(OR(AND(AUTOEVENTO="Manual",$M66=1),$M66&gt;(ROW(PLE.lastrow)-ROW(PLE.firstrow))),0,IF(OFFSET(PLE!$G$14,$M66,AZ$13)="",10^12,OFFSET(PLE!$G$14,$M66,AZ$13))))</f>
        <v>1000000000000</v>
      </c>
      <c r="BA66" s="212">
        <f ca="1">IF($D66&lt;&gt;"Serviço",0,IF(OR(AND(AUTOEVENTO="Manual",$M66=1),$M66&gt;(ROW(PLE.lastrow)-ROW(PLE.firstrow))),0,IF(OFFSET(PLE!$G$14,$M66,BA$13)="",10^12,OFFSET(PLE!$G$14,$M66,BA$13))))</f>
        <v>1000000000000</v>
      </c>
      <c r="BB66" s="212">
        <f ca="1">IF($D66&lt;&gt;"Serviço",0,IF(OR(AND(AUTOEVENTO="Manual",$M66=1),$M66&gt;(ROW(PLE.lastrow)-ROW(PLE.firstrow))),0,IF(OFFSET(PLE!$G$14,$M66,BB$13)="",10^12,OFFSET(PLE!$G$14,$M66,BB$13))))</f>
        <v>1000000000000</v>
      </c>
      <c r="BC66" s="212">
        <f ca="1">IF($D66&lt;&gt;"Serviço",0,IF(OR(AND(AUTOEVENTO="Manual",$M66=1),$M66&gt;(ROW(PLE.lastrow)-ROW(PLE.firstrow))),0,IF(OFFSET(PLE!$G$14,$M66,BC$13)="",10^12,OFFSET(PLE!$G$14,$M66,BC$13))))</f>
        <v>1000000000000</v>
      </c>
      <c r="BD66" s="212">
        <f ca="1">IF($D66&lt;&gt;"Serviço",0,IF(OR(AND(AUTOEVENTO="Manual",$M66=1),$M66&gt;(ROW(PLE.lastrow)-ROW(PLE.firstrow))),0,IF(OFFSET(PLE!$G$14,$M66,BD$13)="",10^12,OFFSET(PLE!$G$14,$M66,BD$13))))</f>
        <v>1000000000000</v>
      </c>
      <c r="BE66" s="212">
        <f ca="1">IF($D66&lt;&gt;"Serviço",0,IF(OR(AND(AUTOEVENTO="Manual",$M66=1),$M66&gt;(ROW(PLE.lastrow)-ROW(PLE.firstrow))),0,IF(OFFSET(PLE!$G$14,$M66,BE$13)="",10^12,OFFSET(PLE!$G$14,$M66,BE$13))))</f>
        <v>1000000000000</v>
      </c>
      <c r="BF66" s="212">
        <f ca="1">IF($D66&lt;&gt;"Serviço",0,IF(OR(AND(AUTOEVENTO="Manual",$M66=1),$M66&gt;(ROW(PLE.lastrow)-ROW(PLE.firstrow))),0,IF(OFFSET(PLE!$G$14,$M66,BF$13)="",10^12,OFFSET(PLE!$G$14,$M66,BF$13))))</f>
        <v>1000000000000</v>
      </c>
      <c r="BG66" s="212">
        <f ca="1">IF($D66&lt;&gt;"Serviço",0,IF(OR(AND(AUTOEVENTO="Manual",$M66=1),$M66&gt;(ROW(PLE.lastrow)-ROW(PLE.firstrow))),0,IF(OFFSET(PLE!$G$14,$M66,BG$13)="",10^12,OFFSET(PLE!$G$14,$M66,BG$13))))</f>
        <v>1000000000000</v>
      </c>
    </row>
    <row r="67" spans="1:59" ht="13.2">
      <c r="A67" s="9" t="str">
        <f t="shared" ca="1" si="8"/>
        <v>15</v>
      </c>
      <c r="B67" s="9" t="str">
        <f ca="1">OFFSET(ORÇAMENTO!C$15,ROW(B67)-ROW(B$15),0)</f>
        <v>S</v>
      </c>
      <c r="C67" s="9" t="str">
        <f ca="1">OFFSET(ORÇAMENTO!L$15,ROW(C67)-ROW(C$15),0)</f>
        <v/>
      </c>
      <c r="D67" s="141" t="str">
        <f ca="1">OFFSET(ORÇAMENTO!N$15,ROW(D67)-ROW(D$15),0)</f>
        <v>Serviço</v>
      </c>
      <c r="E67" s="201" t="str">
        <f ca="1">OFFSET(ORÇAMENTO!O$15,ROW(E67)-ROW(E$15),0)</f>
        <v>-</v>
      </c>
      <c r="F67" s="202" t="str">
        <f ca="1">OFFSET(ORÇAMENTO!R$15,ROW(F67)-ROW(F$15),0)</f>
        <v>(abra o arquivo 'Referência 11-2024.xlsm)</v>
      </c>
      <c r="G67" s="203" t="str">
        <f ca="1">IF($D67&lt;&gt;"Serviço","",OFFSET(ORÇAMENTO!S$15,ROW(G67)-ROW(G$15),0))</f>
        <v>-</v>
      </c>
      <c r="H67" s="147">
        <f ca="1">IF($D67&lt;&gt;"Serviço",0,IF(ACOMPANHAMENTO="BM",ROUND(OFFSET(ORÇAMENTO!AJ$15,ROW(H67)-ROW(H$15),0),15-13*ORÇAMENTO!$AF$7),SUMPRODUCT(($Q$12:$AA$12&lt;&gt;"")*ROUND($Q67:$AA67,15-13*ORÇAMENTO!$AF$7))))</f>
        <v>0</v>
      </c>
      <c r="I67" s="645"/>
      <c r="K67" s="204"/>
      <c r="L67" s="205" t="s">
        <v>255</v>
      </c>
      <c r="M67" s="206">
        <f ca="1">IF($D67&lt;&gt;"Serviço","",IF(AUTOEVENTO="manual",$A67,IF(ISERROR(MATCH($A67,$A$15:OFFSET($A67,-1,0),0)),MAX($M$15:OFFSET(M67,-1,0))+1,INDEX($M$15:OFFSET(M67,-1,0),MATCH($A67,$A$15:OFFSET($A67,-1,0),0)))))</f>
        <v>6</v>
      </c>
      <c r="N67" s="207" t="str">
        <f ca="1">IF($D67&lt;&gt;"Serviço","",IF(AUTOEVENTO="Manual",IF($A67=0,"&lt;-- defina o número do agrupador",OFFSET(EVENTOS!$D$14,$A67,0)),OFFSET($F$15,$A67,0)))</f>
        <v>DRENAGEM</v>
      </c>
      <c r="O67" s="208"/>
      <c r="Q67" s="208"/>
      <c r="R67" s="209"/>
      <c r="S67" s="209"/>
      <c r="T67" s="209"/>
      <c r="U67" s="209"/>
      <c r="V67" s="209"/>
      <c r="W67" s="209"/>
      <c r="X67" s="209"/>
      <c r="Y67" s="209"/>
      <c r="Z67" s="210"/>
      <c r="AB67" s="626">
        <f ca="1">IF(AND($D67="Serviço",AB$12&lt;&gt;0,$H67&gt;0,OR(AUTOEVENTO&lt;&gt;"manual",$M67&lt;&gt;1)),
IF(Import.TipoArredondamento&lt;&gt;"TransfereGOV",
ROUND(OFFSET($P67,0,AB$13),15-13*ORÇAMENTO!$AF$7)/$H67*OFFSET(ORÇAMENTO!$X$15,ROW(AB67)-ROW(AB$15),0),
ROUND(ROUND(OFFSET($P67,0,AB$13),15-13*ORÇAMENTO!$AF$7)*OFFSET(ORÇAMENTO!$W$15,ROW(AB67)-ROW(AB$15),0),15-13*ORÇAMENTO!$AF$11)),0)</f>
        <v>0</v>
      </c>
      <c r="AC67" s="627">
        <f ca="1">IF(AND($D67="Serviço",AC$12&lt;&gt;0,$H67&gt;0,OR(AUTOEVENTO&lt;&gt;"manual",$M67&lt;&gt;1)),
IF(Import.TipoArredondamento&lt;&gt;"TransfereGOV",
ROUND(OFFSET($P67,0,AC$13),15-13*ORÇAMENTO!$AF$7)/$H67*OFFSET(ORÇAMENTO!$X$15,ROW(AC67)-ROW(AC$15),0),
ROUND(ROUND(OFFSET($P67,0,AC$13),15-13*ORÇAMENTO!$AF$7)*OFFSET(ORÇAMENTO!$W$15,ROW(AC67)-ROW(AC$15),0),15-13*ORÇAMENTO!$AF$11)),0)</f>
        <v>0</v>
      </c>
      <c r="AD67" s="627">
        <f ca="1">IF(AND($D67="Serviço",AD$12&lt;&gt;0,$H67&gt;0,OR(AUTOEVENTO&lt;&gt;"manual",$M67&lt;&gt;1)),
IF(Import.TipoArredondamento&lt;&gt;"TransfereGOV",
ROUND(OFFSET($P67,0,AD$13),15-13*ORÇAMENTO!$AF$7)/$H67*OFFSET(ORÇAMENTO!$X$15,ROW(AD67)-ROW(AD$15),0),
ROUND(ROUND(OFFSET($P67,0,AD$13),15-13*ORÇAMENTO!$AF$7)*OFFSET(ORÇAMENTO!$W$15,ROW(AD67)-ROW(AD$15),0),15-13*ORÇAMENTO!$AF$11)),0)</f>
        <v>0</v>
      </c>
      <c r="AE67" s="627">
        <f ca="1">IF(AND($D67="Serviço",AE$12&lt;&gt;0,$H67&gt;0,OR(AUTOEVENTO&lt;&gt;"manual",$M67&lt;&gt;1)),
IF(Import.TipoArredondamento&lt;&gt;"TransfereGOV",
ROUND(OFFSET($P67,0,AE$13),15-13*ORÇAMENTO!$AF$7)/$H67*OFFSET(ORÇAMENTO!$X$15,ROW(AE67)-ROW(AE$15),0),
ROUND(ROUND(OFFSET($P67,0,AE$13),15-13*ORÇAMENTO!$AF$7)*OFFSET(ORÇAMENTO!$W$15,ROW(AE67)-ROW(AE$15),0),15-13*ORÇAMENTO!$AF$11)),0)</f>
        <v>0</v>
      </c>
      <c r="AF67" s="627">
        <f ca="1">IF(AND($D67="Serviço",AF$12&lt;&gt;0,$H67&gt;0,OR(AUTOEVENTO&lt;&gt;"manual",$M67&lt;&gt;1)),
IF(Import.TipoArredondamento&lt;&gt;"TransfereGOV",
ROUND(OFFSET($P67,0,AF$13),15-13*ORÇAMENTO!$AF$7)/$H67*OFFSET(ORÇAMENTO!$X$15,ROW(AF67)-ROW(AF$15),0),
ROUND(ROUND(OFFSET($P67,0,AF$13),15-13*ORÇAMENTO!$AF$7)*OFFSET(ORÇAMENTO!$W$15,ROW(AF67)-ROW(AF$15),0),15-13*ORÇAMENTO!$AF$11)),0)</f>
        <v>0</v>
      </c>
      <c r="AG67" s="627">
        <f ca="1">IF(AND($D67="Serviço",AG$12&lt;&gt;0,$H67&gt;0,OR(AUTOEVENTO&lt;&gt;"manual",$M67&lt;&gt;1)),
IF(Import.TipoArredondamento&lt;&gt;"TransfereGOV",
ROUND(OFFSET($P67,0,AG$13),15-13*ORÇAMENTO!$AF$7)/$H67*OFFSET(ORÇAMENTO!$X$15,ROW(AG67)-ROW(AG$15),0),
ROUND(ROUND(OFFSET($P67,0,AG$13),15-13*ORÇAMENTO!$AF$7)*OFFSET(ORÇAMENTO!$W$15,ROW(AG67)-ROW(AG$15),0),15-13*ORÇAMENTO!$AF$11)),0)</f>
        <v>0</v>
      </c>
      <c r="AH67" s="627">
        <f ca="1">IF(AND($D67="Serviço",AH$12&lt;&gt;0,$H67&gt;0,OR(AUTOEVENTO&lt;&gt;"manual",$M67&lt;&gt;1)),
IF(Import.TipoArredondamento&lt;&gt;"TransfereGOV",
ROUND(OFFSET($P67,0,AH$13),15-13*ORÇAMENTO!$AF$7)/$H67*OFFSET(ORÇAMENTO!$X$15,ROW(AH67)-ROW(AH$15),0),
ROUND(ROUND(OFFSET($P67,0,AH$13),15-13*ORÇAMENTO!$AF$7)*OFFSET(ORÇAMENTO!$W$15,ROW(AH67)-ROW(AH$15),0),15-13*ORÇAMENTO!$AF$11)),0)</f>
        <v>0</v>
      </c>
      <c r="AI67" s="627">
        <f ca="1">IF(AND($D67="Serviço",AI$12&lt;&gt;0,$H67&gt;0,OR(AUTOEVENTO&lt;&gt;"manual",$M67&lt;&gt;1)),
IF(Import.TipoArredondamento&lt;&gt;"TransfereGOV",
ROUND(OFFSET($P67,0,AI$13),15-13*ORÇAMENTO!$AF$7)/$H67*OFFSET(ORÇAMENTO!$X$15,ROW(AI67)-ROW(AI$15),0),
ROUND(ROUND(OFFSET($P67,0,AI$13),15-13*ORÇAMENTO!$AF$7)*OFFSET(ORÇAMENTO!$W$15,ROW(AI67)-ROW(AI$15),0),15-13*ORÇAMENTO!$AF$11)),0)</f>
        <v>0</v>
      </c>
      <c r="AJ67" s="627">
        <f ca="1">IF(AND($D67="Serviço",AJ$12&lt;&gt;0,$H67&gt;0,OR(AUTOEVENTO&lt;&gt;"manual",$M67&lt;&gt;1)),
IF(Import.TipoArredondamento&lt;&gt;"TransfereGOV",
ROUND(OFFSET($P67,0,AJ$13),15-13*ORÇAMENTO!$AF$7)/$H67*OFFSET(ORÇAMENTO!$X$15,ROW(AJ67)-ROW(AJ$15),0),
ROUND(ROUND(OFFSET($P67,0,AJ$13),15-13*ORÇAMENTO!$AF$7)*OFFSET(ORÇAMENTO!$W$15,ROW(AJ67)-ROW(AJ$15),0),15-13*ORÇAMENTO!$AF$11)),0)</f>
        <v>0</v>
      </c>
      <c r="AK67" s="628">
        <f ca="1">IF(AND($D67="Serviço",AK$12&lt;&gt;0,$H67&gt;0,OR(AUTOEVENTO&lt;&gt;"manual",$M67&lt;&gt;1)),
IF(Import.TipoArredondamento&lt;&gt;"TransfereGOV",
ROUND(OFFSET($P67,0,AK$13),15-13*ORÇAMENTO!$AF$7)/$H67*OFFSET(ORÇAMENTO!$X$15,ROW(AK67)-ROW(AK$15),0),
ROUND(ROUND(OFFSET($P67,0,AK$13),15-13*ORÇAMENTO!$AF$7)*OFFSET(ORÇAMENTO!$W$15,ROW(AK67)-ROW(AK$15),0),15-13*ORÇAMENTO!$AF$11)),0)</f>
        <v>0</v>
      </c>
      <c r="AM67" s="211">
        <f ca="1">IF($D67&lt;&gt;"Serviço",0,IF(AND(AUTOEVENTO="Manual",$M67=1),0,IF(OFFSET(CRONOPLE!$F$14,$M67,AM$13)="",10^12,OFFSET(CRONOPLE!$F$14,$M67,AM$13))))</f>
        <v>2</v>
      </c>
      <c r="AN67" s="211">
        <f ca="1">IF($D67&lt;&gt;"Serviço",0,IF(AND(AUTOEVENTO="Manual",$M67=1),0,IF(OFFSET(CRONOPLE!$F$14,$M67,AN$13)="",10^12,OFFSET(CRONOPLE!$F$14,$M67,AN$13))))</f>
        <v>1</v>
      </c>
      <c r="AO67" s="211">
        <f ca="1">IF($D67&lt;&gt;"Serviço",0,IF(AND(AUTOEVENTO="Manual",$M67=1),0,IF(OFFSET(CRONOPLE!$F$14,$M67,AO$13)="",10^12,OFFSET(CRONOPLE!$F$14,$M67,AO$13))))</f>
        <v>2</v>
      </c>
      <c r="AP67" s="211">
        <f ca="1">IF($D67&lt;&gt;"Serviço",0,IF(AND(AUTOEVENTO="Manual",$M67=1),0,IF(OFFSET(CRONOPLE!$F$14,$M67,AP$13)="",10^12,OFFSET(CRONOPLE!$F$14,$M67,AP$13))))</f>
        <v>2</v>
      </c>
      <c r="AQ67" s="211">
        <f ca="1">IF($D67&lt;&gt;"Serviço",0,IF(AND(AUTOEVENTO="Manual",$M67=1),0,IF(OFFSET(CRONOPLE!$F$14,$M67,AQ$13)="",10^12,OFFSET(CRONOPLE!$F$14,$M67,AQ$13))))</f>
        <v>1000000000000</v>
      </c>
      <c r="AR67" s="211">
        <f ca="1">IF($D67&lt;&gt;"Serviço",0,IF(AND(AUTOEVENTO="Manual",$M67=1),0,IF(OFFSET(CRONOPLE!$F$14,$M67,AR$13)="",10^12,OFFSET(CRONOPLE!$F$14,$M67,AR$13))))</f>
        <v>1000000000000</v>
      </c>
      <c r="AS67" s="211">
        <f ca="1">IF($D67&lt;&gt;"Serviço",0,IF(AND(AUTOEVENTO="Manual",$M67=1),0,IF(OFFSET(CRONOPLE!$F$14,$M67,AS$13)="",10^12,OFFSET(CRONOPLE!$F$14,$M67,AS$13))))</f>
        <v>1000000000000</v>
      </c>
      <c r="AT67" s="211">
        <f ca="1">IF($D67&lt;&gt;"Serviço",0,IF(AND(AUTOEVENTO="Manual",$M67=1),0,IF(OFFSET(CRONOPLE!$F$14,$M67,AT$13)="",10^12,OFFSET(CRONOPLE!$F$14,$M67,AT$13))))</f>
        <v>1000000000000</v>
      </c>
      <c r="AU67" s="211">
        <f ca="1">IF($D67&lt;&gt;"Serviço",0,IF(AND(AUTOEVENTO="Manual",$M67=1),0,IF(OFFSET(CRONOPLE!$F$14,$M67,AU$13)="",10^12,OFFSET(CRONOPLE!$F$14,$M67,AU$13))))</f>
        <v>1000000000000</v>
      </c>
      <c r="AV67" s="211">
        <f ca="1">IF($D67&lt;&gt;"Serviço",0,IF(AND(AUTOEVENTO="Manual",$M67=1),0,IF(OFFSET(CRONOPLE!$F$14,$M67,AV$13)="",10^12,OFFSET(CRONOPLE!$F$14,$M67,AV$13))))</f>
        <v>1000000000000</v>
      </c>
      <c r="AX67" s="212">
        <f ca="1">IF($D67&lt;&gt;"Serviço",0,IF(OR(AND(AUTOEVENTO="Manual",$M67=1),$M67&gt;(ROW(PLE.lastrow)-ROW(PLE.firstrow))),0,IF(OFFSET(PLE!$G$14,$M67,AX$13)="",10^12,OFFSET(PLE!$G$14,$M67,AX$13))))</f>
        <v>1000000000000</v>
      </c>
      <c r="AY67" s="212">
        <f ca="1">IF($D67&lt;&gt;"Serviço",0,IF(OR(AND(AUTOEVENTO="Manual",$M67=1),$M67&gt;(ROW(PLE.lastrow)-ROW(PLE.firstrow))),0,IF(OFFSET(PLE!$G$14,$M67,AY$13)="",10^12,OFFSET(PLE!$G$14,$M67,AY$13))))</f>
        <v>1000000000000</v>
      </c>
      <c r="AZ67" s="212">
        <f ca="1">IF($D67&lt;&gt;"Serviço",0,IF(OR(AND(AUTOEVENTO="Manual",$M67=1),$M67&gt;(ROW(PLE.lastrow)-ROW(PLE.firstrow))),0,IF(OFFSET(PLE!$G$14,$M67,AZ$13)="",10^12,OFFSET(PLE!$G$14,$M67,AZ$13))))</f>
        <v>1000000000000</v>
      </c>
      <c r="BA67" s="212">
        <f ca="1">IF($D67&lt;&gt;"Serviço",0,IF(OR(AND(AUTOEVENTO="Manual",$M67=1),$M67&gt;(ROW(PLE.lastrow)-ROW(PLE.firstrow))),0,IF(OFFSET(PLE!$G$14,$M67,BA$13)="",10^12,OFFSET(PLE!$G$14,$M67,BA$13))))</f>
        <v>1000000000000</v>
      </c>
      <c r="BB67" s="212">
        <f ca="1">IF($D67&lt;&gt;"Serviço",0,IF(OR(AND(AUTOEVENTO="Manual",$M67=1),$M67&gt;(ROW(PLE.lastrow)-ROW(PLE.firstrow))),0,IF(OFFSET(PLE!$G$14,$M67,BB$13)="",10^12,OFFSET(PLE!$G$14,$M67,BB$13))))</f>
        <v>1000000000000</v>
      </c>
      <c r="BC67" s="212">
        <f ca="1">IF($D67&lt;&gt;"Serviço",0,IF(OR(AND(AUTOEVENTO="Manual",$M67=1),$M67&gt;(ROW(PLE.lastrow)-ROW(PLE.firstrow))),0,IF(OFFSET(PLE!$G$14,$M67,BC$13)="",10^12,OFFSET(PLE!$G$14,$M67,BC$13))))</f>
        <v>1000000000000</v>
      </c>
      <c r="BD67" s="212">
        <f ca="1">IF($D67&lt;&gt;"Serviço",0,IF(OR(AND(AUTOEVENTO="Manual",$M67=1),$M67&gt;(ROW(PLE.lastrow)-ROW(PLE.firstrow))),0,IF(OFFSET(PLE!$G$14,$M67,BD$13)="",10^12,OFFSET(PLE!$G$14,$M67,BD$13))))</f>
        <v>1000000000000</v>
      </c>
      <c r="BE67" s="212">
        <f ca="1">IF($D67&lt;&gt;"Serviço",0,IF(OR(AND(AUTOEVENTO="Manual",$M67=1),$M67&gt;(ROW(PLE.lastrow)-ROW(PLE.firstrow))),0,IF(OFFSET(PLE!$G$14,$M67,BE$13)="",10^12,OFFSET(PLE!$G$14,$M67,BE$13))))</f>
        <v>1000000000000</v>
      </c>
      <c r="BF67" s="212">
        <f ca="1">IF($D67&lt;&gt;"Serviço",0,IF(OR(AND(AUTOEVENTO="Manual",$M67=1),$M67&gt;(ROW(PLE.lastrow)-ROW(PLE.firstrow))),0,IF(OFFSET(PLE!$G$14,$M67,BF$13)="",10^12,OFFSET(PLE!$G$14,$M67,BF$13))))</f>
        <v>1000000000000</v>
      </c>
      <c r="BG67" s="212">
        <f ca="1">IF($D67&lt;&gt;"Serviço",0,IF(OR(AND(AUTOEVENTO="Manual",$M67=1),$M67&gt;(ROW(PLE.lastrow)-ROW(PLE.firstrow))),0,IF(OFFSET(PLE!$G$14,$M67,BG$13)="",10^12,OFFSET(PLE!$G$14,$M67,BG$13))))</f>
        <v>1000000000000</v>
      </c>
    </row>
    <row r="68" spans="1:59" ht="13.2">
      <c r="A68" s="9" t="str">
        <f t="shared" ca="1" si="8"/>
        <v>15</v>
      </c>
      <c r="B68" s="9" t="str">
        <f ca="1">OFFSET(ORÇAMENTO!C$15,ROW(B68)-ROW(B$15),0)</f>
        <v>S</v>
      </c>
      <c r="C68" s="9" t="str">
        <f ca="1">OFFSET(ORÇAMENTO!L$15,ROW(C68)-ROW(C$15),0)</f>
        <v/>
      </c>
      <c r="D68" s="141" t="str">
        <f ca="1">OFFSET(ORÇAMENTO!N$15,ROW(D68)-ROW(D$15),0)</f>
        <v>Serviço</v>
      </c>
      <c r="E68" s="201" t="str">
        <f ca="1">OFFSET(ORÇAMENTO!O$15,ROW(E68)-ROW(E$15),0)</f>
        <v>-</v>
      </c>
      <c r="F68" s="202" t="str">
        <f ca="1">OFFSET(ORÇAMENTO!R$15,ROW(F68)-ROW(F$15),0)</f>
        <v>(abra o arquivo 'Referência 11-2024.xlsm)</v>
      </c>
      <c r="G68" s="203" t="str">
        <f ca="1">IF($D68&lt;&gt;"Serviço","",OFFSET(ORÇAMENTO!S$15,ROW(G68)-ROW(G$15),0))</f>
        <v>-</v>
      </c>
      <c r="H68" s="147">
        <f ca="1">IF($D68&lt;&gt;"Serviço",0,IF(ACOMPANHAMENTO="BM",ROUND(OFFSET(ORÇAMENTO!AJ$15,ROW(H68)-ROW(H$15),0),15-13*ORÇAMENTO!$AF$7),SUMPRODUCT(($Q$12:$AA$12&lt;&gt;"")*ROUND($Q68:$AA68,15-13*ORÇAMENTO!$AF$7))))</f>
        <v>0</v>
      </c>
      <c r="I68" s="645"/>
      <c r="K68" s="204"/>
      <c r="L68" s="205" t="s">
        <v>255</v>
      </c>
      <c r="M68" s="206">
        <f ca="1">IF($D68&lt;&gt;"Serviço","",IF(AUTOEVENTO="manual",$A68,IF(ISERROR(MATCH($A68,$A$15:OFFSET($A68,-1,0),0)),MAX($M$15:OFFSET(M68,-1,0))+1,INDEX($M$15:OFFSET(M68,-1,0),MATCH($A68,$A$15:OFFSET($A68,-1,0),0)))))</f>
        <v>6</v>
      </c>
      <c r="N68" s="207" t="str">
        <f ca="1">IF($D68&lt;&gt;"Serviço","",IF(AUTOEVENTO="Manual",IF($A68=0,"&lt;-- defina o número do agrupador",OFFSET(EVENTOS!$D$14,$A68,0)),OFFSET($F$15,$A68,0)))</f>
        <v>DRENAGEM</v>
      </c>
      <c r="O68" s="208"/>
      <c r="Q68" s="208"/>
      <c r="R68" s="209"/>
      <c r="S68" s="209"/>
      <c r="T68" s="209"/>
      <c r="U68" s="209"/>
      <c r="V68" s="209"/>
      <c r="W68" s="209"/>
      <c r="X68" s="209"/>
      <c r="Y68" s="209"/>
      <c r="Z68" s="210"/>
      <c r="AB68" s="626">
        <f ca="1">IF(AND($D68="Serviço",AB$12&lt;&gt;0,$H68&gt;0,OR(AUTOEVENTO&lt;&gt;"manual",$M68&lt;&gt;1)),
IF(Import.TipoArredondamento&lt;&gt;"TransfereGOV",
ROUND(OFFSET($P68,0,AB$13),15-13*ORÇAMENTO!$AF$7)/$H68*OFFSET(ORÇAMENTO!$X$15,ROW(AB68)-ROW(AB$15),0),
ROUND(ROUND(OFFSET($P68,0,AB$13),15-13*ORÇAMENTO!$AF$7)*OFFSET(ORÇAMENTO!$W$15,ROW(AB68)-ROW(AB$15),0),15-13*ORÇAMENTO!$AF$11)),0)</f>
        <v>0</v>
      </c>
      <c r="AC68" s="627">
        <f ca="1">IF(AND($D68="Serviço",AC$12&lt;&gt;0,$H68&gt;0,OR(AUTOEVENTO&lt;&gt;"manual",$M68&lt;&gt;1)),
IF(Import.TipoArredondamento&lt;&gt;"TransfereGOV",
ROUND(OFFSET($P68,0,AC$13),15-13*ORÇAMENTO!$AF$7)/$H68*OFFSET(ORÇAMENTO!$X$15,ROW(AC68)-ROW(AC$15),0),
ROUND(ROUND(OFFSET($P68,0,AC$13),15-13*ORÇAMENTO!$AF$7)*OFFSET(ORÇAMENTO!$W$15,ROW(AC68)-ROW(AC$15),0),15-13*ORÇAMENTO!$AF$11)),0)</f>
        <v>0</v>
      </c>
      <c r="AD68" s="627">
        <f ca="1">IF(AND($D68="Serviço",AD$12&lt;&gt;0,$H68&gt;0,OR(AUTOEVENTO&lt;&gt;"manual",$M68&lt;&gt;1)),
IF(Import.TipoArredondamento&lt;&gt;"TransfereGOV",
ROUND(OFFSET($P68,0,AD$13),15-13*ORÇAMENTO!$AF$7)/$H68*OFFSET(ORÇAMENTO!$X$15,ROW(AD68)-ROW(AD$15),0),
ROUND(ROUND(OFFSET($P68,0,AD$13),15-13*ORÇAMENTO!$AF$7)*OFFSET(ORÇAMENTO!$W$15,ROW(AD68)-ROW(AD$15),0),15-13*ORÇAMENTO!$AF$11)),0)</f>
        <v>0</v>
      </c>
      <c r="AE68" s="627">
        <f ca="1">IF(AND($D68="Serviço",AE$12&lt;&gt;0,$H68&gt;0,OR(AUTOEVENTO&lt;&gt;"manual",$M68&lt;&gt;1)),
IF(Import.TipoArredondamento&lt;&gt;"TransfereGOV",
ROUND(OFFSET($P68,0,AE$13),15-13*ORÇAMENTO!$AF$7)/$H68*OFFSET(ORÇAMENTO!$X$15,ROW(AE68)-ROW(AE$15),0),
ROUND(ROUND(OFFSET($P68,0,AE$13),15-13*ORÇAMENTO!$AF$7)*OFFSET(ORÇAMENTO!$W$15,ROW(AE68)-ROW(AE$15),0),15-13*ORÇAMENTO!$AF$11)),0)</f>
        <v>0</v>
      </c>
      <c r="AF68" s="627">
        <f ca="1">IF(AND($D68="Serviço",AF$12&lt;&gt;0,$H68&gt;0,OR(AUTOEVENTO&lt;&gt;"manual",$M68&lt;&gt;1)),
IF(Import.TipoArredondamento&lt;&gt;"TransfereGOV",
ROUND(OFFSET($P68,0,AF$13),15-13*ORÇAMENTO!$AF$7)/$H68*OFFSET(ORÇAMENTO!$X$15,ROW(AF68)-ROW(AF$15),0),
ROUND(ROUND(OFFSET($P68,0,AF$13),15-13*ORÇAMENTO!$AF$7)*OFFSET(ORÇAMENTO!$W$15,ROW(AF68)-ROW(AF$15),0),15-13*ORÇAMENTO!$AF$11)),0)</f>
        <v>0</v>
      </c>
      <c r="AG68" s="627">
        <f ca="1">IF(AND($D68="Serviço",AG$12&lt;&gt;0,$H68&gt;0,OR(AUTOEVENTO&lt;&gt;"manual",$M68&lt;&gt;1)),
IF(Import.TipoArredondamento&lt;&gt;"TransfereGOV",
ROUND(OFFSET($P68,0,AG$13),15-13*ORÇAMENTO!$AF$7)/$H68*OFFSET(ORÇAMENTO!$X$15,ROW(AG68)-ROW(AG$15),0),
ROUND(ROUND(OFFSET($P68,0,AG$13),15-13*ORÇAMENTO!$AF$7)*OFFSET(ORÇAMENTO!$W$15,ROW(AG68)-ROW(AG$15),0),15-13*ORÇAMENTO!$AF$11)),0)</f>
        <v>0</v>
      </c>
      <c r="AH68" s="627">
        <f ca="1">IF(AND($D68="Serviço",AH$12&lt;&gt;0,$H68&gt;0,OR(AUTOEVENTO&lt;&gt;"manual",$M68&lt;&gt;1)),
IF(Import.TipoArredondamento&lt;&gt;"TransfereGOV",
ROUND(OFFSET($P68,0,AH$13),15-13*ORÇAMENTO!$AF$7)/$H68*OFFSET(ORÇAMENTO!$X$15,ROW(AH68)-ROW(AH$15),0),
ROUND(ROUND(OFFSET($P68,0,AH$13),15-13*ORÇAMENTO!$AF$7)*OFFSET(ORÇAMENTO!$W$15,ROW(AH68)-ROW(AH$15),0),15-13*ORÇAMENTO!$AF$11)),0)</f>
        <v>0</v>
      </c>
      <c r="AI68" s="627">
        <f ca="1">IF(AND($D68="Serviço",AI$12&lt;&gt;0,$H68&gt;0,OR(AUTOEVENTO&lt;&gt;"manual",$M68&lt;&gt;1)),
IF(Import.TipoArredondamento&lt;&gt;"TransfereGOV",
ROUND(OFFSET($P68,0,AI$13),15-13*ORÇAMENTO!$AF$7)/$H68*OFFSET(ORÇAMENTO!$X$15,ROW(AI68)-ROW(AI$15),0),
ROUND(ROUND(OFFSET($P68,0,AI$13),15-13*ORÇAMENTO!$AF$7)*OFFSET(ORÇAMENTO!$W$15,ROW(AI68)-ROW(AI$15),0),15-13*ORÇAMENTO!$AF$11)),0)</f>
        <v>0</v>
      </c>
      <c r="AJ68" s="627">
        <f ca="1">IF(AND($D68="Serviço",AJ$12&lt;&gt;0,$H68&gt;0,OR(AUTOEVENTO&lt;&gt;"manual",$M68&lt;&gt;1)),
IF(Import.TipoArredondamento&lt;&gt;"TransfereGOV",
ROUND(OFFSET($P68,0,AJ$13),15-13*ORÇAMENTO!$AF$7)/$H68*OFFSET(ORÇAMENTO!$X$15,ROW(AJ68)-ROW(AJ$15),0),
ROUND(ROUND(OFFSET($P68,0,AJ$13),15-13*ORÇAMENTO!$AF$7)*OFFSET(ORÇAMENTO!$W$15,ROW(AJ68)-ROW(AJ$15),0),15-13*ORÇAMENTO!$AF$11)),0)</f>
        <v>0</v>
      </c>
      <c r="AK68" s="628">
        <f ca="1">IF(AND($D68="Serviço",AK$12&lt;&gt;0,$H68&gt;0,OR(AUTOEVENTO&lt;&gt;"manual",$M68&lt;&gt;1)),
IF(Import.TipoArredondamento&lt;&gt;"TransfereGOV",
ROUND(OFFSET($P68,0,AK$13),15-13*ORÇAMENTO!$AF$7)/$H68*OFFSET(ORÇAMENTO!$X$15,ROW(AK68)-ROW(AK$15),0),
ROUND(ROUND(OFFSET($P68,0,AK$13),15-13*ORÇAMENTO!$AF$7)*OFFSET(ORÇAMENTO!$W$15,ROW(AK68)-ROW(AK$15),0),15-13*ORÇAMENTO!$AF$11)),0)</f>
        <v>0</v>
      </c>
      <c r="AM68" s="211">
        <f ca="1">IF($D68&lt;&gt;"Serviço",0,IF(AND(AUTOEVENTO="Manual",$M68=1),0,IF(OFFSET(CRONOPLE!$F$14,$M68,AM$13)="",10^12,OFFSET(CRONOPLE!$F$14,$M68,AM$13))))</f>
        <v>2</v>
      </c>
      <c r="AN68" s="211">
        <f ca="1">IF($D68&lt;&gt;"Serviço",0,IF(AND(AUTOEVENTO="Manual",$M68=1),0,IF(OFFSET(CRONOPLE!$F$14,$M68,AN$13)="",10^12,OFFSET(CRONOPLE!$F$14,$M68,AN$13))))</f>
        <v>1</v>
      </c>
      <c r="AO68" s="211">
        <f ca="1">IF($D68&lt;&gt;"Serviço",0,IF(AND(AUTOEVENTO="Manual",$M68=1),0,IF(OFFSET(CRONOPLE!$F$14,$M68,AO$13)="",10^12,OFFSET(CRONOPLE!$F$14,$M68,AO$13))))</f>
        <v>2</v>
      </c>
      <c r="AP68" s="211">
        <f ca="1">IF($D68&lt;&gt;"Serviço",0,IF(AND(AUTOEVENTO="Manual",$M68=1),0,IF(OFFSET(CRONOPLE!$F$14,$M68,AP$13)="",10^12,OFFSET(CRONOPLE!$F$14,$M68,AP$13))))</f>
        <v>2</v>
      </c>
      <c r="AQ68" s="211">
        <f ca="1">IF($D68&lt;&gt;"Serviço",0,IF(AND(AUTOEVENTO="Manual",$M68=1),0,IF(OFFSET(CRONOPLE!$F$14,$M68,AQ$13)="",10^12,OFFSET(CRONOPLE!$F$14,$M68,AQ$13))))</f>
        <v>1000000000000</v>
      </c>
      <c r="AR68" s="211">
        <f ca="1">IF($D68&lt;&gt;"Serviço",0,IF(AND(AUTOEVENTO="Manual",$M68=1),0,IF(OFFSET(CRONOPLE!$F$14,$M68,AR$13)="",10^12,OFFSET(CRONOPLE!$F$14,$M68,AR$13))))</f>
        <v>1000000000000</v>
      </c>
      <c r="AS68" s="211">
        <f ca="1">IF($D68&lt;&gt;"Serviço",0,IF(AND(AUTOEVENTO="Manual",$M68=1),0,IF(OFFSET(CRONOPLE!$F$14,$M68,AS$13)="",10^12,OFFSET(CRONOPLE!$F$14,$M68,AS$13))))</f>
        <v>1000000000000</v>
      </c>
      <c r="AT68" s="211">
        <f ca="1">IF($D68&lt;&gt;"Serviço",0,IF(AND(AUTOEVENTO="Manual",$M68=1),0,IF(OFFSET(CRONOPLE!$F$14,$M68,AT$13)="",10^12,OFFSET(CRONOPLE!$F$14,$M68,AT$13))))</f>
        <v>1000000000000</v>
      </c>
      <c r="AU68" s="211">
        <f ca="1">IF($D68&lt;&gt;"Serviço",0,IF(AND(AUTOEVENTO="Manual",$M68=1),0,IF(OFFSET(CRONOPLE!$F$14,$M68,AU$13)="",10^12,OFFSET(CRONOPLE!$F$14,$M68,AU$13))))</f>
        <v>1000000000000</v>
      </c>
      <c r="AV68" s="211">
        <f ca="1">IF($D68&lt;&gt;"Serviço",0,IF(AND(AUTOEVENTO="Manual",$M68=1),0,IF(OFFSET(CRONOPLE!$F$14,$M68,AV$13)="",10^12,OFFSET(CRONOPLE!$F$14,$M68,AV$13))))</f>
        <v>1000000000000</v>
      </c>
      <c r="AX68" s="212">
        <f ca="1">IF($D68&lt;&gt;"Serviço",0,IF(OR(AND(AUTOEVENTO="Manual",$M68=1),$M68&gt;(ROW(PLE.lastrow)-ROW(PLE.firstrow))),0,IF(OFFSET(PLE!$G$14,$M68,AX$13)="",10^12,OFFSET(PLE!$G$14,$M68,AX$13))))</f>
        <v>1000000000000</v>
      </c>
      <c r="AY68" s="212">
        <f ca="1">IF($D68&lt;&gt;"Serviço",0,IF(OR(AND(AUTOEVENTO="Manual",$M68=1),$M68&gt;(ROW(PLE.lastrow)-ROW(PLE.firstrow))),0,IF(OFFSET(PLE!$G$14,$M68,AY$13)="",10^12,OFFSET(PLE!$G$14,$M68,AY$13))))</f>
        <v>1000000000000</v>
      </c>
      <c r="AZ68" s="212">
        <f ca="1">IF($D68&lt;&gt;"Serviço",0,IF(OR(AND(AUTOEVENTO="Manual",$M68=1),$M68&gt;(ROW(PLE.lastrow)-ROW(PLE.firstrow))),0,IF(OFFSET(PLE!$G$14,$M68,AZ$13)="",10^12,OFFSET(PLE!$G$14,$M68,AZ$13))))</f>
        <v>1000000000000</v>
      </c>
      <c r="BA68" s="212">
        <f ca="1">IF($D68&lt;&gt;"Serviço",0,IF(OR(AND(AUTOEVENTO="Manual",$M68=1),$M68&gt;(ROW(PLE.lastrow)-ROW(PLE.firstrow))),0,IF(OFFSET(PLE!$G$14,$M68,BA$13)="",10^12,OFFSET(PLE!$G$14,$M68,BA$13))))</f>
        <v>1000000000000</v>
      </c>
      <c r="BB68" s="212">
        <f ca="1">IF($D68&lt;&gt;"Serviço",0,IF(OR(AND(AUTOEVENTO="Manual",$M68=1),$M68&gt;(ROW(PLE.lastrow)-ROW(PLE.firstrow))),0,IF(OFFSET(PLE!$G$14,$M68,BB$13)="",10^12,OFFSET(PLE!$G$14,$M68,BB$13))))</f>
        <v>1000000000000</v>
      </c>
      <c r="BC68" s="212">
        <f ca="1">IF($D68&lt;&gt;"Serviço",0,IF(OR(AND(AUTOEVENTO="Manual",$M68=1),$M68&gt;(ROW(PLE.lastrow)-ROW(PLE.firstrow))),0,IF(OFFSET(PLE!$G$14,$M68,BC$13)="",10^12,OFFSET(PLE!$G$14,$M68,BC$13))))</f>
        <v>1000000000000</v>
      </c>
      <c r="BD68" s="212">
        <f ca="1">IF($D68&lt;&gt;"Serviço",0,IF(OR(AND(AUTOEVENTO="Manual",$M68=1),$M68&gt;(ROW(PLE.lastrow)-ROW(PLE.firstrow))),0,IF(OFFSET(PLE!$G$14,$M68,BD$13)="",10^12,OFFSET(PLE!$G$14,$M68,BD$13))))</f>
        <v>1000000000000</v>
      </c>
      <c r="BE68" s="212">
        <f ca="1">IF($D68&lt;&gt;"Serviço",0,IF(OR(AND(AUTOEVENTO="Manual",$M68=1),$M68&gt;(ROW(PLE.lastrow)-ROW(PLE.firstrow))),0,IF(OFFSET(PLE!$G$14,$M68,BE$13)="",10^12,OFFSET(PLE!$G$14,$M68,BE$13))))</f>
        <v>1000000000000</v>
      </c>
      <c r="BF68" s="212">
        <f ca="1">IF($D68&lt;&gt;"Serviço",0,IF(OR(AND(AUTOEVENTO="Manual",$M68=1),$M68&gt;(ROW(PLE.lastrow)-ROW(PLE.firstrow))),0,IF(OFFSET(PLE!$G$14,$M68,BF$13)="",10^12,OFFSET(PLE!$G$14,$M68,BF$13))))</f>
        <v>1000000000000</v>
      </c>
      <c r="BG68" s="212">
        <f ca="1">IF($D68&lt;&gt;"Serviço",0,IF(OR(AND(AUTOEVENTO="Manual",$M68=1),$M68&gt;(ROW(PLE.lastrow)-ROW(PLE.firstrow))),0,IF(OFFSET(PLE!$G$14,$M68,BG$13)="",10^12,OFFSET(PLE!$G$14,$M68,BG$13))))</f>
        <v>1000000000000</v>
      </c>
    </row>
    <row r="69" spans="1:59" ht="13.2">
      <c r="A69" s="9" t="str">
        <f t="shared" ca="1" si="8"/>
        <v>15</v>
      </c>
      <c r="B69" s="9" t="str">
        <f ca="1">OFFSET(ORÇAMENTO!C$15,ROW(B69)-ROW(B$15),0)</f>
        <v>S</v>
      </c>
      <c r="C69" s="9" t="str">
        <f ca="1">OFFSET(ORÇAMENTO!L$15,ROW(C69)-ROW(C$15),0)</f>
        <v/>
      </c>
      <c r="D69" s="141" t="str">
        <f ca="1">OFFSET(ORÇAMENTO!N$15,ROW(D69)-ROW(D$15),0)</f>
        <v>Serviço</v>
      </c>
      <c r="E69" s="201" t="str">
        <f ca="1">OFFSET(ORÇAMENTO!O$15,ROW(E69)-ROW(E$15),0)</f>
        <v>-</v>
      </c>
      <c r="F69" s="202" t="str">
        <f ca="1">OFFSET(ORÇAMENTO!R$15,ROW(F69)-ROW(F$15),0)</f>
        <v>(abra o arquivo 'Referência 11-2024.xlsm)</v>
      </c>
      <c r="G69" s="203" t="str">
        <f ca="1">IF($D69&lt;&gt;"Serviço","",OFFSET(ORÇAMENTO!S$15,ROW(G69)-ROW(G$15),0))</f>
        <v>-</v>
      </c>
      <c r="H69" s="147">
        <f ca="1">IF($D69&lt;&gt;"Serviço",0,IF(ACOMPANHAMENTO="BM",ROUND(OFFSET(ORÇAMENTO!AJ$15,ROW(H69)-ROW(H$15),0),15-13*ORÇAMENTO!$AF$7),SUMPRODUCT(($Q$12:$AA$12&lt;&gt;"")*ROUND($Q69:$AA69,15-13*ORÇAMENTO!$AF$7))))</f>
        <v>0</v>
      </c>
      <c r="I69" s="645"/>
      <c r="K69" s="204"/>
      <c r="L69" s="205" t="s">
        <v>255</v>
      </c>
      <c r="M69" s="206">
        <f ca="1">IF($D69&lt;&gt;"Serviço","",IF(AUTOEVENTO="manual",$A69,IF(ISERROR(MATCH($A69,$A$15:OFFSET($A69,-1,0),0)),MAX($M$15:OFFSET(M69,-1,0))+1,INDEX($M$15:OFFSET(M69,-1,0),MATCH($A69,$A$15:OFFSET($A69,-1,0),0)))))</f>
        <v>6</v>
      </c>
      <c r="N69" s="207" t="str">
        <f ca="1">IF($D69&lt;&gt;"Serviço","",IF(AUTOEVENTO="Manual",IF($A69=0,"&lt;-- defina o número do agrupador",OFFSET(EVENTOS!$D$14,$A69,0)),OFFSET($F$15,$A69,0)))</f>
        <v>DRENAGEM</v>
      </c>
      <c r="O69" s="208"/>
      <c r="Q69" s="208"/>
      <c r="R69" s="209"/>
      <c r="S69" s="209"/>
      <c r="T69" s="209"/>
      <c r="U69" s="209"/>
      <c r="V69" s="209"/>
      <c r="W69" s="209"/>
      <c r="X69" s="209"/>
      <c r="Y69" s="209"/>
      <c r="Z69" s="210"/>
      <c r="AB69" s="626">
        <f ca="1">IF(AND($D69="Serviço",AB$12&lt;&gt;0,$H69&gt;0,OR(AUTOEVENTO&lt;&gt;"manual",$M69&lt;&gt;1)),
IF(Import.TipoArredondamento&lt;&gt;"TransfereGOV",
ROUND(OFFSET($P69,0,AB$13),15-13*ORÇAMENTO!$AF$7)/$H69*OFFSET(ORÇAMENTO!$X$15,ROW(AB69)-ROW(AB$15),0),
ROUND(ROUND(OFFSET($P69,0,AB$13),15-13*ORÇAMENTO!$AF$7)*OFFSET(ORÇAMENTO!$W$15,ROW(AB69)-ROW(AB$15),0),15-13*ORÇAMENTO!$AF$11)),0)</f>
        <v>0</v>
      </c>
      <c r="AC69" s="627">
        <f ca="1">IF(AND($D69="Serviço",AC$12&lt;&gt;0,$H69&gt;0,OR(AUTOEVENTO&lt;&gt;"manual",$M69&lt;&gt;1)),
IF(Import.TipoArredondamento&lt;&gt;"TransfereGOV",
ROUND(OFFSET($P69,0,AC$13),15-13*ORÇAMENTO!$AF$7)/$H69*OFFSET(ORÇAMENTO!$X$15,ROW(AC69)-ROW(AC$15),0),
ROUND(ROUND(OFFSET($P69,0,AC$13),15-13*ORÇAMENTO!$AF$7)*OFFSET(ORÇAMENTO!$W$15,ROW(AC69)-ROW(AC$15),0),15-13*ORÇAMENTO!$AF$11)),0)</f>
        <v>0</v>
      </c>
      <c r="AD69" s="627">
        <f ca="1">IF(AND($D69="Serviço",AD$12&lt;&gt;0,$H69&gt;0,OR(AUTOEVENTO&lt;&gt;"manual",$M69&lt;&gt;1)),
IF(Import.TipoArredondamento&lt;&gt;"TransfereGOV",
ROUND(OFFSET($P69,0,AD$13),15-13*ORÇAMENTO!$AF$7)/$H69*OFFSET(ORÇAMENTO!$X$15,ROW(AD69)-ROW(AD$15),0),
ROUND(ROUND(OFFSET($P69,0,AD$13),15-13*ORÇAMENTO!$AF$7)*OFFSET(ORÇAMENTO!$W$15,ROW(AD69)-ROW(AD$15),0),15-13*ORÇAMENTO!$AF$11)),0)</f>
        <v>0</v>
      </c>
      <c r="AE69" s="627">
        <f ca="1">IF(AND($D69="Serviço",AE$12&lt;&gt;0,$H69&gt;0,OR(AUTOEVENTO&lt;&gt;"manual",$M69&lt;&gt;1)),
IF(Import.TipoArredondamento&lt;&gt;"TransfereGOV",
ROUND(OFFSET($P69,0,AE$13),15-13*ORÇAMENTO!$AF$7)/$H69*OFFSET(ORÇAMENTO!$X$15,ROW(AE69)-ROW(AE$15),0),
ROUND(ROUND(OFFSET($P69,0,AE$13),15-13*ORÇAMENTO!$AF$7)*OFFSET(ORÇAMENTO!$W$15,ROW(AE69)-ROW(AE$15),0),15-13*ORÇAMENTO!$AF$11)),0)</f>
        <v>0</v>
      </c>
      <c r="AF69" s="627">
        <f ca="1">IF(AND($D69="Serviço",AF$12&lt;&gt;0,$H69&gt;0,OR(AUTOEVENTO&lt;&gt;"manual",$M69&lt;&gt;1)),
IF(Import.TipoArredondamento&lt;&gt;"TransfereGOV",
ROUND(OFFSET($P69,0,AF$13),15-13*ORÇAMENTO!$AF$7)/$H69*OFFSET(ORÇAMENTO!$X$15,ROW(AF69)-ROW(AF$15),0),
ROUND(ROUND(OFFSET($P69,0,AF$13),15-13*ORÇAMENTO!$AF$7)*OFFSET(ORÇAMENTO!$W$15,ROW(AF69)-ROW(AF$15),0),15-13*ORÇAMENTO!$AF$11)),0)</f>
        <v>0</v>
      </c>
      <c r="AG69" s="627">
        <f ca="1">IF(AND($D69="Serviço",AG$12&lt;&gt;0,$H69&gt;0,OR(AUTOEVENTO&lt;&gt;"manual",$M69&lt;&gt;1)),
IF(Import.TipoArredondamento&lt;&gt;"TransfereGOV",
ROUND(OFFSET($P69,0,AG$13),15-13*ORÇAMENTO!$AF$7)/$H69*OFFSET(ORÇAMENTO!$X$15,ROW(AG69)-ROW(AG$15),0),
ROUND(ROUND(OFFSET($P69,0,AG$13),15-13*ORÇAMENTO!$AF$7)*OFFSET(ORÇAMENTO!$W$15,ROW(AG69)-ROW(AG$15),0),15-13*ORÇAMENTO!$AF$11)),0)</f>
        <v>0</v>
      </c>
      <c r="AH69" s="627">
        <f ca="1">IF(AND($D69="Serviço",AH$12&lt;&gt;0,$H69&gt;0,OR(AUTOEVENTO&lt;&gt;"manual",$M69&lt;&gt;1)),
IF(Import.TipoArredondamento&lt;&gt;"TransfereGOV",
ROUND(OFFSET($P69,0,AH$13),15-13*ORÇAMENTO!$AF$7)/$H69*OFFSET(ORÇAMENTO!$X$15,ROW(AH69)-ROW(AH$15),0),
ROUND(ROUND(OFFSET($P69,0,AH$13),15-13*ORÇAMENTO!$AF$7)*OFFSET(ORÇAMENTO!$W$15,ROW(AH69)-ROW(AH$15),0),15-13*ORÇAMENTO!$AF$11)),0)</f>
        <v>0</v>
      </c>
      <c r="AI69" s="627">
        <f ca="1">IF(AND($D69="Serviço",AI$12&lt;&gt;0,$H69&gt;0,OR(AUTOEVENTO&lt;&gt;"manual",$M69&lt;&gt;1)),
IF(Import.TipoArredondamento&lt;&gt;"TransfereGOV",
ROUND(OFFSET($P69,0,AI$13),15-13*ORÇAMENTO!$AF$7)/$H69*OFFSET(ORÇAMENTO!$X$15,ROW(AI69)-ROW(AI$15),0),
ROUND(ROUND(OFFSET($P69,0,AI$13),15-13*ORÇAMENTO!$AF$7)*OFFSET(ORÇAMENTO!$W$15,ROW(AI69)-ROW(AI$15),0),15-13*ORÇAMENTO!$AF$11)),0)</f>
        <v>0</v>
      </c>
      <c r="AJ69" s="627">
        <f ca="1">IF(AND($D69="Serviço",AJ$12&lt;&gt;0,$H69&gt;0,OR(AUTOEVENTO&lt;&gt;"manual",$M69&lt;&gt;1)),
IF(Import.TipoArredondamento&lt;&gt;"TransfereGOV",
ROUND(OFFSET($P69,0,AJ$13),15-13*ORÇAMENTO!$AF$7)/$H69*OFFSET(ORÇAMENTO!$X$15,ROW(AJ69)-ROW(AJ$15),0),
ROUND(ROUND(OFFSET($P69,0,AJ$13),15-13*ORÇAMENTO!$AF$7)*OFFSET(ORÇAMENTO!$W$15,ROW(AJ69)-ROW(AJ$15),0),15-13*ORÇAMENTO!$AF$11)),0)</f>
        <v>0</v>
      </c>
      <c r="AK69" s="628">
        <f ca="1">IF(AND($D69="Serviço",AK$12&lt;&gt;0,$H69&gt;0,OR(AUTOEVENTO&lt;&gt;"manual",$M69&lt;&gt;1)),
IF(Import.TipoArredondamento&lt;&gt;"TransfereGOV",
ROUND(OFFSET($P69,0,AK$13),15-13*ORÇAMENTO!$AF$7)/$H69*OFFSET(ORÇAMENTO!$X$15,ROW(AK69)-ROW(AK$15),0),
ROUND(ROUND(OFFSET($P69,0,AK$13),15-13*ORÇAMENTO!$AF$7)*OFFSET(ORÇAMENTO!$W$15,ROW(AK69)-ROW(AK$15),0),15-13*ORÇAMENTO!$AF$11)),0)</f>
        <v>0</v>
      </c>
      <c r="AM69" s="211">
        <f ca="1">IF($D69&lt;&gt;"Serviço",0,IF(AND(AUTOEVENTO="Manual",$M69=1),0,IF(OFFSET(CRONOPLE!$F$14,$M69,AM$13)="",10^12,OFFSET(CRONOPLE!$F$14,$M69,AM$13))))</f>
        <v>2</v>
      </c>
      <c r="AN69" s="211">
        <f ca="1">IF($D69&lt;&gt;"Serviço",0,IF(AND(AUTOEVENTO="Manual",$M69=1),0,IF(OFFSET(CRONOPLE!$F$14,$M69,AN$13)="",10^12,OFFSET(CRONOPLE!$F$14,$M69,AN$13))))</f>
        <v>1</v>
      </c>
      <c r="AO69" s="211">
        <f ca="1">IF($D69&lt;&gt;"Serviço",0,IF(AND(AUTOEVENTO="Manual",$M69=1),0,IF(OFFSET(CRONOPLE!$F$14,$M69,AO$13)="",10^12,OFFSET(CRONOPLE!$F$14,$M69,AO$13))))</f>
        <v>2</v>
      </c>
      <c r="AP69" s="211">
        <f ca="1">IF($D69&lt;&gt;"Serviço",0,IF(AND(AUTOEVENTO="Manual",$M69=1),0,IF(OFFSET(CRONOPLE!$F$14,$M69,AP$13)="",10^12,OFFSET(CRONOPLE!$F$14,$M69,AP$13))))</f>
        <v>2</v>
      </c>
      <c r="AQ69" s="211">
        <f ca="1">IF($D69&lt;&gt;"Serviço",0,IF(AND(AUTOEVENTO="Manual",$M69=1),0,IF(OFFSET(CRONOPLE!$F$14,$M69,AQ$13)="",10^12,OFFSET(CRONOPLE!$F$14,$M69,AQ$13))))</f>
        <v>1000000000000</v>
      </c>
      <c r="AR69" s="211">
        <f ca="1">IF($D69&lt;&gt;"Serviço",0,IF(AND(AUTOEVENTO="Manual",$M69=1),0,IF(OFFSET(CRONOPLE!$F$14,$M69,AR$13)="",10^12,OFFSET(CRONOPLE!$F$14,$M69,AR$13))))</f>
        <v>1000000000000</v>
      </c>
      <c r="AS69" s="211">
        <f ca="1">IF($D69&lt;&gt;"Serviço",0,IF(AND(AUTOEVENTO="Manual",$M69=1),0,IF(OFFSET(CRONOPLE!$F$14,$M69,AS$13)="",10^12,OFFSET(CRONOPLE!$F$14,$M69,AS$13))))</f>
        <v>1000000000000</v>
      </c>
      <c r="AT69" s="211">
        <f ca="1">IF($D69&lt;&gt;"Serviço",0,IF(AND(AUTOEVENTO="Manual",$M69=1),0,IF(OFFSET(CRONOPLE!$F$14,$M69,AT$13)="",10^12,OFFSET(CRONOPLE!$F$14,$M69,AT$13))))</f>
        <v>1000000000000</v>
      </c>
      <c r="AU69" s="211">
        <f ca="1">IF($D69&lt;&gt;"Serviço",0,IF(AND(AUTOEVENTO="Manual",$M69=1),0,IF(OFFSET(CRONOPLE!$F$14,$M69,AU$13)="",10^12,OFFSET(CRONOPLE!$F$14,$M69,AU$13))))</f>
        <v>1000000000000</v>
      </c>
      <c r="AV69" s="211">
        <f ca="1">IF($D69&lt;&gt;"Serviço",0,IF(AND(AUTOEVENTO="Manual",$M69=1),0,IF(OFFSET(CRONOPLE!$F$14,$M69,AV$13)="",10^12,OFFSET(CRONOPLE!$F$14,$M69,AV$13))))</f>
        <v>1000000000000</v>
      </c>
      <c r="AX69" s="212">
        <f ca="1">IF($D69&lt;&gt;"Serviço",0,IF(OR(AND(AUTOEVENTO="Manual",$M69=1),$M69&gt;(ROW(PLE.lastrow)-ROW(PLE.firstrow))),0,IF(OFFSET(PLE!$G$14,$M69,AX$13)="",10^12,OFFSET(PLE!$G$14,$M69,AX$13))))</f>
        <v>1000000000000</v>
      </c>
      <c r="AY69" s="212">
        <f ca="1">IF($D69&lt;&gt;"Serviço",0,IF(OR(AND(AUTOEVENTO="Manual",$M69=1),$M69&gt;(ROW(PLE.lastrow)-ROW(PLE.firstrow))),0,IF(OFFSET(PLE!$G$14,$M69,AY$13)="",10^12,OFFSET(PLE!$G$14,$M69,AY$13))))</f>
        <v>1000000000000</v>
      </c>
      <c r="AZ69" s="212">
        <f ca="1">IF($D69&lt;&gt;"Serviço",0,IF(OR(AND(AUTOEVENTO="Manual",$M69=1),$M69&gt;(ROW(PLE.lastrow)-ROW(PLE.firstrow))),0,IF(OFFSET(PLE!$G$14,$M69,AZ$13)="",10^12,OFFSET(PLE!$G$14,$M69,AZ$13))))</f>
        <v>1000000000000</v>
      </c>
      <c r="BA69" s="212">
        <f ca="1">IF($D69&lt;&gt;"Serviço",0,IF(OR(AND(AUTOEVENTO="Manual",$M69=1),$M69&gt;(ROW(PLE.lastrow)-ROW(PLE.firstrow))),0,IF(OFFSET(PLE!$G$14,$M69,BA$13)="",10^12,OFFSET(PLE!$G$14,$M69,BA$13))))</f>
        <v>1000000000000</v>
      </c>
      <c r="BB69" s="212">
        <f ca="1">IF($D69&lt;&gt;"Serviço",0,IF(OR(AND(AUTOEVENTO="Manual",$M69=1),$M69&gt;(ROW(PLE.lastrow)-ROW(PLE.firstrow))),0,IF(OFFSET(PLE!$G$14,$M69,BB$13)="",10^12,OFFSET(PLE!$G$14,$M69,BB$13))))</f>
        <v>1000000000000</v>
      </c>
      <c r="BC69" s="212">
        <f ca="1">IF($D69&lt;&gt;"Serviço",0,IF(OR(AND(AUTOEVENTO="Manual",$M69=1),$M69&gt;(ROW(PLE.lastrow)-ROW(PLE.firstrow))),0,IF(OFFSET(PLE!$G$14,$M69,BC$13)="",10^12,OFFSET(PLE!$G$14,$M69,BC$13))))</f>
        <v>1000000000000</v>
      </c>
      <c r="BD69" s="212">
        <f ca="1">IF($D69&lt;&gt;"Serviço",0,IF(OR(AND(AUTOEVENTO="Manual",$M69=1),$M69&gt;(ROW(PLE.lastrow)-ROW(PLE.firstrow))),0,IF(OFFSET(PLE!$G$14,$M69,BD$13)="",10^12,OFFSET(PLE!$G$14,$M69,BD$13))))</f>
        <v>1000000000000</v>
      </c>
      <c r="BE69" s="212">
        <f ca="1">IF($D69&lt;&gt;"Serviço",0,IF(OR(AND(AUTOEVENTO="Manual",$M69=1),$M69&gt;(ROW(PLE.lastrow)-ROW(PLE.firstrow))),0,IF(OFFSET(PLE!$G$14,$M69,BE$13)="",10^12,OFFSET(PLE!$G$14,$M69,BE$13))))</f>
        <v>1000000000000</v>
      </c>
      <c r="BF69" s="212">
        <f ca="1">IF($D69&lt;&gt;"Serviço",0,IF(OR(AND(AUTOEVENTO="Manual",$M69=1),$M69&gt;(ROW(PLE.lastrow)-ROW(PLE.firstrow))),0,IF(OFFSET(PLE!$G$14,$M69,BF$13)="",10^12,OFFSET(PLE!$G$14,$M69,BF$13))))</f>
        <v>1000000000000</v>
      </c>
      <c r="BG69" s="212">
        <f ca="1">IF($D69&lt;&gt;"Serviço",0,IF(OR(AND(AUTOEVENTO="Manual",$M69=1),$M69&gt;(ROW(PLE.lastrow)-ROW(PLE.firstrow))),0,IF(OFFSET(PLE!$G$14,$M69,BG$13)="",10^12,OFFSET(PLE!$G$14,$M69,BG$13))))</f>
        <v>1000000000000</v>
      </c>
    </row>
    <row r="70" spans="1:59" ht="13.2">
      <c r="A70" s="9" t="str">
        <f t="shared" ca="1" si="8"/>
        <v>15</v>
      </c>
      <c r="B70" s="9" t="str">
        <f ca="1">OFFSET(ORÇAMENTO!C$15,ROW(B70)-ROW(B$15),0)</f>
        <v>S</v>
      </c>
      <c r="C70" s="9" t="str">
        <f ca="1">OFFSET(ORÇAMENTO!L$15,ROW(C70)-ROW(C$15),0)</f>
        <v/>
      </c>
      <c r="D70" s="141" t="str">
        <f ca="1">OFFSET(ORÇAMENTO!N$15,ROW(D70)-ROW(D$15),0)</f>
        <v>Serviço</v>
      </c>
      <c r="E70" s="201" t="str">
        <f ca="1">OFFSET(ORÇAMENTO!O$15,ROW(E70)-ROW(E$15),0)</f>
        <v>-</v>
      </c>
      <c r="F70" s="202" t="str">
        <f ca="1">OFFSET(ORÇAMENTO!R$15,ROW(F70)-ROW(F$15),0)</f>
        <v>(abra o arquivo 'Referência 11-2024.xlsm)</v>
      </c>
      <c r="G70" s="203" t="str">
        <f ca="1">IF($D70&lt;&gt;"Serviço","",OFFSET(ORÇAMENTO!S$15,ROW(G70)-ROW(G$15),0))</f>
        <v>-</v>
      </c>
      <c r="H70" s="147">
        <f ca="1">IF($D70&lt;&gt;"Serviço",0,IF(ACOMPANHAMENTO="BM",ROUND(OFFSET(ORÇAMENTO!AJ$15,ROW(H70)-ROW(H$15),0),15-13*ORÇAMENTO!$AF$7),SUMPRODUCT(($Q$12:$AA$12&lt;&gt;"")*ROUND($Q70:$AA70,15-13*ORÇAMENTO!$AF$7))))</f>
        <v>0</v>
      </c>
      <c r="I70" s="645"/>
      <c r="K70" s="204"/>
      <c r="L70" s="205" t="s">
        <v>255</v>
      </c>
      <c r="M70" s="206">
        <f ca="1">IF($D70&lt;&gt;"Serviço","",IF(AUTOEVENTO="manual",$A70,IF(ISERROR(MATCH($A70,$A$15:OFFSET($A70,-1,0),0)),MAX($M$15:OFFSET(M70,-1,0))+1,INDEX($M$15:OFFSET(M70,-1,0),MATCH($A70,$A$15:OFFSET($A70,-1,0),0)))))</f>
        <v>6</v>
      </c>
      <c r="N70" s="207" t="str">
        <f ca="1">IF($D70&lt;&gt;"Serviço","",IF(AUTOEVENTO="Manual",IF($A70=0,"&lt;-- defina o número do agrupador",OFFSET(EVENTOS!$D$14,$A70,0)),OFFSET($F$15,$A70,0)))</f>
        <v>DRENAGEM</v>
      </c>
      <c r="O70" s="208"/>
      <c r="Q70" s="208"/>
      <c r="R70" s="209"/>
      <c r="S70" s="209"/>
      <c r="T70" s="209"/>
      <c r="U70" s="209"/>
      <c r="V70" s="209"/>
      <c r="W70" s="209"/>
      <c r="X70" s="209"/>
      <c r="Y70" s="209"/>
      <c r="Z70" s="210"/>
      <c r="AB70" s="626">
        <f ca="1">IF(AND($D70="Serviço",AB$12&lt;&gt;0,$H70&gt;0,OR(AUTOEVENTO&lt;&gt;"manual",$M70&lt;&gt;1)),
IF(Import.TipoArredondamento&lt;&gt;"TransfereGOV",
ROUND(OFFSET($P70,0,AB$13),15-13*ORÇAMENTO!$AF$7)/$H70*OFFSET(ORÇAMENTO!$X$15,ROW(AB70)-ROW(AB$15),0),
ROUND(ROUND(OFFSET($P70,0,AB$13),15-13*ORÇAMENTO!$AF$7)*OFFSET(ORÇAMENTO!$W$15,ROW(AB70)-ROW(AB$15),0),15-13*ORÇAMENTO!$AF$11)),0)</f>
        <v>0</v>
      </c>
      <c r="AC70" s="627">
        <f ca="1">IF(AND($D70="Serviço",AC$12&lt;&gt;0,$H70&gt;0,OR(AUTOEVENTO&lt;&gt;"manual",$M70&lt;&gt;1)),
IF(Import.TipoArredondamento&lt;&gt;"TransfereGOV",
ROUND(OFFSET($P70,0,AC$13),15-13*ORÇAMENTO!$AF$7)/$H70*OFFSET(ORÇAMENTO!$X$15,ROW(AC70)-ROW(AC$15),0),
ROUND(ROUND(OFFSET($P70,0,AC$13),15-13*ORÇAMENTO!$AF$7)*OFFSET(ORÇAMENTO!$W$15,ROW(AC70)-ROW(AC$15),0),15-13*ORÇAMENTO!$AF$11)),0)</f>
        <v>0</v>
      </c>
      <c r="AD70" s="627">
        <f ca="1">IF(AND($D70="Serviço",AD$12&lt;&gt;0,$H70&gt;0,OR(AUTOEVENTO&lt;&gt;"manual",$M70&lt;&gt;1)),
IF(Import.TipoArredondamento&lt;&gt;"TransfereGOV",
ROUND(OFFSET($P70,0,AD$13),15-13*ORÇAMENTO!$AF$7)/$H70*OFFSET(ORÇAMENTO!$X$15,ROW(AD70)-ROW(AD$15),0),
ROUND(ROUND(OFFSET($P70,0,AD$13),15-13*ORÇAMENTO!$AF$7)*OFFSET(ORÇAMENTO!$W$15,ROW(AD70)-ROW(AD$15),0),15-13*ORÇAMENTO!$AF$11)),0)</f>
        <v>0</v>
      </c>
      <c r="AE70" s="627">
        <f ca="1">IF(AND($D70="Serviço",AE$12&lt;&gt;0,$H70&gt;0,OR(AUTOEVENTO&lt;&gt;"manual",$M70&lt;&gt;1)),
IF(Import.TipoArredondamento&lt;&gt;"TransfereGOV",
ROUND(OFFSET($P70,0,AE$13),15-13*ORÇAMENTO!$AF$7)/$H70*OFFSET(ORÇAMENTO!$X$15,ROW(AE70)-ROW(AE$15),0),
ROUND(ROUND(OFFSET($P70,0,AE$13),15-13*ORÇAMENTO!$AF$7)*OFFSET(ORÇAMENTO!$W$15,ROW(AE70)-ROW(AE$15),0),15-13*ORÇAMENTO!$AF$11)),0)</f>
        <v>0</v>
      </c>
      <c r="AF70" s="627">
        <f ca="1">IF(AND($D70="Serviço",AF$12&lt;&gt;0,$H70&gt;0,OR(AUTOEVENTO&lt;&gt;"manual",$M70&lt;&gt;1)),
IF(Import.TipoArredondamento&lt;&gt;"TransfereGOV",
ROUND(OFFSET($P70,0,AF$13),15-13*ORÇAMENTO!$AF$7)/$H70*OFFSET(ORÇAMENTO!$X$15,ROW(AF70)-ROW(AF$15),0),
ROUND(ROUND(OFFSET($P70,0,AF$13),15-13*ORÇAMENTO!$AF$7)*OFFSET(ORÇAMENTO!$W$15,ROW(AF70)-ROW(AF$15),0),15-13*ORÇAMENTO!$AF$11)),0)</f>
        <v>0</v>
      </c>
      <c r="AG70" s="627">
        <f ca="1">IF(AND($D70="Serviço",AG$12&lt;&gt;0,$H70&gt;0,OR(AUTOEVENTO&lt;&gt;"manual",$M70&lt;&gt;1)),
IF(Import.TipoArredondamento&lt;&gt;"TransfereGOV",
ROUND(OFFSET($P70,0,AG$13),15-13*ORÇAMENTO!$AF$7)/$H70*OFFSET(ORÇAMENTO!$X$15,ROW(AG70)-ROW(AG$15),0),
ROUND(ROUND(OFFSET($P70,0,AG$13),15-13*ORÇAMENTO!$AF$7)*OFFSET(ORÇAMENTO!$W$15,ROW(AG70)-ROW(AG$15),0),15-13*ORÇAMENTO!$AF$11)),0)</f>
        <v>0</v>
      </c>
      <c r="AH70" s="627">
        <f ca="1">IF(AND($D70="Serviço",AH$12&lt;&gt;0,$H70&gt;0,OR(AUTOEVENTO&lt;&gt;"manual",$M70&lt;&gt;1)),
IF(Import.TipoArredondamento&lt;&gt;"TransfereGOV",
ROUND(OFFSET($P70,0,AH$13),15-13*ORÇAMENTO!$AF$7)/$H70*OFFSET(ORÇAMENTO!$X$15,ROW(AH70)-ROW(AH$15),0),
ROUND(ROUND(OFFSET($P70,0,AH$13),15-13*ORÇAMENTO!$AF$7)*OFFSET(ORÇAMENTO!$W$15,ROW(AH70)-ROW(AH$15),0),15-13*ORÇAMENTO!$AF$11)),0)</f>
        <v>0</v>
      </c>
      <c r="AI70" s="627">
        <f ca="1">IF(AND($D70="Serviço",AI$12&lt;&gt;0,$H70&gt;0,OR(AUTOEVENTO&lt;&gt;"manual",$M70&lt;&gt;1)),
IF(Import.TipoArredondamento&lt;&gt;"TransfereGOV",
ROUND(OFFSET($P70,0,AI$13),15-13*ORÇAMENTO!$AF$7)/$H70*OFFSET(ORÇAMENTO!$X$15,ROW(AI70)-ROW(AI$15),0),
ROUND(ROUND(OFFSET($P70,0,AI$13),15-13*ORÇAMENTO!$AF$7)*OFFSET(ORÇAMENTO!$W$15,ROW(AI70)-ROW(AI$15),0),15-13*ORÇAMENTO!$AF$11)),0)</f>
        <v>0</v>
      </c>
      <c r="AJ70" s="627">
        <f ca="1">IF(AND($D70="Serviço",AJ$12&lt;&gt;0,$H70&gt;0,OR(AUTOEVENTO&lt;&gt;"manual",$M70&lt;&gt;1)),
IF(Import.TipoArredondamento&lt;&gt;"TransfereGOV",
ROUND(OFFSET($P70,0,AJ$13),15-13*ORÇAMENTO!$AF$7)/$H70*OFFSET(ORÇAMENTO!$X$15,ROW(AJ70)-ROW(AJ$15),0),
ROUND(ROUND(OFFSET($P70,0,AJ$13),15-13*ORÇAMENTO!$AF$7)*OFFSET(ORÇAMENTO!$W$15,ROW(AJ70)-ROW(AJ$15),0),15-13*ORÇAMENTO!$AF$11)),0)</f>
        <v>0</v>
      </c>
      <c r="AK70" s="628">
        <f ca="1">IF(AND($D70="Serviço",AK$12&lt;&gt;0,$H70&gt;0,OR(AUTOEVENTO&lt;&gt;"manual",$M70&lt;&gt;1)),
IF(Import.TipoArredondamento&lt;&gt;"TransfereGOV",
ROUND(OFFSET($P70,0,AK$13),15-13*ORÇAMENTO!$AF$7)/$H70*OFFSET(ORÇAMENTO!$X$15,ROW(AK70)-ROW(AK$15),0),
ROUND(ROUND(OFFSET($P70,0,AK$13),15-13*ORÇAMENTO!$AF$7)*OFFSET(ORÇAMENTO!$W$15,ROW(AK70)-ROW(AK$15),0),15-13*ORÇAMENTO!$AF$11)),0)</f>
        <v>0</v>
      </c>
      <c r="AM70" s="211">
        <f ca="1">IF($D70&lt;&gt;"Serviço",0,IF(AND(AUTOEVENTO="Manual",$M70=1),0,IF(OFFSET(CRONOPLE!$F$14,$M70,AM$13)="",10^12,OFFSET(CRONOPLE!$F$14,$M70,AM$13))))</f>
        <v>2</v>
      </c>
      <c r="AN70" s="211">
        <f ca="1">IF($D70&lt;&gt;"Serviço",0,IF(AND(AUTOEVENTO="Manual",$M70=1),0,IF(OFFSET(CRONOPLE!$F$14,$M70,AN$13)="",10^12,OFFSET(CRONOPLE!$F$14,$M70,AN$13))))</f>
        <v>1</v>
      </c>
      <c r="AO70" s="211">
        <f ca="1">IF($D70&lt;&gt;"Serviço",0,IF(AND(AUTOEVENTO="Manual",$M70=1),0,IF(OFFSET(CRONOPLE!$F$14,$M70,AO$13)="",10^12,OFFSET(CRONOPLE!$F$14,$M70,AO$13))))</f>
        <v>2</v>
      </c>
      <c r="AP70" s="211">
        <f ca="1">IF($D70&lt;&gt;"Serviço",0,IF(AND(AUTOEVENTO="Manual",$M70=1),0,IF(OFFSET(CRONOPLE!$F$14,$M70,AP$13)="",10^12,OFFSET(CRONOPLE!$F$14,$M70,AP$13))))</f>
        <v>2</v>
      </c>
      <c r="AQ70" s="211">
        <f ca="1">IF($D70&lt;&gt;"Serviço",0,IF(AND(AUTOEVENTO="Manual",$M70=1),0,IF(OFFSET(CRONOPLE!$F$14,$M70,AQ$13)="",10^12,OFFSET(CRONOPLE!$F$14,$M70,AQ$13))))</f>
        <v>1000000000000</v>
      </c>
      <c r="AR70" s="211">
        <f ca="1">IF($D70&lt;&gt;"Serviço",0,IF(AND(AUTOEVENTO="Manual",$M70=1),0,IF(OFFSET(CRONOPLE!$F$14,$M70,AR$13)="",10^12,OFFSET(CRONOPLE!$F$14,$M70,AR$13))))</f>
        <v>1000000000000</v>
      </c>
      <c r="AS70" s="211">
        <f ca="1">IF($D70&lt;&gt;"Serviço",0,IF(AND(AUTOEVENTO="Manual",$M70=1),0,IF(OFFSET(CRONOPLE!$F$14,$M70,AS$13)="",10^12,OFFSET(CRONOPLE!$F$14,$M70,AS$13))))</f>
        <v>1000000000000</v>
      </c>
      <c r="AT70" s="211">
        <f ca="1">IF($D70&lt;&gt;"Serviço",0,IF(AND(AUTOEVENTO="Manual",$M70=1),0,IF(OFFSET(CRONOPLE!$F$14,$M70,AT$13)="",10^12,OFFSET(CRONOPLE!$F$14,$M70,AT$13))))</f>
        <v>1000000000000</v>
      </c>
      <c r="AU70" s="211">
        <f ca="1">IF($D70&lt;&gt;"Serviço",0,IF(AND(AUTOEVENTO="Manual",$M70=1),0,IF(OFFSET(CRONOPLE!$F$14,$M70,AU$13)="",10^12,OFFSET(CRONOPLE!$F$14,$M70,AU$13))))</f>
        <v>1000000000000</v>
      </c>
      <c r="AV70" s="211">
        <f ca="1">IF($D70&lt;&gt;"Serviço",0,IF(AND(AUTOEVENTO="Manual",$M70=1),0,IF(OFFSET(CRONOPLE!$F$14,$M70,AV$13)="",10^12,OFFSET(CRONOPLE!$F$14,$M70,AV$13))))</f>
        <v>1000000000000</v>
      </c>
      <c r="AX70" s="212">
        <f ca="1">IF($D70&lt;&gt;"Serviço",0,IF(OR(AND(AUTOEVENTO="Manual",$M70=1),$M70&gt;(ROW(PLE.lastrow)-ROW(PLE.firstrow))),0,IF(OFFSET(PLE!$G$14,$M70,AX$13)="",10^12,OFFSET(PLE!$G$14,$M70,AX$13))))</f>
        <v>1000000000000</v>
      </c>
      <c r="AY70" s="212">
        <f ca="1">IF($D70&lt;&gt;"Serviço",0,IF(OR(AND(AUTOEVENTO="Manual",$M70=1),$M70&gt;(ROW(PLE.lastrow)-ROW(PLE.firstrow))),0,IF(OFFSET(PLE!$G$14,$M70,AY$13)="",10^12,OFFSET(PLE!$G$14,$M70,AY$13))))</f>
        <v>1000000000000</v>
      </c>
      <c r="AZ70" s="212">
        <f ca="1">IF($D70&lt;&gt;"Serviço",0,IF(OR(AND(AUTOEVENTO="Manual",$M70=1),$M70&gt;(ROW(PLE.lastrow)-ROW(PLE.firstrow))),0,IF(OFFSET(PLE!$G$14,$M70,AZ$13)="",10^12,OFFSET(PLE!$G$14,$M70,AZ$13))))</f>
        <v>1000000000000</v>
      </c>
      <c r="BA70" s="212">
        <f ca="1">IF($D70&lt;&gt;"Serviço",0,IF(OR(AND(AUTOEVENTO="Manual",$M70=1),$M70&gt;(ROW(PLE.lastrow)-ROW(PLE.firstrow))),0,IF(OFFSET(PLE!$G$14,$M70,BA$13)="",10^12,OFFSET(PLE!$G$14,$M70,BA$13))))</f>
        <v>1000000000000</v>
      </c>
      <c r="BB70" s="212">
        <f ca="1">IF($D70&lt;&gt;"Serviço",0,IF(OR(AND(AUTOEVENTO="Manual",$M70=1),$M70&gt;(ROW(PLE.lastrow)-ROW(PLE.firstrow))),0,IF(OFFSET(PLE!$G$14,$M70,BB$13)="",10^12,OFFSET(PLE!$G$14,$M70,BB$13))))</f>
        <v>1000000000000</v>
      </c>
      <c r="BC70" s="212">
        <f ca="1">IF($D70&lt;&gt;"Serviço",0,IF(OR(AND(AUTOEVENTO="Manual",$M70=1),$M70&gt;(ROW(PLE.lastrow)-ROW(PLE.firstrow))),0,IF(OFFSET(PLE!$G$14,$M70,BC$13)="",10^12,OFFSET(PLE!$G$14,$M70,BC$13))))</f>
        <v>1000000000000</v>
      </c>
      <c r="BD70" s="212">
        <f ca="1">IF($D70&lt;&gt;"Serviço",0,IF(OR(AND(AUTOEVENTO="Manual",$M70=1),$M70&gt;(ROW(PLE.lastrow)-ROW(PLE.firstrow))),0,IF(OFFSET(PLE!$G$14,$M70,BD$13)="",10^12,OFFSET(PLE!$G$14,$M70,BD$13))))</f>
        <v>1000000000000</v>
      </c>
      <c r="BE70" s="212">
        <f ca="1">IF($D70&lt;&gt;"Serviço",0,IF(OR(AND(AUTOEVENTO="Manual",$M70=1),$M70&gt;(ROW(PLE.lastrow)-ROW(PLE.firstrow))),0,IF(OFFSET(PLE!$G$14,$M70,BE$13)="",10^12,OFFSET(PLE!$G$14,$M70,BE$13))))</f>
        <v>1000000000000</v>
      </c>
      <c r="BF70" s="212">
        <f ca="1">IF($D70&lt;&gt;"Serviço",0,IF(OR(AND(AUTOEVENTO="Manual",$M70=1),$M70&gt;(ROW(PLE.lastrow)-ROW(PLE.firstrow))),0,IF(OFFSET(PLE!$G$14,$M70,BF$13)="",10^12,OFFSET(PLE!$G$14,$M70,BF$13))))</f>
        <v>1000000000000</v>
      </c>
      <c r="BG70" s="212">
        <f ca="1">IF($D70&lt;&gt;"Serviço",0,IF(OR(AND(AUTOEVENTO="Manual",$M70=1),$M70&gt;(ROW(PLE.lastrow)-ROW(PLE.firstrow))),0,IF(OFFSET(PLE!$G$14,$M70,BG$13)="",10^12,OFFSET(PLE!$G$14,$M70,BG$13))))</f>
        <v>1000000000000</v>
      </c>
    </row>
    <row r="71" spans="1:59" ht="13.2">
      <c r="A71" s="9" t="str">
        <f t="shared" ca="1" si="8"/>
        <v>15</v>
      </c>
      <c r="B71" s="9" t="str">
        <f ca="1">OFFSET(ORÇAMENTO!C$15,ROW(B71)-ROW(B$15),0)</f>
        <v>S</v>
      </c>
      <c r="C71" s="9" t="str">
        <f ca="1">OFFSET(ORÇAMENTO!L$15,ROW(C71)-ROW(C$15),0)</f>
        <v/>
      </c>
      <c r="D71" s="141" t="str">
        <f ca="1">OFFSET(ORÇAMENTO!N$15,ROW(D71)-ROW(D$15),0)</f>
        <v>Serviço</v>
      </c>
      <c r="E71" s="201" t="str">
        <f ca="1">OFFSET(ORÇAMENTO!O$15,ROW(E71)-ROW(E$15),0)</f>
        <v>-</v>
      </c>
      <c r="F71" s="202" t="str">
        <f ca="1">OFFSET(ORÇAMENTO!R$15,ROW(F71)-ROW(F$15),0)</f>
        <v>(abra o arquivo 'Referência 11-2024.xlsm)</v>
      </c>
      <c r="G71" s="203" t="str">
        <f ca="1">IF($D71&lt;&gt;"Serviço","",OFFSET(ORÇAMENTO!S$15,ROW(G71)-ROW(G$15),0))</f>
        <v>-</v>
      </c>
      <c r="H71" s="147">
        <f ca="1">IF($D71&lt;&gt;"Serviço",0,IF(ACOMPANHAMENTO="BM",ROUND(OFFSET(ORÇAMENTO!AJ$15,ROW(H71)-ROW(H$15),0),15-13*ORÇAMENTO!$AF$7),SUMPRODUCT(($Q$12:$AA$12&lt;&gt;"")*ROUND($Q71:$AA71,15-13*ORÇAMENTO!$AF$7))))</f>
        <v>0</v>
      </c>
      <c r="I71" s="645"/>
      <c r="K71" s="204"/>
      <c r="L71" s="205" t="s">
        <v>255</v>
      </c>
      <c r="M71" s="206">
        <f ca="1">IF($D71&lt;&gt;"Serviço","",IF(AUTOEVENTO="manual",$A71,IF(ISERROR(MATCH($A71,$A$15:OFFSET($A71,-1,0),0)),MAX($M$15:OFFSET(M71,-1,0))+1,INDEX($M$15:OFFSET(M71,-1,0),MATCH($A71,$A$15:OFFSET($A71,-1,0),0)))))</f>
        <v>6</v>
      </c>
      <c r="N71" s="207" t="str">
        <f ca="1">IF($D71&lt;&gt;"Serviço","",IF(AUTOEVENTO="Manual",IF($A71=0,"&lt;-- defina o número do agrupador",OFFSET(EVENTOS!$D$14,$A71,0)),OFFSET($F$15,$A71,0)))</f>
        <v>DRENAGEM</v>
      </c>
      <c r="O71" s="208"/>
      <c r="Q71" s="208"/>
      <c r="R71" s="209"/>
      <c r="S71" s="209"/>
      <c r="T71" s="209"/>
      <c r="U71" s="209"/>
      <c r="V71" s="209"/>
      <c r="W71" s="209"/>
      <c r="X71" s="209"/>
      <c r="Y71" s="209"/>
      <c r="Z71" s="210"/>
      <c r="AB71" s="626">
        <f ca="1">IF(AND($D71="Serviço",AB$12&lt;&gt;0,$H71&gt;0,OR(AUTOEVENTO&lt;&gt;"manual",$M71&lt;&gt;1)),
IF(Import.TipoArredondamento&lt;&gt;"TransfereGOV",
ROUND(OFFSET($P71,0,AB$13),15-13*ORÇAMENTO!$AF$7)/$H71*OFFSET(ORÇAMENTO!$X$15,ROW(AB71)-ROW(AB$15),0),
ROUND(ROUND(OFFSET($P71,0,AB$13),15-13*ORÇAMENTO!$AF$7)*OFFSET(ORÇAMENTO!$W$15,ROW(AB71)-ROW(AB$15),0),15-13*ORÇAMENTO!$AF$11)),0)</f>
        <v>0</v>
      </c>
      <c r="AC71" s="627">
        <f ca="1">IF(AND($D71="Serviço",AC$12&lt;&gt;0,$H71&gt;0,OR(AUTOEVENTO&lt;&gt;"manual",$M71&lt;&gt;1)),
IF(Import.TipoArredondamento&lt;&gt;"TransfereGOV",
ROUND(OFFSET($P71,0,AC$13),15-13*ORÇAMENTO!$AF$7)/$H71*OFFSET(ORÇAMENTO!$X$15,ROW(AC71)-ROW(AC$15),0),
ROUND(ROUND(OFFSET($P71,0,AC$13),15-13*ORÇAMENTO!$AF$7)*OFFSET(ORÇAMENTO!$W$15,ROW(AC71)-ROW(AC$15),0),15-13*ORÇAMENTO!$AF$11)),0)</f>
        <v>0</v>
      </c>
      <c r="AD71" s="627">
        <f ca="1">IF(AND($D71="Serviço",AD$12&lt;&gt;0,$H71&gt;0,OR(AUTOEVENTO&lt;&gt;"manual",$M71&lt;&gt;1)),
IF(Import.TipoArredondamento&lt;&gt;"TransfereGOV",
ROUND(OFFSET($P71,0,AD$13),15-13*ORÇAMENTO!$AF$7)/$H71*OFFSET(ORÇAMENTO!$X$15,ROW(AD71)-ROW(AD$15),0),
ROUND(ROUND(OFFSET($P71,0,AD$13),15-13*ORÇAMENTO!$AF$7)*OFFSET(ORÇAMENTO!$W$15,ROW(AD71)-ROW(AD$15),0),15-13*ORÇAMENTO!$AF$11)),0)</f>
        <v>0</v>
      </c>
      <c r="AE71" s="627">
        <f ca="1">IF(AND($D71="Serviço",AE$12&lt;&gt;0,$H71&gt;0,OR(AUTOEVENTO&lt;&gt;"manual",$M71&lt;&gt;1)),
IF(Import.TipoArredondamento&lt;&gt;"TransfereGOV",
ROUND(OFFSET($P71,0,AE$13),15-13*ORÇAMENTO!$AF$7)/$H71*OFFSET(ORÇAMENTO!$X$15,ROW(AE71)-ROW(AE$15),0),
ROUND(ROUND(OFFSET($P71,0,AE$13),15-13*ORÇAMENTO!$AF$7)*OFFSET(ORÇAMENTO!$W$15,ROW(AE71)-ROW(AE$15),0),15-13*ORÇAMENTO!$AF$11)),0)</f>
        <v>0</v>
      </c>
      <c r="AF71" s="627">
        <f ca="1">IF(AND($D71="Serviço",AF$12&lt;&gt;0,$H71&gt;0,OR(AUTOEVENTO&lt;&gt;"manual",$M71&lt;&gt;1)),
IF(Import.TipoArredondamento&lt;&gt;"TransfereGOV",
ROUND(OFFSET($P71,0,AF$13),15-13*ORÇAMENTO!$AF$7)/$H71*OFFSET(ORÇAMENTO!$X$15,ROW(AF71)-ROW(AF$15),0),
ROUND(ROUND(OFFSET($P71,0,AF$13),15-13*ORÇAMENTO!$AF$7)*OFFSET(ORÇAMENTO!$W$15,ROW(AF71)-ROW(AF$15),0),15-13*ORÇAMENTO!$AF$11)),0)</f>
        <v>0</v>
      </c>
      <c r="AG71" s="627">
        <f ca="1">IF(AND($D71="Serviço",AG$12&lt;&gt;0,$H71&gt;0,OR(AUTOEVENTO&lt;&gt;"manual",$M71&lt;&gt;1)),
IF(Import.TipoArredondamento&lt;&gt;"TransfereGOV",
ROUND(OFFSET($P71,0,AG$13),15-13*ORÇAMENTO!$AF$7)/$H71*OFFSET(ORÇAMENTO!$X$15,ROW(AG71)-ROW(AG$15),0),
ROUND(ROUND(OFFSET($P71,0,AG$13),15-13*ORÇAMENTO!$AF$7)*OFFSET(ORÇAMENTO!$W$15,ROW(AG71)-ROW(AG$15),0),15-13*ORÇAMENTO!$AF$11)),0)</f>
        <v>0</v>
      </c>
      <c r="AH71" s="627">
        <f ca="1">IF(AND($D71="Serviço",AH$12&lt;&gt;0,$H71&gt;0,OR(AUTOEVENTO&lt;&gt;"manual",$M71&lt;&gt;1)),
IF(Import.TipoArredondamento&lt;&gt;"TransfereGOV",
ROUND(OFFSET($P71,0,AH$13),15-13*ORÇAMENTO!$AF$7)/$H71*OFFSET(ORÇAMENTO!$X$15,ROW(AH71)-ROW(AH$15),0),
ROUND(ROUND(OFFSET($P71,0,AH$13),15-13*ORÇAMENTO!$AF$7)*OFFSET(ORÇAMENTO!$W$15,ROW(AH71)-ROW(AH$15),0),15-13*ORÇAMENTO!$AF$11)),0)</f>
        <v>0</v>
      </c>
      <c r="AI71" s="627">
        <f ca="1">IF(AND($D71="Serviço",AI$12&lt;&gt;0,$H71&gt;0,OR(AUTOEVENTO&lt;&gt;"manual",$M71&lt;&gt;1)),
IF(Import.TipoArredondamento&lt;&gt;"TransfereGOV",
ROUND(OFFSET($P71,0,AI$13),15-13*ORÇAMENTO!$AF$7)/$H71*OFFSET(ORÇAMENTO!$X$15,ROW(AI71)-ROW(AI$15),0),
ROUND(ROUND(OFFSET($P71,0,AI$13),15-13*ORÇAMENTO!$AF$7)*OFFSET(ORÇAMENTO!$W$15,ROW(AI71)-ROW(AI$15),0),15-13*ORÇAMENTO!$AF$11)),0)</f>
        <v>0</v>
      </c>
      <c r="AJ71" s="627">
        <f ca="1">IF(AND($D71="Serviço",AJ$12&lt;&gt;0,$H71&gt;0,OR(AUTOEVENTO&lt;&gt;"manual",$M71&lt;&gt;1)),
IF(Import.TipoArredondamento&lt;&gt;"TransfereGOV",
ROUND(OFFSET($P71,0,AJ$13),15-13*ORÇAMENTO!$AF$7)/$H71*OFFSET(ORÇAMENTO!$X$15,ROW(AJ71)-ROW(AJ$15),0),
ROUND(ROUND(OFFSET($P71,0,AJ$13),15-13*ORÇAMENTO!$AF$7)*OFFSET(ORÇAMENTO!$W$15,ROW(AJ71)-ROW(AJ$15),0),15-13*ORÇAMENTO!$AF$11)),0)</f>
        <v>0</v>
      </c>
      <c r="AK71" s="628">
        <f ca="1">IF(AND($D71="Serviço",AK$12&lt;&gt;0,$H71&gt;0,OR(AUTOEVENTO&lt;&gt;"manual",$M71&lt;&gt;1)),
IF(Import.TipoArredondamento&lt;&gt;"TransfereGOV",
ROUND(OFFSET($P71,0,AK$13),15-13*ORÇAMENTO!$AF$7)/$H71*OFFSET(ORÇAMENTO!$X$15,ROW(AK71)-ROW(AK$15),0),
ROUND(ROUND(OFFSET($P71,0,AK$13),15-13*ORÇAMENTO!$AF$7)*OFFSET(ORÇAMENTO!$W$15,ROW(AK71)-ROW(AK$15),0),15-13*ORÇAMENTO!$AF$11)),0)</f>
        <v>0</v>
      </c>
      <c r="AM71" s="211">
        <f ca="1">IF($D71&lt;&gt;"Serviço",0,IF(AND(AUTOEVENTO="Manual",$M71=1),0,IF(OFFSET(CRONOPLE!$F$14,$M71,AM$13)="",10^12,OFFSET(CRONOPLE!$F$14,$M71,AM$13))))</f>
        <v>2</v>
      </c>
      <c r="AN71" s="211">
        <f ca="1">IF($D71&lt;&gt;"Serviço",0,IF(AND(AUTOEVENTO="Manual",$M71=1),0,IF(OFFSET(CRONOPLE!$F$14,$M71,AN$13)="",10^12,OFFSET(CRONOPLE!$F$14,$M71,AN$13))))</f>
        <v>1</v>
      </c>
      <c r="AO71" s="211">
        <f ca="1">IF($D71&lt;&gt;"Serviço",0,IF(AND(AUTOEVENTO="Manual",$M71=1),0,IF(OFFSET(CRONOPLE!$F$14,$M71,AO$13)="",10^12,OFFSET(CRONOPLE!$F$14,$M71,AO$13))))</f>
        <v>2</v>
      </c>
      <c r="AP71" s="211">
        <f ca="1">IF($D71&lt;&gt;"Serviço",0,IF(AND(AUTOEVENTO="Manual",$M71=1),0,IF(OFFSET(CRONOPLE!$F$14,$M71,AP$13)="",10^12,OFFSET(CRONOPLE!$F$14,$M71,AP$13))))</f>
        <v>2</v>
      </c>
      <c r="AQ71" s="211">
        <f ca="1">IF($D71&lt;&gt;"Serviço",0,IF(AND(AUTOEVENTO="Manual",$M71=1),0,IF(OFFSET(CRONOPLE!$F$14,$M71,AQ$13)="",10^12,OFFSET(CRONOPLE!$F$14,$M71,AQ$13))))</f>
        <v>1000000000000</v>
      </c>
      <c r="AR71" s="211">
        <f ca="1">IF($D71&lt;&gt;"Serviço",0,IF(AND(AUTOEVENTO="Manual",$M71=1),0,IF(OFFSET(CRONOPLE!$F$14,$M71,AR$13)="",10^12,OFFSET(CRONOPLE!$F$14,$M71,AR$13))))</f>
        <v>1000000000000</v>
      </c>
      <c r="AS71" s="211">
        <f ca="1">IF($D71&lt;&gt;"Serviço",0,IF(AND(AUTOEVENTO="Manual",$M71=1),0,IF(OFFSET(CRONOPLE!$F$14,$M71,AS$13)="",10^12,OFFSET(CRONOPLE!$F$14,$M71,AS$13))))</f>
        <v>1000000000000</v>
      </c>
      <c r="AT71" s="211">
        <f ca="1">IF($D71&lt;&gt;"Serviço",0,IF(AND(AUTOEVENTO="Manual",$M71=1),0,IF(OFFSET(CRONOPLE!$F$14,$M71,AT$13)="",10^12,OFFSET(CRONOPLE!$F$14,$M71,AT$13))))</f>
        <v>1000000000000</v>
      </c>
      <c r="AU71" s="211">
        <f ca="1">IF($D71&lt;&gt;"Serviço",0,IF(AND(AUTOEVENTO="Manual",$M71=1),0,IF(OFFSET(CRONOPLE!$F$14,$M71,AU$13)="",10^12,OFFSET(CRONOPLE!$F$14,$M71,AU$13))))</f>
        <v>1000000000000</v>
      </c>
      <c r="AV71" s="211">
        <f ca="1">IF($D71&lt;&gt;"Serviço",0,IF(AND(AUTOEVENTO="Manual",$M71=1),0,IF(OFFSET(CRONOPLE!$F$14,$M71,AV$13)="",10^12,OFFSET(CRONOPLE!$F$14,$M71,AV$13))))</f>
        <v>1000000000000</v>
      </c>
      <c r="AX71" s="212">
        <f ca="1">IF($D71&lt;&gt;"Serviço",0,IF(OR(AND(AUTOEVENTO="Manual",$M71=1),$M71&gt;(ROW(PLE.lastrow)-ROW(PLE.firstrow))),0,IF(OFFSET(PLE!$G$14,$M71,AX$13)="",10^12,OFFSET(PLE!$G$14,$M71,AX$13))))</f>
        <v>1000000000000</v>
      </c>
      <c r="AY71" s="212">
        <f ca="1">IF($D71&lt;&gt;"Serviço",0,IF(OR(AND(AUTOEVENTO="Manual",$M71=1),$M71&gt;(ROW(PLE.lastrow)-ROW(PLE.firstrow))),0,IF(OFFSET(PLE!$G$14,$M71,AY$13)="",10^12,OFFSET(PLE!$G$14,$M71,AY$13))))</f>
        <v>1000000000000</v>
      </c>
      <c r="AZ71" s="212">
        <f ca="1">IF($D71&lt;&gt;"Serviço",0,IF(OR(AND(AUTOEVENTO="Manual",$M71=1),$M71&gt;(ROW(PLE.lastrow)-ROW(PLE.firstrow))),0,IF(OFFSET(PLE!$G$14,$M71,AZ$13)="",10^12,OFFSET(PLE!$G$14,$M71,AZ$13))))</f>
        <v>1000000000000</v>
      </c>
      <c r="BA71" s="212">
        <f ca="1">IF($D71&lt;&gt;"Serviço",0,IF(OR(AND(AUTOEVENTO="Manual",$M71=1),$M71&gt;(ROW(PLE.lastrow)-ROW(PLE.firstrow))),0,IF(OFFSET(PLE!$G$14,$M71,BA$13)="",10^12,OFFSET(PLE!$G$14,$M71,BA$13))))</f>
        <v>1000000000000</v>
      </c>
      <c r="BB71" s="212">
        <f ca="1">IF($D71&lt;&gt;"Serviço",0,IF(OR(AND(AUTOEVENTO="Manual",$M71=1),$M71&gt;(ROW(PLE.lastrow)-ROW(PLE.firstrow))),0,IF(OFFSET(PLE!$G$14,$M71,BB$13)="",10^12,OFFSET(PLE!$G$14,$M71,BB$13))))</f>
        <v>1000000000000</v>
      </c>
      <c r="BC71" s="212">
        <f ca="1">IF($D71&lt;&gt;"Serviço",0,IF(OR(AND(AUTOEVENTO="Manual",$M71=1),$M71&gt;(ROW(PLE.lastrow)-ROW(PLE.firstrow))),0,IF(OFFSET(PLE!$G$14,$M71,BC$13)="",10^12,OFFSET(PLE!$G$14,$M71,BC$13))))</f>
        <v>1000000000000</v>
      </c>
      <c r="BD71" s="212">
        <f ca="1">IF($D71&lt;&gt;"Serviço",0,IF(OR(AND(AUTOEVENTO="Manual",$M71=1),$M71&gt;(ROW(PLE.lastrow)-ROW(PLE.firstrow))),0,IF(OFFSET(PLE!$G$14,$M71,BD$13)="",10^12,OFFSET(PLE!$G$14,$M71,BD$13))))</f>
        <v>1000000000000</v>
      </c>
      <c r="BE71" s="212">
        <f ca="1">IF($D71&lt;&gt;"Serviço",0,IF(OR(AND(AUTOEVENTO="Manual",$M71=1),$M71&gt;(ROW(PLE.lastrow)-ROW(PLE.firstrow))),0,IF(OFFSET(PLE!$G$14,$M71,BE$13)="",10^12,OFFSET(PLE!$G$14,$M71,BE$13))))</f>
        <v>1000000000000</v>
      </c>
      <c r="BF71" s="212">
        <f ca="1">IF($D71&lt;&gt;"Serviço",0,IF(OR(AND(AUTOEVENTO="Manual",$M71=1),$M71&gt;(ROW(PLE.lastrow)-ROW(PLE.firstrow))),0,IF(OFFSET(PLE!$G$14,$M71,BF$13)="",10^12,OFFSET(PLE!$G$14,$M71,BF$13))))</f>
        <v>1000000000000</v>
      </c>
      <c r="BG71" s="212">
        <f ca="1">IF($D71&lt;&gt;"Serviço",0,IF(OR(AND(AUTOEVENTO="Manual",$M71=1),$M71&gt;(ROW(PLE.lastrow)-ROW(PLE.firstrow))),0,IF(OFFSET(PLE!$G$14,$M71,BG$13)="",10^12,OFFSET(PLE!$G$14,$M71,BG$13))))</f>
        <v>1000000000000</v>
      </c>
    </row>
    <row r="72" spans="1:59" ht="13.2">
      <c r="A72" s="9" t="str">
        <f t="shared" ca="1" si="8"/>
        <v>15</v>
      </c>
      <c r="B72" s="9" t="str">
        <f ca="1">OFFSET(ORÇAMENTO!C$15,ROW(B72)-ROW(B$15),0)</f>
        <v>S</v>
      </c>
      <c r="C72" s="9" t="str">
        <f ca="1">OFFSET(ORÇAMENTO!L$15,ROW(C72)-ROW(C$15),0)</f>
        <v/>
      </c>
      <c r="D72" s="141" t="str">
        <f ca="1">OFFSET(ORÇAMENTO!N$15,ROW(D72)-ROW(D$15),0)</f>
        <v>Serviço</v>
      </c>
      <c r="E72" s="201" t="str">
        <f ca="1">OFFSET(ORÇAMENTO!O$15,ROW(E72)-ROW(E$15),0)</f>
        <v>-</v>
      </c>
      <c r="F72" s="202" t="str">
        <f ca="1">OFFSET(ORÇAMENTO!R$15,ROW(F72)-ROW(F$15),0)</f>
        <v>(abra o arquivo 'Referência 11-2024.xlsm)</v>
      </c>
      <c r="G72" s="203" t="str">
        <f ca="1">IF($D72&lt;&gt;"Serviço","",OFFSET(ORÇAMENTO!S$15,ROW(G72)-ROW(G$15),0))</f>
        <v>-</v>
      </c>
      <c r="H72" s="147">
        <f ca="1">IF($D72&lt;&gt;"Serviço",0,IF(ACOMPANHAMENTO="BM",ROUND(OFFSET(ORÇAMENTO!AJ$15,ROW(H72)-ROW(H$15),0),15-13*ORÇAMENTO!$AF$7),SUMPRODUCT(($Q$12:$AA$12&lt;&gt;"")*ROUND($Q72:$AA72,15-13*ORÇAMENTO!$AF$7))))</f>
        <v>0</v>
      </c>
      <c r="I72" s="645"/>
      <c r="K72" s="204"/>
      <c r="L72" s="205" t="s">
        <v>255</v>
      </c>
      <c r="M72" s="206">
        <f ca="1">IF($D72&lt;&gt;"Serviço","",IF(AUTOEVENTO="manual",$A72,IF(ISERROR(MATCH($A72,$A$15:OFFSET($A72,-1,0),0)),MAX($M$15:OFFSET(M72,-1,0))+1,INDEX($M$15:OFFSET(M72,-1,0),MATCH($A72,$A$15:OFFSET($A72,-1,0),0)))))</f>
        <v>6</v>
      </c>
      <c r="N72" s="207" t="str">
        <f ca="1">IF($D72&lt;&gt;"Serviço","",IF(AUTOEVENTO="Manual",IF($A72=0,"&lt;-- defina o número do agrupador",OFFSET(EVENTOS!$D$14,$A72,0)),OFFSET($F$15,$A72,0)))</f>
        <v>DRENAGEM</v>
      </c>
      <c r="O72" s="208"/>
      <c r="Q72" s="208"/>
      <c r="R72" s="209"/>
      <c r="S72" s="209"/>
      <c r="T72" s="209"/>
      <c r="U72" s="209"/>
      <c r="V72" s="209"/>
      <c r="W72" s="209"/>
      <c r="X72" s="209"/>
      <c r="Y72" s="209"/>
      <c r="Z72" s="210"/>
      <c r="AB72" s="626">
        <f ca="1">IF(AND($D72="Serviço",AB$12&lt;&gt;0,$H72&gt;0,OR(AUTOEVENTO&lt;&gt;"manual",$M72&lt;&gt;1)),
IF(Import.TipoArredondamento&lt;&gt;"TransfereGOV",
ROUND(OFFSET($P72,0,AB$13),15-13*ORÇAMENTO!$AF$7)/$H72*OFFSET(ORÇAMENTO!$X$15,ROW(AB72)-ROW(AB$15),0),
ROUND(ROUND(OFFSET($P72,0,AB$13),15-13*ORÇAMENTO!$AF$7)*OFFSET(ORÇAMENTO!$W$15,ROW(AB72)-ROW(AB$15),0),15-13*ORÇAMENTO!$AF$11)),0)</f>
        <v>0</v>
      </c>
      <c r="AC72" s="627">
        <f ca="1">IF(AND($D72="Serviço",AC$12&lt;&gt;0,$H72&gt;0,OR(AUTOEVENTO&lt;&gt;"manual",$M72&lt;&gt;1)),
IF(Import.TipoArredondamento&lt;&gt;"TransfereGOV",
ROUND(OFFSET($P72,0,AC$13),15-13*ORÇAMENTO!$AF$7)/$H72*OFFSET(ORÇAMENTO!$X$15,ROW(AC72)-ROW(AC$15),0),
ROUND(ROUND(OFFSET($P72,0,AC$13),15-13*ORÇAMENTO!$AF$7)*OFFSET(ORÇAMENTO!$W$15,ROW(AC72)-ROW(AC$15),0),15-13*ORÇAMENTO!$AF$11)),0)</f>
        <v>0</v>
      </c>
      <c r="AD72" s="627">
        <f ca="1">IF(AND($D72="Serviço",AD$12&lt;&gt;0,$H72&gt;0,OR(AUTOEVENTO&lt;&gt;"manual",$M72&lt;&gt;1)),
IF(Import.TipoArredondamento&lt;&gt;"TransfereGOV",
ROUND(OFFSET($P72,0,AD$13),15-13*ORÇAMENTO!$AF$7)/$H72*OFFSET(ORÇAMENTO!$X$15,ROW(AD72)-ROW(AD$15),0),
ROUND(ROUND(OFFSET($P72,0,AD$13),15-13*ORÇAMENTO!$AF$7)*OFFSET(ORÇAMENTO!$W$15,ROW(AD72)-ROW(AD$15),0),15-13*ORÇAMENTO!$AF$11)),0)</f>
        <v>0</v>
      </c>
      <c r="AE72" s="627">
        <f ca="1">IF(AND($D72="Serviço",AE$12&lt;&gt;0,$H72&gt;0,OR(AUTOEVENTO&lt;&gt;"manual",$M72&lt;&gt;1)),
IF(Import.TipoArredondamento&lt;&gt;"TransfereGOV",
ROUND(OFFSET($P72,0,AE$13),15-13*ORÇAMENTO!$AF$7)/$H72*OFFSET(ORÇAMENTO!$X$15,ROW(AE72)-ROW(AE$15),0),
ROUND(ROUND(OFFSET($P72,0,AE$13),15-13*ORÇAMENTO!$AF$7)*OFFSET(ORÇAMENTO!$W$15,ROW(AE72)-ROW(AE$15),0),15-13*ORÇAMENTO!$AF$11)),0)</f>
        <v>0</v>
      </c>
      <c r="AF72" s="627">
        <f ca="1">IF(AND($D72="Serviço",AF$12&lt;&gt;0,$H72&gt;0,OR(AUTOEVENTO&lt;&gt;"manual",$M72&lt;&gt;1)),
IF(Import.TipoArredondamento&lt;&gt;"TransfereGOV",
ROUND(OFFSET($P72,0,AF$13),15-13*ORÇAMENTO!$AF$7)/$H72*OFFSET(ORÇAMENTO!$X$15,ROW(AF72)-ROW(AF$15),0),
ROUND(ROUND(OFFSET($P72,0,AF$13),15-13*ORÇAMENTO!$AF$7)*OFFSET(ORÇAMENTO!$W$15,ROW(AF72)-ROW(AF$15),0),15-13*ORÇAMENTO!$AF$11)),0)</f>
        <v>0</v>
      </c>
      <c r="AG72" s="627">
        <f ca="1">IF(AND($D72="Serviço",AG$12&lt;&gt;0,$H72&gt;0,OR(AUTOEVENTO&lt;&gt;"manual",$M72&lt;&gt;1)),
IF(Import.TipoArredondamento&lt;&gt;"TransfereGOV",
ROUND(OFFSET($P72,0,AG$13),15-13*ORÇAMENTO!$AF$7)/$H72*OFFSET(ORÇAMENTO!$X$15,ROW(AG72)-ROW(AG$15),0),
ROUND(ROUND(OFFSET($P72,0,AG$13),15-13*ORÇAMENTO!$AF$7)*OFFSET(ORÇAMENTO!$W$15,ROW(AG72)-ROW(AG$15),0),15-13*ORÇAMENTO!$AF$11)),0)</f>
        <v>0</v>
      </c>
      <c r="AH72" s="627">
        <f ca="1">IF(AND($D72="Serviço",AH$12&lt;&gt;0,$H72&gt;0,OR(AUTOEVENTO&lt;&gt;"manual",$M72&lt;&gt;1)),
IF(Import.TipoArredondamento&lt;&gt;"TransfereGOV",
ROUND(OFFSET($P72,0,AH$13),15-13*ORÇAMENTO!$AF$7)/$H72*OFFSET(ORÇAMENTO!$X$15,ROW(AH72)-ROW(AH$15),0),
ROUND(ROUND(OFFSET($P72,0,AH$13),15-13*ORÇAMENTO!$AF$7)*OFFSET(ORÇAMENTO!$W$15,ROW(AH72)-ROW(AH$15),0),15-13*ORÇAMENTO!$AF$11)),0)</f>
        <v>0</v>
      </c>
      <c r="AI72" s="627">
        <f ca="1">IF(AND($D72="Serviço",AI$12&lt;&gt;0,$H72&gt;0,OR(AUTOEVENTO&lt;&gt;"manual",$M72&lt;&gt;1)),
IF(Import.TipoArredondamento&lt;&gt;"TransfereGOV",
ROUND(OFFSET($P72,0,AI$13),15-13*ORÇAMENTO!$AF$7)/$H72*OFFSET(ORÇAMENTO!$X$15,ROW(AI72)-ROW(AI$15),0),
ROUND(ROUND(OFFSET($P72,0,AI$13),15-13*ORÇAMENTO!$AF$7)*OFFSET(ORÇAMENTO!$W$15,ROW(AI72)-ROW(AI$15),0),15-13*ORÇAMENTO!$AF$11)),0)</f>
        <v>0</v>
      </c>
      <c r="AJ72" s="627">
        <f ca="1">IF(AND($D72="Serviço",AJ$12&lt;&gt;0,$H72&gt;0,OR(AUTOEVENTO&lt;&gt;"manual",$M72&lt;&gt;1)),
IF(Import.TipoArredondamento&lt;&gt;"TransfereGOV",
ROUND(OFFSET($P72,0,AJ$13),15-13*ORÇAMENTO!$AF$7)/$H72*OFFSET(ORÇAMENTO!$X$15,ROW(AJ72)-ROW(AJ$15),0),
ROUND(ROUND(OFFSET($P72,0,AJ$13),15-13*ORÇAMENTO!$AF$7)*OFFSET(ORÇAMENTO!$W$15,ROW(AJ72)-ROW(AJ$15),0),15-13*ORÇAMENTO!$AF$11)),0)</f>
        <v>0</v>
      </c>
      <c r="AK72" s="628">
        <f ca="1">IF(AND($D72="Serviço",AK$12&lt;&gt;0,$H72&gt;0,OR(AUTOEVENTO&lt;&gt;"manual",$M72&lt;&gt;1)),
IF(Import.TipoArredondamento&lt;&gt;"TransfereGOV",
ROUND(OFFSET($P72,0,AK$13),15-13*ORÇAMENTO!$AF$7)/$H72*OFFSET(ORÇAMENTO!$X$15,ROW(AK72)-ROW(AK$15),0),
ROUND(ROUND(OFFSET($P72,0,AK$13),15-13*ORÇAMENTO!$AF$7)*OFFSET(ORÇAMENTO!$W$15,ROW(AK72)-ROW(AK$15),0),15-13*ORÇAMENTO!$AF$11)),0)</f>
        <v>0</v>
      </c>
      <c r="AM72" s="211">
        <f ca="1">IF($D72&lt;&gt;"Serviço",0,IF(AND(AUTOEVENTO="Manual",$M72=1),0,IF(OFFSET(CRONOPLE!$F$14,$M72,AM$13)="",10^12,OFFSET(CRONOPLE!$F$14,$M72,AM$13))))</f>
        <v>2</v>
      </c>
      <c r="AN72" s="211">
        <f ca="1">IF($D72&lt;&gt;"Serviço",0,IF(AND(AUTOEVENTO="Manual",$M72=1),0,IF(OFFSET(CRONOPLE!$F$14,$M72,AN$13)="",10^12,OFFSET(CRONOPLE!$F$14,$M72,AN$13))))</f>
        <v>1</v>
      </c>
      <c r="AO72" s="211">
        <f ca="1">IF($D72&lt;&gt;"Serviço",0,IF(AND(AUTOEVENTO="Manual",$M72=1),0,IF(OFFSET(CRONOPLE!$F$14,$M72,AO$13)="",10^12,OFFSET(CRONOPLE!$F$14,$M72,AO$13))))</f>
        <v>2</v>
      </c>
      <c r="AP72" s="211">
        <f ca="1">IF($D72&lt;&gt;"Serviço",0,IF(AND(AUTOEVENTO="Manual",$M72=1),0,IF(OFFSET(CRONOPLE!$F$14,$M72,AP$13)="",10^12,OFFSET(CRONOPLE!$F$14,$M72,AP$13))))</f>
        <v>2</v>
      </c>
      <c r="AQ72" s="211">
        <f ca="1">IF($D72&lt;&gt;"Serviço",0,IF(AND(AUTOEVENTO="Manual",$M72=1),0,IF(OFFSET(CRONOPLE!$F$14,$M72,AQ$13)="",10^12,OFFSET(CRONOPLE!$F$14,$M72,AQ$13))))</f>
        <v>1000000000000</v>
      </c>
      <c r="AR72" s="211">
        <f ca="1">IF($D72&lt;&gt;"Serviço",0,IF(AND(AUTOEVENTO="Manual",$M72=1),0,IF(OFFSET(CRONOPLE!$F$14,$M72,AR$13)="",10^12,OFFSET(CRONOPLE!$F$14,$M72,AR$13))))</f>
        <v>1000000000000</v>
      </c>
      <c r="AS72" s="211">
        <f ca="1">IF($D72&lt;&gt;"Serviço",0,IF(AND(AUTOEVENTO="Manual",$M72=1),0,IF(OFFSET(CRONOPLE!$F$14,$M72,AS$13)="",10^12,OFFSET(CRONOPLE!$F$14,$M72,AS$13))))</f>
        <v>1000000000000</v>
      </c>
      <c r="AT72" s="211">
        <f ca="1">IF($D72&lt;&gt;"Serviço",0,IF(AND(AUTOEVENTO="Manual",$M72=1),0,IF(OFFSET(CRONOPLE!$F$14,$M72,AT$13)="",10^12,OFFSET(CRONOPLE!$F$14,$M72,AT$13))))</f>
        <v>1000000000000</v>
      </c>
      <c r="AU72" s="211">
        <f ca="1">IF($D72&lt;&gt;"Serviço",0,IF(AND(AUTOEVENTO="Manual",$M72=1),0,IF(OFFSET(CRONOPLE!$F$14,$M72,AU$13)="",10^12,OFFSET(CRONOPLE!$F$14,$M72,AU$13))))</f>
        <v>1000000000000</v>
      </c>
      <c r="AV72" s="211">
        <f ca="1">IF($D72&lt;&gt;"Serviço",0,IF(AND(AUTOEVENTO="Manual",$M72=1),0,IF(OFFSET(CRONOPLE!$F$14,$M72,AV$13)="",10^12,OFFSET(CRONOPLE!$F$14,$M72,AV$13))))</f>
        <v>1000000000000</v>
      </c>
      <c r="AX72" s="212">
        <f ca="1">IF($D72&lt;&gt;"Serviço",0,IF(OR(AND(AUTOEVENTO="Manual",$M72=1),$M72&gt;(ROW(PLE.lastrow)-ROW(PLE.firstrow))),0,IF(OFFSET(PLE!$G$14,$M72,AX$13)="",10^12,OFFSET(PLE!$G$14,$M72,AX$13))))</f>
        <v>1000000000000</v>
      </c>
      <c r="AY72" s="212">
        <f ca="1">IF($D72&lt;&gt;"Serviço",0,IF(OR(AND(AUTOEVENTO="Manual",$M72=1),$M72&gt;(ROW(PLE.lastrow)-ROW(PLE.firstrow))),0,IF(OFFSET(PLE!$G$14,$M72,AY$13)="",10^12,OFFSET(PLE!$G$14,$M72,AY$13))))</f>
        <v>1000000000000</v>
      </c>
      <c r="AZ72" s="212">
        <f ca="1">IF($D72&lt;&gt;"Serviço",0,IF(OR(AND(AUTOEVENTO="Manual",$M72=1),$M72&gt;(ROW(PLE.lastrow)-ROW(PLE.firstrow))),0,IF(OFFSET(PLE!$G$14,$M72,AZ$13)="",10^12,OFFSET(PLE!$G$14,$M72,AZ$13))))</f>
        <v>1000000000000</v>
      </c>
      <c r="BA72" s="212">
        <f ca="1">IF($D72&lt;&gt;"Serviço",0,IF(OR(AND(AUTOEVENTO="Manual",$M72=1),$M72&gt;(ROW(PLE.lastrow)-ROW(PLE.firstrow))),0,IF(OFFSET(PLE!$G$14,$M72,BA$13)="",10^12,OFFSET(PLE!$G$14,$M72,BA$13))))</f>
        <v>1000000000000</v>
      </c>
      <c r="BB72" s="212">
        <f ca="1">IF($D72&lt;&gt;"Serviço",0,IF(OR(AND(AUTOEVENTO="Manual",$M72=1),$M72&gt;(ROW(PLE.lastrow)-ROW(PLE.firstrow))),0,IF(OFFSET(PLE!$G$14,$M72,BB$13)="",10^12,OFFSET(PLE!$G$14,$M72,BB$13))))</f>
        <v>1000000000000</v>
      </c>
      <c r="BC72" s="212">
        <f ca="1">IF($D72&lt;&gt;"Serviço",0,IF(OR(AND(AUTOEVENTO="Manual",$M72=1),$M72&gt;(ROW(PLE.lastrow)-ROW(PLE.firstrow))),0,IF(OFFSET(PLE!$G$14,$M72,BC$13)="",10^12,OFFSET(PLE!$G$14,$M72,BC$13))))</f>
        <v>1000000000000</v>
      </c>
      <c r="BD72" s="212">
        <f ca="1">IF($D72&lt;&gt;"Serviço",0,IF(OR(AND(AUTOEVENTO="Manual",$M72=1),$M72&gt;(ROW(PLE.lastrow)-ROW(PLE.firstrow))),0,IF(OFFSET(PLE!$G$14,$M72,BD$13)="",10^12,OFFSET(PLE!$G$14,$M72,BD$13))))</f>
        <v>1000000000000</v>
      </c>
      <c r="BE72" s="212">
        <f ca="1">IF($D72&lt;&gt;"Serviço",0,IF(OR(AND(AUTOEVENTO="Manual",$M72=1),$M72&gt;(ROW(PLE.lastrow)-ROW(PLE.firstrow))),0,IF(OFFSET(PLE!$G$14,$M72,BE$13)="",10^12,OFFSET(PLE!$G$14,$M72,BE$13))))</f>
        <v>1000000000000</v>
      </c>
      <c r="BF72" s="212">
        <f ca="1">IF($D72&lt;&gt;"Serviço",0,IF(OR(AND(AUTOEVENTO="Manual",$M72=1),$M72&gt;(ROW(PLE.lastrow)-ROW(PLE.firstrow))),0,IF(OFFSET(PLE!$G$14,$M72,BF$13)="",10^12,OFFSET(PLE!$G$14,$M72,BF$13))))</f>
        <v>1000000000000</v>
      </c>
      <c r="BG72" s="212">
        <f ca="1">IF($D72&lt;&gt;"Serviço",0,IF(OR(AND(AUTOEVENTO="Manual",$M72=1),$M72&gt;(ROW(PLE.lastrow)-ROW(PLE.firstrow))),0,IF(OFFSET(PLE!$G$14,$M72,BG$13)="",10^12,OFFSET(PLE!$G$14,$M72,BG$13))))</f>
        <v>1000000000000</v>
      </c>
    </row>
    <row r="73" spans="1:59" ht="13.2">
      <c r="A73" s="9" t="str">
        <f t="shared" ca="1" si="8"/>
        <v>15</v>
      </c>
      <c r="B73" s="9" t="str">
        <f ca="1">OFFSET(ORÇAMENTO!C$15,ROW(B73)-ROW(B$15),0)</f>
        <v>S</v>
      </c>
      <c r="C73" s="9" t="str">
        <f ca="1">OFFSET(ORÇAMENTO!L$15,ROW(C73)-ROW(C$15),0)</f>
        <v/>
      </c>
      <c r="D73" s="141" t="str">
        <f ca="1">OFFSET(ORÇAMENTO!N$15,ROW(D73)-ROW(D$15),0)</f>
        <v>Serviço</v>
      </c>
      <c r="E73" s="201" t="str">
        <f ca="1">OFFSET(ORÇAMENTO!O$15,ROW(E73)-ROW(E$15),0)</f>
        <v>-</v>
      </c>
      <c r="F73" s="202" t="str">
        <f ca="1">OFFSET(ORÇAMENTO!R$15,ROW(F73)-ROW(F$15),0)</f>
        <v>(abra o arquivo 'Referência 11-2024.xlsm)</v>
      </c>
      <c r="G73" s="203" t="str">
        <f ca="1">IF($D73&lt;&gt;"Serviço","",OFFSET(ORÇAMENTO!S$15,ROW(G73)-ROW(G$15),0))</f>
        <v>-</v>
      </c>
      <c r="H73" s="147">
        <f ca="1">IF($D73&lt;&gt;"Serviço",0,IF(ACOMPANHAMENTO="BM",ROUND(OFFSET(ORÇAMENTO!AJ$15,ROW(H73)-ROW(H$15),0),15-13*ORÇAMENTO!$AF$7),SUMPRODUCT(($Q$12:$AA$12&lt;&gt;"")*ROUND($Q73:$AA73,15-13*ORÇAMENTO!$AF$7))))</f>
        <v>0</v>
      </c>
      <c r="I73" s="645"/>
      <c r="K73" s="204"/>
      <c r="L73" s="205" t="s">
        <v>255</v>
      </c>
      <c r="M73" s="206">
        <f ca="1">IF($D73&lt;&gt;"Serviço","",IF(AUTOEVENTO="manual",$A73,IF(ISERROR(MATCH($A73,$A$15:OFFSET($A73,-1,0),0)),MAX($M$15:OFFSET(M73,-1,0))+1,INDEX($M$15:OFFSET(M73,-1,0),MATCH($A73,$A$15:OFFSET($A73,-1,0),0)))))</f>
        <v>6</v>
      </c>
      <c r="N73" s="207" t="str">
        <f ca="1">IF($D73&lt;&gt;"Serviço","",IF(AUTOEVENTO="Manual",IF($A73=0,"&lt;-- defina o número do agrupador",OFFSET(EVENTOS!$D$14,$A73,0)),OFFSET($F$15,$A73,0)))</f>
        <v>DRENAGEM</v>
      </c>
      <c r="O73" s="208"/>
      <c r="Q73" s="208"/>
      <c r="R73" s="209"/>
      <c r="S73" s="209"/>
      <c r="T73" s="209"/>
      <c r="U73" s="209"/>
      <c r="V73" s="209"/>
      <c r="W73" s="209"/>
      <c r="X73" s="209"/>
      <c r="Y73" s="209"/>
      <c r="Z73" s="210"/>
      <c r="AB73" s="626">
        <f ca="1">IF(AND($D73="Serviço",AB$12&lt;&gt;0,$H73&gt;0,OR(AUTOEVENTO&lt;&gt;"manual",$M73&lt;&gt;1)),
IF(Import.TipoArredondamento&lt;&gt;"TransfereGOV",
ROUND(OFFSET($P73,0,AB$13),15-13*ORÇAMENTO!$AF$7)/$H73*OFFSET(ORÇAMENTO!$X$15,ROW(AB73)-ROW(AB$15),0),
ROUND(ROUND(OFFSET($P73,0,AB$13),15-13*ORÇAMENTO!$AF$7)*OFFSET(ORÇAMENTO!$W$15,ROW(AB73)-ROW(AB$15),0),15-13*ORÇAMENTO!$AF$11)),0)</f>
        <v>0</v>
      </c>
      <c r="AC73" s="627">
        <f ca="1">IF(AND($D73="Serviço",AC$12&lt;&gt;0,$H73&gt;0,OR(AUTOEVENTO&lt;&gt;"manual",$M73&lt;&gt;1)),
IF(Import.TipoArredondamento&lt;&gt;"TransfereGOV",
ROUND(OFFSET($P73,0,AC$13),15-13*ORÇAMENTO!$AF$7)/$H73*OFFSET(ORÇAMENTO!$X$15,ROW(AC73)-ROW(AC$15),0),
ROUND(ROUND(OFFSET($P73,0,AC$13),15-13*ORÇAMENTO!$AF$7)*OFFSET(ORÇAMENTO!$W$15,ROW(AC73)-ROW(AC$15),0),15-13*ORÇAMENTO!$AF$11)),0)</f>
        <v>0</v>
      </c>
      <c r="AD73" s="627">
        <f ca="1">IF(AND($D73="Serviço",AD$12&lt;&gt;0,$H73&gt;0,OR(AUTOEVENTO&lt;&gt;"manual",$M73&lt;&gt;1)),
IF(Import.TipoArredondamento&lt;&gt;"TransfereGOV",
ROUND(OFFSET($P73,0,AD$13),15-13*ORÇAMENTO!$AF$7)/$H73*OFFSET(ORÇAMENTO!$X$15,ROW(AD73)-ROW(AD$15),0),
ROUND(ROUND(OFFSET($P73,0,AD$13),15-13*ORÇAMENTO!$AF$7)*OFFSET(ORÇAMENTO!$W$15,ROW(AD73)-ROW(AD$15),0),15-13*ORÇAMENTO!$AF$11)),0)</f>
        <v>0</v>
      </c>
      <c r="AE73" s="627">
        <f ca="1">IF(AND($D73="Serviço",AE$12&lt;&gt;0,$H73&gt;0,OR(AUTOEVENTO&lt;&gt;"manual",$M73&lt;&gt;1)),
IF(Import.TipoArredondamento&lt;&gt;"TransfereGOV",
ROUND(OFFSET($P73,0,AE$13),15-13*ORÇAMENTO!$AF$7)/$H73*OFFSET(ORÇAMENTO!$X$15,ROW(AE73)-ROW(AE$15),0),
ROUND(ROUND(OFFSET($P73,0,AE$13),15-13*ORÇAMENTO!$AF$7)*OFFSET(ORÇAMENTO!$W$15,ROW(AE73)-ROW(AE$15),0),15-13*ORÇAMENTO!$AF$11)),0)</f>
        <v>0</v>
      </c>
      <c r="AF73" s="627">
        <f ca="1">IF(AND($D73="Serviço",AF$12&lt;&gt;0,$H73&gt;0,OR(AUTOEVENTO&lt;&gt;"manual",$M73&lt;&gt;1)),
IF(Import.TipoArredondamento&lt;&gt;"TransfereGOV",
ROUND(OFFSET($P73,0,AF$13),15-13*ORÇAMENTO!$AF$7)/$H73*OFFSET(ORÇAMENTO!$X$15,ROW(AF73)-ROW(AF$15),0),
ROUND(ROUND(OFFSET($P73,0,AF$13),15-13*ORÇAMENTO!$AF$7)*OFFSET(ORÇAMENTO!$W$15,ROW(AF73)-ROW(AF$15),0),15-13*ORÇAMENTO!$AF$11)),0)</f>
        <v>0</v>
      </c>
      <c r="AG73" s="627">
        <f ca="1">IF(AND($D73="Serviço",AG$12&lt;&gt;0,$H73&gt;0,OR(AUTOEVENTO&lt;&gt;"manual",$M73&lt;&gt;1)),
IF(Import.TipoArredondamento&lt;&gt;"TransfereGOV",
ROUND(OFFSET($P73,0,AG$13),15-13*ORÇAMENTO!$AF$7)/$H73*OFFSET(ORÇAMENTO!$X$15,ROW(AG73)-ROW(AG$15),0),
ROUND(ROUND(OFFSET($P73,0,AG$13),15-13*ORÇAMENTO!$AF$7)*OFFSET(ORÇAMENTO!$W$15,ROW(AG73)-ROW(AG$15),0),15-13*ORÇAMENTO!$AF$11)),0)</f>
        <v>0</v>
      </c>
      <c r="AH73" s="627">
        <f ca="1">IF(AND($D73="Serviço",AH$12&lt;&gt;0,$H73&gt;0,OR(AUTOEVENTO&lt;&gt;"manual",$M73&lt;&gt;1)),
IF(Import.TipoArredondamento&lt;&gt;"TransfereGOV",
ROUND(OFFSET($P73,0,AH$13),15-13*ORÇAMENTO!$AF$7)/$H73*OFFSET(ORÇAMENTO!$X$15,ROW(AH73)-ROW(AH$15),0),
ROUND(ROUND(OFFSET($P73,0,AH$13),15-13*ORÇAMENTO!$AF$7)*OFFSET(ORÇAMENTO!$W$15,ROW(AH73)-ROW(AH$15),0),15-13*ORÇAMENTO!$AF$11)),0)</f>
        <v>0</v>
      </c>
      <c r="AI73" s="627">
        <f ca="1">IF(AND($D73="Serviço",AI$12&lt;&gt;0,$H73&gt;0,OR(AUTOEVENTO&lt;&gt;"manual",$M73&lt;&gt;1)),
IF(Import.TipoArredondamento&lt;&gt;"TransfereGOV",
ROUND(OFFSET($P73,0,AI$13),15-13*ORÇAMENTO!$AF$7)/$H73*OFFSET(ORÇAMENTO!$X$15,ROW(AI73)-ROW(AI$15),0),
ROUND(ROUND(OFFSET($P73,0,AI$13),15-13*ORÇAMENTO!$AF$7)*OFFSET(ORÇAMENTO!$W$15,ROW(AI73)-ROW(AI$15),0),15-13*ORÇAMENTO!$AF$11)),0)</f>
        <v>0</v>
      </c>
      <c r="AJ73" s="627">
        <f ca="1">IF(AND($D73="Serviço",AJ$12&lt;&gt;0,$H73&gt;0,OR(AUTOEVENTO&lt;&gt;"manual",$M73&lt;&gt;1)),
IF(Import.TipoArredondamento&lt;&gt;"TransfereGOV",
ROUND(OFFSET($P73,0,AJ$13),15-13*ORÇAMENTO!$AF$7)/$H73*OFFSET(ORÇAMENTO!$X$15,ROW(AJ73)-ROW(AJ$15),0),
ROUND(ROUND(OFFSET($P73,0,AJ$13),15-13*ORÇAMENTO!$AF$7)*OFFSET(ORÇAMENTO!$W$15,ROW(AJ73)-ROW(AJ$15),0),15-13*ORÇAMENTO!$AF$11)),0)</f>
        <v>0</v>
      </c>
      <c r="AK73" s="628">
        <f ca="1">IF(AND($D73="Serviço",AK$12&lt;&gt;0,$H73&gt;0,OR(AUTOEVENTO&lt;&gt;"manual",$M73&lt;&gt;1)),
IF(Import.TipoArredondamento&lt;&gt;"TransfereGOV",
ROUND(OFFSET($P73,0,AK$13),15-13*ORÇAMENTO!$AF$7)/$H73*OFFSET(ORÇAMENTO!$X$15,ROW(AK73)-ROW(AK$15),0),
ROUND(ROUND(OFFSET($P73,0,AK$13),15-13*ORÇAMENTO!$AF$7)*OFFSET(ORÇAMENTO!$W$15,ROW(AK73)-ROW(AK$15),0),15-13*ORÇAMENTO!$AF$11)),0)</f>
        <v>0</v>
      </c>
      <c r="AM73" s="211">
        <f ca="1">IF($D73&lt;&gt;"Serviço",0,IF(AND(AUTOEVENTO="Manual",$M73=1),0,IF(OFFSET(CRONOPLE!$F$14,$M73,AM$13)="",10^12,OFFSET(CRONOPLE!$F$14,$M73,AM$13))))</f>
        <v>2</v>
      </c>
      <c r="AN73" s="211">
        <f ca="1">IF($D73&lt;&gt;"Serviço",0,IF(AND(AUTOEVENTO="Manual",$M73=1),0,IF(OFFSET(CRONOPLE!$F$14,$M73,AN$13)="",10^12,OFFSET(CRONOPLE!$F$14,$M73,AN$13))))</f>
        <v>1</v>
      </c>
      <c r="AO73" s="211">
        <f ca="1">IF($D73&lt;&gt;"Serviço",0,IF(AND(AUTOEVENTO="Manual",$M73=1),0,IF(OFFSET(CRONOPLE!$F$14,$M73,AO$13)="",10^12,OFFSET(CRONOPLE!$F$14,$M73,AO$13))))</f>
        <v>2</v>
      </c>
      <c r="AP73" s="211">
        <f ca="1">IF($D73&lt;&gt;"Serviço",0,IF(AND(AUTOEVENTO="Manual",$M73=1),0,IF(OFFSET(CRONOPLE!$F$14,$M73,AP$13)="",10^12,OFFSET(CRONOPLE!$F$14,$M73,AP$13))))</f>
        <v>2</v>
      </c>
      <c r="AQ73" s="211">
        <f ca="1">IF($D73&lt;&gt;"Serviço",0,IF(AND(AUTOEVENTO="Manual",$M73=1),0,IF(OFFSET(CRONOPLE!$F$14,$M73,AQ$13)="",10^12,OFFSET(CRONOPLE!$F$14,$M73,AQ$13))))</f>
        <v>1000000000000</v>
      </c>
      <c r="AR73" s="211">
        <f ca="1">IF($D73&lt;&gt;"Serviço",0,IF(AND(AUTOEVENTO="Manual",$M73=1),0,IF(OFFSET(CRONOPLE!$F$14,$M73,AR$13)="",10^12,OFFSET(CRONOPLE!$F$14,$M73,AR$13))))</f>
        <v>1000000000000</v>
      </c>
      <c r="AS73" s="211">
        <f ca="1">IF($D73&lt;&gt;"Serviço",0,IF(AND(AUTOEVENTO="Manual",$M73=1),0,IF(OFFSET(CRONOPLE!$F$14,$M73,AS$13)="",10^12,OFFSET(CRONOPLE!$F$14,$M73,AS$13))))</f>
        <v>1000000000000</v>
      </c>
      <c r="AT73" s="211">
        <f ca="1">IF($D73&lt;&gt;"Serviço",0,IF(AND(AUTOEVENTO="Manual",$M73=1),0,IF(OFFSET(CRONOPLE!$F$14,$M73,AT$13)="",10^12,OFFSET(CRONOPLE!$F$14,$M73,AT$13))))</f>
        <v>1000000000000</v>
      </c>
      <c r="AU73" s="211">
        <f ca="1">IF($D73&lt;&gt;"Serviço",0,IF(AND(AUTOEVENTO="Manual",$M73=1),0,IF(OFFSET(CRONOPLE!$F$14,$M73,AU$13)="",10^12,OFFSET(CRONOPLE!$F$14,$M73,AU$13))))</f>
        <v>1000000000000</v>
      </c>
      <c r="AV73" s="211">
        <f ca="1">IF($D73&lt;&gt;"Serviço",0,IF(AND(AUTOEVENTO="Manual",$M73=1),0,IF(OFFSET(CRONOPLE!$F$14,$M73,AV$13)="",10^12,OFFSET(CRONOPLE!$F$14,$M73,AV$13))))</f>
        <v>1000000000000</v>
      </c>
      <c r="AX73" s="212">
        <f ca="1">IF($D73&lt;&gt;"Serviço",0,IF(OR(AND(AUTOEVENTO="Manual",$M73=1),$M73&gt;(ROW(PLE.lastrow)-ROW(PLE.firstrow))),0,IF(OFFSET(PLE!$G$14,$M73,AX$13)="",10^12,OFFSET(PLE!$G$14,$M73,AX$13))))</f>
        <v>1000000000000</v>
      </c>
      <c r="AY73" s="212">
        <f ca="1">IF($D73&lt;&gt;"Serviço",0,IF(OR(AND(AUTOEVENTO="Manual",$M73=1),$M73&gt;(ROW(PLE.lastrow)-ROW(PLE.firstrow))),0,IF(OFFSET(PLE!$G$14,$M73,AY$13)="",10^12,OFFSET(PLE!$G$14,$M73,AY$13))))</f>
        <v>1000000000000</v>
      </c>
      <c r="AZ73" s="212">
        <f ca="1">IF($D73&lt;&gt;"Serviço",0,IF(OR(AND(AUTOEVENTO="Manual",$M73=1),$M73&gt;(ROW(PLE.lastrow)-ROW(PLE.firstrow))),0,IF(OFFSET(PLE!$G$14,$M73,AZ$13)="",10^12,OFFSET(PLE!$G$14,$M73,AZ$13))))</f>
        <v>1000000000000</v>
      </c>
      <c r="BA73" s="212">
        <f ca="1">IF($D73&lt;&gt;"Serviço",0,IF(OR(AND(AUTOEVENTO="Manual",$M73=1),$M73&gt;(ROW(PLE.lastrow)-ROW(PLE.firstrow))),0,IF(OFFSET(PLE!$G$14,$M73,BA$13)="",10^12,OFFSET(PLE!$G$14,$M73,BA$13))))</f>
        <v>1000000000000</v>
      </c>
      <c r="BB73" s="212">
        <f ca="1">IF($D73&lt;&gt;"Serviço",0,IF(OR(AND(AUTOEVENTO="Manual",$M73=1),$M73&gt;(ROW(PLE.lastrow)-ROW(PLE.firstrow))),0,IF(OFFSET(PLE!$G$14,$M73,BB$13)="",10^12,OFFSET(PLE!$G$14,$M73,BB$13))))</f>
        <v>1000000000000</v>
      </c>
      <c r="BC73" s="212">
        <f ca="1">IF($D73&lt;&gt;"Serviço",0,IF(OR(AND(AUTOEVENTO="Manual",$M73=1),$M73&gt;(ROW(PLE.lastrow)-ROW(PLE.firstrow))),0,IF(OFFSET(PLE!$G$14,$M73,BC$13)="",10^12,OFFSET(PLE!$G$14,$M73,BC$13))))</f>
        <v>1000000000000</v>
      </c>
      <c r="BD73" s="212">
        <f ca="1">IF($D73&lt;&gt;"Serviço",0,IF(OR(AND(AUTOEVENTO="Manual",$M73=1),$M73&gt;(ROW(PLE.lastrow)-ROW(PLE.firstrow))),0,IF(OFFSET(PLE!$G$14,$M73,BD$13)="",10^12,OFFSET(PLE!$G$14,$M73,BD$13))))</f>
        <v>1000000000000</v>
      </c>
      <c r="BE73" s="212">
        <f ca="1">IF($D73&lt;&gt;"Serviço",0,IF(OR(AND(AUTOEVENTO="Manual",$M73=1),$M73&gt;(ROW(PLE.lastrow)-ROW(PLE.firstrow))),0,IF(OFFSET(PLE!$G$14,$M73,BE$13)="",10^12,OFFSET(PLE!$G$14,$M73,BE$13))))</f>
        <v>1000000000000</v>
      </c>
      <c r="BF73" s="212">
        <f ca="1">IF($D73&lt;&gt;"Serviço",0,IF(OR(AND(AUTOEVENTO="Manual",$M73=1),$M73&gt;(ROW(PLE.lastrow)-ROW(PLE.firstrow))),0,IF(OFFSET(PLE!$G$14,$M73,BF$13)="",10^12,OFFSET(PLE!$G$14,$M73,BF$13))))</f>
        <v>1000000000000</v>
      </c>
      <c r="BG73" s="212">
        <f ca="1">IF($D73&lt;&gt;"Serviço",0,IF(OR(AND(AUTOEVENTO="Manual",$M73=1),$M73&gt;(ROW(PLE.lastrow)-ROW(PLE.firstrow))),0,IF(OFFSET(PLE!$G$14,$M73,BG$13)="",10^12,OFFSET(PLE!$G$14,$M73,BG$13))))</f>
        <v>1000000000000</v>
      </c>
    </row>
    <row r="74" spans="1:59" ht="13.2">
      <c r="A74" s="9" t="str">
        <f t="shared" ca="1" si="8"/>
        <v>15</v>
      </c>
      <c r="B74" s="9" t="str">
        <f ca="1">OFFSET(ORÇAMENTO!C$15,ROW(B74)-ROW(B$15),0)</f>
        <v>S</v>
      </c>
      <c r="C74" s="9" t="str">
        <f ca="1">OFFSET(ORÇAMENTO!L$15,ROW(C74)-ROW(C$15),0)</f>
        <v/>
      </c>
      <c r="D74" s="141" t="str">
        <f ca="1">OFFSET(ORÇAMENTO!N$15,ROW(D74)-ROW(D$15),0)</f>
        <v>Serviço</v>
      </c>
      <c r="E74" s="201" t="str">
        <f ca="1">OFFSET(ORÇAMENTO!O$15,ROW(E74)-ROW(E$15),0)</f>
        <v>-</v>
      </c>
      <c r="F74" s="202" t="str">
        <f ca="1">OFFSET(ORÇAMENTO!R$15,ROW(F74)-ROW(F$15),0)</f>
        <v>(abra o arquivo 'Referência 11-2024.xlsm)</v>
      </c>
      <c r="G74" s="203" t="str">
        <f ca="1">IF($D74&lt;&gt;"Serviço","",OFFSET(ORÇAMENTO!S$15,ROW(G74)-ROW(G$15),0))</f>
        <v>-</v>
      </c>
      <c r="H74" s="147">
        <f ca="1">IF($D74&lt;&gt;"Serviço",0,IF(ACOMPANHAMENTO="BM",ROUND(OFFSET(ORÇAMENTO!AJ$15,ROW(H74)-ROW(H$15),0),15-13*ORÇAMENTO!$AF$7),SUMPRODUCT(($Q$12:$AA$12&lt;&gt;"")*ROUND($Q74:$AA74,15-13*ORÇAMENTO!$AF$7))))</f>
        <v>0</v>
      </c>
      <c r="I74" s="645"/>
      <c r="K74" s="204"/>
      <c r="L74" s="205" t="s">
        <v>255</v>
      </c>
      <c r="M74" s="206">
        <f ca="1">IF($D74&lt;&gt;"Serviço","",IF(AUTOEVENTO="manual",$A74,IF(ISERROR(MATCH($A74,$A$15:OFFSET($A74,-1,0),0)),MAX($M$15:OFFSET(M74,-1,0))+1,INDEX($M$15:OFFSET(M74,-1,0),MATCH($A74,$A$15:OFFSET($A74,-1,0),0)))))</f>
        <v>6</v>
      </c>
      <c r="N74" s="207" t="str">
        <f ca="1">IF($D74&lt;&gt;"Serviço","",IF(AUTOEVENTO="Manual",IF($A74=0,"&lt;-- defina o número do agrupador",OFFSET(EVENTOS!$D$14,$A74,0)),OFFSET($F$15,$A74,0)))</f>
        <v>DRENAGEM</v>
      </c>
      <c r="O74" s="208"/>
      <c r="Q74" s="208"/>
      <c r="R74" s="209"/>
      <c r="S74" s="209"/>
      <c r="T74" s="209"/>
      <c r="U74" s="209"/>
      <c r="V74" s="209"/>
      <c r="W74" s="209"/>
      <c r="X74" s="209"/>
      <c r="Y74" s="209"/>
      <c r="Z74" s="210"/>
      <c r="AB74" s="626">
        <f ca="1">IF(AND($D74="Serviço",AB$12&lt;&gt;0,$H74&gt;0,OR(AUTOEVENTO&lt;&gt;"manual",$M74&lt;&gt;1)),
IF(Import.TipoArredondamento&lt;&gt;"TransfereGOV",
ROUND(OFFSET($P74,0,AB$13),15-13*ORÇAMENTO!$AF$7)/$H74*OFFSET(ORÇAMENTO!$X$15,ROW(AB74)-ROW(AB$15),0),
ROUND(ROUND(OFFSET($P74,0,AB$13),15-13*ORÇAMENTO!$AF$7)*OFFSET(ORÇAMENTO!$W$15,ROW(AB74)-ROW(AB$15),0),15-13*ORÇAMENTO!$AF$11)),0)</f>
        <v>0</v>
      </c>
      <c r="AC74" s="627">
        <f ca="1">IF(AND($D74="Serviço",AC$12&lt;&gt;0,$H74&gt;0,OR(AUTOEVENTO&lt;&gt;"manual",$M74&lt;&gt;1)),
IF(Import.TipoArredondamento&lt;&gt;"TransfereGOV",
ROUND(OFFSET($P74,0,AC$13),15-13*ORÇAMENTO!$AF$7)/$H74*OFFSET(ORÇAMENTO!$X$15,ROW(AC74)-ROW(AC$15),0),
ROUND(ROUND(OFFSET($P74,0,AC$13),15-13*ORÇAMENTO!$AF$7)*OFFSET(ORÇAMENTO!$W$15,ROW(AC74)-ROW(AC$15),0),15-13*ORÇAMENTO!$AF$11)),0)</f>
        <v>0</v>
      </c>
      <c r="AD74" s="627">
        <f ca="1">IF(AND($D74="Serviço",AD$12&lt;&gt;0,$H74&gt;0,OR(AUTOEVENTO&lt;&gt;"manual",$M74&lt;&gt;1)),
IF(Import.TipoArredondamento&lt;&gt;"TransfereGOV",
ROUND(OFFSET($P74,0,AD$13),15-13*ORÇAMENTO!$AF$7)/$H74*OFFSET(ORÇAMENTO!$X$15,ROW(AD74)-ROW(AD$15),0),
ROUND(ROUND(OFFSET($P74,0,AD$13),15-13*ORÇAMENTO!$AF$7)*OFFSET(ORÇAMENTO!$W$15,ROW(AD74)-ROW(AD$15),0),15-13*ORÇAMENTO!$AF$11)),0)</f>
        <v>0</v>
      </c>
      <c r="AE74" s="627">
        <f ca="1">IF(AND($D74="Serviço",AE$12&lt;&gt;0,$H74&gt;0,OR(AUTOEVENTO&lt;&gt;"manual",$M74&lt;&gt;1)),
IF(Import.TipoArredondamento&lt;&gt;"TransfereGOV",
ROUND(OFFSET($P74,0,AE$13),15-13*ORÇAMENTO!$AF$7)/$H74*OFFSET(ORÇAMENTO!$X$15,ROW(AE74)-ROW(AE$15),0),
ROUND(ROUND(OFFSET($P74,0,AE$13),15-13*ORÇAMENTO!$AF$7)*OFFSET(ORÇAMENTO!$W$15,ROW(AE74)-ROW(AE$15),0),15-13*ORÇAMENTO!$AF$11)),0)</f>
        <v>0</v>
      </c>
      <c r="AF74" s="627">
        <f ca="1">IF(AND($D74="Serviço",AF$12&lt;&gt;0,$H74&gt;0,OR(AUTOEVENTO&lt;&gt;"manual",$M74&lt;&gt;1)),
IF(Import.TipoArredondamento&lt;&gt;"TransfereGOV",
ROUND(OFFSET($P74,0,AF$13),15-13*ORÇAMENTO!$AF$7)/$H74*OFFSET(ORÇAMENTO!$X$15,ROW(AF74)-ROW(AF$15),0),
ROUND(ROUND(OFFSET($P74,0,AF$13),15-13*ORÇAMENTO!$AF$7)*OFFSET(ORÇAMENTO!$W$15,ROW(AF74)-ROW(AF$15),0),15-13*ORÇAMENTO!$AF$11)),0)</f>
        <v>0</v>
      </c>
      <c r="AG74" s="627">
        <f ca="1">IF(AND($D74="Serviço",AG$12&lt;&gt;0,$H74&gt;0,OR(AUTOEVENTO&lt;&gt;"manual",$M74&lt;&gt;1)),
IF(Import.TipoArredondamento&lt;&gt;"TransfereGOV",
ROUND(OFFSET($P74,0,AG$13),15-13*ORÇAMENTO!$AF$7)/$H74*OFFSET(ORÇAMENTO!$X$15,ROW(AG74)-ROW(AG$15),0),
ROUND(ROUND(OFFSET($P74,0,AG$13),15-13*ORÇAMENTO!$AF$7)*OFFSET(ORÇAMENTO!$W$15,ROW(AG74)-ROW(AG$15),0),15-13*ORÇAMENTO!$AF$11)),0)</f>
        <v>0</v>
      </c>
      <c r="AH74" s="627">
        <f ca="1">IF(AND($D74="Serviço",AH$12&lt;&gt;0,$H74&gt;0,OR(AUTOEVENTO&lt;&gt;"manual",$M74&lt;&gt;1)),
IF(Import.TipoArredondamento&lt;&gt;"TransfereGOV",
ROUND(OFFSET($P74,0,AH$13),15-13*ORÇAMENTO!$AF$7)/$H74*OFFSET(ORÇAMENTO!$X$15,ROW(AH74)-ROW(AH$15),0),
ROUND(ROUND(OFFSET($P74,0,AH$13),15-13*ORÇAMENTO!$AF$7)*OFFSET(ORÇAMENTO!$W$15,ROW(AH74)-ROW(AH$15),0),15-13*ORÇAMENTO!$AF$11)),0)</f>
        <v>0</v>
      </c>
      <c r="AI74" s="627">
        <f ca="1">IF(AND($D74="Serviço",AI$12&lt;&gt;0,$H74&gt;0,OR(AUTOEVENTO&lt;&gt;"manual",$M74&lt;&gt;1)),
IF(Import.TipoArredondamento&lt;&gt;"TransfereGOV",
ROUND(OFFSET($P74,0,AI$13),15-13*ORÇAMENTO!$AF$7)/$H74*OFFSET(ORÇAMENTO!$X$15,ROW(AI74)-ROW(AI$15),0),
ROUND(ROUND(OFFSET($P74,0,AI$13),15-13*ORÇAMENTO!$AF$7)*OFFSET(ORÇAMENTO!$W$15,ROW(AI74)-ROW(AI$15),0),15-13*ORÇAMENTO!$AF$11)),0)</f>
        <v>0</v>
      </c>
      <c r="AJ74" s="627">
        <f ca="1">IF(AND($D74="Serviço",AJ$12&lt;&gt;0,$H74&gt;0,OR(AUTOEVENTO&lt;&gt;"manual",$M74&lt;&gt;1)),
IF(Import.TipoArredondamento&lt;&gt;"TransfereGOV",
ROUND(OFFSET($P74,0,AJ$13),15-13*ORÇAMENTO!$AF$7)/$H74*OFFSET(ORÇAMENTO!$X$15,ROW(AJ74)-ROW(AJ$15),0),
ROUND(ROUND(OFFSET($P74,0,AJ$13),15-13*ORÇAMENTO!$AF$7)*OFFSET(ORÇAMENTO!$W$15,ROW(AJ74)-ROW(AJ$15),0),15-13*ORÇAMENTO!$AF$11)),0)</f>
        <v>0</v>
      </c>
      <c r="AK74" s="628">
        <f ca="1">IF(AND($D74="Serviço",AK$12&lt;&gt;0,$H74&gt;0,OR(AUTOEVENTO&lt;&gt;"manual",$M74&lt;&gt;1)),
IF(Import.TipoArredondamento&lt;&gt;"TransfereGOV",
ROUND(OFFSET($P74,0,AK$13),15-13*ORÇAMENTO!$AF$7)/$H74*OFFSET(ORÇAMENTO!$X$15,ROW(AK74)-ROW(AK$15),0),
ROUND(ROUND(OFFSET($P74,0,AK$13),15-13*ORÇAMENTO!$AF$7)*OFFSET(ORÇAMENTO!$W$15,ROW(AK74)-ROW(AK$15),0),15-13*ORÇAMENTO!$AF$11)),0)</f>
        <v>0</v>
      </c>
      <c r="AM74" s="211">
        <f ca="1">IF($D74&lt;&gt;"Serviço",0,IF(AND(AUTOEVENTO="Manual",$M74=1),0,IF(OFFSET(CRONOPLE!$F$14,$M74,AM$13)="",10^12,OFFSET(CRONOPLE!$F$14,$M74,AM$13))))</f>
        <v>2</v>
      </c>
      <c r="AN74" s="211">
        <f ca="1">IF($D74&lt;&gt;"Serviço",0,IF(AND(AUTOEVENTO="Manual",$M74=1),0,IF(OFFSET(CRONOPLE!$F$14,$M74,AN$13)="",10^12,OFFSET(CRONOPLE!$F$14,$M74,AN$13))))</f>
        <v>1</v>
      </c>
      <c r="AO74" s="211">
        <f ca="1">IF($D74&lt;&gt;"Serviço",0,IF(AND(AUTOEVENTO="Manual",$M74=1),0,IF(OFFSET(CRONOPLE!$F$14,$M74,AO$13)="",10^12,OFFSET(CRONOPLE!$F$14,$M74,AO$13))))</f>
        <v>2</v>
      </c>
      <c r="AP74" s="211">
        <f ca="1">IF($D74&lt;&gt;"Serviço",0,IF(AND(AUTOEVENTO="Manual",$M74=1),0,IF(OFFSET(CRONOPLE!$F$14,$M74,AP$13)="",10^12,OFFSET(CRONOPLE!$F$14,$M74,AP$13))))</f>
        <v>2</v>
      </c>
      <c r="AQ74" s="211">
        <f ca="1">IF($D74&lt;&gt;"Serviço",0,IF(AND(AUTOEVENTO="Manual",$M74=1),0,IF(OFFSET(CRONOPLE!$F$14,$M74,AQ$13)="",10^12,OFFSET(CRONOPLE!$F$14,$M74,AQ$13))))</f>
        <v>1000000000000</v>
      </c>
      <c r="AR74" s="211">
        <f ca="1">IF($D74&lt;&gt;"Serviço",0,IF(AND(AUTOEVENTO="Manual",$M74=1),0,IF(OFFSET(CRONOPLE!$F$14,$M74,AR$13)="",10^12,OFFSET(CRONOPLE!$F$14,$M74,AR$13))))</f>
        <v>1000000000000</v>
      </c>
      <c r="AS74" s="211">
        <f ca="1">IF($D74&lt;&gt;"Serviço",0,IF(AND(AUTOEVENTO="Manual",$M74=1),0,IF(OFFSET(CRONOPLE!$F$14,$M74,AS$13)="",10^12,OFFSET(CRONOPLE!$F$14,$M74,AS$13))))</f>
        <v>1000000000000</v>
      </c>
      <c r="AT74" s="211">
        <f ca="1">IF($D74&lt;&gt;"Serviço",0,IF(AND(AUTOEVENTO="Manual",$M74=1),0,IF(OFFSET(CRONOPLE!$F$14,$M74,AT$13)="",10^12,OFFSET(CRONOPLE!$F$14,$M74,AT$13))))</f>
        <v>1000000000000</v>
      </c>
      <c r="AU74" s="211">
        <f ca="1">IF($D74&lt;&gt;"Serviço",0,IF(AND(AUTOEVENTO="Manual",$M74=1),0,IF(OFFSET(CRONOPLE!$F$14,$M74,AU$13)="",10^12,OFFSET(CRONOPLE!$F$14,$M74,AU$13))))</f>
        <v>1000000000000</v>
      </c>
      <c r="AV74" s="211">
        <f ca="1">IF($D74&lt;&gt;"Serviço",0,IF(AND(AUTOEVENTO="Manual",$M74=1),0,IF(OFFSET(CRONOPLE!$F$14,$M74,AV$13)="",10^12,OFFSET(CRONOPLE!$F$14,$M74,AV$13))))</f>
        <v>1000000000000</v>
      </c>
      <c r="AX74" s="212">
        <f ca="1">IF($D74&lt;&gt;"Serviço",0,IF(OR(AND(AUTOEVENTO="Manual",$M74=1),$M74&gt;(ROW(PLE.lastrow)-ROW(PLE.firstrow))),0,IF(OFFSET(PLE!$G$14,$M74,AX$13)="",10^12,OFFSET(PLE!$G$14,$M74,AX$13))))</f>
        <v>1000000000000</v>
      </c>
      <c r="AY74" s="212">
        <f ca="1">IF($D74&lt;&gt;"Serviço",0,IF(OR(AND(AUTOEVENTO="Manual",$M74=1),$M74&gt;(ROW(PLE.lastrow)-ROW(PLE.firstrow))),0,IF(OFFSET(PLE!$G$14,$M74,AY$13)="",10^12,OFFSET(PLE!$G$14,$M74,AY$13))))</f>
        <v>1000000000000</v>
      </c>
      <c r="AZ74" s="212">
        <f ca="1">IF($D74&lt;&gt;"Serviço",0,IF(OR(AND(AUTOEVENTO="Manual",$M74=1),$M74&gt;(ROW(PLE.lastrow)-ROW(PLE.firstrow))),0,IF(OFFSET(PLE!$G$14,$M74,AZ$13)="",10^12,OFFSET(PLE!$G$14,$M74,AZ$13))))</f>
        <v>1000000000000</v>
      </c>
      <c r="BA74" s="212">
        <f ca="1">IF($D74&lt;&gt;"Serviço",0,IF(OR(AND(AUTOEVENTO="Manual",$M74=1),$M74&gt;(ROW(PLE.lastrow)-ROW(PLE.firstrow))),0,IF(OFFSET(PLE!$G$14,$M74,BA$13)="",10^12,OFFSET(PLE!$G$14,$M74,BA$13))))</f>
        <v>1000000000000</v>
      </c>
      <c r="BB74" s="212">
        <f ca="1">IF($D74&lt;&gt;"Serviço",0,IF(OR(AND(AUTOEVENTO="Manual",$M74=1),$M74&gt;(ROW(PLE.lastrow)-ROW(PLE.firstrow))),0,IF(OFFSET(PLE!$G$14,$M74,BB$13)="",10^12,OFFSET(PLE!$G$14,$M74,BB$13))))</f>
        <v>1000000000000</v>
      </c>
      <c r="BC74" s="212">
        <f ca="1">IF($D74&lt;&gt;"Serviço",0,IF(OR(AND(AUTOEVENTO="Manual",$M74=1),$M74&gt;(ROW(PLE.lastrow)-ROW(PLE.firstrow))),0,IF(OFFSET(PLE!$G$14,$M74,BC$13)="",10^12,OFFSET(PLE!$G$14,$M74,BC$13))))</f>
        <v>1000000000000</v>
      </c>
      <c r="BD74" s="212">
        <f ca="1">IF($D74&lt;&gt;"Serviço",0,IF(OR(AND(AUTOEVENTO="Manual",$M74=1),$M74&gt;(ROW(PLE.lastrow)-ROW(PLE.firstrow))),0,IF(OFFSET(PLE!$G$14,$M74,BD$13)="",10^12,OFFSET(PLE!$G$14,$M74,BD$13))))</f>
        <v>1000000000000</v>
      </c>
      <c r="BE74" s="212">
        <f ca="1">IF($D74&lt;&gt;"Serviço",0,IF(OR(AND(AUTOEVENTO="Manual",$M74=1),$M74&gt;(ROW(PLE.lastrow)-ROW(PLE.firstrow))),0,IF(OFFSET(PLE!$G$14,$M74,BE$13)="",10^12,OFFSET(PLE!$G$14,$M74,BE$13))))</f>
        <v>1000000000000</v>
      </c>
      <c r="BF74" s="212">
        <f ca="1">IF($D74&lt;&gt;"Serviço",0,IF(OR(AND(AUTOEVENTO="Manual",$M74=1),$M74&gt;(ROW(PLE.lastrow)-ROW(PLE.firstrow))),0,IF(OFFSET(PLE!$G$14,$M74,BF$13)="",10^12,OFFSET(PLE!$G$14,$M74,BF$13))))</f>
        <v>1000000000000</v>
      </c>
      <c r="BG74" s="212">
        <f ca="1">IF($D74&lt;&gt;"Serviço",0,IF(OR(AND(AUTOEVENTO="Manual",$M74=1),$M74&gt;(ROW(PLE.lastrow)-ROW(PLE.firstrow))),0,IF(OFFSET(PLE!$G$14,$M74,BG$13)="",10^12,OFFSET(PLE!$G$14,$M74,BG$13))))</f>
        <v>1000000000000</v>
      </c>
    </row>
    <row r="75" spans="1:59" ht="13.2">
      <c r="A75" s="9" t="str">
        <f t="shared" ca="1" si="8"/>
        <v>15</v>
      </c>
      <c r="B75" s="9" t="str">
        <f ca="1">OFFSET(ORÇAMENTO!C$15,ROW(B75)-ROW(B$15),0)</f>
        <v>S</v>
      </c>
      <c r="C75" s="9" t="str">
        <f ca="1">OFFSET(ORÇAMENTO!L$15,ROW(C75)-ROW(C$15),0)</f>
        <v/>
      </c>
      <c r="D75" s="141" t="str">
        <f ca="1">OFFSET(ORÇAMENTO!N$15,ROW(D75)-ROW(D$15),0)</f>
        <v>Serviço</v>
      </c>
      <c r="E75" s="201" t="str">
        <f ca="1">OFFSET(ORÇAMENTO!O$15,ROW(E75)-ROW(E$15),0)</f>
        <v>-</v>
      </c>
      <c r="F75" s="202" t="str">
        <f ca="1">OFFSET(ORÇAMENTO!R$15,ROW(F75)-ROW(F$15),0)</f>
        <v>(abra o arquivo 'Referência 11-2024.xlsm)</v>
      </c>
      <c r="G75" s="203" t="str">
        <f ca="1">IF($D75&lt;&gt;"Serviço","",OFFSET(ORÇAMENTO!S$15,ROW(G75)-ROW(G$15),0))</f>
        <v>-</v>
      </c>
      <c r="H75" s="147">
        <f ca="1">IF($D75&lt;&gt;"Serviço",0,IF(ACOMPANHAMENTO="BM",ROUND(OFFSET(ORÇAMENTO!AJ$15,ROW(H75)-ROW(H$15),0),15-13*ORÇAMENTO!$AF$7),SUMPRODUCT(($Q$12:$AA$12&lt;&gt;"")*ROUND($Q75:$AA75,15-13*ORÇAMENTO!$AF$7))))</f>
        <v>0</v>
      </c>
      <c r="I75" s="645"/>
      <c r="K75" s="204"/>
      <c r="L75" s="205" t="s">
        <v>255</v>
      </c>
      <c r="M75" s="206">
        <f ca="1">IF($D75&lt;&gt;"Serviço","",IF(AUTOEVENTO="manual",$A75,IF(ISERROR(MATCH($A75,$A$15:OFFSET($A75,-1,0),0)),MAX($M$15:OFFSET(M75,-1,0))+1,INDEX($M$15:OFFSET(M75,-1,0),MATCH($A75,$A$15:OFFSET($A75,-1,0),0)))))</f>
        <v>6</v>
      </c>
      <c r="N75" s="207" t="str">
        <f ca="1">IF($D75&lt;&gt;"Serviço","",IF(AUTOEVENTO="Manual",IF($A75=0,"&lt;-- defina o número do agrupador",OFFSET(EVENTOS!$D$14,$A75,0)),OFFSET($F$15,$A75,0)))</f>
        <v>DRENAGEM</v>
      </c>
      <c r="O75" s="208"/>
      <c r="Q75" s="208"/>
      <c r="R75" s="209"/>
      <c r="S75" s="209"/>
      <c r="T75" s="209"/>
      <c r="U75" s="209"/>
      <c r="V75" s="209"/>
      <c r="W75" s="209"/>
      <c r="X75" s="209"/>
      <c r="Y75" s="209"/>
      <c r="Z75" s="210"/>
      <c r="AB75" s="626">
        <f ca="1">IF(AND($D75="Serviço",AB$12&lt;&gt;0,$H75&gt;0,OR(AUTOEVENTO&lt;&gt;"manual",$M75&lt;&gt;1)),
IF(Import.TipoArredondamento&lt;&gt;"TransfereGOV",
ROUND(OFFSET($P75,0,AB$13),15-13*ORÇAMENTO!$AF$7)/$H75*OFFSET(ORÇAMENTO!$X$15,ROW(AB75)-ROW(AB$15),0),
ROUND(ROUND(OFFSET($P75,0,AB$13),15-13*ORÇAMENTO!$AF$7)*OFFSET(ORÇAMENTO!$W$15,ROW(AB75)-ROW(AB$15),0),15-13*ORÇAMENTO!$AF$11)),0)</f>
        <v>0</v>
      </c>
      <c r="AC75" s="627">
        <f ca="1">IF(AND($D75="Serviço",AC$12&lt;&gt;0,$H75&gt;0,OR(AUTOEVENTO&lt;&gt;"manual",$M75&lt;&gt;1)),
IF(Import.TipoArredondamento&lt;&gt;"TransfereGOV",
ROUND(OFFSET($P75,0,AC$13),15-13*ORÇAMENTO!$AF$7)/$H75*OFFSET(ORÇAMENTO!$X$15,ROW(AC75)-ROW(AC$15),0),
ROUND(ROUND(OFFSET($P75,0,AC$13),15-13*ORÇAMENTO!$AF$7)*OFFSET(ORÇAMENTO!$W$15,ROW(AC75)-ROW(AC$15),0),15-13*ORÇAMENTO!$AF$11)),0)</f>
        <v>0</v>
      </c>
      <c r="AD75" s="627">
        <f ca="1">IF(AND($D75="Serviço",AD$12&lt;&gt;0,$H75&gt;0,OR(AUTOEVENTO&lt;&gt;"manual",$M75&lt;&gt;1)),
IF(Import.TipoArredondamento&lt;&gt;"TransfereGOV",
ROUND(OFFSET($P75,0,AD$13),15-13*ORÇAMENTO!$AF$7)/$H75*OFFSET(ORÇAMENTO!$X$15,ROW(AD75)-ROW(AD$15),0),
ROUND(ROUND(OFFSET($P75,0,AD$13),15-13*ORÇAMENTO!$AF$7)*OFFSET(ORÇAMENTO!$W$15,ROW(AD75)-ROW(AD$15),0),15-13*ORÇAMENTO!$AF$11)),0)</f>
        <v>0</v>
      </c>
      <c r="AE75" s="627">
        <f ca="1">IF(AND($D75="Serviço",AE$12&lt;&gt;0,$H75&gt;0,OR(AUTOEVENTO&lt;&gt;"manual",$M75&lt;&gt;1)),
IF(Import.TipoArredondamento&lt;&gt;"TransfereGOV",
ROUND(OFFSET($P75,0,AE$13),15-13*ORÇAMENTO!$AF$7)/$H75*OFFSET(ORÇAMENTO!$X$15,ROW(AE75)-ROW(AE$15),0),
ROUND(ROUND(OFFSET($P75,0,AE$13),15-13*ORÇAMENTO!$AF$7)*OFFSET(ORÇAMENTO!$W$15,ROW(AE75)-ROW(AE$15),0),15-13*ORÇAMENTO!$AF$11)),0)</f>
        <v>0</v>
      </c>
      <c r="AF75" s="627">
        <f ca="1">IF(AND($D75="Serviço",AF$12&lt;&gt;0,$H75&gt;0,OR(AUTOEVENTO&lt;&gt;"manual",$M75&lt;&gt;1)),
IF(Import.TipoArredondamento&lt;&gt;"TransfereGOV",
ROUND(OFFSET($P75,0,AF$13),15-13*ORÇAMENTO!$AF$7)/$H75*OFFSET(ORÇAMENTO!$X$15,ROW(AF75)-ROW(AF$15),0),
ROUND(ROUND(OFFSET($P75,0,AF$13),15-13*ORÇAMENTO!$AF$7)*OFFSET(ORÇAMENTO!$W$15,ROW(AF75)-ROW(AF$15),0),15-13*ORÇAMENTO!$AF$11)),0)</f>
        <v>0</v>
      </c>
      <c r="AG75" s="627">
        <f ca="1">IF(AND($D75="Serviço",AG$12&lt;&gt;0,$H75&gt;0,OR(AUTOEVENTO&lt;&gt;"manual",$M75&lt;&gt;1)),
IF(Import.TipoArredondamento&lt;&gt;"TransfereGOV",
ROUND(OFFSET($P75,0,AG$13),15-13*ORÇAMENTO!$AF$7)/$H75*OFFSET(ORÇAMENTO!$X$15,ROW(AG75)-ROW(AG$15),0),
ROUND(ROUND(OFFSET($P75,0,AG$13),15-13*ORÇAMENTO!$AF$7)*OFFSET(ORÇAMENTO!$W$15,ROW(AG75)-ROW(AG$15),0),15-13*ORÇAMENTO!$AF$11)),0)</f>
        <v>0</v>
      </c>
      <c r="AH75" s="627">
        <f ca="1">IF(AND($D75="Serviço",AH$12&lt;&gt;0,$H75&gt;0,OR(AUTOEVENTO&lt;&gt;"manual",$M75&lt;&gt;1)),
IF(Import.TipoArredondamento&lt;&gt;"TransfereGOV",
ROUND(OFFSET($P75,0,AH$13),15-13*ORÇAMENTO!$AF$7)/$H75*OFFSET(ORÇAMENTO!$X$15,ROW(AH75)-ROW(AH$15),0),
ROUND(ROUND(OFFSET($P75,0,AH$13),15-13*ORÇAMENTO!$AF$7)*OFFSET(ORÇAMENTO!$W$15,ROW(AH75)-ROW(AH$15),0),15-13*ORÇAMENTO!$AF$11)),0)</f>
        <v>0</v>
      </c>
      <c r="AI75" s="627">
        <f ca="1">IF(AND($D75="Serviço",AI$12&lt;&gt;0,$H75&gt;0,OR(AUTOEVENTO&lt;&gt;"manual",$M75&lt;&gt;1)),
IF(Import.TipoArredondamento&lt;&gt;"TransfereGOV",
ROUND(OFFSET($P75,0,AI$13),15-13*ORÇAMENTO!$AF$7)/$H75*OFFSET(ORÇAMENTO!$X$15,ROW(AI75)-ROW(AI$15),0),
ROUND(ROUND(OFFSET($P75,0,AI$13),15-13*ORÇAMENTO!$AF$7)*OFFSET(ORÇAMENTO!$W$15,ROW(AI75)-ROW(AI$15),0),15-13*ORÇAMENTO!$AF$11)),0)</f>
        <v>0</v>
      </c>
      <c r="AJ75" s="627">
        <f ca="1">IF(AND($D75="Serviço",AJ$12&lt;&gt;0,$H75&gt;0,OR(AUTOEVENTO&lt;&gt;"manual",$M75&lt;&gt;1)),
IF(Import.TipoArredondamento&lt;&gt;"TransfereGOV",
ROUND(OFFSET($P75,0,AJ$13),15-13*ORÇAMENTO!$AF$7)/$H75*OFFSET(ORÇAMENTO!$X$15,ROW(AJ75)-ROW(AJ$15),0),
ROUND(ROUND(OFFSET($P75,0,AJ$13),15-13*ORÇAMENTO!$AF$7)*OFFSET(ORÇAMENTO!$W$15,ROW(AJ75)-ROW(AJ$15),0),15-13*ORÇAMENTO!$AF$11)),0)</f>
        <v>0</v>
      </c>
      <c r="AK75" s="628">
        <f ca="1">IF(AND($D75="Serviço",AK$12&lt;&gt;0,$H75&gt;0,OR(AUTOEVENTO&lt;&gt;"manual",$M75&lt;&gt;1)),
IF(Import.TipoArredondamento&lt;&gt;"TransfereGOV",
ROUND(OFFSET($P75,0,AK$13),15-13*ORÇAMENTO!$AF$7)/$H75*OFFSET(ORÇAMENTO!$X$15,ROW(AK75)-ROW(AK$15),0),
ROUND(ROUND(OFFSET($P75,0,AK$13),15-13*ORÇAMENTO!$AF$7)*OFFSET(ORÇAMENTO!$W$15,ROW(AK75)-ROW(AK$15),0),15-13*ORÇAMENTO!$AF$11)),0)</f>
        <v>0</v>
      </c>
      <c r="AM75" s="211">
        <f ca="1">IF($D75&lt;&gt;"Serviço",0,IF(AND(AUTOEVENTO="Manual",$M75=1),0,IF(OFFSET(CRONOPLE!$F$14,$M75,AM$13)="",10^12,OFFSET(CRONOPLE!$F$14,$M75,AM$13))))</f>
        <v>2</v>
      </c>
      <c r="AN75" s="211">
        <f ca="1">IF($D75&lt;&gt;"Serviço",0,IF(AND(AUTOEVENTO="Manual",$M75=1),0,IF(OFFSET(CRONOPLE!$F$14,$M75,AN$13)="",10^12,OFFSET(CRONOPLE!$F$14,$M75,AN$13))))</f>
        <v>1</v>
      </c>
      <c r="AO75" s="211">
        <f ca="1">IF($D75&lt;&gt;"Serviço",0,IF(AND(AUTOEVENTO="Manual",$M75=1),0,IF(OFFSET(CRONOPLE!$F$14,$M75,AO$13)="",10^12,OFFSET(CRONOPLE!$F$14,$M75,AO$13))))</f>
        <v>2</v>
      </c>
      <c r="AP75" s="211">
        <f ca="1">IF($D75&lt;&gt;"Serviço",0,IF(AND(AUTOEVENTO="Manual",$M75=1),0,IF(OFFSET(CRONOPLE!$F$14,$M75,AP$13)="",10^12,OFFSET(CRONOPLE!$F$14,$M75,AP$13))))</f>
        <v>2</v>
      </c>
      <c r="AQ75" s="211">
        <f ca="1">IF($D75&lt;&gt;"Serviço",0,IF(AND(AUTOEVENTO="Manual",$M75=1),0,IF(OFFSET(CRONOPLE!$F$14,$M75,AQ$13)="",10^12,OFFSET(CRONOPLE!$F$14,$M75,AQ$13))))</f>
        <v>1000000000000</v>
      </c>
      <c r="AR75" s="211">
        <f ca="1">IF($D75&lt;&gt;"Serviço",0,IF(AND(AUTOEVENTO="Manual",$M75=1),0,IF(OFFSET(CRONOPLE!$F$14,$M75,AR$13)="",10^12,OFFSET(CRONOPLE!$F$14,$M75,AR$13))))</f>
        <v>1000000000000</v>
      </c>
      <c r="AS75" s="211">
        <f ca="1">IF($D75&lt;&gt;"Serviço",0,IF(AND(AUTOEVENTO="Manual",$M75=1),0,IF(OFFSET(CRONOPLE!$F$14,$M75,AS$13)="",10^12,OFFSET(CRONOPLE!$F$14,$M75,AS$13))))</f>
        <v>1000000000000</v>
      </c>
      <c r="AT75" s="211">
        <f ca="1">IF($D75&lt;&gt;"Serviço",0,IF(AND(AUTOEVENTO="Manual",$M75=1),0,IF(OFFSET(CRONOPLE!$F$14,$M75,AT$13)="",10^12,OFFSET(CRONOPLE!$F$14,$M75,AT$13))))</f>
        <v>1000000000000</v>
      </c>
      <c r="AU75" s="211">
        <f ca="1">IF($D75&lt;&gt;"Serviço",0,IF(AND(AUTOEVENTO="Manual",$M75=1),0,IF(OFFSET(CRONOPLE!$F$14,$M75,AU$13)="",10^12,OFFSET(CRONOPLE!$F$14,$M75,AU$13))))</f>
        <v>1000000000000</v>
      </c>
      <c r="AV75" s="211">
        <f ca="1">IF($D75&lt;&gt;"Serviço",0,IF(AND(AUTOEVENTO="Manual",$M75=1),0,IF(OFFSET(CRONOPLE!$F$14,$M75,AV$13)="",10^12,OFFSET(CRONOPLE!$F$14,$M75,AV$13))))</f>
        <v>1000000000000</v>
      </c>
      <c r="AX75" s="212">
        <f ca="1">IF($D75&lt;&gt;"Serviço",0,IF(OR(AND(AUTOEVENTO="Manual",$M75=1),$M75&gt;(ROW(PLE.lastrow)-ROW(PLE.firstrow))),0,IF(OFFSET(PLE!$G$14,$M75,AX$13)="",10^12,OFFSET(PLE!$G$14,$M75,AX$13))))</f>
        <v>1000000000000</v>
      </c>
      <c r="AY75" s="212">
        <f ca="1">IF($D75&lt;&gt;"Serviço",0,IF(OR(AND(AUTOEVENTO="Manual",$M75=1),$M75&gt;(ROW(PLE.lastrow)-ROW(PLE.firstrow))),0,IF(OFFSET(PLE!$G$14,$M75,AY$13)="",10^12,OFFSET(PLE!$G$14,$M75,AY$13))))</f>
        <v>1000000000000</v>
      </c>
      <c r="AZ75" s="212">
        <f ca="1">IF($D75&lt;&gt;"Serviço",0,IF(OR(AND(AUTOEVENTO="Manual",$M75=1),$M75&gt;(ROW(PLE.lastrow)-ROW(PLE.firstrow))),0,IF(OFFSET(PLE!$G$14,$M75,AZ$13)="",10^12,OFFSET(PLE!$G$14,$M75,AZ$13))))</f>
        <v>1000000000000</v>
      </c>
      <c r="BA75" s="212">
        <f ca="1">IF($D75&lt;&gt;"Serviço",0,IF(OR(AND(AUTOEVENTO="Manual",$M75=1),$M75&gt;(ROW(PLE.lastrow)-ROW(PLE.firstrow))),0,IF(OFFSET(PLE!$G$14,$M75,BA$13)="",10^12,OFFSET(PLE!$G$14,$M75,BA$13))))</f>
        <v>1000000000000</v>
      </c>
      <c r="BB75" s="212">
        <f ca="1">IF($D75&lt;&gt;"Serviço",0,IF(OR(AND(AUTOEVENTO="Manual",$M75=1),$M75&gt;(ROW(PLE.lastrow)-ROW(PLE.firstrow))),0,IF(OFFSET(PLE!$G$14,$M75,BB$13)="",10^12,OFFSET(PLE!$G$14,$M75,BB$13))))</f>
        <v>1000000000000</v>
      </c>
      <c r="BC75" s="212">
        <f ca="1">IF($D75&lt;&gt;"Serviço",0,IF(OR(AND(AUTOEVENTO="Manual",$M75=1),$M75&gt;(ROW(PLE.lastrow)-ROW(PLE.firstrow))),0,IF(OFFSET(PLE!$G$14,$M75,BC$13)="",10^12,OFFSET(PLE!$G$14,$M75,BC$13))))</f>
        <v>1000000000000</v>
      </c>
      <c r="BD75" s="212">
        <f ca="1">IF($D75&lt;&gt;"Serviço",0,IF(OR(AND(AUTOEVENTO="Manual",$M75=1),$M75&gt;(ROW(PLE.lastrow)-ROW(PLE.firstrow))),0,IF(OFFSET(PLE!$G$14,$M75,BD$13)="",10^12,OFFSET(PLE!$G$14,$M75,BD$13))))</f>
        <v>1000000000000</v>
      </c>
      <c r="BE75" s="212">
        <f ca="1">IF($D75&lt;&gt;"Serviço",0,IF(OR(AND(AUTOEVENTO="Manual",$M75=1),$M75&gt;(ROW(PLE.lastrow)-ROW(PLE.firstrow))),0,IF(OFFSET(PLE!$G$14,$M75,BE$13)="",10^12,OFFSET(PLE!$G$14,$M75,BE$13))))</f>
        <v>1000000000000</v>
      </c>
      <c r="BF75" s="212">
        <f ca="1">IF($D75&lt;&gt;"Serviço",0,IF(OR(AND(AUTOEVENTO="Manual",$M75=1),$M75&gt;(ROW(PLE.lastrow)-ROW(PLE.firstrow))),0,IF(OFFSET(PLE!$G$14,$M75,BF$13)="",10^12,OFFSET(PLE!$G$14,$M75,BF$13))))</f>
        <v>1000000000000</v>
      </c>
      <c r="BG75" s="212">
        <f ca="1">IF($D75&lt;&gt;"Serviço",0,IF(OR(AND(AUTOEVENTO="Manual",$M75=1),$M75&gt;(ROW(PLE.lastrow)-ROW(PLE.firstrow))),0,IF(OFFSET(PLE!$G$14,$M75,BG$13)="",10^12,OFFSET(PLE!$G$14,$M75,BG$13))))</f>
        <v>1000000000000</v>
      </c>
    </row>
    <row r="76" spans="1:59" ht="13.2">
      <c r="A76" s="9" t="str">
        <f t="shared" ca="1" si="8"/>
        <v>15</v>
      </c>
      <c r="B76" s="9" t="str">
        <f ca="1">OFFSET(ORÇAMENTO!C$15,ROW(B76)-ROW(B$15),0)</f>
        <v>S</v>
      </c>
      <c r="C76" s="9" t="str">
        <f ca="1">OFFSET(ORÇAMENTO!L$15,ROW(C76)-ROW(C$15),0)</f>
        <v/>
      </c>
      <c r="D76" s="141" t="str">
        <f ca="1">OFFSET(ORÇAMENTO!N$15,ROW(D76)-ROW(D$15),0)</f>
        <v>Serviço</v>
      </c>
      <c r="E76" s="201" t="str">
        <f ca="1">OFFSET(ORÇAMENTO!O$15,ROW(E76)-ROW(E$15),0)</f>
        <v>-</v>
      </c>
      <c r="F76" s="202" t="str">
        <f ca="1">OFFSET(ORÇAMENTO!R$15,ROW(F76)-ROW(F$15),0)</f>
        <v>(abra o arquivo 'Referência 11-2024.xlsm)</v>
      </c>
      <c r="G76" s="203" t="str">
        <f ca="1">IF($D76&lt;&gt;"Serviço","",OFFSET(ORÇAMENTO!S$15,ROW(G76)-ROW(G$15),0))</f>
        <v>-</v>
      </c>
      <c r="H76" s="147">
        <f ca="1">IF($D76&lt;&gt;"Serviço",0,IF(ACOMPANHAMENTO="BM",ROUND(OFFSET(ORÇAMENTO!AJ$15,ROW(H76)-ROW(H$15),0),15-13*ORÇAMENTO!$AF$7),SUMPRODUCT(($Q$12:$AA$12&lt;&gt;"")*ROUND($Q76:$AA76,15-13*ORÇAMENTO!$AF$7))))</f>
        <v>0</v>
      </c>
      <c r="I76" s="645"/>
      <c r="K76" s="204"/>
      <c r="L76" s="205" t="s">
        <v>255</v>
      </c>
      <c r="M76" s="206">
        <f ca="1">IF($D76&lt;&gt;"Serviço","",IF(AUTOEVENTO="manual",$A76,IF(ISERROR(MATCH($A76,$A$15:OFFSET($A76,-1,0),0)),MAX($M$15:OFFSET(M76,-1,0))+1,INDEX($M$15:OFFSET(M76,-1,0),MATCH($A76,$A$15:OFFSET($A76,-1,0),0)))))</f>
        <v>6</v>
      </c>
      <c r="N76" s="207" t="str">
        <f ca="1">IF($D76&lt;&gt;"Serviço","",IF(AUTOEVENTO="Manual",IF($A76=0,"&lt;-- defina o número do agrupador",OFFSET(EVENTOS!$D$14,$A76,0)),OFFSET($F$15,$A76,0)))</f>
        <v>DRENAGEM</v>
      </c>
      <c r="O76" s="208"/>
      <c r="Q76" s="208"/>
      <c r="R76" s="209"/>
      <c r="S76" s="209"/>
      <c r="T76" s="209"/>
      <c r="U76" s="209"/>
      <c r="V76" s="209"/>
      <c r="W76" s="209"/>
      <c r="X76" s="209"/>
      <c r="Y76" s="209"/>
      <c r="Z76" s="210"/>
      <c r="AB76" s="626">
        <f ca="1">IF(AND($D76="Serviço",AB$12&lt;&gt;0,$H76&gt;0,OR(AUTOEVENTO&lt;&gt;"manual",$M76&lt;&gt;1)),
IF(Import.TipoArredondamento&lt;&gt;"TransfereGOV",
ROUND(OFFSET($P76,0,AB$13),15-13*ORÇAMENTO!$AF$7)/$H76*OFFSET(ORÇAMENTO!$X$15,ROW(AB76)-ROW(AB$15),0),
ROUND(ROUND(OFFSET($P76,0,AB$13),15-13*ORÇAMENTO!$AF$7)*OFFSET(ORÇAMENTO!$W$15,ROW(AB76)-ROW(AB$15),0),15-13*ORÇAMENTO!$AF$11)),0)</f>
        <v>0</v>
      </c>
      <c r="AC76" s="627">
        <f ca="1">IF(AND($D76="Serviço",AC$12&lt;&gt;0,$H76&gt;0,OR(AUTOEVENTO&lt;&gt;"manual",$M76&lt;&gt;1)),
IF(Import.TipoArredondamento&lt;&gt;"TransfereGOV",
ROUND(OFFSET($P76,0,AC$13),15-13*ORÇAMENTO!$AF$7)/$H76*OFFSET(ORÇAMENTO!$X$15,ROW(AC76)-ROW(AC$15),0),
ROUND(ROUND(OFFSET($P76,0,AC$13),15-13*ORÇAMENTO!$AF$7)*OFFSET(ORÇAMENTO!$W$15,ROW(AC76)-ROW(AC$15),0),15-13*ORÇAMENTO!$AF$11)),0)</f>
        <v>0</v>
      </c>
      <c r="AD76" s="627">
        <f ca="1">IF(AND($D76="Serviço",AD$12&lt;&gt;0,$H76&gt;0,OR(AUTOEVENTO&lt;&gt;"manual",$M76&lt;&gt;1)),
IF(Import.TipoArredondamento&lt;&gt;"TransfereGOV",
ROUND(OFFSET($P76,0,AD$13),15-13*ORÇAMENTO!$AF$7)/$H76*OFFSET(ORÇAMENTO!$X$15,ROW(AD76)-ROW(AD$15),0),
ROUND(ROUND(OFFSET($P76,0,AD$13),15-13*ORÇAMENTO!$AF$7)*OFFSET(ORÇAMENTO!$W$15,ROW(AD76)-ROW(AD$15),0),15-13*ORÇAMENTO!$AF$11)),0)</f>
        <v>0</v>
      </c>
      <c r="AE76" s="627">
        <f ca="1">IF(AND($D76="Serviço",AE$12&lt;&gt;0,$H76&gt;0,OR(AUTOEVENTO&lt;&gt;"manual",$M76&lt;&gt;1)),
IF(Import.TipoArredondamento&lt;&gt;"TransfereGOV",
ROUND(OFFSET($P76,0,AE$13),15-13*ORÇAMENTO!$AF$7)/$H76*OFFSET(ORÇAMENTO!$X$15,ROW(AE76)-ROW(AE$15),0),
ROUND(ROUND(OFFSET($P76,0,AE$13),15-13*ORÇAMENTO!$AF$7)*OFFSET(ORÇAMENTO!$W$15,ROW(AE76)-ROW(AE$15),0),15-13*ORÇAMENTO!$AF$11)),0)</f>
        <v>0</v>
      </c>
      <c r="AF76" s="627">
        <f ca="1">IF(AND($D76="Serviço",AF$12&lt;&gt;0,$H76&gt;0,OR(AUTOEVENTO&lt;&gt;"manual",$M76&lt;&gt;1)),
IF(Import.TipoArredondamento&lt;&gt;"TransfereGOV",
ROUND(OFFSET($P76,0,AF$13),15-13*ORÇAMENTO!$AF$7)/$H76*OFFSET(ORÇAMENTO!$X$15,ROW(AF76)-ROW(AF$15),0),
ROUND(ROUND(OFFSET($P76,0,AF$13),15-13*ORÇAMENTO!$AF$7)*OFFSET(ORÇAMENTO!$W$15,ROW(AF76)-ROW(AF$15),0),15-13*ORÇAMENTO!$AF$11)),0)</f>
        <v>0</v>
      </c>
      <c r="AG76" s="627">
        <f ca="1">IF(AND($D76="Serviço",AG$12&lt;&gt;0,$H76&gt;0,OR(AUTOEVENTO&lt;&gt;"manual",$M76&lt;&gt;1)),
IF(Import.TipoArredondamento&lt;&gt;"TransfereGOV",
ROUND(OFFSET($P76,0,AG$13),15-13*ORÇAMENTO!$AF$7)/$H76*OFFSET(ORÇAMENTO!$X$15,ROW(AG76)-ROW(AG$15),0),
ROUND(ROUND(OFFSET($P76,0,AG$13),15-13*ORÇAMENTO!$AF$7)*OFFSET(ORÇAMENTO!$W$15,ROW(AG76)-ROW(AG$15),0),15-13*ORÇAMENTO!$AF$11)),0)</f>
        <v>0</v>
      </c>
      <c r="AH76" s="627">
        <f ca="1">IF(AND($D76="Serviço",AH$12&lt;&gt;0,$H76&gt;0,OR(AUTOEVENTO&lt;&gt;"manual",$M76&lt;&gt;1)),
IF(Import.TipoArredondamento&lt;&gt;"TransfereGOV",
ROUND(OFFSET($P76,0,AH$13),15-13*ORÇAMENTO!$AF$7)/$H76*OFFSET(ORÇAMENTO!$X$15,ROW(AH76)-ROW(AH$15),0),
ROUND(ROUND(OFFSET($P76,0,AH$13),15-13*ORÇAMENTO!$AF$7)*OFFSET(ORÇAMENTO!$W$15,ROW(AH76)-ROW(AH$15),0),15-13*ORÇAMENTO!$AF$11)),0)</f>
        <v>0</v>
      </c>
      <c r="AI76" s="627">
        <f ca="1">IF(AND($D76="Serviço",AI$12&lt;&gt;0,$H76&gt;0,OR(AUTOEVENTO&lt;&gt;"manual",$M76&lt;&gt;1)),
IF(Import.TipoArredondamento&lt;&gt;"TransfereGOV",
ROUND(OFFSET($P76,0,AI$13),15-13*ORÇAMENTO!$AF$7)/$H76*OFFSET(ORÇAMENTO!$X$15,ROW(AI76)-ROW(AI$15),0),
ROUND(ROUND(OFFSET($P76,0,AI$13),15-13*ORÇAMENTO!$AF$7)*OFFSET(ORÇAMENTO!$W$15,ROW(AI76)-ROW(AI$15),0),15-13*ORÇAMENTO!$AF$11)),0)</f>
        <v>0</v>
      </c>
      <c r="AJ76" s="627">
        <f ca="1">IF(AND($D76="Serviço",AJ$12&lt;&gt;0,$H76&gt;0,OR(AUTOEVENTO&lt;&gt;"manual",$M76&lt;&gt;1)),
IF(Import.TipoArredondamento&lt;&gt;"TransfereGOV",
ROUND(OFFSET($P76,0,AJ$13),15-13*ORÇAMENTO!$AF$7)/$H76*OFFSET(ORÇAMENTO!$X$15,ROW(AJ76)-ROW(AJ$15),0),
ROUND(ROUND(OFFSET($P76,0,AJ$13),15-13*ORÇAMENTO!$AF$7)*OFFSET(ORÇAMENTO!$W$15,ROW(AJ76)-ROW(AJ$15),0),15-13*ORÇAMENTO!$AF$11)),0)</f>
        <v>0</v>
      </c>
      <c r="AK76" s="628">
        <f ca="1">IF(AND($D76="Serviço",AK$12&lt;&gt;0,$H76&gt;0,OR(AUTOEVENTO&lt;&gt;"manual",$M76&lt;&gt;1)),
IF(Import.TipoArredondamento&lt;&gt;"TransfereGOV",
ROUND(OFFSET($P76,0,AK$13),15-13*ORÇAMENTO!$AF$7)/$H76*OFFSET(ORÇAMENTO!$X$15,ROW(AK76)-ROW(AK$15),0),
ROUND(ROUND(OFFSET($P76,0,AK$13),15-13*ORÇAMENTO!$AF$7)*OFFSET(ORÇAMENTO!$W$15,ROW(AK76)-ROW(AK$15),0),15-13*ORÇAMENTO!$AF$11)),0)</f>
        <v>0</v>
      </c>
      <c r="AM76" s="211">
        <f ca="1">IF($D76&lt;&gt;"Serviço",0,IF(AND(AUTOEVENTO="Manual",$M76=1),0,IF(OFFSET(CRONOPLE!$F$14,$M76,AM$13)="",10^12,OFFSET(CRONOPLE!$F$14,$M76,AM$13))))</f>
        <v>2</v>
      </c>
      <c r="AN76" s="211">
        <f ca="1">IF($D76&lt;&gt;"Serviço",0,IF(AND(AUTOEVENTO="Manual",$M76=1),0,IF(OFFSET(CRONOPLE!$F$14,$M76,AN$13)="",10^12,OFFSET(CRONOPLE!$F$14,$M76,AN$13))))</f>
        <v>1</v>
      </c>
      <c r="AO76" s="211">
        <f ca="1">IF($D76&lt;&gt;"Serviço",0,IF(AND(AUTOEVENTO="Manual",$M76=1),0,IF(OFFSET(CRONOPLE!$F$14,$M76,AO$13)="",10^12,OFFSET(CRONOPLE!$F$14,$M76,AO$13))))</f>
        <v>2</v>
      </c>
      <c r="AP76" s="211">
        <f ca="1">IF($D76&lt;&gt;"Serviço",0,IF(AND(AUTOEVENTO="Manual",$M76=1),0,IF(OFFSET(CRONOPLE!$F$14,$M76,AP$13)="",10^12,OFFSET(CRONOPLE!$F$14,$M76,AP$13))))</f>
        <v>2</v>
      </c>
      <c r="AQ76" s="211">
        <f ca="1">IF($D76&lt;&gt;"Serviço",0,IF(AND(AUTOEVENTO="Manual",$M76=1),0,IF(OFFSET(CRONOPLE!$F$14,$M76,AQ$13)="",10^12,OFFSET(CRONOPLE!$F$14,$M76,AQ$13))))</f>
        <v>1000000000000</v>
      </c>
      <c r="AR76" s="211">
        <f ca="1">IF($D76&lt;&gt;"Serviço",0,IF(AND(AUTOEVENTO="Manual",$M76=1),0,IF(OFFSET(CRONOPLE!$F$14,$M76,AR$13)="",10^12,OFFSET(CRONOPLE!$F$14,$M76,AR$13))))</f>
        <v>1000000000000</v>
      </c>
      <c r="AS76" s="211">
        <f ca="1">IF($D76&lt;&gt;"Serviço",0,IF(AND(AUTOEVENTO="Manual",$M76=1),0,IF(OFFSET(CRONOPLE!$F$14,$M76,AS$13)="",10^12,OFFSET(CRONOPLE!$F$14,$M76,AS$13))))</f>
        <v>1000000000000</v>
      </c>
      <c r="AT76" s="211">
        <f ca="1">IF($D76&lt;&gt;"Serviço",0,IF(AND(AUTOEVENTO="Manual",$M76=1),0,IF(OFFSET(CRONOPLE!$F$14,$M76,AT$13)="",10^12,OFFSET(CRONOPLE!$F$14,$M76,AT$13))))</f>
        <v>1000000000000</v>
      </c>
      <c r="AU76" s="211">
        <f ca="1">IF($D76&lt;&gt;"Serviço",0,IF(AND(AUTOEVENTO="Manual",$M76=1),0,IF(OFFSET(CRONOPLE!$F$14,$M76,AU$13)="",10^12,OFFSET(CRONOPLE!$F$14,$M76,AU$13))))</f>
        <v>1000000000000</v>
      </c>
      <c r="AV76" s="211">
        <f ca="1">IF($D76&lt;&gt;"Serviço",0,IF(AND(AUTOEVENTO="Manual",$M76=1),0,IF(OFFSET(CRONOPLE!$F$14,$M76,AV$13)="",10^12,OFFSET(CRONOPLE!$F$14,$M76,AV$13))))</f>
        <v>1000000000000</v>
      </c>
      <c r="AX76" s="212">
        <f ca="1">IF($D76&lt;&gt;"Serviço",0,IF(OR(AND(AUTOEVENTO="Manual",$M76=1),$M76&gt;(ROW(PLE.lastrow)-ROW(PLE.firstrow))),0,IF(OFFSET(PLE!$G$14,$M76,AX$13)="",10^12,OFFSET(PLE!$G$14,$M76,AX$13))))</f>
        <v>1000000000000</v>
      </c>
      <c r="AY76" s="212">
        <f ca="1">IF($D76&lt;&gt;"Serviço",0,IF(OR(AND(AUTOEVENTO="Manual",$M76=1),$M76&gt;(ROW(PLE.lastrow)-ROW(PLE.firstrow))),0,IF(OFFSET(PLE!$G$14,$M76,AY$13)="",10^12,OFFSET(PLE!$G$14,$M76,AY$13))))</f>
        <v>1000000000000</v>
      </c>
      <c r="AZ76" s="212">
        <f ca="1">IF($D76&lt;&gt;"Serviço",0,IF(OR(AND(AUTOEVENTO="Manual",$M76=1),$M76&gt;(ROW(PLE.lastrow)-ROW(PLE.firstrow))),0,IF(OFFSET(PLE!$G$14,$M76,AZ$13)="",10^12,OFFSET(PLE!$G$14,$M76,AZ$13))))</f>
        <v>1000000000000</v>
      </c>
      <c r="BA76" s="212">
        <f ca="1">IF($D76&lt;&gt;"Serviço",0,IF(OR(AND(AUTOEVENTO="Manual",$M76=1),$M76&gt;(ROW(PLE.lastrow)-ROW(PLE.firstrow))),0,IF(OFFSET(PLE!$G$14,$M76,BA$13)="",10^12,OFFSET(PLE!$G$14,$M76,BA$13))))</f>
        <v>1000000000000</v>
      </c>
      <c r="BB76" s="212">
        <f ca="1">IF($D76&lt;&gt;"Serviço",0,IF(OR(AND(AUTOEVENTO="Manual",$M76=1),$M76&gt;(ROW(PLE.lastrow)-ROW(PLE.firstrow))),0,IF(OFFSET(PLE!$G$14,$M76,BB$13)="",10^12,OFFSET(PLE!$G$14,$M76,BB$13))))</f>
        <v>1000000000000</v>
      </c>
      <c r="BC76" s="212">
        <f ca="1">IF($D76&lt;&gt;"Serviço",0,IF(OR(AND(AUTOEVENTO="Manual",$M76=1),$M76&gt;(ROW(PLE.lastrow)-ROW(PLE.firstrow))),0,IF(OFFSET(PLE!$G$14,$M76,BC$13)="",10^12,OFFSET(PLE!$G$14,$M76,BC$13))))</f>
        <v>1000000000000</v>
      </c>
      <c r="BD76" s="212">
        <f ca="1">IF($D76&lt;&gt;"Serviço",0,IF(OR(AND(AUTOEVENTO="Manual",$M76=1),$M76&gt;(ROW(PLE.lastrow)-ROW(PLE.firstrow))),0,IF(OFFSET(PLE!$G$14,$M76,BD$13)="",10^12,OFFSET(PLE!$G$14,$M76,BD$13))))</f>
        <v>1000000000000</v>
      </c>
      <c r="BE76" s="212">
        <f ca="1">IF($D76&lt;&gt;"Serviço",0,IF(OR(AND(AUTOEVENTO="Manual",$M76=1),$M76&gt;(ROW(PLE.lastrow)-ROW(PLE.firstrow))),0,IF(OFFSET(PLE!$G$14,$M76,BE$13)="",10^12,OFFSET(PLE!$G$14,$M76,BE$13))))</f>
        <v>1000000000000</v>
      </c>
      <c r="BF76" s="212">
        <f ca="1">IF($D76&lt;&gt;"Serviço",0,IF(OR(AND(AUTOEVENTO="Manual",$M76=1),$M76&gt;(ROW(PLE.lastrow)-ROW(PLE.firstrow))),0,IF(OFFSET(PLE!$G$14,$M76,BF$13)="",10^12,OFFSET(PLE!$G$14,$M76,BF$13))))</f>
        <v>1000000000000</v>
      </c>
      <c r="BG76" s="212">
        <f ca="1">IF($D76&lt;&gt;"Serviço",0,IF(OR(AND(AUTOEVENTO="Manual",$M76=1),$M76&gt;(ROW(PLE.lastrow)-ROW(PLE.firstrow))),0,IF(OFFSET(PLE!$G$14,$M76,BG$13)="",10^12,OFFSET(PLE!$G$14,$M76,BG$13))))</f>
        <v>1000000000000</v>
      </c>
    </row>
    <row r="77" spans="1:59" ht="13.2">
      <c r="A77" s="9" t="str">
        <f t="shared" ca="1" si="8"/>
        <v>15</v>
      </c>
      <c r="B77" s="9" t="str">
        <f ca="1">OFFSET(ORÇAMENTO!C$15,ROW(B77)-ROW(B$15),0)</f>
        <v>S</v>
      </c>
      <c r="C77" s="9" t="str">
        <f ca="1">OFFSET(ORÇAMENTO!L$15,ROW(C77)-ROW(C$15),0)</f>
        <v/>
      </c>
      <c r="D77" s="141" t="str">
        <f ca="1">OFFSET(ORÇAMENTO!N$15,ROW(D77)-ROW(D$15),0)</f>
        <v>Serviço</v>
      </c>
      <c r="E77" s="201" t="str">
        <f ca="1">OFFSET(ORÇAMENTO!O$15,ROW(E77)-ROW(E$15),0)</f>
        <v>-</v>
      </c>
      <c r="F77" s="202" t="str">
        <f ca="1">OFFSET(ORÇAMENTO!R$15,ROW(F77)-ROW(F$15),0)</f>
        <v>(abra o arquivo 'Referência 11-2024.xlsm)</v>
      </c>
      <c r="G77" s="203" t="str">
        <f ca="1">IF($D77&lt;&gt;"Serviço","",OFFSET(ORÇAMENTO!S$15,ROW(G77)-ROW(G$15),0))</f>
        <v>-</v>
      </c>
      <c r="H77" s="147">
        <f ca="1">IF($D77&lt;&gt;"Serviço",0,IF(ACOMPANHAMENTO="BM",ROUND(OFFSET(ORÇAMENTO!AJ$15,ROW(H77)-ROW(H$15),0),15-13*ORÇAMENTO!$AF$7),SUMPRODUCT(($Q$12:$AA$12&lt;&gt;"")*ROUND($Q77:$AA77,15-13*ORÇAMENTO!$AF$7))))</f>
        <v>0</v>
      </c>
      <c r="I77" s="645"/>
      <c r="K77" s="204"/>
      <c r="L77" s="205" t="s">
        <v>255</v>
      </c>
      <c r="M77" s="206">
        <f ca="1">IF($D77&lt;&gt;"Serviço","",IF(AUTOEVENTO="manual",$A77,IF(ISERROR(MATCH($A77,$A$15:OFFSET($A77,-1,0),0)),MAX($M$15:OFFSET(M77,-1,0))+1,INDEX($M$15:OFFSET(M77,-1,0),MATCH($A77,$A$15:OFFSET($A77,-1,0),0)))))</f>
        <v>6</v>
      </c>
      <c r="N77" s="207" t="str">
        <f ca="1">IF($D77&lt;&gt;"Serviço","",IF(AUTOEVENTO="Manual",IF($A77=0,"&lt;-- defina o número do agrupador",OFFSET(EVENTOS!$D$14,$A77,0)),OFFSET($F$15,$A77,0)))</f>
        <v>DRENAGEM</v>
      </c>
      <c r="O77" s="208"/>
      <c r="Q77" s="208"/>
      <c r="R77" s="209"/>
      <c r="S77" s="209"/>
      <c r="T77" s="209"/>
      <c r="U77" s="209"/>
      <c r="V77" s="209"/>
      <c r="W77" s="209"/>
      <c r="X77" s="209"/>
      <c r="Y77" s="209"/>
      <c r="Z77" s="210"/>
      <c r="AB77" s="626">
        <f ca="1">IF(AND($D77="Serviço",AB$12&lt;&gt;0,$H77&gt;0,OR(AUTOEVENTO&lt;&gt;"manual",$M77&lt;&gt;1)),
IF(Import.TipoArredondamento&lt;&gt;"TransfereGOV",
ROUND(OFFSET($P77,0,AB$13),15-13*ORÇAMENTO!$AF$7)/$H77*OFFSET(ORÇAMENTO!$X$15,ROW(AB77)-ROW(AB$15),0),
ROUND(ROUND(OFFSET($P77,0,AB$13),15-13*ORÇAMENTO!$AF$7)*OFFSET(ORÇAMENTO!$W$15,ROW(AB77)-ROW(AB$15),0),15-13*ORÇAMENTO!$AF$11)),0)</f>
        <v>0</v>
      </c>
      <c r="AC77" s="627">
        <f ca="1">IF(AND($D77="Serviço",AC$12&lt;&gt;0,$H77&gt;0,OR(AUTOEVENTO&lt;&gt;"manual",$M77&lt;&gt;1)),
IF(Import.TipoArredondamento&lt;&gt;"TransfereGOV",
ROUND(OFFSET($P77,0,AC$13),15-13*ORÇAMENTO!$AF$7)/$H77*OFFSET(ORÇAMENTO!$X$15,ROW(AC77)-ROW(AC$15),0),
ROUND(ROUND(OFFSET($P77,0,AC$13),15-13*ORÇAMENTO!$AF$7)*OFFSET(ORÇAMENTO!$W$15,ROW(AC77)-ROW(AC$15),0),15-13*ORÇAMENTO!$AF$11)),0)</f>
        <v>0</v>
      </c>
      <c r="AD77" s="627">
        <f ca="1">IF(AND($D77="Serviço",AD$12&lt;&gt;0,$H77&gt;0,OR(AUTOEVENTO&lt;&gt;"manual",$M77&lt;&gt;1)),
IF(Import.TipoArredondamento&lt;&gt;"TransfereGOV",
ROUND(OFFSET($P77,0,AD$13),15-13*ORÇAMENTO!$AF$7)/$H77*OFFSET(ORÇAMENTO!$X$15,ROW(AD77)-ROW(AD$15),0),
ROUND(ROUND(OFFSET($P77,0,AD$13),15-13*ORÇAMENTO!$AF$7)*OFFSET(ORÇAMENTO!$W$15,ROW(AD77)-ROW(AD$15),0),15-13*ORÇAMENTO!$AF$11)),0)</f>
        <v>0</v>
      </c>
      <c r="AE77" s="627">
        <f ca="1">IF(AND($D77="Serviço",AE$12&lt;&gt;0,$H77&gt;0,OR(AUTOEVENTO&lt;&gt;"manual",$M77&lt;&gt;1)),
IF(Import.TipoArredondamento&lt;&gt;"TransfereGOV",
ROUND(OFFSET($P77,0,AE$13),15-13*ORÇAMENTO!$AF$7)/$H77*OFFSET(ORÇAMENTO!$X$15,ROW(AE77)-ROW(AE$15),0),
ROUND(ROUND(OFFSET($P77,0,AE$13),15-13*ORÇAMENTO!$AF$7)*OFFSET(ORÇAMENTO!$W$15,ROW(AE77)-ROW(AE$15),0),15-13*ORÇAMENTO!$AF$11)),0)</f>
        <v>0</v>
      </c>
      <c r="AF77" s="627">
        <f ca="1">IF(AND($D77="Serviço",AF$12&lt;&gt;0,$H77&gt;0,OR(AUTOEVENTO&lt;&gt;"manual",$M77&lt;&gt;1)),
IF(Import.TipoArredondamento&lt;&gt;"TransfereGOV",
ROUND(OFFSET($P77,0,AF$13),15-13*ORÇAMENTO!$AF$7)/$H77*OFFSET(ORÇAMENTO!$X$15,ROW(AF77)-ROW(AF$15),0),
ROUND(ROUND(OFFSET($P77,0,AF$13),15-13*ORÇAMENTO!$AF$7)*OFFSET(ORÇAMENTO!$W$15,ROW(AF77)-ROW(AF$15),0),15-13*ORÇAMENTO!$AF$11)),0)</f>
        <v>0</v>
      </c>
      <c r="AG77" s="627">
        <f ca="1">IF(AND($D77="Serviço",AG$12&lt;&gt;0,$H77&gt;0,OR(AUTOEVENTO&lt;&gt;"manual",$M77&lt;&gt;1)),
IF(Import.TipoArredondamento&lt;&gt;"TransfereGOV",
ROUND(OFFSET($P77,0,AG$13),15-13*ORÇAMENTO!$AF$7)/$H77*OFFSET(ORÇAMENTO!$X$15,ROW(AG77)-ROW(AG$15),0),
ROUND(ROUND(OFFSET($P77,0,AG$13),15-13*ORÇAMENTO!$AF$7)*OFFSET(ORÇAMENTO!$W$15,ROW(AG77)-ROW(AG$15),0),15-13*ORÇAMENTO!$AF$11)),0)</f>
        <v>0</v>
      </c>
      <c r="AH77" s="627">
        <f ca="1">IF(AND($D77="Serviço",AH$12&lt;&gt;0,$H77&gt;0,OR(AUTOEVENTO&lt;&gt;"manual",$M77&lt;&gt;1)),
IF(Import.TipoArredondamento&lt;&gt;"TransfereGOV",
ROUND(OFFSET($P77,0,AH$13),15-13*ORÇAMENTO!$AF$7)/$H77*OFFSET(ORÇAMENTO!$X$15,ROW(AH77)-ROW(AH$15),0),
ROUND(ROUND(OFFSET($P77,0,AH$13),15-13*ORÇAMENTO!$AF$7)*OFFSET(ORÇAMENTO!$W$15,ROW(AH77)-ROW(AH$15),0),15-13*ORÇAMENTO!$AF$11)),0)</f>
        <v>0</v>
      </c>
      <c r="AI77" s="627">
        <f ca="1">IF(AND($D77="Serviço",AI$12&lt;&gt;0,$H77&gt;0,OR(AUTOEVENTO&lt;&gt;"manual",$M77&lt;&gt;1)),
IF(Import.TipoArredondamento&lt;&gt;"TransfereGOV",
ROUND(OFFSET($P77,0,AI$13),15-13*ORÇAMENTO!$AF$7)/$H77*OFFSET(ORÇAMENTO!$X$15,ROW(AI77)-ROW(AI$15),0),
ROUND(ROUND(OFFSET($P77,0,AI$13),15-13*ORÇAMENTO!$AF$7)*OFFSET(ORÇAMENTO!$W$15,ROW(AI77)-ROW(AI$15),0),15-13*ORÇAMENTO!$AF$11)),0)</f>
        <v>0</v>
      </c>
      <c r="AJ77" s="627">
        <f ca="1">IF(AND($D77="Serviço",AJ$12&lt;&gt;0,$H77&gt;0,OR(AUTOEVENTO&lt;&gt;"manual",$M77&lt;&gt;1)),
IF(Import.TipoArredondamento&lt;&gt;"TransfereGOV",
ROUND(OFFSET($P77,0,AJ$13),15-13*ORÇAMENTO!$AF$7)/$H77*OFFSET(ORÇAMENTO!$X$15,ROW(AJ77)-ROW(AJ$15),0),
ROUND(ROUND(OFFSET($P77,0,AJ$13),15-13*ORÇAMENTO!$AF$7)*OFFSET(ORÇAMENTO!$W$15,ROW(AJ77)-ROW(AJ$15),0),15-13*ORÇAMENTO!$AF$11)),0)</f>
        <v>0</v>
      </c>
      <c r="AK77" s="628">
        <f ca="1">IF(AND($D77="Serviço",AK$12&lt;&gt;0,$H77&gt;0,OR(AUTOEVENTO&lt;&gt;"manual",$M77&lt;&gt;1)),
IF(Import.TipoArredondamento&lt;&gt;"TransfereGOV",
ROUND(OFFSET($P77,0,AK$13),15-13*ORÇAMENTO!$AF$7)/$H77*OFFSET(ORÇAMENTO!$X$15,ROW(AK77)-ROW(AK$15),0),
ROUND(ROUND(OFFSET($P77,0,AK$13),15-13*ORÇAMENTO!$AF$7)*OFFSET(ORÇAMENTO!$W$15,ROW(AK77)-ROW(AK$15),0),15-13*ORÇAMENTO!$AF$11)),0)</f>
        <v>0</v>
      </c>
      <c r="AM77" s="211">
        <f ca="1">IF($D77&lt;&gt;"Serviço",0,IF(AND(AUTOEVENTO="Manual",$M77=1),0,IF(OFFSET(CRONOPLE!$F$14,$M77,AM$13)="",10^12,OFFSET(CRONOPLE!$F$14,$M77,AM$13))))</f>
        <v>2</v>
      </c>
      <c r="AN77" s="211">
        <f ca="1">IF($D77&lt;&gt;"Serviço",0,IF(AND(AUTOEVENTO="Manual",$M77=1),0,IF(OFFSET(CRONOPLE!$F$14,$M77,AN$13)="",10^12,OFFSET(CRONOPLE!$F$14,$M77,AN$13))))</f>
        <v>1</v>
      </c>
      <c r="AO77" s="211">
        <f ca="1">IF($D77&lt;&gt;"Serviço",0,IF(AND(AUTOEVENTO="Manual",$M77=1),0,IF(OFFSET(CRONOPLE!$F$14,$M77,AO$13)="",10^12,OFFSET(CRONOPLE!$F$14,$M77,AO$13))))</f>
        <v>2</v>
      </c>
      <c r="AP77" s="211">
        <f ca="1">IF($D77&lt;&gt;"Serviço",0,IF(AND(AUTOEVENTO="Manual",$M77=1),0,IF(OFFSET(CRONOPLE!$F$14,$M77,AP$13)="",10^12,OFFSET(CRONOPLE!$F$14,$M77,AP$13))))</f>
        <v>2</v>
      </c>
      <c r="AQ77" s="211">
        <f ca="1">IF($D77&lt;&gt;"Serviço",0,IF(AND(AUTOEVENTO="Manual",$M77=1),0,IF(OFFSET(CRONOPLE!$F$14,$M77,AQ$13)="",10^12,OFFSET(CRONOPLE!$F$14,$M77,AQ$13))))</f>
        <v>1000000000000</v>
      </c>
      <c r="AR77" s="211">
        <f ca="1">IF($D77&lt;&gt;"Serviço",0,IF(AND(AUTOEVENTO="Manual",$M77=1),0,IF(OFFSET(CRONOPLE!$F$14,$M77,AR$13)="",10^12,OFFSET(CRONOPLE!$F$14,$M77,AR$13))))</f>
        <v>1000000000000</v>
      </c>
      <c r="AS77" s="211">
        <f ca="1">IF($D77&lt;&gt;"Serviço",0,IF(AND(AUTOEVENTO="Manual",$M77=1),0,IF(OFFSET(CRONOPLE!$F$14,$M77,AS$13)="",10^12,OFFSET(CRONOPLE!$F$14,$M77,AS$13))))</f>
        <v>1000000000000</v>
      </c>
      <c r="AT77" s="211">
        <f ca="1">IF($D77&lt;&gt;"Serviço",0,IF(AND(AUTOEVENTO="Manual",$M77=1),0,IF(OFFSET(CRONOPLE!$F$14,$M77,AT$13)="",10^12,OFFSET(CRONOPLE!$F$14,$M77,AT$13))))</f>
        <v>1000000000000</v>
      </c>
      <c r="AU77" s="211">
        <f ca="1">IF($D77&lt;&gt;"Serviço",0,IF(AND(AUTOEVENTO="Manual",$M77=1),0,IF(OFFSET(CRONOPLE!$F$14,$M77,AU$13)="",10^12,OFFSET(CRONOPLE!$F$14,$M77,AU$13))))</f>
        <v>1000000000000</v>
      </c>
      <c r="AV77" s="211">
        <f ca="1">IF($D77&lt;&gt;"Serviço",0,IF(AND(AUTOEVENTO="Manual",$M77=1),0,IF(OFFSET(CRONOPLE!$F$14,$M77,AV$13)="",10^12,OFFSET(CRONOPLE!$F$14,$M77,AV$13))))</f>
        <v>1000000000000</v>
      </c>
      <c r="AX77" s="212">
        <f ca="1">IF($D77&lt;&gt;"Serviço",0,IF(OR(AND(AUTOEVENTO="Manual",$M77=1),$M77&gt;(ROW(PLE.lastrow)-ROW(PLE.firstrow))),0,IF(OFFSET(PLE!$G$14,$M77,AX$13)="",10^12,OFFSET(PLE!$G$14,$M77,AX$13))))</f>
        <v>1000000000000</v>
      </c>
      <c r="AY77" s="212">
        <f ca="1">IF($D77&lt;&gt;"Serviço",0,IF(OR(AND(AUTOEVENTO="Manual",$M77=1),$M77&gt;(ROW(PLE.lastrow)-ROW(PLE.firstrow))),0,IF(OFFSET(PLE!$G$14,$M77,AY$13)="",10^12,OFFSET(PLE!$G$14,$M77,AY$13))))</f>
        <v>1000000000000</v>
      </c>
      <c r="AZ77" s="212">
        <f ca="1">IF($D77&lt;&gt;"Serviço",0,IF(OR(AND(AUTOEVENTO="Manual",$M77=1),$M77&gt;(ROW(PLE.lastrow)-ROW(PLE.firstrow))),0,IF(OFFSET(PLE!$G$14,$M77,AZ$13)="",10^12,OFFSET(PLE!$G$14,$M77,AZ$13))))</f>
        <v>1000000000000</v>
      </c>
      <c r="BA77" s="212">
        <f ca="1">IF($D77&lt;&gt;"Serviço",0,IF(OR(AND(AUTOEVENTO="Manual",$M77=1),$M77&gt;(ROW(PLE.lastrow)-ROW(PLE.firstrow))),0,IF(OFFSET(PLE!$G$14,$M77,BA$13)="",10^12,OFFSET(PLE!$G$14,$M77,BA$13))))</f>
        <v>1000000000000</v>
      </c>
      <c r="BB77" s="212">
        <f ca="1">IF($D77&lt;&gt;"Serviço",0,IF(OR(AND(AUTOEVENTO="Manual",$M77=1),$M77&gt;(ROW(PLE.lastrow)-ROW(PLE.firstrow))),0,IF(OFFSET(PLE!$G$14,$M77,BB$13)="",10^12,OFFSET(PLE!$G$14,$M77,BB$13))))</f>
        <v>1000000000000</v>
      </c>
      <c r="BC77" s="212">
        <f ca="1">IF($D77&lt;&gt;"Serviço",0,IF(OR(AND(AUTOEVENTO="Manual",$M77=1),$M77&gt;(ROW(PLE.lastrow)-ROW(PLE.firstrow))),0,IF(OFFSET(PLE!$G$14,$M77,BC$13)="",10^12,OFFSET(PLE!$G$14,$M77,BC$13))))</f>
        <v>1000000000000</v>
      </c>
      <c r="BD77" s="212">
        <f ca="1">IF($D77&lt;&gt;"Serviço",0,IF(OR(AND(AUTOEVENTO="Manual",$M77=1),$M77&gt;(ROW(PLE.lastrow)-ROW(PLE.firstrow))),0,IF(OFFSET(PLE!$G$14,$M77,BD$13)="",10^12,OFFSET(PLE!$G$14,$M77,BD$13))))</f>
        <v>1000000000000</v>
      </c>
      <c r="BE77" s="212">
        <f ca="1">IF($D77&lt;&gt;"Serviço",0,IF(OR(AND(AUTOEVENTO="Manual",$M77=1),$M77&gt;(ROW(PLE.lastrow)-ROW(PLE.firstrow))),0,IF(OFFSET(PLE!$G$14,$M77,BE$13)="",10^12,OFFSET(PLE!$G$14,$M77,BE$13))))</f>
        <v>1000000000000</v>
      </c>
      <c r="BF77" s="212">
        <f ca="1">IF($D77&lt;&gt;"Serviço",0,IF(OR(AND(AUTOEVENTO="Manual",$M77=1),$M77&gt;(ROW(PLE.lastrow)-ROW(PLE.firstrow))),0,IF(OFFSET(PLE!$G$14,$M77,BF$13)="",10^12,OFFSET(PLE!$G$14,$M77,BF$13))))</f>
        <v>1000000000000</v>
      </c>
      <c r="BG77" s="212">
        <f ca="1">IF($D77&lt;&gt;"Serviço",0,IF(OR(AND(AUTOEVENTO="Manual",$M77=1),$M77&gt;(ROW(PLE.lastrow)-ROW(PLE.firstrow))),0,IF(OFFSET(PLE!$G$14,$M77,BG$13)="",10^12,OFFSET(PLE!$G$14,$M77,BG$13))))</f>
        <v>1000000000000</v>
      </c>
    </row>
    <row r="78" spans="1:59" ht="13.2">
      <c r="A78" s="9" t="str">
        <f t="shared" ref="A78:A141" ca="1" si="10">IF(AUTOEVENTO="Manual",IF(K78&lt;&gt;"",MIN(VALUE(LEFT(K78,FIND(".",K78)-1)),COUNTA(EVENTOS.Lista)),0),IF(OR($B78&gt;AUTOEVENTO,$B78="S",$B78=0),SUBSTITUTE(OFFSET($A78,-1,0),IF($D78="Serviço",".",""),""),ROW(A78)-ROW($A$15)&amp;"."))</f>
        <v>15</v>
      </c>
      <c r="B78" s="9" t="str">
        <f ca="1">OFFSET(ORÇAMENTO!C$15,ROW(B78)-ROW(B$15),0)</f>
        <v>S</v>
      </c>
      <c r="C78" s="9" t="str">
        <f ca="1">OFFSET(ORÇAMENTO!L$15,ROW(C78)-ROW(C$15),0)</f>
        <v/>
      </c>
      <c r="D78" s="141" t="str">
        <f ca="1">OFFSET(ORÇAMENTO!N$15,ROW(D78)-ROW(D$15),0)</f>
        <v>Serviço</v>
      </c>
      <c r="E78" s="201" t="str">
        <f ca="1">OFFSET(ORÇAMENTO!O$15,ROW(E78)-ROW(E$15),0)</f>
        <v>-</v>
      </c>
      <c r="F78" s="202" t="str">
        <f ca="1">OFFSET(ORÇAMENTO!R$15,ROW(F78)-ROW(F$15),0)</f>
        <v>(abra o arquivo 'Referência 11-2024.xlsm)</v>
      </c>
      <c r="G78" s="203" t="str">
        <f ca="1">IF($D78&lt;&gt;"Serviço","",OFFSET(ORÇAMENTO!S$15,ROW(G78)-ROW(G$15),0))</f>
        <v>-</v>
      </c>
      <c r="H78" s="147">
        <f ca="1">IF($D78&lt;&gt;"Serviço",0,IF(ACOMPANHAMENTO="BM",ROUND(OFFSET(ORÇAMENTO!AJ$15,ROW(H78)-ROW(H$15),0),15-13*ORÇAMENTO!$AF$7),SUMPRODUCT(($Q$12:$AA$12&lt;&gt;"")*ROUND($Q78:$AA78,15-13*ORÇAMENTO!$AF$7))))</f>
        <v>0</v>
      </c>
      <c r="I78" s="645"/>
      <c r="K78" s="204"/>
      <c r="L78" s="205" t="s">
        <v>255</v>
      </c>
      <c r="M78" s="206">
        <f ca="1">IF($D78&lt;&gt;"Serviço","",IF(AUTOEVENTO="manual",$A78,IF(ISERROR(MATCH($A78,$A$15:OFFSET($A78,-1,0),0)),MAX($M$15:OFFSET(M78,-1,0))+1,INDEX($M$15:OFFSET(M78,-1,0),MATCH($A78,$A$15:OFFSET($A78,-1,0),0)))))</f>
        <v>6</v>
      </c>
      <c r="N78" s="207" t="str">
        <f ca="1">IF($D78&lt;&gt;"Serviço","",IF(AUTOEVENTO="Manual",IF($A78=0,"&lt;-- defina o número do agrupador",OFFSET(EVENTOS!$D$14,$A78,0)),OFFSET($F$15,$A78,0)))</f>
        <v>DRENAGEM</v>
      </c>
      <c r="O78" s="208"/>
      <c r="Q78" s="208"/>
      <c r="R78" s="209"/>
      <c r="S78" s="209"/>
      <c r="T78" s="209"/>
      <c r="U78" s="209"/>
      <c r="V78" s="209"/>
      <c r="W78" s="209"/>
      <c r="X78" s="209"/>
      <c r="Y78" s="209"/>
      <c r="Z78" s="210"/>
      <c r="AB78" s="626">
        <f ca="1">IF(AND($D78="Serviço",AB$12&lt;&gt;0,$H78&gt;0,OR(AUTOEVENTO&lt;&gt;"manual",$M78&lt;&gt;1)),
IF(Import.TipoArredondamento&lt;&gt;"TransfereGOV",
ROUND(OFFSET($P78,0,AB$13),15-13*ORÇAMENTO!$AF$7)/$H78*OFFSET(ORÇAMENTO!$X$15,ROW(AB78)-ROW(AB$15),0),
ROUND(ROUND(OFFSET($P78,0,AB$13),15-13*ORÇAMENTO!$AF$7)*OFFSET(ORÇAMENTO!$W$15,ROW(AB78)-ROW(AB$15),0),15-13*ORÇAMENTO!$AF$11)),0)</f>
        <v>0</v>
      </c>
      <c r="AC78" s="627">
        <f ca="1">IF(AND($D78="Serviço",AC$12&lt;&gt;0,$H78&gt;0,OR(AUTOEVENTO&lt;&gt;"manual",$M78&lt;&gt;1)),
IF(Import.TipoArredondamento&lt;&gt;"TransfereGOV",
ROUND(OFFSET($P78,0,AC$13),15-13*ORÇAMENTO!$AF$7)/$H78*OFFSET(ORÇAMENTO!$X$15,ROW(AC78)-ROW(AC$15),0),
ROUND(ROUND(OFFSET($P78,0,AC$13),15-13*ORÇAMENTO!$AF$7)*OFFSET(ORÇAMENTO!$W$15,ROW(AC78)-ROW(AC$15),0),15-13*ORÇAMENTO!$AF$11)),0)</f>
        <v>0</v>
      </c>
      <c r="AD78" s="627">
        <f ca="1">IF(AND($D78="Serviço",AD$12&lt;&gt;0,$H78&gt;0,OR(AUTOEVENTO&lt;&gt;"manual",$M78&lt;&gt;1)),
IF(Import.TipoArredondamento&lt;&gt;"TransfereGOV",
ROUND(OFFSET($P78,0,AD$13),15-13*ORÇAMENTO!$AF$7)/$H78*OFFSET(ORÇAMENTO!$X$15,ROW(AD78)-ROW(AD$15),0),
ROUND(ROUND(OFFSET($P78,0,AD$13),15-13*ORÇAMENTO!$AF$7)*OFFSET(ORÇAMENTO!$W$15,ROW(AD78)-ROW(AD$15),0),15-13*ORÇAMENTO!$AF$11)),0)</f>
        <v>0</v>
      </c>
      <c r="AE78" s="627">
        <f ca="1">IF(AND($D78="Serviço",AE$12&lt;&gt;0,$H78&gt;0,OR(AUTOEVENTO&lt;&gt;"manual",$M78&lt;&gt;1)),
IF(Import.TipoArredondamento&lt;&gt;"TransfereGOV",
ROUND(OFFSET($P78,0,AE$13),15-13*ORÇAMENTO!$AF$7)/$H78*OFFSET(ORÇAMENTO!$X$15,ROW(AE78)-ROW(AE$15),0),
ROUND(ROUND(OFFSET($P78,0,AE$13),15-13*ORÇAMENTO!$AF$7)*OFFSET(ORÇAMENTO!$W$15,ROW(AE78)-ROW(AE$15),0),15-13*ORÇAMENTO!$AF$11)),0)</f>
        <v>0</v>
      </c>
      <c r="AF78" s="627">
        <f ca="1">IF(AND($D78="Serviço",AF$12&lt;&gt;0,$H78&gt;0,OR(AUTOEVENTO&lt;&gt;"manual",$M78&lt;&gt;1)),
IF(Import.TipoArredondamento&lt;&gt;"TransfereGOV",
ROUND(OFFSET($P78,0,AF$13),15-13*ORÇAMENTO!$AF$7)/$H78*OFFSET(ORÇAMENTO!$X$15,ROW(AF78)-ROW(AF$15),0),
ROUND(ROUND(OFFSET($P78,0,AF$13),15-13*ORÇAMENTO!$AF$7)*OFFSET(ORÇAMENTO!$W$15,ROW(AF78)-ROW(AF$15),0),15-13*ORÇAMENTO!$AF$11)),0)</f>
        <v>0</v>
      </c>
      <c r="AG78" s="627">
        <f ca="1">IF(AND($D78="Serviço",AG$12&lt;&gt;0,$H78&gt;0,OR(AUTOEVENTO&lt;&gt;"manual",$M78&lt;&gt;1)),
IF(Import.TipoArredondamento&lt;&gt;"TransfereGOV",
ROUND(OFFSET($P78,0,AG$13),15-13*ORÇAMENTO!$AF$7)/$H78*OFFSET(ORÇAMENTO!$X$15,ROW(AG78)-ROW(AG$15),0),
ROUND(ROUND(OFFSET($P78,0,AG$13),15-13*ORÇAMENTO!$AF$7)*OFFSET(ORÇAMENTO!$W$15,ROW(AG78)-ROW(AG$15),0),15-13*ORÇAMENTO!$AF$11)),0)</f>
        <v>0</v>
      </c>
      <c r="AH78" s="627">
        <f ca="1">IF(AND($D78="Serviço",AH$12&lt;&gt;0,$H78&gt;0,OR(AUTOEVENTO&lt;&gt;"manual",$M78&lt;&gt;1)),
IF(Import.TipoArredondamento&lt;&gt;"TransfereGOV",
ROUND(OFFSET($P78,0,AH$13),15-13*ORÇAMENTO!$AF$7)/$H78*OFFSET(ORÇAMENTO!$X$15,ROW(AH78)-ROW(AH$15),0),
ROUND(ROUND(OFFSET($P78,0,AH$13),15-13*ORÇAMENTO!$AF$7)*OFFSET(ORÇAMENTO!$W$15,ROW(AH78)-ROW(AH$15),0),15-13*ORÇAMENTO!$AF$11)),0)</f>
        <v>0</v>
      </c>
      <c r="AI78" s="627">
        <f ca="1">IF(AND($D78="Serviço",AI$12&lt;&gt;0,$H78&gt;0,OR(AUTOEVENTO&lt;&gt;"manual",$M78&lt;&gt;1)),
IF(Import.TipoArredondamento&lt;&gt;"TransfereGOV",
ROUND(OFFSET($P78,0,AI$13),15-13*ORÇAMENTO!$AF$7)/$H78*OFFSET(ORÇAMENTO!$X$15,ROW(AI78)-ROW(AI$15),0),
ROUND(ROUND(OFFSET($P78,0,AI$13),15-13*ORÇAMENTO!$AF$7)*OFFSET(ORÇAMENTO!$W$15,ROW(AI78)-ROW(AI$15),0),15-13*ORÇAMENTO!$AF$11)),0)</f>
        <v>0</v>
      </c>
      <c r="AJ78" s="627">
        <f ca="1">IF(AND($D78="Serviço",AJ$12&lt;&gt;0,$H78&gt;0,OR(AUTOEVENTO&lt;&gt;"manual",$M78&lt;&gt;1)),
IF(Import.TipoArredondamento&lt;&gt;"TransfereGOV",
ROUND(OFFSET($P78,0,AJ$13),15-13*ORÇAMENTO!$AF$7)/$H78*OFFSET(ORÇAMENTO!$X$15,ROW(AJ78)-ROW(AJ$15),0),
ROUND(ROUND(OFFSET($P78,0,AJ$13),15-13*ORÇAMENTO!$AF$7)*OFFSET(ORÇAMENTO!$W$15,ROW(AJ78)-ROW(AJ$15),0),15-13*ORÇAMENTO!$AF$11)),0)</f>
        <v>0</v>
      </c>
      <c r="AK78" s="628">
        <f ca="1">IF(AND($D78="Serviço",AK$12&lt;&gt;0,$H78&gt;0,OR(AUTOEVENTO&lt;&gt;"manual",$M78&lt;&gt;1)),
IF(Import.TipoArredondamento&lt;&gt;"TransfereGOV",
ROUND(OFFSET($P78,0,AK$13),15-13*ORÇAMENTO!$AF$7)/$H78*OFFSET(ORÇAMENTO!$X$15,ROW(AK78)-ROW(AK$15),0),
ROUND(ROUND(OFFSET($P78,0,AK$13),15-13*ORÇAMENTO!$AF$7)*OFFSET(ORÇAMENTO!$W$15,ROW(AK78)-ROW(AK$15),0),15-13*ORÇAMENTO!$AF$11)),0)</f>
        <v>0</v>
      </c>
      <c r="AM78" s="211">
        <f ca="1">IF($D78&lt;&gt;"Serviço",0,IF(AND(AUTOEVENTO="Manual",$M78=1),0,IF(OFFSET(CRONOPLE!$F$14,$M78,AM$13)="",10^12,OFFSET(CRONOPLE!$F$14,$M78,AM$13))))</f>
        <v>2</v>
      </c>
      <c r="AN78" s="211">
        <f ca="1">IF($D78&lt;&gt;"Serviço",0,IF(AND(AUTOEVENTO="Manual",$M78=1),0,IF(OFFSET(CRONOPLE!$F$14,$M78,AN$13)="",10^12,OFFSET(CRONOPLE!$F$14,$M78,AN$13))))</f>
        <v>1</v>
      </c>
      <c r="AO78" s="211">
        <f ca="1">IF($D78&lt;&gt;"Serviço",0,IF(AND(AUTOEVENTO="Manual",$M78=1),0,IF(OFFSET(CRONOPLE!$F$14,$M78,AO$13)="",10^12,OFFSET(CRONOPLE!$F$14,$M78,AO$13))))</f>
        <v>2</v>
      </c>
      <c r="AP78" s="211">
        <f ca="1">IF($D78&lt;&gt;"Serviço",0,IF(AND(AUTOEVENTO="Manual",$M78=1),0,IF(OFFSET(CRONOPLE!$F$14,$M78,AP$13)="",10^12,OFFSET(CRONOPLE!$F$14,$M78,AP$13))))</f>
        <v>2</v>
      </c>
      <c r="AQ78" s="211">
        <f ca="1">IF($D78&lt;&gt;"Serviço",0,IF(AND(AUTOEVENTO="Manual",$M78=1),0,IF(OFFSET(CRONOPLE!$F$14,$M78,AQ$13)="",10^12,OFFSET(CRONOPLE!$F$14,$M78,AQ$13))))</f>
        <v>1000000000000</v>
      </c>
      <c r="AR78" s="211">
        <f ca="1">IF($D78&lt;&gt;"Serviço",0,IF(AND(AUTOEVENTO="Manual",$M78=1),0,IF(OFFSET(CRONOPLE!$F$14,$M78,AR$13)="",10^12,OFFSET(CRONOPLE!$F$14,$M78,AR$13))))</f>
        <v>1000000000000</v>
      </c>
      <c r="AS78" s="211">
        <f ca="1">IF($D78&lt;&gt;"Serviço",0,IF(AND(AUTOEVENTO="Manual",$M78=1),0,IF(OFFSET(CRONOPLE!$F$14,$M78,AS$13)="",10^12,OFFSET(CRONOPLE!$F$14,$M78,AS$13))))</f>
        <v>1000000000000</v>
      </c>
      <c r="AT78" s="211">
        <f ca="1">IF($D78&lt;&gt;"Serviço",0,IF(AND(AUTOEVENTO="Manual",$M78=1),0,IF(OFFSET(CRONOPLE!$F$14,$M78,AT$13)="",10^12,OFFSET(CRONOPLE!$F$14,$M78,AT$13))))</f>
        <v>1000000000000</v>
      </c>
      <c r="AU78" s="211">
        <f ca="1">IF($D78&lt;&gt;"Serviço",0,IF(AND(AUTOEVENTO="Manual",$M78=1),0,IF(OFFSET(CRONOPLE!$F$14,$M78,AU$13)="",10^12,OFFSET(CRONOPLE!$F$14,$M78,AU$13))))</f>
        <v>1000000000000</v>
      </c>
      <c r="AV78" s="211">
        <f ca="1">IF($D78&lt;&gt;"Serviço",0,IF(AND(AUTOEVENTO="Manual",$M78=1),0,IF(OFFSET(CRONOPLE!$F$14,$M78,AV$13)="",10^12,OFFSET(CRONOPLE!$F$14,$M78,AV$13))))</f>
        <v>1000000000000</v>
      </c>
      <c r="AX78" s="212">
        <f ca="1">IF($D78&lt;&gt;"Serviço",0,IF(OR(AND(AUTOEVENTO="Manual",$M78=1),$M78&gt;(ROW(PLE.lastrow)-ROW(PLE.firstrow))),0,IF(OFFSET(PLE!$G$14,$M78,AX$13)="",10^12,OFFSET(PLE!$G$14,$M78,AX$13))))</f>
        <v>1000000000000</v>
      </c>
      <c r="AY78" s="212">
        <f ca="1">IF($D78&lt;&gt;"Serviço",0,IF(OR(AND(AUTOEVENTO="Manual",$M78=1),$M78&gt;(ROW(PLE.lastrow)-ROW(PLE.firstrow))),0,IF(OFFSET(PLE!$G$14,$M78,AY$13)="",10^12,OFFSET(PLE!$G$14,$M78,AY$13))))</f>
        <v>1000000000000</v>
      </c>
      <c r="AZ78" s="212">
        <f ca="1">IF($D78&lt;&gt;"Serviço",0,IF(OR(AND(AUTOEVENTO="Manual",$M78=1),$M78&gt;(ROW(PLE.lastrow)-ROW(PLE.firstrow))),0,IF(OFFSET(PLE!$G$14,$M78,AZ$13)="",10^12,OFFSET(PLE!$G$14,$M78,AZ$13))))</f>
        <v>1000000000000</v>
      </c>
      <c r="BA78" s="212">
        <f ca="1">IF($D78&lt;&gt;"Serviço",0,IF(OR(AND(AUTOEVENTO="Manual",$M78=1),$M78&gt;(ROW(PLE.lastrow)-ROW(PLE.firstrow))),0,IF(OFFSET(PLE!$G$14,$M78,BA$13)="",10^12,OFFSET(PLE!$G$14,$M78,BA$13))))</f>
        <v>1000000000000</v>
      </c>
      <c r="BB78" s="212">
        <f ca="1">IF($D78&lt;&gt;"Serviço",0,IF(OR(AND(AUTOEVENTO="Manual",$M78=1),$M78&gt;(ROW(PLE.lastrow)-ROW(PLE.firstrow))),0,IF(OFFSET(PLE!$G$14,$M78,BB$13)="",10^12,OFFSET(PLE!$G$14,$M78,BB$13))))</f>
        <v>1000000000000</v>
      </c>
      <c r="BC78" s="212">
        <f ca="1">IF($D78&lt;&gt;"Serviço",0,IF(OR(AND(AUTOEVENTO="Manual",$M78=1),$M78&gt;(ROW(PLE.lastrow)-ROW(PLE.firstrow))),0,IF(OFFSET(PLE!$G$14,$M78,BC$13)="",10^12,OFFSET(PLE!$G$14,$M78,BC$13))))</f>
        <v>1000000000000</v>
      </c>
      <c r="BD78" s="212">
        <f ca="1">IF($D78&lt;&gt;"Serviço",0,IF(OR(AND(AUTOEVENTO="Manual",$M78=1),$M78&gt;(ROW(PLE.lastrow)-ROW(PLE.firstrow))),0,IF(OFFSET(PLE!$G$14,$M78,BD$13)="",10^12,OFFSET(PLE!$G$14,$M78,BD$13))))</f>
        <v>1000000000000</v>
      </c>
      <c r="BE78" s="212">
        <f ca="1">IF($D78&lt;&gt;"Serviço",0,IF(OR(AND(AUTOEVENTO="Manual",$M78=1),$M78&gt;(ROW(PLE.lastrow)-ROW(PLE.firstrow))),0,IF(OFFSET(PLE!$G$14,$M78,BE$13)="",10^12,OFFSET(PLE!$G$14,$M78,BE$13))))</f>
        <v>1000000000000</v>
      </c>
      <c r="BF78" s="212">
        <f ca="1">IF($D78&lt;&gt;"Serviço",0,IF(OR(AND(AUTOEVENTO="Manual",$M78=1),$M78&gt;(ROW(PLE.lastrow)-ROW(PLE.firstrow))),0,IF(OFFSET(PLE!$G$14,$M78,BF$13)="",10^12,OFFSET(PLE!$G$14,$M78,BF$13))))</f>
        <v>1000000000000</v>
      </c>
      <c r="BG78" s="212">
        <f ca="1">IF($D78&lt;&gt;"Serviço",0,IF(OR(AND(AUTOEVENTO="Manual",$M78=1),$M78&gt;(ROW(PLE.lastrow)-ROW(PLE.firstrow))),0,IF(OFFSET(PLE!$G$14,$M78,BG$13)="",10^12,OFFSET(PLE!$G$14,$M78,BG$13))))</f>
        <v>1000000000000</v>
      </c>
    </row>
    <row r="79" spans="1:59" ht="13.2">
      <c r="A79" s="9" t="str">
        <f t="shared" ca="1" si="10"/>
        <v>15</v>
      </c>
      <c r="B79" s="9" t="str">
        <f ca="1">OFFSET(ORÇAMENTO!C$15,ROW(B79)-ROW(B$15),0)</f>
        <v>S</v>
      </c>
      <c r="C79" s="9" t="str">
        <f ca="1">OFFSET(ORÇAMENTO!L$15,ROW(C79)-ROW(C$15),0)</f>
        <v/>
      </c>
      <c r="D79" s="141" t="str">
        <f ca="1">OFFSET(ORÇAMENTO!N$15,ROW(D79)-ROW(D$15),0)</f>
        <v>Serviço</v>
      </c>
      <c r="E79" s="201" t="str">
        <f ca="1">OFFSET(ORÇAMENTO!O$15,ROW(E79)-ROW(E$15),0)</f>
        <v>-</v>
      </c>
      <c r="F79" s="202" t="str">
        <f ca="1">OFFSET(ORÇAMENTO!R$15,ROW(F79)-ROW(F$15),0)</f>
        <v>(abra o arquivo 'Referência 11-2024.xlsm)</v>
      </c>
      <c r="G79" s="203" t="str">
        <f ca="1">IF($D79&lt;&gt;"Serviço","",OFFSET(ORÇAMENTO!S$15,ROW(G79)-ROW(G$15),0))</f>
        <v>-</v>
      </c>
      <c r="H79" s="147">
        <f ca="1">IF($D79&lt;&gt;"Serviço",0,IF(ACOMPANHAMENTO="BM",ROUND(OFFSET(ORÇAMENTO!AJ$15,ROW(H79)-ROW(H$15),0),15-13*ORÇAMENTO!$AF$7),SUMPRODUCT(($Q$12:$AA$12&lt;&gt;"")*ROUND($Q79:$AA79,15-13*ORÇAMENTO!$AF$7))))</f>
        <v>0</v>
      </c>
      <c r="I79" s="645"/>
      <c r="K79" s="204"/>
      <c r="L79" s="205" t="s">
        <v>255</v>
      </c>
      <c r="M79" s="206">
        <f ca="1">IF($D79&lt;&gt;"Serviço","",IF(AUTOEVENTO="manual",$A79,IF(ISERROR(MATCH($A79,$A$15:OFFSET($A79,-1,0),0)),MAX($M$15:OFFSET(M79,-1,0))+1,INDEX($M$15:OFFSET(M79,-1,0),MATCH($A79,$A$15:OFFSET($A79,-1,0),0)))))</f>
        <v>6</v>
      </c>
      <c r="N79" s="207" t="str">
        <f ca="1">IF($D79&lt;&gt;"Serviço","",IF(AUTOEVENTO="Manual",IF($A79=0,"&lt;-- defina o número do agrupador",OFFSET(EVENTOS!$D$14,$A79,0)),OFFSET($F$15,$A79,0)))</f>
        <v>DRENAGEM</v>
      </c>
      <c r="O79" s="208"/>
      <c r="Q79" s="208"/>
      <c r="R79" s="209"/>
      <c r="S79" s="209"/>
      <c r="T79" s="209"/>
      <c r="U79" s="209"/>
      <c r="V79" s="209"/>
      <c r="W79" s="209"/>
      <c r="X79" s="209"/>
      <c r="Y79" s="209"/>
      <c r="Z79" s="210"/>
      <c r="AB79" s="626">
        <f ca="1">IF(AND($D79="Serviço",AB$12&lt;&gt;0,$H79&gt;0,OR(AUTOEVENTO&lt;&gt;"manual",$M79&lt;&gt;1)),
IF(Import.TipoArredondamento&lt;&gt;"TransfereGOV",
ROUND(OFFSET($P79,0,AB$13),15-13*ORÇAMENTO!$AF$7)/$H79*OFFSET(ORÇAMENTO!$X$15,ROW(AB79)-ROW(AB$15),0),
ROUND(ROUND(OFFSET($P79,0,AB$13),15-13*ORÇAMENTO!$AF$7)*OFFSET(ORÇAMENTO!$W$15,ROW(AB79)-ROW(AB$15),0),15-13*ORÇAMENTO!$AF$11)),0)</f>
        <v>0</v>
      </c>
      <c r="AC79" s="627">
        <f ca="1">IF(AND($D79="Serviço",AC$12&lt;&gt;0,$H79&gt;0,OR(AUTOEVENTO&lt;&gt;"manual",$M79&lt;&gt;1)),
IF(Import.TipoArredondamento&lt;&gt;"TransfereGOV",
ROUND(OFFSET($P79,0,AC$13),15-13*ORÇAMENTO!$AF$7)/$H79*OFFSET(ORÇAMENTO!$X$15,ROW(AC79)-ROW(AC$15),0),
ROUND(ROUND(OFFSET($P79,0,AC$13),15-13*ORÇAMENTO!$AF$7)*OFFSET(ORÇAMENTO!$W$15,ROW(AC79)-ROW(AC$15),0),15-13*ORÇAMENTO!$AF$11)),0)</f>
        <v>0</v>
      </c>
      <c r="AD79" s="627">
        <f ca="1">IF(AND($D79="Serviço",AD$12&lt;&gt;0,$H79&gt;0,OR(AUTOEVENTO&lt;&gt;"manual",$M79&lt;&gt;1)),
IF(Import.TipoArredondamento&lt;&gt;"TransfereGOV",
ROUND(OFFSET($P79,0,AD$13),15-13*ORÇAMENTO!$AF$7)/$H79*OFFSET(ORÇAMENTO!$X$15,ROW(AD79)-ROW(AD$15),0),
ROUND(ROUND(OFFSET($P79,0,AD$13),15-13*ORÇAMENTO!$AF$7)*OFFSET(ORÇAMENTO!$W$15,ROW(AD79)-ROW(AD$15),0),15-13*ORÇAMENTO!$AF$11)),0)</f>
        <v>0</v>
      </c>
      <c r="AE79" s="627">
        <f ca="1">IF(AND($D79="Serviço",AE$12&lt;&gt;0,$H79&gt;0,OR(AUTOEVENTO&lt;&gt;"manual",$M79&lt;&gt;1)),
IF(Import.TipoArredondamento&lt;&gt;"TransfereGOV",
ROUND(OFFSET($P79,0,AE$13),15-13*ORÇAMENTO!$AF$7)/$H79*OFFSET(ORÇAMENTO!$X$15,ROW(AE79)-ROW(AE$15),0),
ROUND(ROUND(OFFSET($P79,0,AE$13),15-13*ORÇAMENTO!$AF$7)*OFFSET(ORÇAMENTO!$W$15,ROW(AE79)-ROW(AE$15),0),15-13*ORÇAMENTO!$AF$11)),0)</f>
        <v>0</v>
      </c>
      <c r="AF79" s="627">
        <f ca="1">IF(AND($D79="Serviço",AF$12&lt;&gt;0,$H79&gt;0,OR(AUTOEVENTO&lt;&gt;"manual",$M79&lt;&gt;1)),
IF(Import.TipoArredondamento&lt;&gt;"TransfereGOV",
ROUND(OFFSET($P79,0,AF$13),15-13*ORÇAMENTO!$AF$7)/$H79*OFFSET(ORÇAMENTO!$X$15,ROW(AF79)-ROW(AF$15),0),
ROUND(ROUND(OFFSET($P79,0,AF$13),15-13*ORÇAMENTO!$AF$7)*OFFSET(ORÇAMENTO!$W$15,ROW(AF79)-ROW(AF$15),0),15-13*ORÇAMENTO!$AF$11)),0)</f>
        <v>0</v>
      </c>
      <c r="AG79" s="627">
        <f ca="1">IF(AND($D79="Serviço",AG$12&lt;&gt;0,$H79&gt;0,OR(AUTOEVENTO&lt;&gt;"manual",$M79&lt;&gt;1)),
IF(Import.TipoArredondamento&lt;&gt;"TransfereGOV",
ROUND(OFFSET($P79,0,AG$13),15-13*ORÇAMENTO!$AF$7)/$H79*OFFSET(ORÇAMENTO!$X$15,ROW(AG79)-ROW(AG$15),0),
ROUND(ROUND(OFFSET($P79,0,AG$13),15-13*ORÇAMENTO!$AF$7)*OFFSET(ORÇAMENTO!$W$15,ROW(AG79)-ROW(AG$15),0),15-13*ORÇAMENTO!$AF$11)),0)</f>
        <v>0</v>
      </c>
      <c r="AH79" s="627">
        <f ca="1">IF(AND($D79="Serviço",AH$12&lt;&gt;0,$H79&gt;0,OR(AUTOEVENTO&lt;&gt;"manual",$M79&lt;&gt;1)),
IF(Import.TipoArredondamento&lt;&gt;"TransfereGOV",
ROUND(OFFSET($P79,0,AH$13),15-13*ORÇAMENTO!$AF$7)/$H79*OFFSET(ORÇAMENTO!$X$15,ROW(AH79)-ROW(AH$15),0),
ROUND(ROUND(OFFSET($P79,0,AH$13),15-13*ORÇAMENTO!$AF$7)*OFFSET(ORÇAMENTO!$W$15,ROW(AH79)-ROW(AH$15),0),15-13*ORÇAMENTO!$AF$11)),0)</f>
        <v>0</v>
      </c>
      <c r="AI79" s="627">
        <f ca="1">IF(AND($D79="Serviço",AI$12&lt;&gt;0,$H79&gt;0,OR(AUTOEVENTO&lt;&gt;"manual",$M79&lt;&gt;1)),
IF(Import.TipoArredondamento&lt;&gt;"TransfereGOV",
ROUND(OFFSET($P79,0,AI$13),15-13*ORÇAMENTO!$AF$7)/$H79*OFFSET(ORÇAMENTO!$X$15,ROW(AI79)-ROW(AI$15),0),
ROUND(ROUND(OFFSET($P79,0,AI$13),15-13*ORÇAMENTO!$AF$7)*OFFSET(ORÇAMENTO!$W$15,ROW(AI79)-ROW(AI$15),0),15-13*ORÇAMENTO!$AF$11)),0)</f>
        <v>0</v>
      </c>
      <c r="AJ79" s="627">
        <f ca="1">IF(AND($D79="Serviço",AJ$12&lt;&gt;0,$H79&gt;0,OR(AUTOEVENTO&lt;&gt;"manual",$M79&lt;&gt;1)),
IF(Import.TipoArredondamento&lt;&gt;"TransfereGOV",
ROUND(OFFSET($P79,0,AJ$13),15-13*ORÇAMENTO!$AF$7)/$H79*OFFSET(ORÇAMENTO!$X$15,ROW(AJ79)-ROW(AJ$15),0),
ROUND(ROUND(OFFSET($P79,0,AJ$13),15-13*ORÇAMENTO!$AF$7)*OFFSET(ORÇAMENTO!$W$15,ROW(AJ79)-ROW(AJ$15),0),15-13*ORÇAMENTO!$AF$11)),0)</f>
        <v>0</v>
      </c>
      <c r="AK79" s="628">
        <f ca="1">IF(AND($D79="Serviço",AK$12&lt;&gt;0,$H79&gt;0,OR(AUTOEVENTO&lt;&gt;"manual",$M79&lt;&gt;1)),
IF(Import.TipoArredondamento&lt;&gt;"TransfereGOV",
ROUND(OFFSET($P79,0,AK$13),15-13*ORÇAMENTO!$AF$7)/$H79*OFFSET(ORÇAMENTO!$X$15,ROW(AK79)-ROW(AK$15),0),
ROUND(ROUND(OFFSET($P79,0,AK$13),15-13*ORÇAMENTO!$AF$7)*OFFSET(ORÇAMENTO!$W$15,ROW(AK79)-ROW(AK$15),0),15-13*ORÇAMENTO!$AF$11)),0)</f>
        <v>0</v>
      </c>
      <c r="AM79" s="211">
        <f ca="1">IF($D79&lt;&gt;"Serviço",0,IF(AND(AUTOEVENTO="Manual",$M79=1),0,IF(OFFSET(CRONOPLE!$F$14,$M79,AM$13)="",10^12,OFFSET(CRONOPLE!$F$14,$M79,AM$13))))</f>
        <v>2</v>
      </c>
      <c r="AN79" s="211">
        <f ca="1">IF($D79&lt;&gt;"Serviço",0,IF(AND(AUTOEVENTO="Manual",$M79=1),0,IF(OFFSET(CRONOPLE!$F$14,$M79,AN$13)="",10^12,OFFSET(CRONOPLE!$F$14,$M79,AN$13))))</f>
        <v>1</v>
      </c>
      <c r="AO79" s="211">
        <f ca="1">IF($D79&lt;&gt;"Serviço",0,IF(AND(AUTOEVENTO="Manual",$M79=1),0,IF(OFFSET(CRONOPLE!$F$14,$M79,AO$13)="",10^12,OFFSET(CRONOPLE!$F$14,$M79,AO$13))))</f>
        <v>2</v>
      </c>
      <c r="AP79" s="211">
        <f ca="1">IF($D79&lt;&gt;"Serviço",0,IF(AND(AUTOEVENTO="Manual",$M79=1),0,IF(OFFSET(CRONOPLE!$F$14,$M79,AP$13)="",10^12,OFFSET(CRONOPLE!$F$14,$M79,AP$13))))</f>
        <v>2</v>
      </c>
      <c r="AQ79" s="211">
        <f ca="1">IF($D79&lt;&gt;"Serviço",0,IF(AND(AUTOEVENTO="Manual",$M79=1),0,IF(OFFSET(CRONOPLE!$F$14,$M79,AQ$13)="",10^12,OFFSET(CRONOPLE!$F$14,$M79,AQ$13))))</f>
        <v>1000000000000</v>
      </c>
      <c r="AR79" s="211">
        <f ca="1">IF($D79&lt;&gt;"Serviço",0,IF(AND(AUTOEVENTO="Manual",$M79=1),0,IF(OFFSET(CRONOPLE!$F$14,$M79,AR$13)="",10^12,OFFSET(CRONOPLE!$F$14,$M79,AR$13))))</f>
        <v>1000000000000</v>
      </c>
      <c r="AS79" s="211">
        <f ca="1">IF($D79&lt;&gt;"Serviço",0,IF(AND(AUTOEVENTO="Manual",$M79=1),0,IF(OFFSET(CRONOPLE!$F$14,$M79,AS$13)="",10^12,OFFSET(CRONOPLE!$F$14,$M79,AS$13))))</f>
        <v>1000000000000</v>
      </c>
      <c r="AT79" s="211">
        <f ca="1">IF($D79&lt;&gt;"Serviço",0,IF(AND(AUTOEVENTO="Manual",$M79=1),0,IF(OFFSET(CRONOPLE!$F$14,$M79,AT$13)="",10^12,OFFSET(CRONOPLE!$F$14,$M79,AT$13))))</f>
        <v>1000000000000</v>
      </c>
      <c r="AU79" s="211">
        <f ca="1">IF($D79&lt;&gt;"Serviço",0,IF(AND(AUTOEVENTO="Manual",$M79=1),0,IF(OFFSET(CRONOPLE!$F$14,$M79,AU$13)="",10^12,OFFSET(CRONOPLE!$F$14,$M79,AU$13))))</f>
        <v>1000000000000</v>
      </c>
      <c r="AV79" s="211">
        <f ca="1">IF($D79&lt;&gt;"Serviço",0,IF(AND(AUTOEVENTO="Manual",$M79=1),0,IF(OFFSET(CRONOPLE!$F$14,$M79,AV$13)="",10^12,OFFSET(CRONOPLE!$F$14,$M79,AV$13))))</f>
        <v>1000000000000</v>
      </c>
      <c r="AX79" s="212">
        <f ca="1">IF($D79&lt;&gt;"Serviço",0,IF(OR(AND(AUTOEVENTO="Manual",$M79=1),$M79&gt;(ROW(PLE.lastrow)-ROW(PLE.firstrow))),0,IF(OFFSET(PLE!$G$14,$M79,AX$13)="",10^12,OFFSET(PLE!$G$14,$M79,AX$13))))</f>
        <v>1000000000000</v>
      </c>
      <c r="AY79" s="212">
        <f ca="1">IF($D79&lt;&gt;"Serviço",0,IF(OR(AND(AUTOEVENTO="Manual",$M79=1),$M79&gt;(ROW(PLE.lastrow)-ROW(PLE.firstrow))),0,IF(OFFSET(PLE!$G$14,$M79,AY$13)="",10^12,OFFSET(PLE!$G$14,$M79,AY$13))))</f>
        <v>1000000000000</v>
      </c>
      <c r="AZ79" s="212">
        <f ca="1">IF($D79&lt;&gt;"Serviço",0,IF(OR(AND(AUTOEVENTO="Manual",$M79=1),$M79&gt;(ROW(PLE.lastrow)-ROW(PLE.firstrow))),0,IF(OFFSET(PLE!$G$14,$M79,AZ$13)="",10^12,OFFSET(PLE!$G$14,$M79,AZ$13))))</f>
        <v>1000000000000</v>
      </c>
      <c r="BA79" s="212">
        <f ca="1">IF($D79&lt;&gt;"Serviço",0,IF(OR(AND(AUTOEVENTO="Manual",$M79=1),$M79&gt;(ROW(PLE.lastrow)-ROW(PLE.firstrow))),0,IF(OFFSET(PLE!$G$14,$M79,BA$13)="",10^12,OFFSET(PLE!$G$14,$M79,BA$13))))</f>
        <v>1000000000000</v>
      </c>
      <c r="BB79" s="212">
        <f ca="1">IF($D79&lt;&gt;"Serviço",0,IF(OR(AND(AUTOEVENTO="Manual",$M79=1),$M79&gt;(ROW(PLE.lastrow)-ROW(PLE.firstrow))),0,IF(OFFSET(PLE!$G$14,$M79,BB$13)="",10^12,OFFSET(PLE!$G$14,$M79,BB$13))))</f>
        <v>1000000000000</v>
      </c>
      <c r="BC79" s="212">
        <f ca="1">IF($D79&lt;&gt;"Serviço",0,IF(OR(AND(AUTOEVENTO="Manual",$M79=1),$M79&gt;(ROW(PLE.lastrow)-ROW(PLE.firstrow))),0,IF(OFFSET(PLE!$G$14,$M79,BC$13)="",10^12,OFFSET(PLE!$G$14,$M79,BC$13))))</f>
        <v>1000000000000</v>
      </c>
      <c r="BD79" s="212">
        <f ca="1">IF($D79&lt;&gt;"Serviço",0,IF(OR(AND(AUTOEVENTO="Manual",$M79=1),$M79&gt;(ROW(PLE.lastrow)-ROW(PLE.firstrow))),0,IF(OFFSET(PLE!$G$14,$M79,BD$13)="",10^12,OFFSET(PLE!$G$14,$M79,BD$13))))</f>
        <v>1000000000000</v>
      </c>
      <c r="BE79" s="212">
        <f ca="1">IF($D79&lt;&gt;"Serviço",0,IF(OR(AND(AUTOEVENTO="Manual",$M79=1),$M79&gt;(ROW(PLE.lastrow)-ROW(PLE.firstrow))),0,IF(OFFSET(PLE!$G$14,$M79,BE$13)="",10^12,OFFSET(PLE!$G$14,$M79,BE$13))))</f>
        <v>1000000000000</v>
      </c>
      <c r="BF79" s="212">
        <f ca="1">IF($D79&lt;&gt;"Serviço",0,IF(OR(AND(AUTOEVENTO="Manual",$M79=1),$M79&gt;(ROW(PLE.lastrow)-ROW(PLE.firstrow))),0,IF(OFFSET(PLE!$G$14,$M79,BF$13)="",10^12,OFFSET(PLE!$G$14,$M79,BF$13))))</f>
        <v>1000000000000</v>
      </c>
      <c r="BG79" s="212">
        <f ca="1">IF($D79&lt;&gt;"Serviço",0,IF(OR(AND(AUTOEVENTO="Manual",$M79=1),$M79&gt;(ROW(PLE.lastrow)-ROW(PLE.firstrow))),0,IF(OFFSET(PLE!$G$14,$M79,BG$13)="",10^12,OFFSET(PLE!$G$14,$M79,BG$13))))</f>
        <v>1000000000000</v>
      </c>
    </row>
    <row r="80" spans="1:59" ht="13.2">
      <c r="A80" s="9" t="str">
        <f t="shared" ca="1" si="10"/>
        <v>15</v>
      </c>
      <c r="B80" s="9" t="str">
        <f ca="1">OFFSET(ORÇAMENTO!C$15,ROW(B80)-ROW(B$15),0)</f>
        <v>S</v>
      </c>
      <c r="C80" s="9" t="str">
        <f ca="1">OFFSET(ORÇAMENTO!L$15,ROW(C80)-ROW(C$15),0)</f>
        <v/>
      </c>
      <c r="D80" s="141" t="str">
        <f ca="1">OFFSET(ORÇAMENTO!N$15,ROW(D80)-ROW(D$15),0)</f>
        <v>Serviço</v>
      </c>
      <c r="E80" s="201" t="str">
        <f ca="1">OFFSET(ORÇAMENTO!O$15,ROW(E80)-ROW(E$15),0)</f>
        <v>-</v>
      </c>
      <c r="F80" s="202" t="str">
        <f ca="1">OFFSET(ORÇAMENTO!R$15,ROW(F80)-ROW(F$15),0)</f>
        <v>(abra o arquivo 'Referência 11-2024.xlsm)</v>
      </c>
      <c r="G80" s="203" t="str">
        <f ca="1">IF($D80&lt;&gt;"Serviço","",OFFSET(ORÇAMENTO!S$15,ROW(G80)-ROW(G$15),0))</f>
        <v>-</v>
      </c>
      <c r="H80" s="147">
        <f ca="1">IF($D80&lt;&gt;"Serviço",0,IF(ACOMPANHAMENTO="BM",ROUND(OFFSET(ORÇAMENTO!AJ$15,ROW(H80)-ROW(H$15),0),15-13*ORÇAMENTO!$AF$7),SUMPRODUCT(($Q$12:$AA$12&lt;&gt;"")*ROUND($Q80:$AA80,15-13*ORÇAMENTO!$AF$7))))</f>
        <v>0</v>
      </c>
      <c r="I80" s="645"/>
      <c r="K80" s="204"/>
      <c r="L80" s="205" t="s">
        <v>255</v>
      </c>
      <c r="M80" s="206">
        <f ca="1">IF($D80&lt;&gt;"Serviço","",IF(AUTOEVENTO="manual",$A80,IF(ISERROR(MATCH($A80,$A$15:OFFSET($A80,-1,0),0)),MAX($M$15:OFFSET(M80,-1,0))+1,INDEX($M$15:OFFSET(M80,-1,0),MATCH($A80,$A$15:OFFSET($A80,-1,0),0)))))</f>
        <v>6</v>
      </c>
      <c r="N80" s="207" t="str">
        <f ca="1">IF($D80&lt;&gt;"Serviço","",IF(AUTOEVENTO="Manual",IF($A80=0,"&lt;-- defina o número do agrupador",OFFSET(EVENTOS!$D$14,$A80,0)),OFFSET($F$15,$A80,0)))</f>
        <v>DRENAGEM</v>
      </c>
      <c r="O80" s="208"/>
      <c r="Q80" s="208"/>
      <c r="R80" s="209"/>
      <c r="S80" s="209"/>
      <c r="T80" s="209"/>
      <c r="U80" s="209"/>
      <c r="V80" s="209"/>
      <c r="W80" s="209"/>
      <c r="X80" s="209"/>
      <c r="Y80" s="209"/>
      <c r="Z80" s="210"/>
      <c r="AB80" s="626">
        <f ca="1">IF(AND($D80="Serviço",AB$12&lt;&gt;0,$H80&gt;0,OR(AUTOEVENTO&lt;&gt;"manual",$M80&lt;&gt;1)),
IF(Import.TipoArredondamento&lt;&gt;"TransfereGOV",
ROUND(OFFSET($P80,0,AB$13),15-13*ORÇAMENTO!$AF$7)/$H80*OFFSET(ORÇAMENTO!$X$15,ROW(AB80)-ROW(AB$15),0),
ROUND(ROUND(OFFSET($P80,0,AB$13),15-13*ORÇAMENTO!$AF$7)*OFFSET(ORÇAMENTO!$W$15,ROW(AB80)-ROW(AB$15),0),15-13*ORÇAMENTO!$AF$11)),0)</f>
        <v>0</v>
      </c>
      <c r="AC80" s="627">
        <f ca="1">IF(AND($D80="Serviço",AC$12&lt;&gt;0,$H80&gt;0,OR(AUTOEVENTO&lt;&gt;"manual",$M80&lt;&gt;1)),
IF(Import.TipoArredondamento&lt;&gt;"TransfereGOV",
ROUND(OFFSET($P80,0,AC$13),15-13*ORÇAMENTO!$AF$7)/$H80*OFFSET(ORÇAMENTO!$X$15,ROW(AC80)-ROW(AC$15),0),
ROUND(ROUND(OFFSET($P80,0,AC$13),15-13*ORÇAMENTO!$AF$7)*OFFSET(ORÇAMENTO!$W$15,ROW(AC80)-ROW(AC$15),0),15-13*ORÇAMENTO!$AF$11)),0)</f>
        <v>0</v>
      </c>
      <c r="AD80" s="627">
        <f ca="1">IF(AND($D80="Serviço",AD$12&lt;&gt;0,$H80&gt;0,OR(AUTOEVENTO&lt;&gt;"manual",$M80&lt;&gt;1)),
IF(Import.TipoArredondamento&lt;&gt;"TransfereGOV",
ROUND(OFFSET($P80,0,AD$13),15-13*ORÇAMENTO!$AF$7)/$H80*OFFSET(ORÇAMENTO!$X$15,ROW(AD80)-ROW(AD$15),0),
ROUND(ROUND(OFFSET($P80,0,AD$13),15-13*ORÇAMENTO!$AF$7)*OFFSET(ORÇAMENTO!$W$15,ROW(AD80)-ROW(AD$15),0),15-13*ORÇAMENTO!$AF$11)),0)</f>
        <v>0</v>
      </c>
      <c r="AE80" s="627">
        <f ca="1">IF(AND($D80="Serviço",AE$12&lt;&gt;0,$H80&gt;0,OR(AUTOEVENTO&lt;&gt;"manual",$M80&lt;&gt;1)),
IF(Import.TipoArredondamento&lt;&gt;"TransfereGOV",
ROUND(OFFSET($P80,0,AE$13),15-13*ORÇAMENTO!$AF$7)/$H80*OFFSET(ORÇAMENTO!$X$15,ROW(AE80)-ROW(AE$15),0),
ROUND(ROUND(OFFSET($P80,0,AE$13),15-13*ORÇAMENTO!$AF$7)*OFFSET(ORÇAMENTO!$W$15,ROW(AE80)-ROW(AE$15),0),15-13*ORÇAMENTO!$AF$11)),0)</f>
        <v>0</v>
      </c>
      <c r="AF80" s="627">
        <f ca="1">IF(AND($D80="Serviço",AF$12&lt;&gt;0,$H80&gt;0,OR(AUTOEVENTO&lt;&gt;"manual",$M80&lt;&gt;1)),
IF(Import.TipoArredondamento&lt;&gt;"TransfereGOV",
ROUND(OFFSET($P80,0,AF$13),15-13*ORÇAMENTO!$AF$7)/$H80*OFFSET(ORÇAMENTO!$X$15,ROW(AF80)-ROW(AF$15),0),
ROUND(ROUND(OFFSET($P80,0,AF$13),15-13*ORÇAMENTO!$AF$7)*OFFSET(ORÇAMENTO!$W$15,ROW(AF80)-ROW(AF$15),0),15-13*ORÇAMENTO!$AF$11)),0)</f>
        <v>0</v>
      </c>
      <c r="AG80" s="627">
        <f ca="1">IF(AND($D80="Serviço",AG$12&lt;&gt;0,$H80&gt;0,OR(AUTOEVENTO&lt;&gt;"manual",$M80&lt;&gt;1)),
IF(Import.TipoArredondamento&lt;&gt;"TransfereGOV",
ROUND(OFFSET($P80,0,AG$13),15-13*ORÇAMENTO!$AF$7)/$H80*OFFSET(ORÇAMENTO!$X$15,ROW(AG80)-ROW(AG$15),0),
ROUND(ROUND(OFFSET($P80,0,AG$13),15-13*ORÇAMENTO!$AF$7)*OFFSET(ORÇAMENTO!$W$15,ROW(AG80)-ROW(AG$15),0),15-13*ORÇAMENTO!$AF$11)),0)</f>
        <v>0</v>
      </c>
      <c r="AH80" s="627">
        <f ca="1">IF(AND($D80="Serviço",AH$12&lt;&gt;0,$H80&gt;0,OR(AUTOEVENTO&lt;&gt;"manual",$M80&lt;&gt;1)),
IF(Import.TipoArredondamento&lt;&gt;"TransfereGOV",
ROUND(OFFSET($P80,0,AH$13),15-13*ORÇAMENTO!$AF$7)/$H80*OFFSET(ORÇAMENTO!$X$15,ROW(AH80)-ROW(AH$15),0),
ROUND(ROUND(OFFSET($P80,0,AH$13),15-13*ORÇAMENTO!$AF$7)*OFFSET(ORÇAMENTO!$W$15,ROW(AH80)-ROW(AH$15),0),15-13*ORÇAMENTO!$AF$11)),0)</f>
        <v>0</v>
      </c>
      <c r="AI80" s="627">
        <f ca="1">IF(AND($D80="Serviço",AI$12&lt;&gt;0,$H80&gt;0,OR(AUTOEVENTO&lt;&gt;"manual",$M80&lt;&gt;1)),
IF(Import.TipoArredondamento&lt;&gt;"TransfereGOV",
ROUND(OFFSET($P80,0,AI$13),15-13*ORÇAMENTO!$AF$7)/$H80*OFFSET(ORÇAMENTO!$X$15,ROW(AI80)-ROW(AI$15),0),
ROUND(ROUND(OFFSET($P80,0,AI$13),15-13*ORÇAMENTO!$AF$7)*OFFSET(ORÇAMENTO!$W$15,ROW(AI80)-ROW(AI$15),0),15-13*ORÇAMENTO!$AF$11)),0)</f>
        <v>0</v>
      </c>
      <c r="AJ80" s="627">
        <f ca="1">IF(AND($D80="Serviço",AJ$12&lt;&gt;0,$H80&gt;0,OR(AUTOEVENTO&lt;&gt;"manual",$M80&lt;&gt;1)),
IF(Import.TipoArredondamento&lt;&gt;"TransfereGOV",
ROUND(OFFSET($P80,0,AJ$13),15-13*ORÇAMENTO!$AF$7)/$H80*OFFSET(ORÇAMENTO!$X$15,ROW(AJ80)-ROW(AJ$15),0),
ROUND(ROUND(OFFSET($P80,0,AJ$13),15-13*ORÇAMENTO!$AF$7)*OFFSET(ORÇAMENTO!$W$15,ROW(AJ80)-ROW(AJ$15),0),15-13*ORÇAMENTO!$AF$11)),0)</f>
        <v>0</v>
      </c>
      <c r="AK80" s="628">
        <f ca="1">IF(AND($D80="Serviço",AK$12&lt;&gt;0,$H80&gt;0,OR(AUTOEVENTO&lt;&gt;"manual",$M80&lt;&gt;1)),
IF(Import.TipoArredondamento&lt;&gt;"TransfereGOV",
ROUND(OFFSET($P80,0,AK$13),15-13*ORÇAMENTO!$AF$7)/$H80*OFFSET(ORÇAMENTO!$X$15,ROW(AK80)-ROW(AK$15),0),
ROUND(ROUND(OFFSET($P80,0,AK$13),15-13*ORÇAMENTO!$AF$7)*OFFSET(ORÇAMENTO!$W$15,ROW(AK80)-ROW(AK$15),0),15-13*ORÇAMENTO!$AF$11)),0)</f>
        <v>0</v>
      </c>
      <c r="AM80" s="211">
        <f ca="1">IF($D80&lt;&gt;"Serviço",0,IF(AND(AUTOEVENTO="Manual",$M80=1),0,IF(OFFSET(CRONOPLE!$F$14,$M80,AM$13)="",10^12,OFFSET(CRONOPLE!$F$14,$M80,AM$13))))</f>
        <v>2</v>
      </c>
      <c r="AN80" s="211">
        <f ca="1">IF($D80&lt;&gt;"Serviço",0,IF(AND(AUTOEVENTO="Manual",$M80=1),0,IF(OFFSET(CRONOPLE!$F$14,$M80,AN$13)="",10^12,OFFSET(CRONOPLE!$F$14,$M80,AN$13))))</f>
        <v>1</v>
      </c>
      <c r="AO80" s="211">
        <f ca="1">IF($D80&lt;&gt;"Serviço",0,IF(AND(AUTOEVENTO="Manual",$M80=1),0,IF(OFFSET(CRONOPLE!$F$14,$M80,AO$13)="",10^12,OFFSET(CRONOPLE!$F$14,$M80,AO$13))))</f>
        <v>2</v>
      </c>
      <c r="AP80" s="211">
        <f ca="1">IF($D80&lt;&gt;"Serviço",0,IF(AND(AUTOEVENTO="Manual",$M80=1),0,IF(OFFSET(CRONOPLE!$F$14,$M80,AP$13)="",10^12,OFFSET(CRONOPLE!$F$14,$M80,AP$13))))</f>
        <v>2</v>
      </c>
      <c r="AQ80" s="211">
        <f ca="1">IF($D80&lt;&gt;"Serviço",0,IF(AND(AUTOEVENTO="Manual",$M80=1),0,IF(OFFSET(CRONOPLE!$F$14,$M80,AQ$13)="",10^12,OFFSET(CRONOPLE!$F$14,$M80,AQ$13))))</f>
        <v>1000000000000</v>
      </c>
      <c r="AR80" s="211">
        <f ca="1">IF($D80&lt;&gt;"Serviço",0,IF(AND(AUTOEVENTO="Manual",$M80=1),0,IF(OFFSET(CRONOPLE!$F$14,$M80,AR$13)="",10^12,OFFSET(CRONOPLE!$F$14,$M80,AR$13))))</f>
        <v>1000000000000</v>
      </c>
      <c r="AS80" s="211">
        <f ca="1">IF($D80&lt;&gt;"Serviço",0,IF(AND(AUTOEVENTO="Manual",$M80=1),0,IF(OFFSET(CRONOPLE!$F$14,$M80,AS$13)="",10^12,OFFSET(CRONOPLE!$F$14,$M80,AS$13))))</f>
        <v>1000000000000</v>
      </c>
      <c r="AT80" s="211">
        <f ca="1">IF($D80&lt;&gt;"Serviço",0,IF(AND(AUTOEVENTO="Manual",$M80=1),0,IF(OFFSET(CRONOPLE!$F$14,$M80,AT$13)="",10^12,OFFSET(CRONOPLE!$F$14,$M80,AT$13))))</f>
        <v>1000000000000</v>
      </c>
      <c r="AU80" s="211">
        <f ca="1">IF($D80&lt;&gt;"Serviço",0,IF(AND(AUTOEVENTO="Manual",$M80=1),0,IF(OFFSET(CRONOPLE!$F$14,$M80,AU$13)="",10^12,OFFSET(CRONOPLE!$F$14,$M80,AU$13))))</f>
        <v>1000000000000</v>
      </c>
      <c r="AV80" s="211">
        <f ca="1">IF($D80&lt;&gt;"Serviço",0,IF(AND(AUTOEVENTO="Manual",$M80=1),0,IF(OFFSET(CRONOPLE!$F$14,$M80,AV$13)="",10^12,OFFSET(CRONOPLE!$F$14,$M80,AV$13))))</f>
        <v>1000000000000</v>
      </c>
      <c r="AX80" s="212">
        <f ca="1">IF($D80&lt;&gt;"Serviço",0,IF(OR(AND(AUTOEVENTO="Manual",$M80=1),$M80&gt;(ROW(PLE.lastrow)-ROW(PLE.firstrow))),0,IF(OFFSET(PLE!$G$14,$M80,AX$13)="",10^12,OFFSET(PLE!$G$14,$M80,AX$13))))</f>
        <v>1000000000000</v>
      </c>
      <c r="AY80" s="212">
        <f ca="1">IF($D80&lt;&gt;"Serviço",0,IF(OR(AND(AUTOEVENTO="Manual",$M80=1),$M80&gt;(ROW(PLE.lastrow)-ROW(PLE.firstrow))),0,IF(OFFSET(PLE!$G$14,$M80,AY$13)="",10^12,OFFSET(PLE!$G$14,$M80,AY$13))))</f>
        <v>1000000000000</v>
      </c>
      <c r="AZ80" s="212">
        <f ca="1">IF($D80&lt;&gt;"Serviço",0,IF(OR(AND(AUTOEVENTO="Manual",$M80=1),$M80&gt;(ROW(PLE.lastrow)-ROW(PLE.firstrow))),0,IF(OFFSET(PLE!$G$14,$M80,AZ$13)="",10^12,OFFSET(PLE!$G$14,$M80,AZ$13))))</f>
        <v>1000000000000</v>
      </c>
      <c r="BA80" s="212">
        <f ca="1">IF($D80&lt;&gt;"Serviço",0,IF(OR(AND(AUTOEVENTO="Manual",$M80=1),$M80&gt;(ROW(PLE.lastrow)-ROW(PLE.firstrow))),0,IF(OFFSET(PLE!$G$14,$M80,BA$13)="",10^12,OFFSET(PLE!$G$14,$M80,BA$13))))</f>
        <v>1000000000000</v>
      </c>
      <c r="BB80" s="212">
        <f ca="1">IF($D80&lt;&gt;"Serviço",0,IF(OR(AND(AUTOEVENTO="Manual",$M80=1),$M80&gt;(ROW(PLE.lastrow)-ROW(PLE.firstrow))),0,IF(OFFSET(PLE!$G$14,$M80,BB$13)="",10^12,OFFSET(PLE!$G$14,$M80,BB$13))))</f>
        <v>1000000000000</v>
      </c>
      <c r="BC80" s="212">
        <f ca="1">IF($D80&lt;&gt;"Serviço",0,IF(OR(AND(AUTOEVENTO="Manual",$M80=1),$M80&gt;(ROW(PLE.lastrow)-ROW(PLE.firstrow))),0,IF(OFFSET(PLE!$G$14,$M80,BC$13)="",10^12,OFFSET(PLE!$G$14,$M80,BC$13))))</f>
        <v>1000000000000</v>
      </c>
      <c r="BD80" s="212">
        <f ca="1">IF($D80&lt;&gt;"Serviço",0,IF(OR(AND(AUTOEVENTO="Manual",$M80=1),$M80&gt;(ROW(PLE.lastrow)-ROW(PLE.firstrow))),0,IF(OFFSET(PLE!$G$14,$M80,BD$13)="",10^12,OFFSET(PLE!$G$14,$M80,BD$13))))</f>
        <v>1000000000000</v>
      </c>
      <c r="BE80" s="212">
        <f ca="1">IF($D80&lt;&gt;"Serviço",0,IF(OR(AND(AUTOEVENTO="Manual",$M80=1),$M80&gt;(ROW(PLE.lastrow)-ROW(PLE.firstrow))),0,IF(OFFSET(PLE!$G$14,$M80,BE$13)="",10^12,OFFSET(PLE!$G$14,$M80,BE$13))))</f>
        <v>1000000000000</v>
      </c>
      <c r="BF80" s="212">
        <f ca="1">IF($D80&lt;&gt;"Serviço",0,IF(OR(AND(AUTOEVENTO="Manual",$M80=1),$M80&gt;(ROW(PLE.lastrow)-ROW(PLE.firstrow))),0,IF(OFFSET(PLE!$G$14,$M80,BF$13)="",10^12,OFFSET(PLE!$G$14,$M80,BF$13))))</f>
        <v>1000000000000</v>
      </c>
      <c r="BG80" s="212">
        <f ca="1">IF($D80&lt;&gt;"Serviço",0,IF(OR(AND(AUTOEVENTO="Manual",$M80=1),$M80&gt;(ROW(PLE.lastrow)-ROW(PLE.firstrow))),0,IF(OFFSET(PLE!$G$14,$M80,BG$13)="",10^12,OFFSET(PLE!$G$14,$M80,BG$13))))</f>
        <v>1000000000000</v>
      </c>
    </row>
    <row r="81" spans="1:59" ht="13.2">
      <c r="A81" s="9" t="str">
        <f t="shared" ca="1" si="10"/>
        <v>15</v>
      </c>
      <c r="B81" s="9" t="str">
        <f ca="1">OFFSET(ORÇAMENTO!C$15,ROW(B81)-ROW(B$15),0)</f>
        <v>S</v>
      </c>
      <c r="C81" s="9" t="str">
        <f ca="1">OFFSET(ORÇAMENTO!L$15,ROW(C81)-ROW(C$15),0)</f>
        <v/>
      </c>
      <c r="D81" s="141" t="str">
        <f ca="1">OFFSET(ORÇAMENTO!N$15,ROW(D81)-ROW(D$15),0)</f>
        <v>Serviço</v>
      </c>
      <c r="E81" s="201" t="str">
        <f ca="1">OFFSET(ORÇAMENTO!O$15,ROW(E81)-ROW(E$15),0)</f>
        <v>-</v>
      </c>
      <c r="F81" s="202" t="str">
        <f ca="1">OFFSET(ORÇAMENTO!R$15,ROW(F81)-ROW(F$15),0)</f>
        <v>(abra o arquivo 'Referência 11-2024.xlsm)</v>
      </c>
      <c r="G81" s="203" t="str">
        <f ca="1">IF($D81&lt;&gt;"Serviço","",OFFSET(ORÇAMENTO!S$15,ROW(G81)-ROW(G$15),0))</f>
        <v>-</v>
      </c>
      <c r="H81" s="147">
        <f ca="1">IF($D81&lt;&gt;"Serviço",0,IF(ACOMPANHAMENTO="BM",ROUND(OFFSET(ORÇAMENTO!AJ$15,ROW(H81)-ROW(H$15),0),15-13*ORÇAMENTO!$AF$7),SUMPRODUCT(($Q$12:$AA$12&lt;&gt;"")*ROUND($Q81:$AA81,15-13*ORÇAMENTO!$AF$7))))</f>
        <v>0</v>
      </c>
      <c r="I81" s="645"/>
      <c r="K81" s="204"/>
      <c r="L81" s="205" t="s">
        <v>255</v>
      </c>
      <c r="M81" s="206">
        <f ca="1">IF($D81&lt;&gt;"Serviço","",IF(AUTOEVENTO="manual",$A81,IF(ISERROR(MATCH($A81,$A$15:OFFSET($A81,-1,0),0)),MAX($M$15:OFFSET(M81,-1,0))+1,INDEX($M$15:OFFSET(M81,-1,0),MATCH($A81,$A$15:OFFSET($A81,-1,0),0)))))</f>
        <v>6</v>
      </c>
      <c r="N81" s="207" t="str">
        <f ca="1">IF($D81&lt;&gt;"Serviço","",IF(AUTOEVENTO="Manual",IF($A81=0,"&lt;-- defina o número do agrupador",OFFSET(EVENTOS!$D$14,$A81,0)),OFFSET($F$15,$A81,0)))</f>
        <v>DRENAGEM</v>
      </c>
      <c r="O81" s="208"/>
      <c r="Q81" s="208"/>
      <c r="R81" s="209"/>
      <c r="S81" s="209"/>
      <c r="T81" s="209"/>
      <c r="U81" s="209"/>
      <c r="V81" s="209"/>
      <c r="W81" s="209"/>
      <c r="X81" s="209"/>
      <c r="Y81" s="209"/>
      <c r="Z81" s="210"/>
      <c r="AB81" s="626">
        <f ca="1">IF(AND($D81="Serviço",AB$12&lt;&gt;0,$H81&gt;0,OR(AUTOEVENTO&lt;&gt;"manual",$M81&lt;&gt;1)),
IF(Import.TipoArredondamento&lt;&gt;"TransfereGOV",
ROUND(OFFSET($P81,0,AB$13),15-13*ORÇAMENTO!$AF$7)/$H81*OFFSET(ORÇAMENTO!$X$15,ROW(AB81)-ROW(AB$15),0),
ROUND(ROUND(OFFSET($P81,0,AB$13),15-13*ORÇAMENTO!$AF$7)*OFFSET(ORÇAMENTO!$W$15,ROW(AB81)-ROW(AB$15),0),15-13*ORÇAMENTO!$AF$11)),0)</f>
        <v>0</v>
      </c>
      <c r="AC81" s="627">
        <f ca="1">IF(AND($D81="Serviço",AC$12&lt;&gt;0,$H81&gt;0,OR(AUTOEVENTO&lt;&gt;"manual",$M81&lt;&gt;1)),
IF(Import.TipoArredondamento&lt;&gt;"TransfereGOV",
ROUND(OFFSET($P81,0,AC$13),15-13*ORÇAMENTO!$AF$7)/$H81*OFFSET(ORÇAMENTO!$X$15,ROW(AC81)-ROW(AC$15),0),
ROUND(ROUND(OFFSET($P81,0,AC$13),15-13*ORÇAMENTO!$AF$7)*OFFSET(ORÇAMENTO!$W$15,ROW(AC81)-ROW(AC$15),0),15-13*ORÇAMENTO!$AF$11)),0)</f>
        <v>0</v>
      </c>
      <c r="AD81" s="627">
        <f ca="1">IF(AND($D81="Serviço",AD$12&lt;&gt;0,$H81&gt;0,OR(AUTOEVENTO&lt;&gt;"manual",$M81&lt;&gt;1)),
IF(Import.TipoArredondamento&lt;&gt;"TransfereGOV",
ROUND(OFFSET($P81,0,AD$13),15-13*ORÇAMENTO!$AF$7)/$H81*OFFSET(ORÇAMENTO!$X$15,ROW(AD81)-ROW(AD$15),0),
ROUND(ROUND(OFFSET($P81,0,AD$13),15-13*ORÇAMENTO!$AF$7)*OFFSET(ORÇAMENTO!$W$15,ROW(AD81)-ROW(AD$15),0),15-13*ORÇAMENTO!$AF$11)),0)</f>
        <v>0</v>
      </c>
      <c r="AE81" s="627">
        <f ca="1">IF(AND($D81="Serviço",AE$12&lt;&gt;0,$H81&gt;0,OR(AUTOEVENTO&lt;&gt;"manual",$M81&lt;&gt;1)),
IF(Import.TipoArredondamento&lt;&gt;"TransfereGOV",
ROUND(OFFSET($P81,0,AE$13),15-13*ORÇAMENTO!$AF$7)/$H81*OFFSET(ORÇAMENTO!$X$15,ROW(AE81)-ROW(AE$15),0),
ROUND(ROUND(OFFSET($P81,0,AE$13),15-13*ORÇAMENTO!$AF$7)*OFFSET(ORÇAMENTO!$W$15,ROW(AE81)-ROW(AE$15),0),15-13*ORÇAMENTO!$AF$11)),0)</f>
        <v>0</v>
      </c>
      <c r="AF81" s="627">
        <f ca="1">IF(AND($D81="Serviço",AF$12&lt;&gt;0,$H81&gt;0,OR(AUTOEVENTO&lt;&gt;"manual",$M81&lt;&gt;1)),
IF(Import.TipoArredondamento&lt;&gt;"TransfereGOV",
ROUND(OFFSET($P81,0,AF$13),15-13*ORÇAMENTO!$AF$7)/$H81*OFFSET(ORÇAMENTO!$X$15,ROW(AF81)-ROW(AF$15),0),
ROUND(ROUND(OFFSET($P81,0,AF$13),15-13*ORÇAMENTO!$AF$7)*OFFSET(ORÇAMENTO!$W$15,ROW(AF81)-ROW(AF$15),0),15-13*ORÇAMENTO!$AF$11)),0)</f>
        <v>0</v>
      </c>
      <c r="AG81" s="627">
        <f ca="1">IF(AND($D81="Serviço",AG$12&lt;&gt;0,$H81&gt;0,OR(AUTOEVENTO&lt;&gt;"manual",$M81&lt;&gt;1)),
IF(Import.TipoArredondamento&lt;&gt;"TransfereGOV",
ROUND(OFFSET($P81,0,AG$13),15-13*ORÇAMENTO!$AF$7)/$H81*OFFSET(ORÇAMENTO!$X$15,ROW(AG81)-ROW(AG$15),0),
ROUND(ROUND(OFFSET($P81,0,AG$13),15-13*ORÇAMENTO!$AF$7)*OFFSET(ORÇAMENTO!$W$15,ROW(AG81)-ROW(AG$15),0),15-13*ORÇAMENTO!$AF$11)),0)</f>
        <v>0</v>
      </c>
      <c r="AH81" s="627">
        <f ca="1">IF(AND($D81="Serviço",AH$12&lt;&gt;0,$H81&gt;0,OR(AUTOEVENTO&lt;&gt;"manual",$M81&lt;&gt;1)),
IF(Import.TipoArredondamento&lt;&gt;"TransfereGOV",
ROUND(OFFSET($P81,0,AH$13),15-13*ORÇAMENTO!$AF$7)/$H81*OFFSET(ORÇAMENTO!$X$15,ROW(AH81)-ROW(AH$15),0),
ROUND(ROUND(OFFSET($P81,0,AH$13),15-13*ORÇAMENTO!$AF$7)*OFFSET(ORÇAMENTO!$W$15,ROW(AH81)-ROW(AH$15),0),15-13*ORÇAMENTO!$AF$11)),0)</f>
        <v>0</v>
      </c>
      <c r="AI81" s="627">
        <f ca="1">IF(AND($D81="Serviço",AI$12&lt;&gt;0,$H81&gt;0,OR(AUTOEVENTO&lt;&gt;"manual",$M81&lt;&gt;1)),
IF(Import.TipoArredondamento&lt;&gt;"TransfereGOV",
ROUND(OFFSET($P81,0,AI$13),15-13*ORÇAMENTO!$AF$7)/$H81*OFFSET(ORÇAMENTO!$X$15,ROW(AI81)-ROW(AI$15),0),
ROUND(ROUND(OFFSET($P81,0,AI$13),15-13*ORÇAMENTO!$AF$7)*OFFSET(ORÇAMENTO!$W$15,ROW(AI81)-ROW(AI$15),0),15-13*ORÇAMENTO!$AF$11)),0)</f>
        <v>0</v>
      </c>
      <c r="AJ81" s="627">
        <f ca="1">IF(AND($D81="Serviço",AJ$12&lt;&gt;0,$H81&gt;0,OR(AUTOEVENTO&lt;&gt;"manual",$M81&lt;&gt;1)),
IF(Import.TipoArredondamento&lt;&gt;"TransfereGOV",
ROUND(OFFSET($P81,0,AJ$13),15-13*ORÇAMENTO!$AF$7)/$H81*OFFSET(ORÇAMENTO!$X$15,ROW(AJ81)-ROW(AJ$15),0),
ROUND(ROUND(OFFSET($P81,0,AJ$13),15-13*ORÇAMENTO!$AF$7)*OFFSET(ORÇAMENTO!$W$15,ROW(AJ81)-ROW(AJ$15),0),15-13*ORÇAMENTO!$AF$11)),0)</f>
        <v>0</v>
      </c>
      <c r="AK81" s="628">
        <f ca="1">IF(AND($D81="Serviço",AK$12&lt;&gt;0,$H81&gt;0,OR(AUTOEVENTO&lt;&gt;"manual",$M81&lt;&gt;1)),
IF(Import.TipoArredondamento&lt;&gt;"TransfereGOV",
ROUND(OFFSET($P81,0,AK$13),15-13*ORÇAMENTO!$AF$7)/$H81*OFFSET(ORÇAMENTO!$X$15,ROW(AK81)-ROW(AK$15),0),
ROUND(ROUND(OFFSET($P81,0,AK$13),15-13*ORÇAMENTO!$AF$7)*OFFSET(ORÇAMENTO!$W$15,ROW(AK81)-ROW(AK$15),0),15-13*ORÇAMENTO!$AF$11)),0)</f>
        <v>0</v>
      </c>
      <c r="AM81" s="211">
        <f ca="1">IF($D81&lt;&gt;"Serviço",0,IF(AND(AUTOEVENTO="Manual",$M81=1),0,IF(OFFSET(CRONOPLE!$F$14,$M81,AM$13)="",10^12,OFFSET(CRONOPLE!$F$14,$M81,AM$13))))</f>
        <v>2</v>
      </c>
      <c r="AN81" s="211">
        <f ca="1">IF($D81&lt;&gt;"Serviço",0,IF(AND(AUTOEVENTO="Manual",$M81=1),0,IF(OFFSET(CRONOPLE!$F$14,$M81,AN$13)="",10^12,OFFSET(CRONOPLE!$F$14,$M81,AN$13))))</f>
        <v>1</v>
      </c>
      <c r="AO81" s="211">
        <f ca="1">IF($D81&lt;&gt;"Serviço",0,IF(AND(AUTOEVENTO="Manual",$M81=1),0,IF(OFFSET(CRONOPLE!$F$14,$M81,AO$13)="",10^12,OFFSET(CRONOPLE!$F$14,$M81,AO$13))))</f>
        <v>2</v>
      </c>
      <c r="AP81" s="211">
        <f ca="1">IF($D81&lt;&gt;"Serviço",0,IF(AND(AUTOEVENTO="Manual",$M81=1),0,IF(OFFSET(CRONOPLE!$F$14,$M81,AP$13)="",10^12,OFFSET(CRONOPLE!$F$14,$M81,AP$13))))</f>
        <v>2</v>
      </c>
      <c r="AQ81" s="211">
        <f ca="1">IF($D81&lt;&gt;"Serviço",0,IF(AND(AUTOEVENTO="Manual",$M81=1),0,IF(OFFSET(CRONOPLE!$F$14,$M81,AQ$13)="",10^12,OFFSET(CRONOPLE!$F$14,$M81,AQ$13))))</f>
        <v>1000000000000</v>
      </c>
      <c r="AR81" s="211">
        <f ca="1">IF($D81&lt;&gt;"Serviço",0,IF(AND(AUTOEVENTO="Manual",$M81=1),0,IF(OFFSET(CRONOPLE!$F$14,$M81,AR$13)="",10^12,OFFSET(CRONOPLE!$F$14,$M81,AR$13))))</f>
        <v>1000000000000</v>
      </c>
      <c r="AS81" s="211">
        <f ca="1">IF($D81&lt;&gt;"Serviço",0,IF(AND(AUTOEVENTO="Manual",$M81=1),0,IF(OFFSET(CRONOPLE!$F$14,$M81,AS$13)="",10^12,OFFSET(CRONOPLE!$F$14,$M81,AS$13))))</f>
        <v>1000000000000</v>
      </c>
      <c r="AT81" s="211">
        <f ca="1">IF($D81&lt;&gt;"Serviço",0,IF(AND(AUTOEVENTO="Manual",$M81=1),0,IF(OFFSET(CRONOPLE!$F$14,$M81,AT$13)="",10^12,OFFSET(CRONOPLE!$F$14,$M81,AT$13))))</f>
        <v>1000000000000</v>
      </c>
      <c r="AU81" s="211">
        <f ca="1">IF($D81&lt;&gt;"Serviço",0,IF(AND(AUTOEVENTO="Manual",$M81=1),0,IF(OFFSET(CRONOPLE!$F$14,$M81,AU$13)="",10^12,OFFSET(CRONOPLE!$F$14,$M81,AU$13))))</f>
        <v>1000000000000</v>
      </c>
      <c r="AV81" s="211">
        <f ca="1">IF($D81&lt;&gt;"Serviço",0,IF(AND(AUTOEVENTO="Manual",$M81=1),0,IF(OFFSET(CRONOPLE!$F$14,$M81,AV$13)="",10^12,OFFSET(CRONOPLE!$F$14,$M81,AV$13))))</f>
        <v>1000000000000</v>
      </c>
      <c r="AX81" s="212">
        <f ca="1">IF($D81&lt;&gt;"Serviço",0,IF(OR(AND(AUTOEVENTO="Manual",$M81=1),$M81&gt;(ROW(PLE.lastrow)-ROW(PLE.firstrow))),0,IF(OFFSET(PLE!$G$14,$M81,AX$13)="",10^12,OFFSET(PLE!$G$14,$M81,AX$13))))</f>
        <v>1000000000000</v>
      </c>
      <c r="AY81" s="212">
        <f ca="1">IF($D81&lt;&gt;"Serviço",0,IF(OR(AND(AUTOEVENTO="Manual",$M81=1),$M81&gt;(ROW(PLE.lastrow)-ROW(PLE.firstrow))),0,IF(OFFSET(PLE!$G$14,$M81,AY$13)="",10^12,OFFSET(PLE!$G$14,$M81,AY$13))))</f>
        <v>1000000000000</v>
      </c>
      <c r="AZ81" s="212">
        <f ca="1">IF($D81&lt;&gt;"Serviço",0,IF(OR(AND(AUTOEVENTO="Manual",$M81=1),$M81&gt;(ROW(PLE.lastrow)-ROW(PLE.firstrow))),0,IF(OFFSET(PLE!$G$14,$M81,AZ$13)="",10^12,OFFSET(PLE!$G$14,$M81,AZ$13))))</f>
        <v>1000000000000</v>
      </c>
      <c r="BA81" s="212">
        <f ca="1">IF($D81&lt;&gt;"Serviço",0,IF(OR(AND(AUTOEVENTO="Manual",$M81=1),$M81&gt;(ROW(PLE.lastrow)-ROW(PLE.firstrow))),0,IF(OFFSET(PLE!$G$14,$M81,BA$13)="",10^12,OFFSET(PLE!$G$14,$M81,BA$13))))</f>
        <v>1000000000000</v>
      </c>
      <c r="BB81" s="212">
        <f ca="1">IF($D81&lt;&gt;"Serviço",0,IF(OR(AND(AUTOEVENTO="Manual",$M81=1),$M81&gt;(ROW(PLE.lastrow)-ROW(PLE.firstrow))),0,IF(OFFSET(PLE!$G$14,$M81,BB$13)="",10^12,OFFSET(PLE!$G$14,$M81,BB$13))))</f>
        <v>1000000000000</v>
      </c>
      <c r="BC81" s="212">
        <f ca="1">IF($D81&lt;&gt;"Serviço",0,IF(OR(AND(AUTOEVENTO="Manual",$M81=1),$M81&gt;(ROW(PLE.lastrow)-ROW(PLE.firstrow))),0,IF(OFFSET(PLE!$G$14,$M81,BC$13)="",10^12,OFFSET(PLE!$G$14,$M81,BC$13))))</f>
        <v>1000000000000</v>
      </c>
      <c r="BD81" s="212">
        <f ca="1">IF($D81&lt;&gt;"Serviço",0,IF(OR(AND(AUTOEVENTO="Manual",$M81=1),$M81&gt;(ROW(PLE.lastrow)-ROW(PLE.firstrow))),0,IF(OFFSET(PLE!$G$14,$M81,BD$13)="",10^12,OFFSET(PLE!$G$14,$M81,BD$13))))</f>
        <v>1000000000000</v>
      </c>
      <c r="BE81" s="212">
        <f ca="1">IF($D81&lt;&gt;"Serviço",0,IF(OR(AND(AUTOEVENTO="Manual",$M81=1),$M81&gt;(ROW(PLE.lastrow)-ROW(PLE.firstrow))),0,IF(OFFSET(PLE!$G$14,$M81,BE$13)="",10^12,OFFSET(PLE!$G$14,$M81,BE$13))))</f>
        <v>1000000000000</v>
      </c>
      <c r="BF81" s="212">
        <f ca="1">IF($D81&lt;&gt;"Serviço",0,IF(OR(AND(AUTOEVENTO="Manual",$M81=1),$M81&gt;(ROW(PLE.lastrow)-ROW(PLE.firstrow))),0,IF(OFFSET(PLE!$G$14,$M81,BF$13)="",10^12,OFFSET(PLE!$G$14,$M81,BF$13))))</f>
        <v>1000000000000</v>
      </c>
      <c r="BG81" s="212">
        <f ca="1">IF($D81&lt;&gt;"Serviço",0,IF(OR(AND(AUTOEVENTO="Manual",$M81=1),$M81&gt;(ROW(PLE.lastrow)-ROW(PLE.firstrow))),0,IF(OFFSET(PLE!$G$14,$M81,BG$13)="",10^12,OFFSET(PLE!$G$14,$M81,BG$13))))</f>
        <v>1000000000000</v>
      </c>
    </row>
    <row r="82" spans="1:59" ht="13.2">
      <c r="A82" s="9" t="str">
        <f t="shared" ca="1" si="10"/>
        <v>15</v>
      </c>
      <c r="B82" s="9" t="str">
        <f ca="1">OFFSET(ORÇAMENTO!C$15,ROW(B82)-ROW(B$15),0)</f>
        <v>S</v>
      </c>
      <c r="C82" s="9" t="str">
        <f ca="1">OFFSET(ORÇAMENTO!L$15,ROW(C82)-ROW(C$15),0)</f>
        <v/>
      </c>
      <c r="D82" s="141" t="str">
        <f ca="1">OFFSET(ORÇAMENTO!N$15,ROW(D82)-ROW(D$15),0)</f>
        <v>Serviço</v>
      </c>
      <c r="E82" s="201" t="str">
        <f ca="1">OFFSET(ORÇAMENTO!O$15,ROW(E82)-ROW(E$15),0)</f>
        <v>-</v>
      </c>
      <c r="F82" s="202" t="str">
        <f ca="1">OFFSET(ORÇAMENTO!R$15,ROW(F82)-ROW(F$15),0)</f>
        <v>(abra o arquivo 'Referência 11-2024.xlsm)</v>
      </c>
      <c r="G82" s="203" t="str">
        <f ca="1">IF($D82&lt;&gt;"Serviço","",OFFSET(ORÇAMENTO!S$15,ROW(G82)-ROW(G$15),0))</f>
        <v>-</v>
      </c>
      <c r="H82" s="147">
        <f ca="1">IF($D82&lt;&gt;"Serviço",0,IF(ACOMPANHAMENTO="BM",ROUND(OFFSET(ORÇAMENTO!AJ$15,ROW(H82)-ROW(H$15),0),15-13*ORÇAMENTO!$AF$7),SUMPRODUCT(($Q$12:$AA$12&lt;&gt;"")*ROUND($Q82:$AA82,15-13*ORÇAMENTO!$AF$7))))</f>
        <v>0</v>
      </c>
      <c r="I82" s="645"/>
      <c r="K82" s="204"/>
      <c r="L82" s="205" t="s">
        <v>255</v>
      </c>
      <c r="M82" s="206">
        <f ca="1">IF($D82&lt;&gt;"Serviço","",IF(AUTOEVENTO="manual",$A82,IF(ISERROR(MATCH($A82,$A$15:OFFSET($A82,-1,0),0)),MAX($M$15:OFFSET(M82,-1,0))+1,INDEX($M$15:OFFSET(M82,-1,0),MATCH($A82,$A$15:OFFSET($A82,-1,0),0)))))</f>
        <v>6</v>
      </c>
      <c r="N82" s="207" t="str">
        <f ca="1">IF($D82&lt;&gt;"Serviço","",IF(AUTOEVENTO="Manual",IF($A82=0,"&lt;-- defina o número do agrupador",OFFSET(EVENTOS!$D$14,$A82,0)),OFFSET($F$15,$A82,0)))</f>
        <v>DRENAGEM</v>
      </c>
      <c r="O82" s="208"/>
      <c r="Q82" s="208"/>
      <c r="R82" s="209"/>
      <c r="S82" s="209"/>
      <c r="T82" s="209"/>
      <c r="U82" s="209"/>
      <c r="V82" s="209"/>
      <c r="W82" s="209"/>
      <c r="X82" s="209"/>
      <c r="Y82" s="209"/>
      <c r="Z82" s="210"/>
      <c r="AB82" s="626">
        <f ca="1">IF(AND($D82="Serviço",AB$12&lt;&gt;0,$H82&gt;0,OR(AUTOEVENTO&lt;&gt;"manual",$M82&lt;&gt;1)),
IF(Import.TipoArredondamento&lt;&gt;"TransfereGOV",
ROUND(OFFSET($P82,0,AB$13),15-13*ORÇAMENTO!$AF$7)/$H82*OFFSET(ORÇAMENTO!$X$15,ROW(AB82)-ROW(AB$15),0),
ROUND(ROUND(OFFSET($P82,0,AB$13),15-13*ORÇAMENTO!$AF$7)*OFFSET(ORÇAMENTO!$W$15,ROW(AB82)-ROW(AB$15),0),15-13*ORÇAMENTO!$AF$11)),0)</f>
        <v>0</v>
      </c>
      <c r="AC82" s="627">
        <f ca="1">IF(AND($D82="Serviço",AC$12&lt;&gt;0,$H82&gt;0,OR(AUTOEVENTO&lt;&gt;"manual",$M82&lt;&gt;1)),
IF(Import.TipoArredondamento&lt;&gt;"TransfereGOV",
ROUND(OFFSET($P82,0,AC$13),15-13*ORÇAMENTO!$AF$7)/$H82*OFFSET(ORÇAMENTO!$X$15,ROW(AC82)-ROW(AC$15),0),
ROUND(ROUND(OFFSET($P82,0,AC$13),15-13*ORÇAMENTO!$AF$7)*OFFSET(ORÇAMENTO!$W$15,ROW(AC82)-ROW(AC$15),0),15-13*ORÇAMENTO!$AF$11)),0)</f>
        <v>0</v>
      </c>
      <c r="AD82" s="627">
        <f ca="1">IF(AND($D82="Serviço",AD$12&lt;&gt;0,$H82&gt;0,OR(AUTOEVENTO&lt;&gt;"manual",$M82&lt;&gt;1)),
IF(Import.TipoArredondamento&lt;&gt;"TransfereGOV",
ROUND(OFFSET($P82,0,AD$13),15-13*ORÇAMENTO!$AF$7)/$H82*OFFSET(ORÇAMENTO!$X$15,ROW(AD82)-ROW(AD$15),0),
ROUND(ROUND(OFFSET($P82,0,AD$13),15-13*ORÇAMENTO!$AF$7)*OFFSET(ORÇAMENTO!$W$15,ROW(AD82)-ROW(AD$15),0),15-13*ORÇAMENTO!$AF$11)),0)</f>
        <v>0</v>
      </c>
      <c r="AE82" s="627">
        <f ca="1">IF(AND($D82="Serviço",AE$12&lt;&gt;0,$H82&gt;0,OR(AUTOEVENTO&lt;&gt;"manual",$M82&lt;&gt;1)),
IF(Import.TipoArredondamento&lt;&gt;"TransfereGOV",
ROUND(OFFSET($P82,0,AE$13),15-13*ORÇAMENTO!$AF$7)/$H82*OFFSET(ORÇAMENTO!$X$15,ROW(AE82)-ROW(AE$15),0),
ROUND(ROUND(OFFSET($P82,0,AE$13),15-13*ORÇAMENTO!$AF$7)*OFFSET(ORÇAMENTO!$W$15,ROW(AE82)-ROW(AE$15),0),15-13*ORÇAMENTO!$AF$11)),0)</f>
        <v>0</v>
      </c>
      <c r="AF82" s="627">
        <f ca="1">IF(AND($D82="Serviço",AF$12&lt;&gt;0,$H82&gt;0,OR(AUTOEVENTO&lt;&gt;"manual",$M82&lt;&gt;1)),
IF(Import.TipoArredondamento&lt;&gt;"TransfereGOV",
ROUND(OFFSET($P82,0,AF$13),15-13*ORÇAMENTO!$AF$7)/$H82*OFFSET(ORÇAMENTO!$X$15,ROW(AF82)-ROW(AF$15),0),
ROUND(ROUND(OFFSET($P82,0,AF$13),15-13*ORÇAMENTO!$AF$7)*OFFSET(ORÇAMENTO!$W$15,ROW(AF82)-ROW(AF$15),0),15-13*ORÇAMENTO!$AF$11)),0)</f>
        <v>0</v>
      </c>
      <c r="AG82" s="627">
        <f ca="1">IF(AND($D82="Serviço",AG$12&lt;&gt;0,$H82&gt;0,OR(AUTOEVENTO&lt;&gt;"manual",$M82&lt;&gt;1)),
IF(Import.TipoArredondamento&lt;&gt;"TransfereGOV",
ROUND(OFFSET($P82,0,AG$13),15-13*ORÇAMENTO!$AF$7)/$H82*OFFSET(ORÇAMENTO!$X$15,ROW(AG82)-ROW(AG$15),0),
ROUND(ROUND(OFFSET($P82,0,AG$13),15-13*ORÇAMENTO!$AF$7)*OFFSET(ORÇAMENTO!$W$15,ROW(AG82)-ROW(AG$15),0),15-13*ORÇAMENTO!$AF$11)),0)</f>
        <v>0</v>
      </c>
      <c r="AH82" s="627">
        <f ca="1">IF(AND($D82="Serviço",AH$12&lt;&gt;0,$H82&gt;0,OR(AUTOEVENTO&lt;&gt;"manual",$M82&lt;&gt;1)),
IF(Import.TipoArredondamento&lt;&gt;"TransfereGOV",
ROUND(OFFSET($P82,0,AH$13),15-13*ORÇAMENTO!$AF$7)/$H82*OFFSET(ORÇAMENTO!$X$15,ROW(AH82)-ROW(AH$15),0),
ROUND(ROUND(OFFSET($P82,0,AH$13),15-13*ORÇAMENTO!$AF$7)*OFFSET(ORÇAMENTO!$W$15,ROW(AH82)-ROW(AH$15),0),15-13*ORÇAMENTO!$AF$11)),0)</f>
        <v>0</v>
      </c>
      <c r="AI82" s="627">
        <f ca="1">IF(AND($D82="Serviço",AI$12&lt;&gt;0,$H82&gt;0,OR(AUTOEVENTO&lt;&gt;"manual",$M82&lt;&gt;1)),
IF(Import.TipoArredondamento&lt;&gt;"TransfereGOV",
ROUND(OFFSET($P82,0,AI$13),15-13*ORÇAMENTO!$AF$7)/$H82*OFFSET(ORÇAMENTO!$X$15,ROW(AI82)-ROW(AI$15),0),
ROUND(ROUND(OFFSET($P82,0,AI$13),15-13*ORÇAMENTO!$AF$7)*OFFSET(ORÇAMENTO!$W$15,ROW(AI82)-ROW(AI$15),0),15-13*ORÇAMENTO!$AF$11)),0)</f>
        <v>0</v>
      </c>
      <c r="AJ82" s="627">
        <f ca="1">IF(AND($D82="Serviço",AJ$12&lt;&gt;0,$H82&gt;0,OR(AUTOEVENTO&lt;&gt;"manual",$M82&lt;&gt;1)),
IF(Import.TipoArredondamento&lt;&gt;"TransfereGOV",
ROUND(OFFSET($P82,0,AJ$13),15-13*ORÇAMENTO!$AF$7)/$H82*OFFSET(ORÇAMENTO!$X$15,ROW(AJ82)-ROW(AJ$15),0),
ROUND(ROUND(OFFSET($P82,0,AJ$13),15-13*ORÇAMENTO!$AF$7)*OFFSET(ORÇAMENTO!$W$15,ROW(AJ82)-ROW(AJ$15),0),15-13*ORÇAMENTO!$AF$11)),0)</f>
        <v>0</v>
      </c>
      <c r="AK82" s="628">
        <f ca="1">IF(AND($D82="Serviço",AK$12&lt;&gt;0,$H82&gt;0,OR(AUTOEVENTO&lt;&gt;"manual",$M82&lt;&gt;1)),
IF(Import.TipoArredondamento&lt;&gt;"TransfereGOV",
ROUND(OFFSET($P82,0,AK$13),15-13*ORÇAMENTO!$AF$7)/$H82*OFFSET(ORÇAMENTO!$X$15,ROW(AK82)-ROW(AK$15),0),
ROUND(ROUND(OFFSET($P82,0,AK$13),15-13*ORÇAMENTO!$AF$7)*OFFSET(ORÇAMENTO!$W$15,ROW(AK82)-ROW(AK$15),0),15-13*ORÇAMENTO!$AF$11)),0)</f>
        <v>0</v>
      </c>
      <c r="AM82" s="211">
        <f ca="1">IF($D82&lt;&gt;"Serviço",0,IF(AND(AUTOEVENTO="Manual",$M82=1),0,IF(OFFSET(CRONOPLE!$F$14,$M82,AM$13)="",10^12,OFFSET(CRONOPLE!$F$14,$M82,AM$13))))</f>
        <v>2</v>
      </c>
      <c r="AN82" s="211">
        <f ca="1">IF($D82&lt;&gt;"Serviço",0,IF(AND(AUTOEVENTO="Manual",$M82=1),0,IF(OFFSET(CRONOPLE!$F$14,$M82,AN$13)="",10^12,OFFSET(CRONOPLE!$F$14,$M82,AN$13))))</f>
        <v>1</v>
      </c>
      <c r="AO82" s="211">
        <f ca="1">IF($D82&lt;&gt;"Serviço",0,IF(AND(AUTOEVENTO="Manual",$M82=1),0,IF(OFFSET(CRONOPLE!$F$14,$M82,AO$13)="",10^12,OFFSET(CRONOPLE!$F$14,$M82,AO$13))))</f>
        <v>2</v>
      </c>
      <c r="AP82" s="211">
        <f ca="1">IF($D82&lt;&gt;"Serviço",0,IF(AND(AUTOEVENTO="Manual",$M82=1),0,IF(OFFSET(CRONOPLE!$F$14,$M82,AP$13)="",10^12,OFFSET(CRONOPLE!$F$14,$M82,AP$13))))</f>
        <v>2</v>
      </c>
      <c r="AQ82" s="211">
        <f ca="1">IF($D82&lt;&gt;"Serviço",0,IF(AND(AUTOEVENTO="Manual",$M82=1),0,IF(OFFSET(CRONOPLE!$F$14,$M82,AQ$13)="",10^12,OFFSET(CRONOPLE!$F$14,$M82,AQ$13))))</f>
        <v>1000000000000</v>
      </c>
      <c r="AR82" s="211">
        <f ca="1">IF($D82&lt;&gt;"Serviço",0,IF(AND(AUTOEVENTO="Manual",$M82=1),0,IF(OFFSET(CRONOPLE!$F$14,$M82,AR$13)="",10^12,OFFSET(CRONOPLE!$F$14,$M82,AR$13))))</f>
        <v>1000000000000</v>
      </c>
      <c r="AS82" s="211">
        <f ca="1">IF($D82&lt;&gt;"Serviço",0,IF(AND(AUTOEVENTO="Manual",$M82=1),0,IF(OFFSET(CRONOPLE!$F$14,$M82,AS$13)="",10^12,OFFSET(CRONOPLE!$F$14,$M82,AS$13))))</f>
        <v>1000000000000</v>
      </c>
      <c r="AT82" s="211">
        <f ca="1">IF($D82&lt;&gt;"Serviço",0,IF(AND(AUTOEVENTO="Manual",$M82=1),0,IF(OFFSET(CRONOPLE!$F$14,$M82,AT$13)="",10^12,OFFSET(CRONOPLE!$F$14,$M82,AT$13))))</f>
        <v>1000000000000</v>
      </c>
      <c r="AU82" s="211">
        <f ca="1">IF($D82&lt;&gt;"Serviço",0,IF(AND(AUTOEVENTO="Manual",$M82=1),0,IF(OFFSET(CRONOPLE!$F$14,$M82,AU$13)="",10^12,OFFSET(CRONOPLE!$F$14,$M82,AU$13))))</f>
        <v>1000000000000</v>
      </c>
      <c r="AV82" s="211">
        <f ca="1">IF($D82&lt;&gt;"Serviço",0,IF(AND(AUTOEVENTO="Manual",$M82=1),0,IF(OFFSET(CRONOPLE!$F$14,$M82,AV$13)="",10^12,OFFSET(CRONOPLE!$F$14,$M82,AV$13))))</f>
        <v>1000000000000</v>
      </c>
      <c r="AX82" s="212">
        <f ca="1">IF($D82&lt;&gt;"Serviço",0,IF(OR(AND(AUTOEVENTO="Manual",$M82=1),$M82&gt;(ROW(PLE.lastrow)-ROW(PLE.firstrow))),0,IF(OFFSET(PLE!$G$14,$M82,AX$13)="",10^12,OFFSET(PLE!$G$14,$M82,AX$13))))</f>
        <v>1000000000000</v>
      </c>
      <c r="AY82" s="212">
        <f ca="1">IF($D82&lt;&gt;"Serviço",0,IF(OR(AND(AUTOEVENTO="Manual",$M82=1),$M82&gt;(ROW(PLE.lastrow)-ROW(PLE.firstrow))),0,IF(OFFSET(PLE!$G$14,$M82,AY$13)="",10^12,OFFSET(PLE!$G$14,$M82,AY$13))))</f>
        <v>1000000000000</v>
      </c>
      <c r="AZ82" s="212">
        <f ca="1">IF($D82&lt;&gt;"Serviço",0,IF(OR(AND(AUTOEVENTO="Manual",$M82=1),$M82&gt;(ROW(PLE.lastrow)-ROW(PLE.firstrow))),0,IF(OFFSET(PLE!$G$14,$M82,AZ$13)="",10^12,OFFSET(PLE!$G$14,$M82,AZ$13))))</f>
        <v>1000000000000</v>
      </c>
      <c r="BA82" s="212">
        <f ca="1">IF($D82&lt;&gt;"Serviço",0,IF(OR(AND(AUTOEVENTO="Manual",$M82=1),$M82&gt;(ROW(PLE.lastrow)-ROW(PLE.firstrow))),0,IF(OFFSET(PLE!$G$14,$M82,BA$13)="",10^12,OFFSET(PLE!$G$14,$M82,BA$13))))</f>
        <v>1000000000000</v>
      </c>
      <c r="BB82" s="212">
        <f ca="1">IF($D82&lt;&gt;"Serviço",0,IF(OR(AND(AUTOEVENTO="Manual",$M82=1),$M82&gt;(ROW(PLE.lastrow)-ROW(PLE.firstrow))),0,IF(OFFSET(PLE!$G$14,$M82,BB$13)="",10^12,OFFSET(PLE!$G$14,$M82,BB$13))))</f>
        <v>1000000000000</v>
      </c>
      <c r="BC82" s="212">
        <f ca="1">IF($D82&lt;&gt;"Serviço",0,IF(OR(AND(AUTOEVENTO="Manual",$M82=1),$M82&gt;(ROW(PLE.lastrow)-ROW(PLE.firstrow))),0,IF(OFFSET(PLE!$G$14,$M82,BC$13)="",10^12,OFFSET(PLE!$G$14,$M82,BC$13))))</f>
        <v>1000000000000</v>
      </c>
      <c r="BD82" s="212">
        <f ca="1">IF($D82&lt;&gt;"Serviço",0,IF(OR(AND(AUTOEVENTO="Manual",$M82=1),$M82&gt;(ROW(PLE.lastrow)-ROW(PLE.firstrow))),0,IF(OFFSET(PLE!$G$14,$M82,BD$13)="",10^12,OFFSET(PLE!$G$14,$M82,BD$13))))</f>
        <v>1000000000000</v>
      </c>
      <c r="BE82" s="212">
        <f ca="1">IF($D82&lt;&gt;"Serviço",0,IF(OR(AND(AUTOEVENTO="Manual",$M82=1),$M82&gt;(ROW(PLE.lastrow)-ROW(PLE.firstrow))),0,IF(OFFSET(PLE!$G$14,$M82,BE$13)="",10^12,OFFSET(PLE!$G$14,$M82,BE$13))))</f>
        <v>1000000000000</v>
      </c>
      <c r="BF82" s="212">
        <f ca="1">IF($D82&lt;&gt;"Serviço",0,IF(OR(AND(AUTOEVENTO="Manual",$M82=1),$M82&gt;(ROW(PLE.lastrow)-ROW(PLE.firstrow))),0,IF(OFFSET(PLE!$G$14,$M82,BF$13)="",10^12,OFFSET(PLE!$G$14,$M82,BF$13))))</f>
        <v>1000000000000</v>
      </c>
      <c r="BG82" s="212">
        <f ca="1">IF($D82&lt;&gt;"Serviço",0,IF(OR(AND(AUTOEVENTO="Manual",$M82=1),$M82&gt;(ROW(PLE.lastrow)-ROW(PLE.firstrow))),0,IF(OFFSET(PLE!$G$14,$M82,BG$13)="",10^12,OFFSET(PLE!$G$14,$M82,BG$13))))</f>
        <v>1000000000000</v>
      </c>
    </row>
    <row r="83" spans="1:59" ht="13.2">
      <c r="A83" s="9" t="str">
        <f t="shared" ca="1" si="10"/>
        <v>15</v>
      </c>
      <c r="B83" s="9" t="str">
        <f ca="1">OFFSET(ORÇAMENTO!C$15,ROW(B83)-ROW(B$15),0)</f>
        <v>S</v>
      </c>
      <c r="C83" s="9" t="str">
        <f ca="1">OFFSET(ORÇAMENTO!L$15,ROW(C83)-ROW(C$15),0)</f>
        <v/>
      </c>
      <c r="D83" s="141" t="str">
        <f ca="1">OFFSET(ORÇAMENTO!N$15,ROW(D83)-ROW(D$15),0)</f>
        <v>Serviço</v>
      </c>
      <c r="E83" s="201" t="str">
        <f ca="1">OFFSET(ORÇAMENTO!O$15,ROW(E83)-ROW(E$15),0)</f>
        <v>-</v>
      </c>
      <c r="F83" s="202" t="str">
        <f ca="1">OFFSET(ORÇAMENTO!R$15,ROW(F83)-ROW(F$15),0)</f>
        <v>(abra o arquivo 'Referência 11-2024.xlsm)</v>
      </c>
      <c r="G83" s="203" t="str">
        <f ca="1">IF($D83&lt;&gt;"Serviço","",OFFSET(ORÇAMENTO!S$15,ROW(G83)-ROW(G$15),0))</f>
        <v>-</v>
      </c>
      <c r="H83" s="147">
        <f ca="1">IF($D83&lt;&gt;"Serviço",0,IF(ACOMPANHAMENTO="BM",ROUND(OFFSET(ORÇAMENTO!AJ$15,ROW(H83)-ROW(H$15),0),15-13*ORÇAMENTO!$AF$7),SUMPRODUCT(($Q$12:$AA$12&lt;&gt;"")*ROUND($Q83:$AA83,15-13*ORÇAMENTO!$AF$7))))</f>
        <v>0</v>
      </c>
      <c r="I83" s="645"/>
      <c r="K83" s="204"/>
      <c r="L83" s="205" t="s">
        <v>255</v>
      </c>
      <c r="M83" s="206">
        <f ca="1">IF($D83&lt;&gt;"Serviço","",IF(AUTOEVENTO="manual",$A83,IF(ISERROR(MATCH($A83,$A$15:OFFSET($A83,-1,0),0)),MAX($M$15:OFFSET(M83,-1,0))+1,INDEX($M$15:OFFSET(M83,-1,0),MATCH($A83,$A$15:OFFSET($A83,-1,0),0)))))</f>
        <v>6</v>
      </c>
      <c r="N83" s="207" t="str">
        <f ca="1">IF($D83&lt;&gt;"Serviço","",IF(AUTOEVENTO="Manual",IF($A83=0,"&lt;-- defina o número do agrupador",OFFSET(EVENTOS!$D$14,$A83,0)),OFFSET($F$15,$A83,0)))</f>
        <v>DRENAGEM</v>
      </c>
      <c r="O83" s="208"/>
      <c r="Q83" s="208"/>
      <c r="R83" s="209"/>
      <c r="S83" s="209"/>
      <c r="T83" s="209"/>
      <c r="U83" s="209"/>
      <c r="V83" s="209"/>
      <c r="W83" s="209"/>
      <c r="X83" s="209"/>
      <c r="Y83" s="209"/>
      <c r="Z83" s="210"/>
      <c r="AB83" s="626">
        <f ca="1">IF(AND($D83="Serviço",AB$12&lt;&gt;0,$H83&gt;0,OR(AUTOEVENTO&lt;&gt;"manual",$M83&lt;&gt;1)),
IF(Import.TipoArredondamento&lt;&gt;"TransfereGOV",
ROUND(OFFSET($P83,0,AB$13),15-13*ORÇAMENTO!$AF$7)/$H83*OFFSET(ORÇAMENTO!$X$15,ROW(AB83)-ROW(AB$15),0),
ROUND(ROUND(OFFSET($P83,0,AB$13),15-13*ORÇAMENTO!$AF$7)*OFFSET(ORÇAMENTO!$W$15,ROW(AB83)-ROW(AB$15),0),15-13*ORÇAMENTO!$AF$11)),0)</f>
        <v>0</v>
      </c>
      <c r="AC83" s="627">
        <f ca="1">IF(AND($D83="Serviço",AC$12&lt;&gt;0,$H83&gt;0,OR(AUTOEVENTO&lt;&gt;"manual",$M83&lt;&gt;1)),
IF(Import.TipoArredondamento&lt;&gt;"TransfereGOV",
ROUND(OFFSET($P83,0,AC$13),15-13*ORÇAMENTO!$AF$7)/$H83*OFFSET(ORÇAMENTO!$X$15,ROW(AC83)-ROW(AC$15),0),
ROUND(ROUND(OFFSET($P83,0,AC$13),15-13*ORÇAMENTO!$AF$7)*OFFSET(ORÇAMENTO!$W$15,ROW(AC83)-ROW(AC$15),0),15-13*ORÇAMENTO!$AF$11)),0)</f>
        <v>0</v>
      </c>
      <c r="AD83" s="627">
        <f ca="1">IF(AND($D83="Serviço",AD$12&lt;&gt;0,$H83&gt;0,OR(AUTOEVENTO&lt;&gt;"manual",$M83&lt;&gt;1)),
IF(Import.TipoArredondamento&lt;&gt;"TransfereGOV",
ROUND(OFFSET($P83,0,AD$13),15-13*ORÇAMENTO!$AF$7)/$H83*OFFSET(ORÇAMENTO!$X$15,ROW(AD83)-ROW(AD$15),0),
ROUND(ROUND(OFFSET($P83,0,AD$13),15-13*ORÇAMENTO!$AF$7)*OFFSET(ORÇAMENTO!$W$15,ROW(AD83)-ROW(AD$15),0),15-13*ORÇAMENTO!$AF$11)),0)</f>
        <v>0</v>
      </c>
      <c r="AE83" s="627">
        <f ca="1">IF(AND($D83="Serviço",AE$12&lt;&gt;0,$H83&gt;0,OR(AUTOEVENTO&lt;&gt;"manual",$M83&lt;&gt;1)),
IF(Import.TipoArredondamento&lt;&gt;"TransfereGOV",
ROUND(OFFSET($P83,0,AE$13),15-13*ORÇAMENTO!$AF$7)/$H83*OFFSET(ORÇAMENTO!$X$15,ROW(AE83)-ROW(AE$15),0),
ROUND(ROUND(OFFSET($P83,0,AE$13),15-13*ORÇAMENTO!$AF$7)*OFFSET(ORÇAMENTO!$W$15,ROW(AE83)-ROW(AE$15),0),15-13*ORÇAMENTO!$AF$11)),0)</f>
        <v>0</v>
      </c>
      <c r="AF83" s="627">
        <f ca="1">IF(AND($D83="Serviço",AF$12&lt;&gt;0,$H83&gt;0,OR(AUTOEVENTO&lt;&gt;"manual",$M83&lt;&gt;1)),
IF(Import.TipoArredondamento&lt;&gt;"TransfereGOV",
ROUND(OFFSET($P83,0,AF$13),15-13*ORÇAMENTO!$AF$7)/$H83*OFFSET(ORÇAMENTO!$X$15,ROW(AF83)-ROW(AF$15),0),
ROUND(ROUND(OFFSET($P83,0,AF$13),15-13*ORÇAMENTO!$AF$7)*OFFSET(ORÇAMENTO!$W$15,ROW(AF83)-ROW(AF$15),0),15-13*ORÇAMENTO!$AF$11)),0)</f>
        <v>0</v>
      </c>
      <c r="AG83" s="627">
        <f ca="1">IF(AND($D83="Serviço",AG$12&lt;&gt;0,$H83&gt;0,OR(AUTOEVENTO&lt;&gt;"manual",$M83&lt;&gt;1)),
IF(Import.TipoArredondamento&lt;&gt;"TransfereGOV",
ROUND(OFFSET($P83,0,AG$13),15-13*ORÇAMENTO!$AF$7)/$H83*OFFSET(ORÇAMENTO!$X$15,ROW(AG83)-ROW(AG$15),0),
ROUND(ROUND(OFFSET($P83,0,AG$13),15-13*ORÇAMENTO!$AF$7)*OFFSET(ORÇAMENTO!$W$15,ROW(AG83)-ROW(AG$15),0),15-13*ORÇAMENTO!$AF$11)),0)</f>
        <v>0</v>
      </c>
      <c r="AH83" s="627">
        <f ca="1">IF(AND($D83="Serviço",AH$12&lt;&gt;0,$H83&gt;0,OR(AUTOEVENTO&lt;&gt;"manual",$M83&lt;&gt;1)),
IF(Import.TipoArredondamento&lt;&gt;"TransfereGOV",
ROUND(OFFSET($P83,0,AH$13),15-13*ORÇAMENTO!$AF$7)/$H83*OFFSET(ORÇAMENTO!$X$15,ROW(AH83)-ROW(AH$15),0),
ROUND(ROUND(OFFSET($P83,0,AH$13),15-13*ORÇAMENTO!$AF$7)*OFFSET(ORÇAMENTO!$W$15,ROW(AH83)-ROW(AH$15),0),15-13*ORÇAMENTO!$AF$11)),0)</f>
        <v>0</v>
      </c>
      <c r="AI83" s="627">
        <f ca="1">IF(AND($D83="Serviço",AI$12&lt;&gt;0,$H83&gt;0,OR(AUTOEVENTO&lt;&gt;"manual",$M83&lt;&gt;1)),
IF(Import.TipoArredondamento&lt;&gt;"TransfereGOV",
ROUND(OFFSET($P83,0,AI$13),15-13*ORÇAMENTO!$AF$7)/$H83*OFFSET(ORÇAMENTO!$X$15,ROW(AI83)-ROW(AI$15),0),
ROUND(ROUND(OFFSET($P83,0,AI$13),15-13*ORÇAMENTO!$AF$7)*OFFSET(ORÇAMENTO!$W$15,ROW(AI83)-ROW(AI$15),0),15-13*ORÇAMENTO!$AF$11)),0)</f>
        <v>0</v>
      </c>
      <c r="AJ83" s="627">
        <f ca="1">IF(AND($D83="Serviço",AJ$12&lt;&gt;0,$H83&gt;0,OR(AUTOEVENTO&lt;&gt;"manual",$M83&lt;&gt;1)),
IF(Import.TipoArredondamento&lt;&gt;"TransfereGOV",
ROUND(OFFSET($P83,0,AJ$13),15-13*ORÇAMENTO!$AF$7)/$H83*OFFSET(ORÇAMENTO!$X$15,ROW(AJ83)-ROW(AJ$15),0),
ROUND(ROUND(OFFSET($P83,0,AJ$13),15-13*ORÇAMENTO!$AF$7)*OFFSET(ORÇAMENTO!$W$15,ROW(AJ83)-ROW(AJ$15),0),15-13*ORÇAMENTO!$AF$11)),0)</f>
        <v>0</v>
      </c>
      <c r="AK83" s="628">
        <f ca="1">IF(AND($D83="Serviço",AK$12&lt;&gt;0,$H83&gt;0,OR(AUTOEVENTO&lt;&gt;"manual",$M83&lt;&gt;1)),
IF(Import.TipoArredondamento&lt;&gt;"TransfereGOV",
ROUND(OFFSET($P83,0,AK$13),15-13*ORÇAMENTO!$AF$7)/$H83*OFFSET(ORÇAMENTO!$X$15,ROW(AK83)-ROW(AK$15),0),
ROUND(ROUND(OFFSET($P83,0,AK$13),15-13*ORÇAMENTO!$AF$7)*OFFSET(ORÇAMENTO!$W$15,ROW(AK83)-ROW(AK$15),0),15-13*ORÇAMENTO!$AF$11)),0)</f>
        <v>0</v>
      </c>
      <c r="AM83" s="211">
        <f ca="1">IF($D83&lt;&gt;"Serviço",0,IF(AND(AUTOEVENTO="Manual",$M83=1),0,IF(OFFSET(CRONOPLE!$F$14,$M83,AM$13)="",10^12,OFFSET(CRONOPLE!$F$14,$M83,AM$13))))</f>
        <v>2</v>
      </c>
      <c r="AN83" s="211">
        <f ca="1">IF($D83&lt;&gt;"Serviço",0,IF(AND(AUTOEVENTO="Manual",$M83=1),0,IF(OFFSET(CRONOPLE!$F$14,$M83,AN$13)="",10^12,OFFSET(CRONOPLE!$F$14,$M83,AN$13))))</f>
        <v>1</v>
      </c>
      <c r="AO83" s="211">
        <f ca="1">IF($D83&lt;&gt;"Serviço",0,IF(AND(AUTOEVENTO="Manual",$M83=1),0,IF(OFFSET(CRONOPLE!$F$14,$M83,AO$13)="",10^12,OFFSET(CRONOPLE!$F$14,$M83,AO$13))))</f>
        <v>2</v>
      </c>
      <c r="AP83" s="211">
        <f ca="1">IF($D83&lt;&gt;"Serviço",0,IF(AND(AUTOEVENTO="Manual",$M83=1),0,IF(OFFSET(CRONOPLE!$F$14,$M83,AP$13)="",10^12,OFFSET(CRONOPLE!$F$14,$M83,AP$13))))</f>
        <v>2</v>
      </c>
      <c r="AQ83" s="211">
        <f ca="1">IF($D83&lt;&gt;"Serviço",0,IF(AND(AUTOEVENTO="Manual",$M83=1),0,IF(OFFSET(CRONOPLE!$F$14,$M83,AQ$13)="",10^12,OFFSET(CRONOPLE!$F$14,$M83,AQ$13))))</f>
        <v>1000000000000</v>
      </c>
      <c r="AR83" s="211">
        <f ca="1">IF($D83&lt;&gt;"Serviço",0,IF(AND(AUTOEVENTO="Manual",$M83=1),0,IF(OFFSET(CRONOPLE!$F$14,$M83,AR$13)="",10^12,OFFSET(CRONOPLE!$F$14,$M83,AR$13))))</f>
        <v>1000000000000</v>
      </c>
      <c r="AS83" s="211">
        <f ca="1">IF($D83&lt;&gt;"Serviço",0,IF(AND(AUTOEVENTO="Manual",$M83=1),0,IF(OFFSET(CRONOPLE!$F$14,$M83,AS$13)="",10^12,OFFSET(CRONOPLE!$F$14,$M83,AS$13))))</f>
        <v>1000000000000</v>
      </c>
      <c r="AT83" s="211">
        <f ca="1">IF($D83&lt;&gt;"Serviço",0,IF(AND(AUTOEVENTO="Manual",$M83=1),0,IF(OFFSET(CRONOPLE!$F$14,$M83,AT$13)="",10^12,OFFSET(CRONOPLE!$F$14,$M83,AT$13))))</f>
        <v>1000000000000</v>
      </c>
      <c r="AU83" s="211">
        <f ca="1">IF($D83&lt;&gt;"Serviço",0,IF(AND(AUTOEVENTO="Manual",$M83=1),0,IF(OFFSET(CRONOPLE!$F$14,$M83,AU$13)="",10^12,OFFSET(CRONOPLE!$F$14,$M83,AU$13))))</f>
        <v>1000000000000</v>
      </c>
      <c r="AV83" s="211">
        <f ca="1">IF($D83&lt;&gt;"Serviço",0,IF(AND(AUTOEVENTO="Manual",$M83=1),0,IF(OFFSET(CRONOPLE!$F$14,$M83,AV$13)="",10^12,OFFSET(CRONOPLE!$F$14,$M83,AV$13))))</f>
        <v>1000000000000</v>
      </c>
      <c r="AX83" s="212">
        <f ca="1">IF($D83&lt;&gt;"Serviço",0,IF(OR(AND(AUTOEVENTO="Manual",$M83=1),$M83&gt;(ROW(PLE.lastrow)-ROW(PLE.firstrow))),0,IF(OFFSET(PLE!$G$14,$M83,AX$13)="",10^12,OFFSET(PLE!$G$14,$M83,AX$13))))</f>
        <v>1000000000000</v>
      </c>
      <c r="AY83" s="212">
        <f ca="1">IF($D83&lt;&gt;"Serviço",0,IF(OR(AND(AUTOEVENTO="Manual",$M83=1),$M83&gt;(ROW(PLE.lastrow)-ROW(PLE.firstrow))),0,IF(OFFSET(PLE!$G$14,$M83,AY$13)="",10^12,OFFSET(PLE!$G$14,$M83,AY$13))))</f>
        <v>1000000000000</v>
      </c>
      <c r="AZ83" s="212">
        <f ca="1">IF($D83&lt;&gt;"Serviço",0,IF(OR(AND(AUTOEVENTO="Manual",$M83=1),$M83&gt;(ROW(PLE.lastrow)-ROW(PLE.firstrow))),0,IF(OFFSET(PLE!$G$14,$M83,AZ$13)="",10^12,OFFSET(PLE!$G$14,$M83,AZ$13))))</f>
        <v>1000000000000</v>
      </c>
      <c r="BA83" s="212">
        <f ca="1">IF($D83&lt;&gt;"Serviço",0,IF(OR(AND(AUTOEVENTO="Manual",$M83=1),$M83&gt;(ROW(PLE.lastrow)-ROW(PLE.firstrow))),0,IF(OFFSET(PLE!$G$14,$M83,BA$13)="",10^12,OFFSET(PLE!$G$14,$M83,BA$13))))</f>
        <v>1000000000000</v>
      </c>
      <c r="BB83" s="212">
        <f ca="1">IF($D83&lt;&gt;"Serviço",0,IF(OR(AND(AUTOEVENTO="Manual",$M83=1),$M83&gt;(ROW(PLE.lastrow)-ROW(PLE.firstrow))),0,IF(OFFSET(PLE!$G$14,$M83,BB$13)="",10^12,OFFSET(PLE!$G$14,$M83,BB$13))))</f>
        <v>1000000000000</v>
      </c>
      <c r="BC83" s="212">
        <f ca="1">IF($D83&lt;&gt;"Serviço",0,IF(OR(AND(AUTOEVENTO="Manual",$M83=1),$M83&gt;(ROW(PLE.lastrow)-ROW(PLE.firstrow))),0,IF(OFFSET(PLE!$G$14,$M83,BC$13)="",10^12,OFFSET(PLE!$G$14,$M83,BC$13))))</f>
        <v>1000000000000</v>
      </c>
      <c r="BD83" s="212">
        <f ca="1">IF($D83&lt;&gt;"Serviço",0,IF(OR(AND(AUTOEVENTO="Manual",$M83=1),$M83&gt;(ROW(PLE.lastrow)-ROW(PLE.firstrow))),0,IF(OFFSET(PLE!$G$14,$M83,BD$13)="",10^12,OFFSET(PLE!$G$14,$M83,BD$13))))</f>
        <v>1000000000000</v>
      </c>
      <c r="BE83" s="212">
        <f ca="1">IF($D83&lt;&gt;"Serviço",0,IF(OR(AND(AUTOEVENTO="Manual",$M83=1),$M83&gt;(ROW(PLE.lastrow)-ROW(PLE.firstrow))),0,IF(OFFSET(PLE!$G$14,$M83,BE$13)="",10^12,OFFSET(PLE!$G$14,$M83,BE$13))))</f>
        <v>1000000000000</v>
      </c>
      <c r="BF83" s="212">
        <f ca="1">IF($D83&lt;&gt;"Serviço",0,IF(OR(AND(AUTOEVENTO="Manual",$M83=1),$M83&gt;(ROW(PLE.lastrow)-ROW(PLE.firstrow))),0,IF(OFFSET(PLE!$G$14,$M83,BF$13)="",10^12,OFFSET(PLE!$G$14,$M83,BF$13))))</f>
        <v>1000000000000</v>
      </c>
      <c r="BG83" s="212">
        <f ca="1">IF($D83&lt;&gt;"Serviço",0,IF(OR(AND(AUTOEVENTO="Manual",$M83=1),$M83&gt;(ROW(PLE.lastrow)-ROW(PLE.firstrow))),0,IF(OFFSET(PLE!$G$14,$M83,BG$13)="",10^12,OFFSET(PLE!$G$14,$M83,BG$13))))</f>
        <v>1000000000000</v>
      </c>
    </row>
    <row r="84" spans="1:59" ht="13.2">
      <c r="A84" s="9" t="str">
        <f t="shared" ca="1" si="10"/>
        <v>15</v>
      </c>
      <c r="B84" s="9" t="str">
        <f ca="1">OFFSET(ORÇAMENTO!C$15,ROW(B84)-ROW(B$15),0)</f>
        <v>S</v>
      </c>
      <c r="C84" s="9" t="str">
        <f ca="1">OFFSET(ORÇAMENTO!L$15,ROW(C84)-ROW(C$15),0)</f>
        <v/>
      </c>
      <c r="D84" s="141" t="str">
        <f ca="1">OFFSET(ORÇAMENTO!N$15,ROW(D84)-ROW(D$15),0)</f>
        <v>Serviço</v>
      </c>
      <c r="E84" s="201" t="str">
        <f ca="1">OFFSET(ORÇAMENTO!O$15,ROW(E84)-ROW(E$15),0)</f>
        <v>-</v>
      </c>
      <c r="F84" s="202" t="str">
        <f ca="1">OFFSET(ORÇAMENTO!R$15,ROW(F84)-ROW(F$15),0)</f>
        <v>(abra o arquivo 'Referência 11-2024.xlsm)</v>
      </c>
      <c r="G84" s="203" t="str">
        <f ca="1">IF($D84&lt;&gt;"Serviço","",OFFSET(ORÇAMENTO!S$15,ROW(G84)-ROW(G$15),0))</f>
        <v>-</v>
      </c>
      <c r="H84" s="147">
        <f ca="1">IF($D84&lt;&gt;"Serviço",0,IF(ACOMPANHAMENTO="BM",ROUND(OFFSET(ORÇAMENTO!AJ$15,ROW(H84)-ROW(H$15),0),15-13*ORÇAMENTO!$AF$7),SUMPRODUCT(($Q$12:$AA$12&lt;&gt;"")*ROUND($Q84:$AA84,15-13*ORÇAMENTO!$AF$7))))</f>
        <v>0</v>
      </c>
      <c r="I84" s="645"/>
      <c r="K84" s="204"/>
      <c r="L84" s="205" t="s">
        <v>255</v>
      </c>
      <c r="M84" s="206">
        <f ca="1">IF($D84&lt;&gt;"Serviço","",IF(AUTOEVENTO="manual",$A84,IF(ISERROR(MATCH($A84,$A$15:OFFSET($A84,-1,0),0)),MAX($M$15:OFFSET(M84,-1,0))+1,INDEX($M$15:OFFSET(M84,-1,0),MATCH($A84,$A$15:OFFSET($A84,-1,0),0)))))</f>
        <v>6</v>
      </c>
      <c r="N84" s="207" t="str">
        <f ca="1">IF($D84&lt;&gt;"Serviço","",IF(AUTOEVENTO="Manual",IF($A84=0,"&lt;-- defina o número do agrupador",OFFSET(EVENTOS!$D$14,$A84,0)),OFFSET($F$15,$A84,0)))</f>
        <v>DRENAGEM</v>
      </c>
      <c r="O84" s="208"/>
      <c r="Q84" s="208"/>
      <c r="R84" s="209"/>
      <c r="S84" s="209"/>
      <c r="T84" s="209"/>
      <c r="U84" s="209"/>
      <c r="V84" s="209"/>
      <c r="W84" s="209"/>
      <c r="X84" s="209"/>
      <c r="Y84" s="209"/>
      <c r="Z84" s="210"/>
      <c r="AB84" s="626">
        <f ca="1">IF(AND($D84="Serviço",AB$12&lt;&gt;0,$H84&gt;0,OR(AUTOEVENTO&lt;&gt;"manual",$M84&lt;&gt;1)),
IF(Import.TipoArredondamento&lt;&gt;"TransfereGOV",
ROUND(OFFSET($P84,0,AB$13),15-13*ORÇAMENTO!$AF$7)/$H84*OFFSET(ORÇAMENTO!$X$15,ROW(AB84)-ROW(AB$15),0),
ROUND(ROUND(OFFSET($P84,0,AB$13),15-13*ORÇAMENTO!$AF$7)*OFFSET(ORÇAMENTO!$W$15,ROW(AB84)-ROW(AB$15),0),15-13*ORÇAMENTO!$AF$11)),0)</f>
        <v>0</v>
      </c>
      <c r="AC84" s="627">
        <f ca="1">IF(AND($D84="Serviço",AC$12&lt;&gt;0,$H84&gt;0,OR(AUTOEVENTO&lt;&gt;"manual",$M84&lt;&gt;1)),
IF(Import.TipoArredondamento&lt;&gt;"TransfereGOV",
ROUND(OFFSET($P84,0,AC$13),15-13*ORÇAMENTO!$AF$7)/$H84*OFFSET(ORÇAMENTO!$X$15,ROW(AC84)-ROW(AC$15),0),
ROUND(ROUND(OFFSET($P84,0,AC$13),15-13*ORÇAMENTO!$AF$7)*OFFSET(ORÇAMENTO!$W$15,ROW(AC84)-ROW(AC$15),0),15-13*ORÇAMENTO!$AF$11)),0)</f>
        <v>0</v>
      </c>
      <c r="AD84" s="627">
        <f ca="1">IF(AND($D84="Serviço",AD$12&lt;&gt;0,$H84&gt;0,OR(AUTOEVENTO&lt;&gt;"manual",$M84&lt;&gt;1)),
IF(Import.TipoArredondamento&lt;&gt;"TransfereGOV",
ROUND(OFFSET($P84,0,AD$13),15-13*ORÇAMENTO!$AF$7)/$H84*OFFSET(ORÇAMENTO!$X$15,ROW(AD84)-ROW(AD$15),0),
ROUND(ROUND(OFFSET($P84,0,AD$13),15-13*ORÇAMENTO!$AF$7)*OFFSET(ORÇAMENTO!$W$15,ROW(AD84)-ROW(AD$15),0),15-13*ORÇAMENTO!$AF$11)),0)</f>
        <v>0</v>
      </c>
      <c r="AE84" s="627">
        <f ca="1">IF(AND($D84="Serviço",AE$12&lt;&gt;0,$H84&gt;0,OR(AUTOEVENTO&lt;&gt;"manual",$M84&lt;&gt;1)),
IF(Import.TipoArredondamento&lt;&gt;"TransfereGOV",
ROUND(OFFSET($P84,0,AE$13),15-13*ORÇAMENTO!$AF$7)/$H84*OFFSET(ORÇAMENTO!$X$15,ROW(AE84)-ROW(AE$15),0),
ROUND(ROUND(OFFSET($P84,0,AE$13),15-13*ORÇAMENTO!$AF$7)*OFFSET(ORÇAMENTO!$W$15,ROW(AE84)-ROW(AE$15),0),15-13*ORÇAMENTO!$AF$11)),0)</f>
        <v>0</v>
      </c>
      <c r="AF84" s="627">
        <f ca="1">IF(AND($D84="Serviço",AF$12&lt;&gt;0,$H84&gt;0,OR(AUTOEVENTO&lt;&gt;"manual",$M84&lt;&gt;1)),
IF(Import.TipoArredondamento&lt;&gt;"TransfereGOV",
ROUND(OFFSET($P84,0,AF$13),15-13*ORÇAMENTO!$AF$7)/$H84*OFFSET(ORÇAMENTO!$X$15,ROW(AF84)-ROW(AF$15),0),
ROUND(ROUND(OFFSET($P84,0,AF$13),15-13*ORÇAMENTO!$AF$7)*OFFSET(ORÇAMENTO!$W$15,ROW(AF84)-ROW(AF$15),0),15-13*ORÇAMENTO!$AF$11)),0)</f>
        <v>0</v>
      </c>
      <c r="AG84" s="627">
        <f ca="1">IF(AND($D84="Serviço",AG$12&lt;&gt;0,$H84&gt;0,OR(AUTOEVENTO&lt;&gt;"manual",$M84&lt;&gt;1)),
IF(Import.TipoArredondamento&lt;&gt;"TransfereGOV",
ROUND(OFFSET($P84,0,AG$13),15-13*ORÇAMENTO!$AF$7)/$H84*OFFSET(ORÇAMENTO!$X$15,ROW(AG84)-ROW(AG$15),0),
ROUND(ROUND(OFFSET($P84,0,AG$13),15-13*ORÇAMENTO!$AF$7)*OFFSET(ORÇAMENTO!$W$15,ROW(AG84)-ROW(AG$15),0),15-13*ORÇAMENTO!$AF$11)),0)</f>
        <v>0</v>
      </c>
      <c r="AH84" s="627">
        <f ca="1">IF(AND($D84="Serviço",AH$12&lt;&gt;0,$H84&gt;0,OR(AUTOEVENTO&lt;&gt;"manual",$M84&lt;&gt;1)),
IF(Import.TipoArredondamento&lt;&gt;"TransfereGOV",
ROUND(OFFSET($P84,0,AH$13),15-13*ORÇAMENTO!$AF$7)/$H84*OFFSET(ORÇAMENTO!$X$15,ROW(AH84)-ROW(AH$15),0),
ROUND(ROUND(OFFSET($P84,0,AH$13),15-13*ORÇAMENTO!$AF$7)*OFFSET(ORÇAMENTO!$W$15,ROW(AH84)-ROW(AH$15),0),15-13*ORÇAMENTO!$AF$11)),0)</f>
        <v>0</v>
      </c>
      <c r="AI84" s="627">
        <f ca="1">IF(AND($D84="Serviço",AI$12&lt;&gt;0,$H84&gt;0,OR(AUTOEVENTO&lt;&gt;"manual",$M84&lt;&gt;1)),
IF(Import.TipoArredondamento&lt;&gt;"TransfereGOV",
ROUND(OFFSET($P84,0,AI$13),15-13*ORÇAMENTO!$AF$7)/$H84*OFFSET(ORÇAMENTO!$X$15,ROW(AI84)-ROW(AI$15),0),
ROUND(ROUND(OFFSET($P84,0,AI$13),15-13*ORÇAMENTO!$AF$7)*OFFSET(ORÇAMENTO!$W$15,ROW(AI84)-ROW(AI$15),0),15-13*ORÇAMENTO!$AF$11)),0)</f>
        <v>0</v>
      </c>
      <c r="AJ84" s="627">
        <f ca="1">IF(AND($D84="Serviço",AJ$12&lt;&gt;0,$H84&gt;0,OR(AUTOEVENTO&lt;&gt;"manual",$M84&lt;&gt;1)),
IF(Import.TipoArredondamento&lt;&gt;"TransfereGOV",
ROUND(OFFSET($P84,0,AJ$13),15-13*ORÇAMENTO!$AF$7)/$H84*OFFSET(ORÇAMENTO!$X$15,ROW(AJ84)-ROW(AJ$15),0),
ROUND(ROUND(OFFSET($P84,0,AJ$13),15-13*ORÇAMENTO!$AF$7)*OFFSET(ORÇAMENTO!$W$15,ROW(AJ84)-ROW(AJ$15),0),15-13*ORÇAMENTO!$AF$11)),0)</f>
        <v>0</v>
      </c>
      <c r="AK84" s="628">
        <f ca="1">IF(AND($D84="Serviço",AK$12&lt;&gt;0,$H84&gt;0,OR(AUTOEVENTO&lt;&gt;"manual",$M84&lt;&gt;1)),
IF(Import.TipoArredondamento&lt;&gt;"TransfereGOV",
ROUND(OFFSET($P84,0,AK$13),15-13*ORÇAMENTO!$AF$7)/$H84*OFFSET(ORÇAMENTO!$X$15,ROW(AK84)-ROW(AK$15),0),
ROUND(ROUND(OFFSET($P84,0,AK$13),15-13*ORÇAMENTO!$AF$7)*OFFSET(ORÇAMENTO!$W$15,ROW(AK84)-ROW(AK$15),0),15-13*ORÇAMENTO!$AF$11)),0)</f>
        <v>0</v>
      </c>
      <c r="AM84" s="211">
        <f ca="1">IF($D84&lt;&gt;"Serviço",0,IF(AND(AUTOEVENTO="Manual",$M84=1),0,IF(OFFSET(CRONOPLE!$F$14,$M84,AM$13)="",10^12,OFFSET(CRONOPLE!$F$14,$M84,AM$13))))</f>
        <v>2</v>
      </c>
      <c r="AN84" s="211">
        <f ca="1">IF($D84&lt;&gt;"Serviço",0,IF(AND(AUTOEVENTO="Manual",$M84=1),0,IF(OFFSET(CRONOPLE!$F$14,$M84,AN$13)="",10^12,OFFSET(CRONOPLE!$F$14,$M84,AN$13))))</f>
        <v>1</v>
      </c>
      <c r="AO84" s="211">
        <f ca="1">IF($D84&lt;&gt;"Serviço",0,IF(AND(AUTOEVENTO="Manual",$M84=1),0,IF(OFFSET(CRONOPLE!$F$14,$M84,AO$13)="",10^12,OFFSET(CRONOPLE!$F$14,$M84,AO$13))))</f>
        <v>2</v>
      </c>
      <c r="AP84" s="211">
        <f ca="1">IF($D84&lt;&gt;"Serviço",0,IF(AND(AUTOEVENTO="Manual",$M84=1),0,IF(OFFSET(CRONOPLE!$F$14,$M84,AP$13)="",10^12,OFFSET(CRONOPLE!$F$14,$M84,AP$13))))</f>
        <v>2</v>
      </c>
      <c r="AQ84" s="211">
        <f ca="1">IF($D84&lt;&gt;"Serviço",0,IF(AND(AUTOEVENTO="Manual",$M84=1),0,IF(OFFSET(CRONOPLE!$F$14,$M84,AQ$13)="",10^12,OFFSET(CRONOPLE!$F$14,$M84,AQ$13))))</f>
        <v>1000000000000</v>
      </c>
      <c r="AR84" s="211">
        <f ca="1">IF($D84&lt;&gt;"Serviço",0,IF(AND(AUTOEVENTO="Manual",$M84=1),0,IF(OFFSET(CRONOPLE!$F$14,$M84,AR$13)="",10^12,OFFSET(CRONOPLE!$F$14,$M84,AR$13))))</f>
        <v>1000000000000</v>
      </c>
      <c r="AS84" s="211">
        <f ca="1">IF($D84&lt;&gt;"Serviço",0,IF(AND(AUTOEVENTO="Manual",$M84=1),0,IF(OFFSET(CRONOPLE!$F$14,$M84,AS$13)="",10^12,OFFSET(CRONOPLE!$F$14,$M84,AS$13))))</f>
        <v>1000000000000</v>
      </c>
      <c r="AT84" s="211">
        <f ca="1">IF($D84&lt;&gt;"Serviço",0,IF(AND(AUTOEVENTO="Manual",$M84=1),0,IF(OFFSET(CRONOPLE!$F$14,$M84,AT$13)="",10^12,OFFSET(CRONOPLE!$F$14,$M84,AT$13))))</f>
        <v>1000000000000</v>
      </c>
      <c r="AU84" s="211">
        <f ca="1">IF($D84&lt;&gt;"Serviço",0,IF(AND(AUTOEVENTO="Manual",$M84=1),0,IF(OFFSET(CRONOPLE!$F$14,$M84,AU$13)="",10^12,OFFSET(CRONOPLE!$F$14,$M84,AU$13))))</f>
        <v>1000000000000</v>
      </c>
      <c r="AV84" s="211">
        <f ca="1">IF($D84&lt;&gt;"Serviço",0,IF(AND(AUTOEVENTO="Manual",$M84=1),0,IF(OFFSET(CRONOPLE!$F$14,$M84,AV$13)="",10^12,OFFSET(CRONOPLE!$F$14,$M84,AV$13))))</f>
        <v>1000000000000</v>
      </c>
      <c r="AX84" s="212">
        <f ca="1">IF($D84&lt;&gt;"Serviço",0,IF(OR(AND(AUTOEVENTO="Manual",$M84=1),$M84&gt;(ROW(PLE.lastrow)-ROW(PLE.firstrow))),0,IF(OFFSET(PLE!$G$14,$M84,AX$13)="",10^12,OFFSET(PLE!$G$14,$M84,AX$13))))</f>
        <v>1000000000000</v>
      </c>
      <c r="AY84" s="212">
        <f ca="1">IF($D84&lt;&gt;"Serviço",0,IF(OR(AND(AUTOEVENTO="Manual",$M84=1),$M84&gt;(ROW(PLE.lastrow)-ROW(PLE.firstrow))),0,IF(OFFSET(PLE!$G$14,$M84,AY$13)="",10^12,OFFSET(PLE!$G$14,$M84,AY$13))))</f>
        <v>1000000000000</v>
      </c>
      <c r="AZ84" s="212">
        <f ca="1">IF($D84&lt;&gt;"Serviço",0,IF(OR(AND(AUTOEVENTO="Manual",$M84=1),$M84&gt;(ROW(PLE.lastrow)-ROW(PLE.firstrow))),0,IF(OFFSET(PLE!$G$14,$M84,AZ$13)="",10^12,OFFSET(PLE!$G$14,$M84,AZ$13))))</f>
        <v>1000000000000</v>
      </c>
      <c r="BA84" s="212">
        <f ca="1">IF($D84&lt;&gt;"Serviço",0,IF(OR(AND(AUTOEVENTO="Manual",$M84=1),$M84&gt;(ROW(PLE.lastrow)-ROW(PLE.firstrow))),0,IF(OFFSET(PLE!$G$14,$M84,BA$13)="",10^12,OFFSET(PLE!$G$14,$M84,BA$13))))</f>
        <v>1000000000000</v>
      </c>
      <c r="BB84" s="212">
        <f ca="1">IF($D84&lt;&gt;"Serviço",0,IF(OR(AND(AUTOEVENTO="Manual",$M84=1),$M84&gt;(ROW(PLE.lastrow)-ROW(PLE.firstrow))),0,IF(OFFSET(PLE!$G$14,$M84,BB$13)="",10^12,OFFSET(PLE!$G$14,$M84,BB$13))))</f>
        <v>1000000000000</v>
      </c>
      <c r="BC84" s="212">
        <f ca="1">IF($D84&lt;&gt;"Serviço",0,IF(OR(AND(AUTOEVENTO="Manual",$M84=1),$M84&gt;(ROW(PLE.lastrow)-ROW(PLE.firstrow))),0,IF(OFFSET(PLE!$G$14,$M84,BC$13)="",10^12,OFFSET(PLE!$G$14,$M84,BC$13))))</f>
        <v>1000000000000</v>
      </c>
      <c r="BD84" s="212">
        <f ca="1">IF($D84&lt;&gt;"Serviço",0,IF(OR(AND(AUTOEVENTO="Manual",$M84=1),$M84&gt;(ROW(PLE.lastrow)-ROW(PLE.firstrow))),0,IF(OFFSET(PLE!$G$14,$M84,BD$13)="",10^12,OFFSET(PLE!$G$14,$M84,BD$13))))</f>
        <v>1000000000000</v>
      </c>
      <c r="BE84" s="212">
        <f ca="1">IF($D84&lt;&gt;"Serviço",0,IF(OR(AND(AUTOEVENTO="Manual",$M84=1),$M84&gt;(ROW(PLE.lastrow)-ROW(PLE.firstrow))),0,IF(OFFSET(PLE!$G$14,$M84,BE$13)="",10^12,OFFSET(PLE!$G$14,$M84,BE$13))))</f>
        <v>1000000000000</v>
      </c>
      <c r="BF84" s="212">
        <f ca="1">IF($D84&lt;&gt;"Serviço",0,IF(OR(AND(AUTOEVENTO="Manual",$M84=1),$M84&gt;(ROW(PLE.lastrow)-ROW(PLE.firstrow))),0,IF(OFFSET(PLE!$G$14,$M84,BF$13)="",10^12,OFFSET(PLE!$G$14,$M84,BF$13))))</f>
        <v>1000000000000</v>
      </c>
      <c r="BG84" s="212">
        <f ca="1">IF($D84&lt;&gt;"Serviço",0,IF(OR(AND(AUTOEVENTO="Manual",$M84=1),$M84&gt;(ROW(PLE.lastrow)-ROW(PLE.firstrow))),0,IF(OFFSET(PLE!$G$14,$M84,BG$13)="",10^12,OFFSET(PLE!$G$14,$M84,BG$13))))</f>
        <v>1000000000000</v>
      </c>
    </row>
    <row r="85" spans="1:59" ht="13.2">
      <c r="A85" s="9" t="str">
        <f t="shared" ca="1" si="10"/>
        <v>15</v>
      </c>
      <c r="B85" s="9" t="str">
        <f ca="1">OFFSET(ORÇAMENTO!C$15,ROW(B85)-ROW(B$15),0)</f>
        <v>S</v>
      </c>
      <c r="C85" s="9" t="str">
        <f ca="1">OFFSET(ORÇAMENTO!L$15,ROW(C85)-ROW(C$15),0)</f>
        <v/>
      </c>
      <c r="D85" s="141" t="str">
        <f ca="1">OFFSET(ORÇAMENTO!N$15,ROW(D85)-ROW(D$15),0)</f>
        <v>Serviço</v>
      </c>
      <c r="E85" s="201" t="str">
        <f ca="1">OFFSET(ORÇAMENTO!O$15,ROW(E85)-ROW(E$15),0)</f>
        <v>-</v>
      </c>
      <c r="F85" s="202" t="str">
        <f ca="1">OFFSET(ORÇAMENTO!R$15,ROW(F85)-ROW(F$15),0)</f>
        <v>(abra o arquivo 'Referência 11-2024.xlsm)</v>
      </c>
      <c r="G85" s="203" t="str">
        <f ca="1">IF($D85&lt;&gt;"Serviço","",OFFSET(ORÇAMENTO!S$15,ROW(G85)-ROW(G$15),0))</f>
        <v>-</v>
      </c>
      <c r="H85" s="147">
        <f ca="1">IF($D85&lt;&gt;"Serviço",0,IF(ACOMPANHAMENTO="BM",ROUND(OFFSET(ORÇAMENTO!AJ$15,ROW(H85)-ROW(H$15),0),15-13*ORÇAMENTO!$AF$7),SUMPRODUCT(($Q$12:$AA$12&lt;&gt;"")*ROUND($Q85:$AA85,15-13*ORÇAMENTO!$AF$7))))</f>
        <v>0</v>
      </c>
      <c r="I85" s="645"/>
      <c r="K85" s="204"/>
      <c r="L85" s="205" t="s">
        <v>255</v>
      </c>
      <c r="M85" s="206">
        <f ca="1">IF($D85&lt;&gt;"Serviço","",IF(AUTOEVENTO="manual",$A85,IF(ISERROR(MATCH($A85,$A$15:OFFSET($A85,-1,0),0)),MAX($M$15:OFFSET(M85,-1,0))+1,INDEX($M$15:OFFSET(M85,-1,0),MATCH($A85,$A$15:OFFSET($A85,-1,0),0)))))</f>
        <v>6</v>
      </c>
      <c r="N85" s="207" t="str">
        <f ca="1">IF($D85&lt;&gt;"Serviço","",IF(AUTOEVENTO="Manual",IF($A85=0,"&lt;-- defina o número do agrupador",OFFSET(EVENTOS!$D$14,$A85,0)),OFFSET($F$15,$A85,0)))</f>
        <v>DRENAGEM</v>
      </c>
      <c r="O85" s="208"/>
      <c r="Q85" s="208"/>
      <c r="R85" s="209"/>
      <c r="S85" s="209"/>
      <c r="T85" s="209"/>
      <c r="U85" s="209"/>
      <c r="V85" s="209"/>
      <c r="W85" s="209"/>
      <c r="X85" s="209"/>
      <c r="Y85" s="209"/>
      <c r="Z85" s="210"/>
      <c r="AB85" s="626">
        <f ca="1">IF(AND($D85="Serviço",AB$12&lt;&gt;0,$H85&gt;0,OR(AUTOEVENTO&lt;&gt;"manual",$M85&lt;&gt;1)),
IF(Import.TipoArredondamento&lt;&gt;"TransfereGOV",
ROUND(OFFSET($P85,0,AB$13),15-13*ORÇAMENTO!$AF$7)/$H85*OFFSET(ORÇAMENTO!$X$15,ROW(AB85)-ROW(AB$15),0),
ROUND(ROUND(OFFSET($P85,0,AB$13),15-13*ORÇAMENTO!$AF$7)*OFFSET(ORÇAMENTO!$W$15,ROW(AB85)-ROW(AB$15),0),15-13*ORÇAMENTO!$AF$11)),0)</f>
        <v>0</v>
      </c>
      <c r="AC85" s="627">
        <f ca="1">IF(AND($D85="Serviço",AC$12&lt;&gt;0,$H85&gt;0,OR(AUTOEVENTO&lt;&gt;"manual",$M85&lt;&gt;1)),
IF(Import.TipoArredondamento&lt;&gt;"TransfereGOV",
ROUND(OFFSET($P85,0,AC$13),15-13*ORÇAMENTO!$AF$7)/$H85*OFFSET(ORÇAMENTO!$X$15,ROW(AC85)-ROW(AC$15),0),
ROUND(ROUND(OFFSET($P85,0,AC$13),15-13*ORÇAMENTO!$AF$7)*OFFSET(ORÇAMENTO!$W$15,ROW(AC85)-ROW(AC$15),0),15-13*ORÇAMENTO!$AF$11)),0)</f>
        <v>0</v>
      </c>
      <c r="AD85" s="627">
        <f ca="1">IF(AND($D85="Serviço",AD$12&lt;&gt;0,$H85&gt;0,OR(AUTOEVENTO&lt;&gt;"manual",$M85&lt;&gt;1)),
IF(Import.TipoArredondamento&lt;&gt;"TransfereGOV",
ROUND(OFFSET($P85,0,AD$13),15-13*ORÇAMENTO!$AF$7)/$H85*OFFSET(ORÇAMENTO!$X$15,ROW(AD85)-ROW(AD$15),0),
ROUND(ROUND(OFFSET($P85,0,AD$13),15-13*ORÇAMENTO!$AF$7)*OFFSET(ORÇAMENTO!$W$15,ROW(AD85)-ROW(AD$15),0),15-13*ORÇAMENTO!$AF$11)),0)</f>
        <v>0</v>
      </c>
      <c r="AE85" s="627">
        <f ca="1">IF(AND($D85="Serviço",AE$12&lt;&gt;0,$H85&gt;0,OR(AUTOEVENTO&lt;&gt;"manual",$M85&lt;&gt;1)),
IF(Import.TipoArredondamento&lt;&gt;"TransfereGOV",
ROUND(OFFSET($P85,0,AE$13),15-13*ORÇAMENTO!$AF$7)/$H85*OFFSET(ORÇAMENTO!$X$15,ROW(AE85)-ROW(AE$15),0),
ROUND(ROUND(OFFSET($P85,0,AE$13),15-13*ORÇAMENTO!$AF$7)*OFFSET(ORÇAMENTO!$W$15,ROW(AE85)-ROW(AE$15),0),15-13*ORÇAMENTO!$AF$11)),0)</f>
        <v>0</v>
      </c>
      <c r="AF85" s="627">
        <f ca="1">IF(AND($D85="Serviço",AF$12&lt;&gt;0,$H85&gt;0,OR(AUTOEVENTO&lt;&gt;"manual",$M85&lt;&gt;1)),
IF(Import.TipoArredondamento&lt;&gt;"TransfereGOV",
ROUND(OFFSET($P85,0,AF$13),15-13*ORÇAMENTO!$AF$7)/$H85*OFFSET(ORÇAMENTO!$X$15,ROW(AF85)-ROW(AF$15),0),
ROUND(ROUND(OFFSET($P85,0,AF$13),15-13*ORÇAMENTO!$AF$7)*OFFSET(ORÇAMENTO!$W$15,ROW(AF85)-ROW(AF$15),0),15-13*ORÇAMENTO!$AF$11)),0)</f>
        <v>0</v>
      </c>
      <c r="AG85" s="627">
        <f ca="1">IF(AND($D85="Serviço",AG$12&lt;&gt;0,$H85&gt;0,OR(AUTOEVENTO&lt;&gt;"manual",$M85&lt;&gt;1)),
IF(Import.TipoArredondamento&lt;&gt;"TransfereGOV",
ROUND(OFFSET($P85,0,AG$13),15-13*ORÇAMENTO!$AF$7)/$H85*OFFSET(ORÇAMENTO!$X$15,ROW(AG85)-ROW(AG$15),0),
ROUND(ROUND(OFFSET($P85,0,AG$13),15-13*ORÇAMENTO!$AF$7)*OFFSET(ORÇAMENTO!$W$15,ROW(AG85)-ROW(AG$15),0),15-13*ORÇAMENTO!$AF$11)),0)</f>
        <v>0</v>
      </c>
      <c r="AH85" s="627">
        <f ca="1">IF(AND($D85="Serviço",AH$12&lt;&gt;0,$H85&gt;0,OR(AUTOEVENTO&lt;&gt;"manual",$M85&lt;&gt;1)),
IF(Import.TipoArredondamento&lt;&gt;"TransfereGOV",
ROUND(OFFSET($P85,0,AH$13),15-13*ORÇAMENTO!$AF$7)/$H85*OFFSET(ORÇAMENTO!$X$15,ROW(AH85)-ROW(AH$15),0),
ROUND(ROUND(OFFSET($P85,0,AH$13),15-13*ORÇAMENTO!$AF$7)*OFFSET(ORÇAMENTO!$W$15,ROW(AH85)-ROW(AH$15),0),15-13*ORÇAMENTO!$AF$11)),0)</f>
        <v>0</v>
      </c>
      <c r="AI85" s="627">
        <f ca="1">IF(AND($D85="Serviço",AI$12&lt;&gt;0,$H85&gt;0,OR(AUTOEVENTO&lt;&gt;"manual",$M85&lt;&gt;1)),
IF(Import.TipoArredondamento&lt;&gt;"TransfereGOV",
ROUND(OFFSET($P85,0,AI$13),15-13*ORÇAMENTO!$AF$7)/$H85*OFFSET(ORÇAMENTO!$X$15,ROW(AI85)-ROW(AI$15),0),
ROUND(ROUND(OFFSET($P85,0,AI$13),15-13*ORÇAMENTO!$AF$7)*OFFSET(ORÇAMENTO!$W$15,ROW(AI85)-ROW(AI$15),0),15-13*ORÇAMENTO!$AF$11)),0)</f>
        <v>0</v>
      </c>
      <c r="AJ85" s="627">
        <f ca="1">IF(AND($D85="Serviço",AJ$12&lt;&gt;0,$H85&gt;0,OR(AUTOEVENTO&lt;&gt;"manual",$M85&lt;&gt;1)),
IF(Import.TipoArredondamento&lt;&gt;"TransfereGOV",
ROUND(OFFSET($P85,0,AJ$13),15-13*ORÇAMENTO!$AF$7)/$H85*OFFSET(ORÇAMENTO!$X$15,ROW(AJ85)-ROW(AJ$15),0),
ROUND(ROUND(OFFSET($P85,0,AJ$13),15-13*ORÇAMENTO!$AF$7)*OFFSET(ORÇAMENTO!$W$15,ROW(AJ85)-ROW(AJ$15),0),15-13*ORÇAMENTO!$AF$11)),0)</f>
        <v>0</v>
      </c>
      <c r="AK85" s="628">
        <f ca="1">IF(AND($D85="Serviço",AK$12&lt;&gt;0,$H85&gt;0,OR(AUTOEVENTO&lt;&gt;"manual",$M85&lt;&gt;1)),
IF(Import.TipoArredondamento&lt;&gt;"TransfereGOV",
ROUND(OFFSET($P85,0,AK$13),15-13*ORÇAMENTO!$AF$7)/$H85*OFFSET(ORÇAMENTO!$X$15,ROW(AK85)-ROW(AK$15),0),
ROUND(ROUND(OFFSET($P85,0,AK$13),15-13*ORÇAMENTO!$AF$7)*OFFSET(ORÇAMENTO!$W$15,ROW(AK85)-ROW(AK$15),0),15-13*ORÇAMENTO!$AF$11)),0)</f>
        <v>0</v>
      </c>
      <c r="AM85" s="211">
        <f ca="1">IF($D85&lt;&gt;"Serviço",0,IF(AND(AUTOEVENTO="Manual",$M85=1),0,IF(OFFSET(CRONOPLE!$F$14,$M85,AM$13)="",10^12,OFFSET(CRONOPLE!$F$14,$M85,AM$13))))</f>
        <v>2</v>
      </c>
      <c r="AN85" s="211">
        <f ca="1">IF($D85&lt;&gt;"Serviço",0,IF(AND(AUTOEVENTO="Manual",$M85=1),0,IF(OFFSET(CRONOPLE!$F$14,$M85,AN$13)="",10^12,OFFSET(CRONOPLE!$F$14,$M85,AN$13))))</f>
        <v>1</v>
      </c>
      <c r="AO85" s="211">
        <f ca="1">IF($D85&lt;&gt;"Serviço",0,IF(AND(AUTOEVENTO="Manual",$M85=1),0,IF(OFFSET(CRONOPLE!$F$14,$M85,AO$13)="",10^12,OFFSET(CRONOPLE!$F$14,$M85,AO$13))))</f>
        <v>2</v>
      </c>
      <c r="AP85" s="211">
        <f ca="1">IF($D85&lt;&gt;"Serviço",0,IF(AND(AUTOEVENTO="Manual",$M85=1),0,IF(OFFSET(CRONOPLE!$F$14,$M85,AP$13)="",10^12,OFFSET(CRONOPLE!$F$14,$M85,AP$13))))</f>
        <v>2</v>
      </c>
      <c r="AQ85" s="211">
        <f ca="1">IF($D85&lt;&gt;"Serviço",0,IF(AND(AUTOEVENTO="Manual",$M85=1),0,IF(OFFSET(CRONOPLE!$F$14,$M85,AQ$13)="",10^12,OFFSET(CRONOPLE!$F$14,$M85,AQ$13))))</f>
        <v>1000000000000</v>
      </c>
      <c r="AR85" s="211">
        <f ca="1">IF($D85&lt;&gt;"Serviço",0,IF(AND(AUTOEVENTO="Manual",$M85=1),0,IF(OFFSET(CRONOPLE!$F$14,$M85,AR$13)="",10^12,OFFSET(CRONOPLE!$F$14,$M85,AR$13))))</f>
        <v>1000000000000</v>
      </c>
      <c r="AS85" s="211">
        <f ca="1">IF($D85&lt;&gt;"Serviço",0,IF(AND(AUTOEVENTO="Manual",$M85=1),0,IF(OFFSET(CRONOPLE!$F$14,$M85,AS$13)="",10^12,OFFSET(CRONOPLE!$F$14,$M85,AS$13))))</f>
        <v>1000000000000</v>
      </c>
      <c r="AT85" s="211">
        <f ca="1">IF($D85&lt;&gt;"Serviço",0,IF(AND(AUTOEVENTO="Manual",$M85=1),0,IF(OFFSET(CRONOPLE!$F$14,$M85,AT$13)="",10^12,OFFSET(CRONOPLE!$F$14,$M85,AT$13))))</f>
        <v>1000000000000</v>
      </c>
      <c r="AU85" s="211">
        <f ca="1">IF($D85&lt;&gt;"Serviço",0,IF(AND(AUTOEVENTO="Manual",$M85=1),0,IF(OFFSET(CRONOPLE!$F$14,$M85,AU$13)="",10^12,OFFSET(CRONOPLE!$F$14,$M85,AU$13))))</f>
        <v>1000000000000</v>
      </c>
      <c r="AV85" s="211">
        <f ca="1">IF($D85&lt;&gt;"Serviço",0,IF(AND(AUTOEVENTO="Manual",$M85=1),0,IF(OFFSET(CRONOPLE!$F$14,$M85,AV$13)="",10^12,OFFSET(CRONOPLE!$F$14,$M85,AV$13))))</f>
        <v>1000000000000</v>
      </c>
      <c r="AX85" s="212">
        <f ca="1">IF($D85&lt;&gt;"Serviço",0,IF(OR(AND(AUTOEVENTO="Manual",$M85=1),$M85&gt;(ROW(PLE.lastrow)-ROW(PLE.firstrow))),0,IF(OFFSET(PLE!$G$14,$M85,AX$13)="",10^12,OFFSET(PLE!$G$14,$M85,AX$13))))</f>
        <v>1000000000000</v>
      </c>
      <c r="AY85" s="212">
        <f ca="1">IF($D85&lt;&gt;"Serviço",0,IF(OR(AND(AUTOEVENTO="Manual",$M85=1),$M85&gt;(ROW(PLE.lastrow)-ROW(PLE.firstrow))),0,IF(OFFSET(PLE!$G$14,$M85,AY$13)="",10^12,OFFSET(PLE!$G$14,$M85,AY$13))))</f>
        <v>1000000000000</v>
      </c>
      <c r="AZ85" s="212">
        <f ca="1">IF($D85&lt;&gt;"Serviço",0,IF(OR(AND(AUTOEVENTO="Manual",$M85=1),$M85&gt;(ROW(PLE.lastrow)-ROW(PLE.firstrow))),0,IF(OFFSET(PLE!$G$14,$M85,AZ$13)="",10^12,OFFSET(PLE!$G$14,$M85,AZ$13))))</f>
        <v>1000000000000</v>
      </c>
      <c r="BA85" s="212">
        <f ca="1">IF($D85&lt;&gt;"Serviço",0,IF(OR(AND(AUTOEVENTO="Manual",$M85=1),$M85&gt;(ROW(PLE.lastrow)-ROW(PLE.firstrow))),0,IF(OFFSET(PLE!$G$14,$M85,BA$13)="",10^12,OFFSET(PLE!$G$14,$M85,BA$13))))</f>
        <v>1000000000000</v>
      </c>
      <c r="BB85" s="212">
        <f ca="1">IF($D85&lt;&gt;"Serviço",0,IF(OR(AND(AUTOEVENTO="Manual",$M85=1),$M85&gt;(ROW(PLE.lastrow)-ROW(PLE.firstrow))),0,IF(OFFSET(PLE!$G$14,$M85,BB$13)="",10^12,OFFSET(PLE!$G$14,$M85,BB$13))))</f>
        <v>1000000000000</v>
      </c>
      <c r="BC85" s="212">
        <f ca="1">IF($D85&lt;&gt;"Serviço",0,IF(OR(AND(AUTOEVENTO="Manual",$M85=1),$M85&gt;(ROW(PLE.lastrow)-ROW(PLE.firstrow))),0,IF(OFFSET(PLE!$G$14,$M85,BC$13)="",10^12,OFFSET(PLE!$G$14,$M85,BC$13))))</f>
        <v>1000000000000</v>
      </c>
      <c r="BD85" s="212">
        <f ca="1">IF($D85&lt;&gt;"Serviço",0,IF(OR(AND(AUTOEVENTO="Manual",$M85=1),$M85&gt;(ROW(PLE.lastrow)-ROW(PLE.firstrow))),0,IF(OFFSET(PLE!$G$14,$M85,BD$13)="",10^12,OFFSET(PLE!$G$14,$M85,BD$13))))</f>
        <v>1000000000000</v>
      </c>
      <c r="BE85" s="212">
        <f ca="1">IF($D85&lt;&gt;"Serviço",0,IF(OR(AND(AUTOEVENTO="Manual",$M85=1),$M85&gt;(ROW(PLE.lastrow)-ROW(PLE.firstrow))),0,IF(OFFSET(PLE!$G$14,$M85,BE$13)="",10^12,OFFSET(PLE!$G$14,$M85,BE$13))))</f>
        <v>1000000000000</v>
      </c>
      <c r="BF85" s="212">
        <f ca="1">IF($D85&lt;&gt;"Serviço",0,IF(OR(AND(AUTOEVENTO="Manual",$M85=1),$M85&gt;(ROW(PLE.lastrow)-ROW(PLE.firstrow))),0,IF(OFFSET(PLE!$G$14,$M85,BF$13)="",10^12,OFFSET(PLE!$G$14,$M85,BF$13))))</f>
        <v>1000000000000</v>
      </c>
      <c r="BG85" s="212">
        <f ca="1">IF($D85&lt;&gt;"Serviço",0,IF(OR(AND(AUTOEVENTO="Manual",$M85=1),$M85&gt;(ROW(PLE.lastrow)-ROW(PLE.firstrow))),0,IF(OFFSET(PLE!$G$14,$M85,BG$13)="",10^12,OFFSET(PLE!$G$14,$M85,BG$13))))</f>
        <v>1000000000000</v>
      </c>
    </row>
    <row r="86" spans="1:59" ht="13.2">
      <c r="A86" s="9" t="str">
        <f t="shared" ca="1" si="10"/>
        <v>15</v>
      </c>
      <c r="B86" s="9" t="str">
        <f ca="1">OFFSET(ORÇAMENTO!C$15,ROW(B86)-ROW(B$15),0)</f>
        <v>S</v>
      </c>
      <c r="C86" s="9" t="str">
        <f ca="1">OFFSET(ORÇAMENTO!L$15,ROW(C86)-ROW(C$15),0)</f>
        <v/>
      </c>
      <c r="D86" s="141" t="str">
        <f ca="1">OFFSET(ORÇAMENTO!N$15,ROW(D86)-ROW(D$15),0)</f>
        <v>Serviço</v>
      </c>
      <c r="E86" s="201" t="str">
        <f ca="1">OFFSET(ORÇAMENTO!O$15,ROW(E86)-ROW(E$15),0)</f>
        <v>-</v>
      </c>
      <c r="F86" s="202" t="str">
        <f ca="1">OFFSET(ORÇAMENTO!R$15,ROW(F86)-ROW(F$15),0)</f>
        <v>(abra o arquivo 'Referência 11-2024.xlsm)</v>
      </c>
      <c r="G86" s="203" t="str">
        <f ca="1">IF($D86&lt;&gt;"Serviço","",OFFSET(ORÇAMENTO!S$15,ROW(G86)-ROW(G$15),0))</f>
        <v>-</v>
      </c>
      <c r="H86" s="147">
        <f ca="1">IF($D86&lt;&gt;"Serviço",0,IF(ACOMPANHAMENTO="BM",ROUND(OFFSET(ORÇAMENTO!AJ$15,ROW(H86)-ROW(H$15),0),15-13*ORÇAMENTO!$AF$7),SUMPRODUCT(($Q$12:$AA$12&lt;&gt;"")*ROUND($Q86:$AA86,15-13*ORÇAMENTO!$AF$7))))</f>
        <v>0</v>
      </c>
      <c r="I86" s="645"/>
      <c r="K86" s="204"/>
      <c r="L86" s="205" t="s">
        <v>255</v>
      </c>
      <c r="M86" s="206">
        <f ca="1">IF($D86&lt;&gt;"Serviço","",IF(AUTOEVENTO="manual",$A86,IF(ISERROR(MATCH($A86,$A$15:OFFSET($A86,-1,0),0)),MAX($M$15:OFFSET(M86,-1,0))+1,INDEX($M$15:OFFSET(M86,-1,0),MATCH($A86,$A$15:OFFSET($A86,-1,0),0)))))</f>
        <v>6</v>
      </c>
      <c r="N86" s="207" t="str">
        <f ca="1">IF($D86&lt;&gt;"Serviço","",IF(AUTOEVENTO="Manual",IF($A86=0,"&lt;-- defina o número do agrupador",OFFSET(EVENTOS!$D$14,$A86,0)),OFFSET($F$15,$A86,0)))</f>
        <v>DRENAGEM</v>
      </c>
      <c r="O86" s="208"/>
      <c r="Q86" s="208"/>
      <c r="R86" s="209"/>
      <c r="S86" s="209"/>
      <c r="T86" s="209"/>
      <c r="U86" s="209"/>
      <c r="V86" s="209"/>
      <c r="W86" s="209"/>
      <c r="X86" s="209"/>
      <c r="Y86" s="209"/>
      <c r="Z86" s="210"/>
      <c r="AB86" s="626">
        <f ca="1">IF(AND($D86="Serviço",AB$12&lt;&gt;0,$H86&gt;0,OR(AUTOEVENTO&lt;&gt;"manual",$M86&lt;&gt;1)),
IF(Import.TipoArredondamento&lt;&gt;"TransfereGOV",
ROUND(OFFSET($P86,0,AB$13),15-13*ORÇAMENTO!$AF$7)/$H86*OFFSET(ORÇAMENTO!$X$15,ROW(AB86)-ROW(AB$15),0),
ROUND(ROUND(OFFSET($P86,0,AB$13),15-13*ORÇAMENTO!$AF$7)*OFFSET(ORÇAMENTO!$W$15,ROW(AB86)-ROW(AB$15),0),15-13*ORÇAMENTO!$AF$11)),0)</f>
        <v>0</v>
      </c>
      <c r="AC86" s="627">
        <f ca="1">IF(AND($D86="Serviço",AC$12&lt;&gt;0,$H86&gt;0,OR(AUTOEVENTO&lt;&gt;"manual",$M86&lt;&gt;1)),
IF(Import.TipoArredondamento&lt;&gt;"TransfereGOV",
ROUND(OFFSET($P86,0,AC$13),15-13*ORÇAMENTO!$AF$7)/$H86*OFFSET(ORÇAMENTO!$X$15,ROW(AC86)-ROW(AC$15),0),
ROUND(ROUND(OFFSET($P86,0,AC$13),15-13*ORÇAMENTO!$AF$7)*OFFSET(ORÇAMENTO!$W$15,ROW(AC86)-ROW(AC$15),0),15-13*ORÇAMENTO!$AF$11)),0)</f>
        <v>0</v>
      </c>
      <c r="AD86" s="627">
        <f ca="1">IF(AND($D86="Serviço",AD$12&lt;&gt;0,$H86&gt;0,OR(AUTOEVENTO&lt;&gt;"manual",$M86&lt;&gt;1)),
IF(Import.TipoArredondamento&lt;&gt;"TransfereGOV",
ROUND(OFFSET($P86,0,AD$13),15-13*ORÇAMENTO!$AF$7)/$H86*OFFSET(ORÇAMENTO!$X$15,ROW(AD86)-ROW(AD$15),0),
ROUND(ROUND(OFFSET($P86,0,AD$13),15-13*ORÇAMENTO!$AF$7)*OFFSET(ORÇAMENTO!$W$15,ROW(AD86)-ROW(AD$15),0),15-13*ORÇAMENTO!$AF$11)),0)</f>
        <v>0</v>
      </c>
      <c r="AE86" s="627">
        <f ca="1">IF(AND($D86="Serviço",AE$12&lt;&gt;0,$H86&gt;0,OR(AUTOEVENTO&lt;&gt;"manual",$M86&lt;&gt;1)),
IF(Import.TipoArredondamento&lt;&gt;"TransfereGOV",
ROUND(OFFSET($P86,0,AE$13),15-13*ORÇAMENTO!$AF$7)/$H86*OFFSET(ORÇAMENTO!$X$15,ROW(AE86)-ROW(AE$15),0),
ROUND(ROUND(OFFSET($P86,0,AE$13),15-13*ORÇAMENTO!$AF$7)*OFFSET(ORÇAMENTO!$W$15,ROW(AE86)-ROW(AE$15),0),15-13*ORÇAMENTO!$AF$11)),0)</f>
        <v>0</v>
      </c>
      <c r="AF86" s="627">
        <f ca="1">IF(AND($D86="Serviço",AF$12&lt;&gt;0,$H86&gt;0,OR(AUTOEVENTO&lt;&gt;"manual",$M86&lt;&gt;1)),
IF(Import.TipoArredondamento&lt;&gt;"TransfereGOV",
ROUND(OFFSET($P86,0,AF$13),15-13*ORÇAMENTO!$AF$7)/$H86*OFFSET(ORÇAMENTO!$X$15,ROW(AF86)-ROW(AF$15),0),
ROUND(ROUND(OFFSET($P86,0,AF$13),15-13*ORÇAMENTO!$AF$7)*OFFSET(ORÇAMENTO!$W$15,ROW(AF86)-ROW(AF$15),0),15-13*ORÇAMENTO!$AF$11)),0)</f>
        <v>0</v>
      </c>
      <c r="AG86" s="627">
        <f ca="1">IF(AND($D86="Serviço",AG$12&lt;&gt;0,$H86&gt;0,OR(AUTOEVENTO&lt;&gt;"manual",$M86&lt;&gt;1)),
IF(Import.TipoArredondamento&lt;&gt;"TransfereGOV",
ROUND(OFFSET($P86,0,AG$13),15-13*ORÇAMENTO!$AF$7)/$H86*OFFSET(ORÇAMENTO!$X$15,ROW(AG86)-ROW(AG$15),0),
ROUND(ROUND(OFFSET($P86,0,AG$13),15-13*ORÇAMENTO!$AF$7)*OFFSET(ORÇAMENTO!$W$15,ROW(AG86)-ROW(AG$15),0),15-13*ORÇAMENTO!$AF$11)),0)</f>
        <v>0</v>
      </c>
      <c r="AH86" s="627">
        <f ca="1">IF(AND($D86="Serviço",AH$12&lt;&gt;0,$H86&gt;0,OR(AUTOEVENTO&lt;&gt;"manual",$M86&lt;&gt;1)),
IF(Import.TipoArredondamento&lt;&gt;"TransfereGOV",
ROUND(OFFSET($P86,0,AH$13),15-13*ORÇAMENTO!$AF$7)/$H86*OFFSET(ORÇAMENTO!$X$15,ROW(AH86)-ROW(AH$15),0),
ROUND(ROUND(OFFSET($P86,0,AH$13),15-13*ORÇAMENTO!$AF$7)*OFFSET(ORÇAMENTO!$W$15,ROW(AH86)-ROW(AH$15),0),15-13*ORÇAMENTO!$AF$11)),0)</f>
        <v>0</v>
      </c>
      <c r="AI86" s="627">
        <f ca="1">IF(AND($D86="Serviço",AI$12&lt;&gt;0,$H86&gt;0,OR(AUTOEVENTO&lt;&gt;"manual",$M86&lt;&gt;1)),
IF(Import.TipoArredondamento&lt;&gt;"TransfereGOV",
ROUND(OFFSET($P86,0,AI$13),15-13*ORÇAMENTO!$AF$7)/$H86*OFFSET(ORÇAMENTO!$X$15,ROW(AI86)-ROW(AI$15),0),
ROUND(ROUND(OFFSET($P86,0,AI$13),15-13*ORÇAMENTO!$AF$7)*OFFSET(ORÇAMENTO!$W$15,ROW(AI86)-ROW(AI$15),0),15-13*ORÇAMENTO!$AF$11)),0)</f>
        <v>0</v>
      </c>
      <c r="AJ86" s="627">
        <f ca="1">IF(AND($D86="Serviço",AJ$12&lt;&gt;0,$H86&gt;0,OR(AUTOEVENTO&lt;&gt;"manual",$M86&lt;&gt;1)),
IF(Import.TipoArredondamento&lt;&gt;"TransfereGOV",
ROUND(OFFSET($P86,0,AJ$13),15-13*ORÇAMENTO!$AF$7)/$H86*OFFSET(ORÇAMENTO!$X$15,ROW(AJ86)-ROW(AJ$15),0),
ROUND(ROUND(OFFSET($P86,0,AJ$13),15-13*ORÇAMENTO!$AF$7)*OFFSET(ORÇAMENTO!$W$15,ROW(AJ86)-ROW(AJ$15),0),15-13*ORÇAMENTO!$AF$11)),0)</f>
        <v>0</v>
      </c>
      <c r="AK86" s="628">
        <f ca="1">IF(AND($D86="Serviço",AK$12&lt;&gt;0,$H86&gt;0,OR(AUTOEVENTO&lt;&gt;"manual",$M86&lt;&gt;1)),
IF(Import.TipoArredondamento&lt;&gt;"TransfereGOV",
ROUND(OFFSET($P86,0,AK$13),15-13*ORÇAMENTO!$AF$7)/$H86*OFFSET(ORÇAMENTO!$X$15,ROW(AK86)-ROW(AK$15),0),
ROUND(ROUND(OFFSET($P86,0,AK$13),15-13*ORÇAMENTO!$AF$7)*OFFSET(ORÇAMENTO!$W$15,ROW(AK86)-ROW(AK$15),0),15-13*ORÇAMENTO!$AF$11)),0)</f>
        <v>0</v>
      </c>
      <c r="AM86" s="211">
        <f ca="1">IF($D86&lt;&gt;"Serviço",0,IF(AND(AUTOEVENTO="Manual",$M86=1),0,IF(OFFSET(CRONOPLE!$F$14,$M86,AM$13)="",10^12,OFFSET(CRONOPLE!$F$14,$M86,AM$13))))</f>
        <v>2</v>
      </c>
      <c r="AN86" s="211">
        <f ca="1">IF($D86&lt;&gt;"Serviço",0,IF(AND(AUTOEVENTO="Manual",$M86=1),0,IF(OFFSET(CRONOPLE!$F$14,$M86,AN$13)="",10^12,OFFSET(CRONOPLE!$F$14,$M86,AN$13))))</f>
        <v>1</v>
      </c>
      <c r="AO86" s="211">
        <f ca="1">IF($D86&lt;&gt;"Serviço",0,IF(AND(AUTOEVENTO="Manual",$M86=1),0,IF(OFFSET(CRONOPLE!$F$14,$M86,AO$13)="",10^12,OFFSET(CRONOPLE!$F$14,$M86,AO$13))))</f>
        <v>2</v>
      </c>
      <c r="AP86" s="211">
        <f ca="1">IF($D86&lt;&gt;"Serviço",0,IF(AND(AUTOEVENTO="Manual",$M86=1),0,IF(OFFSET(CRONOPLE!$F$14,$M86,AP$13)="",10^12,OFFSET(CRONOPLE!$F$14,$M86,AP$13))))</f>
        <v>2</v>
      </c>
      <c r="AQ86" s="211">
        <f ca="1">IF($D86&lt;&gt;"Serviço",0,IF(AND(AUTOEVENTO="Manual",$M86=1),0,IF(OFFSET(CRONOPLE!$F$14,$M86,AQ$13)="",10^12,OFFSET(CRONOPLE!$F$14,$M86,AQ$13))))</f>
        <v>1000000000000</v>
      </c>
      <c r="AR86" s="211">
        <f ca="1">IF($D86&lt;&gt;"Serviço",0,IF(AND(AUTOEVENTO="Manual",$M86=1),0,IF(OFFSET(CRONOPLE!$F$14,$M86,AR$13)="",10^12,OFFSET(CRONOPLE!$F$14,$M86,AR$13))))</f>
        <v>1000000000000</v>
      </c>
      <c r="AS86" s="211">
        <f ca="1">IF($D86&lt;&gt;"Serviço",0,IF(AND(AUTOEVENTO="Manual",$M86=1),0,IF(OFFSET(CRONOPLE!$F$14,$M86,AS$13)="",10^12,OFFSET(CRONOPLE!$F$14,$M86,AS$13))))</f>
        <v>1000000000000</v>
      </c>
      <c r="AT86" s="211">
        <f ca="1">IF($D86&lt;&gt;"Serviço",0,IF(AND(AUTOEVENTO="Manual",$M86=1),0,IF(OFFSET(CRONOPLE!$F$14,$M86,AT$13)="",10^12,OFFSET(CRONOPLE!$F$14,$M86,AT$13))))</f>
        <v>1000000000000</v>
      </c>
      <c r="AU86" s="211">
        <f ca="1">IF($D86&lt;&gt;"Serviço",0,IF(AND(AUTOEVENTO="Manual",$M86=1),0,IF(OFFSET(CRONOPLE!$F$14,$M86,AU$13)="",10^12,OFFSET(CRONOPLE!$F$14,$M86,AU$13))))</f>
        <v>1000000000000</v>
      </c>
      <c r="AV86" s="211">
        <f ca="1">IF($D86&lt;&gt;"Serviço",0,IF(AND(AUTOEVENTO="Manual",$M86=1),0,IF(OFFSET(CRONOPLE!$F$14,$M86,AV$13)="",10^12,OFFSET(CRONOPLE!$F$14,$M86,AV$13))))</f>
        <v>1000000000000</v>
      </c>
      <c r="AX86" s="212">
        <f ca="1">IF($D86&lt;&gt;"Serviço",0,IF(OR(AND(AUTOEVENTO="Manual",$M86=1),$M86&gt;(ROW(PLE.lastrow)-ROW(PLE.firstrow))),0,IF(OFFSET(PLE!$G$14,$M86,AX$13)="",10^12,OFFSET(PLE!$G$14,$M86,AX$13))))</f>
        <v>1000000000000</v>
      </c>
      <c r="AY86" s="212">
        <f ca="1">IF($D86&lt;&gt;"Serviço",0,IF(OR(AND(AUTOEVENTO="Manual",$M86=1),$M86&gt;(ROW(PLE.lastrow)-ROW(PLE.firstrow))),0,IF(OFFSET(PLE!$G$14,$M86,AY$13)="",10^12,OFFSET(PLE!$G$14,$M86,AY$13))))</f>
        <v>1000000000000</v>
      </c>
      <c r="AZ86" s="212">
        <f ca="1">IF($D86&lt;&gt;"Serviço",0,IF(OR(AND(AUTOEVENTO="Manual",$M86=1),$M86&gt;(ROW(PLE.lastrow)-ROW(PLE.firstrow))),0,IF(OFFSET(PLE!$G$14,$M86,AZ$13)="",10^12,OFFSET(PLE!$G$14,$M86,AZ$13))))</f>
        <v>1000000000000</v>
      </c>
      <c r="BA86" s="212">
        <f ca="1">IF($D86&lt;&gt;"Serviço",0,IF(OR(AND(AUTOEVENTO="Manual",$M86=1),$M86&gt;(ROW(PLE.lastrow)-ROW(PLE.firstrow))),0,IF(OFFSET(PLE!$G$14,$M86,BA$13)="",10^12,OFFSET(PLE!$G$14,$M86,BA$13))))</f>
        <v>1000000000000</v>
      </c>
      <c r="BB86" s="212">
        <f ca="1">IF($D86&lt;&gt;"Serviço",0,IF(OR(AND(AUTOEVENTO="Manual",$M86=1),$M86&gt;(ROW(PLE.lastrow)-ROW(PLE.firstrow))),0,IF(OFFSET(PLE!$G$14,$M86,BB$13)="",10^12,OFFSET(PLE!$G$14,$M86,BB$13))))</f>
        <v>1000000000000</v>
      </c>
      <c r="BC86" s="212">
        <f ca="1">IF($D86&lt;&gt;"Serviço",0,IF(OR(AND(AUTOEVENTO="Manual",$M86=1),$M86&gt;(ROW(PLE.lastrow)-ROW(PLE.firstrow))),0,IF(OFFSET(PLE!$G$14,$M86,BC$13)="",10^12,OFFSET(PLE!$G$14,$M86,BC$13))))</f>
        <v>1000000000000</v>
      </c>
      <c r="BD86" s="212">
        <f ca="1">IF($D86&lt;&gt;"Serviço",0,IF(OR(AND(AUTOEVENTO="Manual",$M86=1),$M86&gt;(ROW(PLE.lastrow)-ROW(PLE.firstrow))),0,IF(OFFSET(PLE!$G$14,$M86,BD$13)="",10^12,OFFSET(PLE!$G$14,$M86,BD$13))))</f>
        <v>1000000000000</v>
      </c>
      <c r="BE86" s="212">
        <f ca="1">IF($D86&lt;&gt;"Serviço",0,IF(OR(AND(AUTOEVENTO="Manual",$M86=1),$M86&gt;(ROW(PLE.lastrow)-ROW(PLE.firstrow))),0,IF(OFFSET(PLE!$G$14,$M86,BE$13)="",10^12,OFFSET(PLE!$G$14,$M86,BE$13))))</f>
        <v>1000000000000</v>
      </c>
      <c r="BF86" s="212">
        <f ca="1">IF($D86&lt;&gt;"Serviço",0,IF(OR(AND(AUTOEVENTO="Manual",$M86=1),$M86&gt;(ROW(PLE.lastrow)-ROW(PLE.firstrow))),0,IF(OFFSET(PLE!$G$14,$M86,BF$13)="",10^12,OFFSET(PLE!$G$14,$M86,BF$13))))</f>
        <v>1000000000000</v>
      </c>
      <c r="BG86" s="212">
        <f ca="1">IF($D86&lt;&gt;"Serviço",0,IF(OR(AND(AUTOEVENTO="Manual",$M86=1),$M86&gt;(ROW(PLE.lastrow)-ROW(PLE.firstrow))),0,IF(OFFSET(PLE!$G$14,$M86,BG$13)="",10^12,OFFSET(PLE!$G$14,$M86,BG$13))))</f>
        <v>1000000000000</v>
      </c>
    </row>
    <row r="87" spans="1:59" ht="13.2">
      <c r="A87" s="9" t="str">
        <f t="shared" ca="1" si="10"/>
        <v>15</v>
      </c>
      <c r="B87" s="9" t="str">
        <f ca="1">OFFSET(ORÇAMENTO!C$15,ROW(B87)-ROW(B$15),0)</f>
        <v>S</v>
      </c>
      <c r="C87" s="9" t="str">
        <f ca="1">OFFSET(ORÇAMENTO!L$15,ROW(C87)-ROW(C$15),0)</f>
        <v/>
      </c>
      <c r="D87" s="141" t="str">
        <f ca="1">OFFSET(ORÇAMENTO!N$15,ROW(D87)-ROW(D$15),0)</f>
        <v>Serviço</v>
      </c>
      <c r="E87" s="201" t="str">
        <f ca="1">OFFSET(ORÇAMENTO!O$15,ROW(E87)-ROW(E$15),0)</f>
        <v>-</v>
      </c>
      <c r="F87" s="202" t="str">
        <f ca="1">OFFSET(ORÇAMENTO!R$15,ROW(F87)-ROW(F$15),0)</f>
        <v>(abra o arquivo 'Referência 11-2024.xlsm)</v>
      </c>
      <c r="G87" s="203" t="str">
        <f ca="1">IF($D87&lt;&gt;"Serviço","",OFFSET(ORÇAMENTO!S$15,ROW(G87)-ROW(G$15),0))</f>
        <v>-</v>
      </c>
      <c r="H87" s="147">
        <f ca="1">IF($D87&lt;&gt;"Serviço",0,IF(ACOMPANHAMENTO="BM",ROUND(OFFSET(ORÇAMENTO!AJ$15,ROW(H87)-ROW(H$15),0),15-13*ORÇAMENTO!$AF$7),SUMPRODUCT(($Q$12:$AA$12&lt;&gt;"")*ROUND($Q87:$AA87,15-13*ORÇAMENTO!$AF$7))))</f>
        <v>0</v>
      </c>
      <c r="I87" s="645"/>
      <c r="K87" s="204"/>
      <c r="L87" s="205" t="s">
        <v>255</v>
      </c>
      <c r="M87" s="206">
        <f ca="1">IF($D87&lt;&gt;"Serviço","",IF(AUTOEVENTO="manual",$A87,IF(ISERROR(MATCH($A87,$A$15:OFFSET($A87,-1,0),0)),MAX($M$15:OFFSET(M87,-1,0))+1,INDEX($M$15:OFFSET(M87,-1,0),MATCH($A87,$A$15:OFFSET($A87,-1,0),0)))))</f>
        <v>6</v>
      </c>
      <c r="N87" s="207" t="str">
        <f ca="1">IF($D87&lt;&gt;"Serviço","",IF(AUTOEVENTO="Manual",IF($A87=0,"&lt;-- defina o número do agrupador",OFFSET(EVENTOS!$D$14,$A87,0)),OFFSET($F$15,$A87,0)))</f>
        <v>DRENAGEM</v>
      </c>
      <c r="O87" s="208"/>
      <c r="Q87" s="208"/>
      <c r="R87" s="209"/>
      <c r="S87" s="209"/>
      <c r="T87" s="209"/>
      <c r="U87" s="209"/>
      <c r="V87" s="209"/>
      <c r="W87" s="209"/>
      <c r="X87" s="209"/>
      <c r="Y87" s="209"/>
      <c r="Z87" s="210"/>
      <c r="AB87" s="626">
        <f ca="1">IF(AND($D87="Serviço",AB$12&lt;&gt;0,$H87&gt;0,OR(AUTOEVENTO&lt;&gt;"manual",$M87&lt;&gt;1)),
IF(Import.TipoArredondamento&lt;&gt;"TransfereGOV",
ROUND(OFFSET($P87,0,AB$13),15-13*ORÇAMENTO!$AF$7)/$H87*OFFSET(ORÇAMENTO!$X$15,ROW(AB87)-ROW(AB$15),0),
ROUND(ROUND(OFFSET($P87,0,AB$13),15-13*ORÇAMENTO!$AF$7)*OFFSET(ORÇAMENTO!$W$15,ROW(AB87)-ROW(AB$15),0),15-13*ORÇAMENTO!$AF$11)),0)</f>
        <v>0</v>
      </c>
      <c r="AC87" s="627">
        <f ca="1">IF(AND($D87="Serviço",AC$12&lt;&gt;0,$H87&gt;0,OR(AUTOEVENTO&lt;&gt;"manual",$M87&lt;&gt;1)),
IF(Import.TipoArredondamento&lt;&gt;"TransfereGOV",
ROUND(OFFSET($P87,0,AC$13),15-13*ORÇAMENTO!$AF$7)/$H87*OFFSET(ORÇAMENTO!$X$15,ROW(AC87)-ROW(AC$15),0),
ROUND(ROUND(OFFSET($P87,0,AC$13),15-13*ORÇAMENTO!$AF$7)*OFFSET(ORÇAMENTO!$W$15,ROW(AC87)-ROW(AC$15),0),15-13*ORÇAMENTO!$AF$11)),0)</f>
        <v>0</v>
      </c>
      <c r="AD87" s="627">
        <f ca="1">IF(AND($D87="Serviço",AD$12&lt;&gt;0,$H87&gt;0,OR(AUTOEVENTO&lt;&gt;"manual",$M87&lt;&gt;1)),
IF(Import.TipoArredondamento&lt;&gt;"TransfereGOV",
ROUND(OFFSET($P87,0,AD$13),15-13*ORÇAMENTO!$AF$7)/$H87*OFFSET(ORÇAMENTO!$X$15,ROW(AD87)-ROW(AD$15),0),
ROUND(ROUND(OFFSET($P87,0,AD$13),15-13*ORÇAMENTO!$AF$7)*OFFSET(ORÇAMENTO!$W$15,ROW(AD87)-ROW(AD$15),0),15-13*ORÇAMENTO!$AF$11)),0)</f>
        <v>0</v>
      </c>
      <c r="AE87" s="627">
        <f ca="1">IF(AND($D87="Serviço",AE$12&lt;&gt;0,$H87&gt;0,OR(AUTOEVENTO&lt;&gt;"manual",$M87&lt;&gt;1)),
IF(Import.TipoArredondamento&lt;&gt;"TransfereGOV",
ROUND(OFFSET($P87,0,AE$13),15-13*ORÇAMENTO!$AF$7)/$H87*OFFSET(ORÇAMENTO!$X$15,ROW(AE87)-ROW(AE$15),0),
ROUND(ROUND(OFFSET($P87,0,AE$13),15-13*ORÇAMENTO!$AF$7)*OFFSET(ORÇAMENTO!$W$15,ROW(AE87)-ROW(AE$15),0),15-13*ORÇAMENTO!$AF$11)),0)</f>
        <v>0</v>
      </c>
      <c r="AF87" s="627">
        <f ca="1">IF(AND($D87="Serviço",AF$12&lt;&gt;0,$H87&gt;0,OR(AUTOEVENTO&lt;&gt;"manual",$M87&lt;&gt;1)),
IF(Import.TipoArredondamento&lt;&gt;"TransfereGOV",
ROUND(OFFSET($P87,0,AF$13),15-13*ORÇAMENTO!$AF$7)/$H87*OFFSET(ORÇAMENTO!$X$15,ROW(AF87)-ROW(AF$15),0),
ROUND(ROUND(OFFSET($P87,0,AF$13),15-13*ORÇAMENTO!$AF$7)*OFFSET(ORÇAMENTO!$W$15,ROW(AF87)-ROW(AF$15),0),15-13*ORÇAMENTO!$AF$11)),0)</f>
        <v>0</v>
      </c>
      <c r="AG87" s="627">
        <f ca="1">IF(AND($D87="Serviço",AG$12&lt;&gt;0,$H87&gt;0,OR(AUTOEVENTO&lt;&gt;"manual",$M87&lt;&gt;1)),
IF(Import.TipoArredondamento&lt;&gt;"TransfereGOV",
ROUND(OFFSET($P87,0,AG$13),15-13*ORÇAMENTO!$AF$7)/$H87*OFFSET(ORÇAMENTO!$X$15,ROW(AG87)-ROW(AG$15),0),
ROUND(ROUND(OFFSET($P87,0,AG$13),15-13*ORÇAMENTO!$AF$7)*OFFSET(ORÇAMENTO!$W$15,ROW(AG87)-ROW(AG$15),0),15-13*ORÇAMENTO!$AF$11)),0)</f>
        <v>0</v>
      </c>
      <c r="AH87" s="627">
        <f ca="1">IF(AND($D87="Serviço",AH$12&lt;&gt;0,$H87&gt;0,OR(AUTOEVENTO&lt;&gt;"manual",$M87&lt;&gt;1)),
IF(Import.TipoArredondamento&lt;&gt;"TransfereGOV",
ROUND(OFFSET($P87,0,AH$13),15-13*ORÇAMENTO!$AF$7)/$H87*OFFSET(ORÇAMENTO!$X$15,ROW(AH87)-ROW(AH$15),0),
ROUND(ROUND(OFFSET($P87,0,AH$13),15-13*ORÇAMENTO!$AF$7)*OFFSET(ORÇAMENTO!$W$15,ROW(AH87)-ROW(AH$15),0),15-13*ORÇAMENTO!$AF$11)),0)</f>
        <v>0</v>
      </c>
      <c r="AI87" s="627">
        <f ca="1">IF(AND($D87="Serviço",AI$12&lt;&gt;0,$H87&gt;0,OR(AUTOEVENTO&lt;&gt;"manual",$M87&lt;&gt;1)),
IF(Import.TipoArredondamento&lt;&gt;"TransfereGOV",
ROUND(OFFSET($P87,0,AI$13),15-13*ORÇAMENTO!$AF$7)/$H87*OFFSET(ORÇAMENTO!$X$15,ROW(AI87)-ROW(AI$15),0),
ROUND(ROUND(OFFSET($P87,0,AI$13),15-13*ORÇAMENTO!$AF$7)*OFFSET(ORÇAMENTO!$W$15,ROW(AI87)-ROW(AI$15),0),15-13*ORÇAMENTO!$AF$11)),0)</f>
        <v>0</v>
      </c>
      <c r="AJ87" s="627">
        <f ca="1">IF(AND($D87="Serviço",AJ$12&lt;&gt;0,$H87&gt;0,OR(AUTOEVENTO&lt;&gt;"manual",$M87&lt;&gt;1)),
IF(Import.TipoArredondamento&lt;&gt;"TransfereGOV",
ROUND(OFFSET($P87,0,AJ$13),15-13*ORÇAMENTO!$AF$7)/$H87*OFFSET(ORÇAMENTO!$X$15,ROW(AJ87)-ROW(AJ$15),0),
ROUND(ROUND(OFFSET($P87,0,AJ$13),15-13*ORÇAMENTO!$AF$7)*OFFSET(ORÇAMENTO!$W$15,ROW(AJ87)-ROW(AJ$15),0),15-13*ORÇAMENTO!$AF$11)),0)</f>
        <v>0</v>
      </c>
      <c r="AK87" s="628">
        <f ca="1">IF(AND($D87="Serviço",AK$12&lt;&gt;0,$H87&gt;0,OR(AUTOEVENTO&lt;&gt;"manual",$M87&lt;&gt;1)),
IF(Import.TipoArredondamento&lt;&gt;"TransfereGOV",
ROUND(OFFSET($P87,0,AK$13),15-13*ORÇAMENTO!$AF$7)/$H87*OFFSET(ORÇAMENTO!$X$15,ROW(AK87)-ROW(AK$15),0),
ROUND(ROUND(OFFSET($P87,0,AK$13),15-13*ORÇAMENTO!$AF$7)*OFFSET(ORÇAMENTO!$W$15,ROW(AK87)-ROW(AK$15),0),15-13*ORÇAMENTO!$AF$11)),0)</f>
        <v>0</v>
      </c>
      <c r="AM87" s="211">
        <f ca="1">IF($D87&lt;&gt;"Serviço",0,IF(AND(AUTOEVENTO="Manual",$M87=1),0,IF(OFFSET(CRONOPLE!$F$14,$M87,AM$13)="",10^12,OFFSET(CRONOPLE!$F$14,$M87,AM$13))))</f>
        <v>2</v>
      </c>
      <c r="AN87" s="211">
        <f ca="1">IF($D87&lt;&gt;"Serviço",0,IF(AND(AUTOEVENTO="Manual",$M87=1),0,IF(OFFSET(CRONOPLE!$F$14,$M87,AN$13)="",10^12,OFFSET(CRONOPLE!$F$14,$M87,AN$13))))</f>
        <v>1</v>
      </c>
      <c r="AO87" s="211">
        <f ca="1">IF($D87&lt;&gt;"Serviço",0,IF(AND(AUTOEVENTO="Manual",$M87=1),0,IF(OFFSET(CRONOPLE!$F$14,$M87,AO$13)="",10^12,OFFSET(CRONOPLE!$F$14,$M87,AO$13))))</f>
        <v>2</v>
      </c>
      <c r="AP87" s="211">
        <f ca="1">IF($D87&lt;&gt;"Serviço",0,IF(AND(AUTOEVENTO="Manual",$M87=1),0,IF(OFFSET(CRONOPLE!$F$14,$M87,AP$13)="",10^12,OFFSET(CRONOPLE!$F$14,$M87,AP$13))))</f>
        <v>2</v>
      </c>
      <c r="AQ87" s="211">
        <f ca="1">IF($D87&lt;&gt;"Serviço",0,IF(AND(AUTOEVENTO="Manual",$M87=1),0,IF(OFFSET(CRONOPLE!$F$14,$M87,AQ$13)="",10^12,OFFSET(CRONOPLE!$F$14,$M87,AQ$13))))</f>
        <v>1000000000000</v>
      </c>
      <c r="AR87" s="211">
        <f ca="1">IF($D87&lt;&gt;"Serviço",0,IF(AND(AUTOEVENTO="Manual",$M87=1),0,IF(OFFSET(CRONOPLE!$F$14,$M87,AR$13)="",10^12,OFFSET(CRONOPLE!$F$14,$M87,AR$13))))</f>
        <v>1000000000000</v>
      </c>
      <c r="AS87" s="211">
        <f ca="1">IF($D87&lt;&gt;"Serviço",0,IF(AND(AUTOEVENTO="Manual",$M87=1),0,IF(OFFSET(CRONOPLE!$F$14,$M87,AS$13)="",10^12,OFFSET(CRONOPLE!$F$14,$M87,AS$13))))</f>
        <v>1000000000000</v>
      </c>
      <c r="AT87" s="211">
        <f ca="1">IF($D87&lt;&gt;"Serviço",0,IF(AND(AUTOEVENTO="Manual",$M87=1),0,IF(OFFSET(CRONOPLE!$F$14,$M87,AT$13)="",10^12,OFFSET(CRONOPLE!$F$14,$M87,AT$13))))</f>
        <v>1000000000000</v>
      </c>
      <c r="AU87" s="211">
        <f ca="1">IF($D87&lt;&gt;"Serviço",0,IF(AND(AUTOEVENTO="Manual",$M87=1),0,IF(OFFSET(CRONOPLE!$F$14,$M87,AU$13)="",10^12,OFFSET(CRONOPLE!$F$14,$M87,AU$13))))</f>
        <v>1000000000000</v>
      </c>
      <c r="AV87" s="211">
        <f ca="1">IF($D87&lt;&gt;"Serviço",0,IF(AND(AUTOEVENTO="Manual",$M87=1),0,IF(OFFSET(CRONOPLE!$F$14,$M87,AV$13)="",10^12,OFFSET(CRONOPLE!$F$14,$M87,AV$13))))</f>
        <v>1000000000000</v>
      </c>
      <c r="AX87" s="212">
        <f ca="1">IF($D87&lt;&gt;"Serviço",0,IF(OR(AND(AUTOEVENTO="Manual",$M87=1),$M87&gt;(ROW(PLE.lastrow)-ROW(PLE.firstrow))),0,IF(OFFSET(PLE!$G$14,$M87,AX$13)="",10^12,OFFSET(PLE!$G$14,$M87,AX$13))))</f>
        <v>1000000000000</v>
      </c>
      <c r="AY87" s="212">
        <f ca="1">IF($D87&lt;&gt;"Serviço",0,IF(OR(AND(AUTOEVENTO="Manual",$M87=1),$M87&gt;(ROW(PLE.lastrow)-ROW(PLE.firstrow))),0,IF(OFFSET(PLE!$G$14,$M87,AY$13)="",10^12,OFFSET(PLE!$G$14,$M87,AY$13))))</f>
        <v>1000000000000</v>
      </c>
      <c r="AZ87" s="212">
        <f ca="1">IF($D87&lt;&gt;"Serviço",0,IF(OR(AND(AUTOEVENTO="Manual",$M87=1),$M87&gt;(ROW(PLE.lastrow)-ROW(PLE.firstrow))),0,IF(OFFSET(PLE!$G$14,$M87,AZ$13)="",10^12,OFFSET(PLE!$G$14,$M87,AZ$13))))</f>
        <v>1000000000000</v>
      </c>
      <c r="BA87" s="212">
        <f ca="1">IF($D87&lt;&gt;"Serviço",0,IF(OR(AND(AUTOEVENTO="Manual",$M87=1),$M87&gt;(ROW(PLE.lastrow)-ROW(PLE.firstrow))),0,IF(OFFSET(PLE!$G$14,$M87,BA$13)="",10^12,OFFSET(PLE!$G$14,$M87,BA$13))))</f>
        <v>1000000000000</v>
      </c>
      <c r="BB87" s="212">
        <f ca="1">IF($D87&lt;&gt;"Serviço",0,IF(OR(AND(AUTOEVENTO="Manual",$M87=1),$M87&gt;(ROW(PLE.lastrow)-ROW(PLE.firstrow))),0,IF(OFFSET(PLE!$G$14,$M87,BB$13)="",10^12,OFFSET(PLE!$G$14,$M87,BB$13))))</f>
        <v>1000000000000</v>
      </c>
      <c r="BC87" s="212">
        <f ca="1">IF($D87&lt;&gt;"Serviço",0,IF(OR(AND(AUTOEVENTO="Manual",$M87=1),$M87&gt;(ROW(PLE.lastrow)-ROW(PLE.firstrow))),0,IF(OFFSET(PLE!$G$14,$M87,BC$13)="",10^12,OFFSET(PLE!$G$14,$M87,BC$13))))</f>
        <v>1000000000000</v>
      </c>
      <c r="BD87" s="212">
        <f ca="1">IF($D87&lt;&gt;"Serviço",0,IF(OR(AND(AUTOEVENTO="Manual",$M87=1),$M87&gt;(ROW(PLE.lastrow)-ROW(PLE.firstrow))),0,IF(OFFSET(PLE!$G$14,$M87,BD$13)="",10^12,OFFSET(PLE!$G$14,$M87,BD$13))))</f>
        <v>1000000000000</v>
      </c>
      <c r="BE87" s="212">
        <f ca="1">IF($D87&lt;&gt;"Serviço",0,IF(OR(AND(AUTOEVENTO="Manual",$M87=1),$M87&gt;(ROW(PLE.lastrow)-ROW(PLE.firstrow))),0,IF(OFFSET(PLE!$G$14,$M87,BE$13)="",10^12,OFFSET(PLE!$G$14,$M87,BE$13))))</f>
        <v>1000000000000</v>
      </c>
      <c r="BF87" s="212">
        <f ca="1">IF($D87&lt;&gt;"Serviço",0,IF(OR(AND(AUTOEVENTO="Manual",$M87=1),$M87&gt;(ROW(PLE.lastrow)-ROW(PLE.firstrow))),0,IF(OFFSET(PLE!$G$14,$M87,BF$13)="",10^12,OFFSET(PLE!$G$14,$M87,BF$13))))</f>
        <v>1000000000000</v>
      </c>
      <c r="BG87" s="212">
        <f ca="1">IF($D87&lt;&gt;"Serviço",0,IF(OR(AND(AUTOEVENTO="Manual",$M87=1),$M87&gt;(ROW(PLE.lastrow)-ROW(PLE.firstrow))),0,IF(OFFSET(PLE!$G$14,$M87,BG$13)="",10^12,OFFSET(PLE!$G$14,$M87,BG$13))))</f>
        <v>1000000000000</v>
      </c>
    </row>
    <row r="88" spans="1:59" ht="13.2">
      <c r="A88" s="9" t="str">
        <f t="shared" ca="1" si="10"/>
        <v>15</v>
      </c>
      <c r="B88" s="9" t="str">
        <f ca="1">OFFSET(ORÇAMENTO!C$15,ROW(B88)-ROW(B$15),0)</f>
        <v>S</v>
      </c>
      <c r="C88" s="9" t="str">
        <f ca="1">OFFSET(ORÇAMENTO!L$15,ROW(C88)-ROW(C$15),0)</f>
        <v/>
      </c>
      <c r="D88" s="141" t="str">
        <f ca="1">OFFSET(ORÇAMENTO!N$15,ROW(D88)-ROW(D$15),0)</f>
        <v>Serviço</v>
      </c>
      <c r="E88" s="201" t="str">
        <f ca="1">OFFSET(ORÇAMENTO!O$15,ROW(E88)-ROW(E$15),0)</f>
        <v>-</v>
      </c>
      <c r="F88" s="202" t="str">
        <f ca="1">OFFSET(ORÇAMENTO!R$15,ROW(F88)-ROW(F$15),0)</f>
        <v>(abra o arquivo 'Referência 11-2024.xlsm)</v>
      </c>
      <c r="G88" s="203" t="str">
        <f ca="1">IF($D88&lt;&gt;"Serviço","",OFFSET(ORÇAMENTO!S$15,ROW(G88)-ROW(G$15),0))</f>
        <v>-</v>
      </c>
      <c r="H88" s="147">
        <f ca="1">IF($D88&lt;&gt;"Serviço",0,IF(ACOMPANHAMENTO="BM",ROUND(OFFSET(ORÇAMENTO!AJ$15,ROW(H88)-ROW(H$15),0),15-13*ORÇAMENTO!$AF$7),SUMPRODUCT(($Q$12:$AA$12&lt;&gt;"")*ROUND($Q88:$AA88,15-13*ORÇAMENTO!$AF$7))))</f>
        <v>0</v>
      </c>
      <c r="I88" s="645"/>
      <c r="K88" s="204"/>
      <c r="L88" s="205" t="s">
        <v>255</v>
      </c>
      <c r="M88" s="206">
        <f ca="1">IF($D88&lt;&gt;"Serviço","",IF(AUTOEVENTO="manual",$A88,IF(ISERROR(MATCH($A88,$A$15:OFFSET($A88,-1,0),0)),MAX($M$15:OFFSET(M88,-1,0))+1,INDEX($M$15:OFFSET(M88,-1,0),MATCH($A88,$A$15:OFFSET($A88,-1,0),0)))))</f>
        <v>6</v>
      </c>
      <c r="N88" s="207" t="str">
        <f ca="1">IF($D88&lt;&gt;"Serviço","",IF(AUTOEVENTO="Manual",IF($A88=0,"&lt;-- defina o número do agrupador",OFFSET(EVENTOS!$D$14,$A88,0)),OFFSET($F$15,$A88,0)))</f>
        <v>DRENAGEM</v>
      </c>
      <c r="O88" s="208"/>
      <c r="Q88" s="208"/>
      <c r="R88" s="209"/>
      <c r="S88" s="209"/>
      <c r="T88" s="209"/>
      <c r="U88" s="209"/>
      <c r="V88" s="209"/>
      <c r="W88" s="209"/>
      <c r="X88" s="209"/>
      <c r="Y88" s="209"/>
      <c r="Z88" s="210"/>
      <c r="AB88" s="626">
        <f ca="1">IF(AND($D88="Serviço",AB$12&lt;&gt;0,$H88&gt;0,OR(AUTOEVENTO&lt;&gt;"manual",$M88&lt;&gt;1)),
IF(Import.TipoArredondamento&lt;&gt;"TransfereGOV",
ROUND(OFFSET($P88,0,AB$13),15-13*ORÇAMENTO!$AF$7)/$H88*OFFSET(ORÇAMENTO!$X$15,ROW(AB88)-ROW(AB$15),0),
ROUND(ROUND(OFFSET($P88,0,AB$13),15-13*ORÇAMENTO!$AF$7)*OFFSET(ORÇAMENTO!$W$15,ROW(AB88)-ROW(AB$15),0),15-13*ORÇAMENTO!$AF$11)),0)</f>
        <v>0</v>
      </c>
      <c r="AC88" s="627">
        <f ca="1">IF(AND($D88="Serviço",AC$12&lt;&gt;0,$H88&gt;0,OR(AUTOEVENTO&lt;&gt;"manual",$M88&lt;&gt;1)),
IF(Import.TipoArredondamento&lt;&gt;"TransfereGOV",
ROUND(OFFSET($P88,0,AC$13),15-13*ORÇAMENTO!$AF$7)/$H88*OFFSET(ORÇAMENTO!$X$15,ROW(AC88)-ROW(AC$15),0),
ROUND(ROUND(OFFSET($P88,0,AC$13),15-13*ORÇAMENTO!$AF$7)*OFFSET(ORÇAMENTO!$W$15,ROW(AC88)-ROW(AC$15),0),15-13*ORÇAMENTO!$AF$11)),0)</f>
        <v>0</v>
      </c>
      <c r="AD88" s="627">
        <f ca="1">IF(AND($D88="Serviço",AD$12&lt;&gt;0,$H88&gt;0,OR(AUTOEVENTO&lt;&gt;"manual",$M88&lt;&gt;1)),
IF(Import.TipoArredondamento&lt;&gt;"TransfereGOV",
ROUND(OFFSET($P88,0,AD$13),15-13*ORÇAMENTO!$AF$7)/$H88*OFFSET(ORÇAMENTO!$X$15,ROW(AD88)-ROW(AD$15),0),
ROUND(ROUND(OFFSET($P88,0,AD$13),15-13*ORÇAMENTO!$AF$7)*OFFSET(ORÇAMENTO!$W$15,ROW(AD88)-ROW(AD$15),0),15-13*ORÇAMENTO!$AF$11)),0)</f>
        <v>0</v>
      </c>
      <c r="AE88" s="627">
        <f ca="1">IF(AND($D88="Serviço",AE$12&lt;&gt;0,$H88&gt;0,OR(AUTOEVENTO&lt;&gt;"manual",$M88&lt;&gt;1)),
IF(Import.TipoArredondamento&lt;&gt;"TransfereGOV",
ROUND(OFFSET($P88,0,AE$13),15-13*ORÇAMENTO!$AF$7)/$H88*OFFSET(ORÇAMENTO!$X$15,ROW(AE88)-ROW(AE$15),0),
ROUND(ROUND(OFFSET($P88,0,AE$13),15-13*ORÇAMENTO!$AF$7)*OFFSET(ORÇAMENTO!$W$15,ROW(AE88)-ROW(AE$15),0),15-13*ORÇAMENTO!$AF$11)),0)</f>
        <v>0</v>
      </c>
      <c r="AF88" s="627">
        <f ca="1">IF(AND($D88="Serviço",AF$12&lt;&gt;0,$H88&gt;0,OR(AUTOEVENTO&lt;&gt;"manual",$M88&lt;&gt;1)),
IF(Import.TipoArredondamento&lt;&gt;"TransfereGOV",
ROUND(OFFSET($P88,0,AF$13),15-13*ORÇAMENTO!$AF$7)/$H88*OFFSET(ORÇAMENTO!$X$15,ROW(AF88)-ROW(AF$15),0),
ROUND(ROUND(OFFSET($P88,0,AF$13),15-13*ORÇAMENTO!$AF$7)*OFFSET(ORÇAMENTO!$W$15,ROW(AF88)-ROW(AF$15),0),15-13*ORÇAMENTO!$AF$11)),0)</f>
        <v>0</v>
      </c>
      <c r="AG88" s="627">
        <f ca="1">IF(AND($D88="Serviço",AG$12&lt;&gt;0,$H88&gt;0,OR(AUTOEVENTO&lt;&gt;"manual",$M88&lt;&gt;1)),
IF(Import.TipoArredondamento&lt;&gt;"TransfereGOV",
ROUND(OFFSET($P88,0,AG$13),15-13*ORÇAMENTO!$AF$7)/$H88*OFFSET(ORÇAMENTO!$X$15,ROW(AG88)-ROW(AG$15),0),
ROUND(ROUND(OFFSET($P88,0,AG$13),15-13*ORÇAMENTO!$AF$7)*OFFSET(ORÇAMENTO!$W$15,ROW(AG88)-ROW(AG$15),0),15-13*ORÇAMENTO!$AF$11)),0)</f>
        <v>0</v>
      </c>
      <c r="AH88" s="627">
        <f ca="1">IF(AND($D88="Serviço",AH$12&lt;&gt;0,$H88&gt;0,OR(AUTOEVENTO&lt;&gt;"manual",$M88&lt;&gt;1)),
IF(Import.TipoArredondamento&lt;&gt;"TransfereGOV",
ROUND(OFFSET($P88,0,AH$13),15-13*ORÇAMENTO!$AF$7)/$H88*OFFSET(ORÇAMENTO!$X$15,ROW(AH88)-ROW(AH$15),0),
ROUND(ROUND(OFFSET($P88,0,AH$13),15-13*ORÇAMENTO!$AF$7)*OFFSET(ORÇAMENTO!$W$15,ROW(AH88)-ROW(AH$15),0),15-13*ORÇAMENTO!$AF$11)),0)</f>
        <v>0</v>
      </c>
      <c r="AI88" s="627">
        <f ca="1">IF(AND($D88="Serviço",AI$12&lt;&gt;0,$H88&gt;0,OR(AUTOEVENTO&lt;&gt;"manual",$M88&lt;&gt;1)),
IF(Import.TipoArredondamento&lt;&gt;"TransfereGOV",
ROUND(OFFSET($P88,0,AI$13),15-13*ORÇAMENTO!$AF$7)/$H88*OFFSET(ORÇAMENTO!$X$15,ROW(AI88)-ROW(AI$15),0),
ROUND(ROUND(OFFSET($P88,0,AI$13),15-13*ORÇAMENTO!$AF$7)*OFFSET(ORÇAMENTO!$W$15,ROW(AI88)-ROW(AI$15),0),15-13*ORÇAMENTO!$AF$11)),0)</f>
        <v>0</v>
      </c>
      <c r="AJ88" s="627">
        <f ca="1">IF(AND($D88="Serviço",AJ$12&lt;&gt;0,$H88&gt;0,OR(AUTOEVENTO&lt;&gt;"manual",$M88&lt;&gt;1)),
IF(Import.TipoArredondamento&lt;&gt;"TransfereGOV",
ROUND(OFFSET($P88,0,AJ$13),15-13*ORÇAMENTO!$AF$7)/$H88*OFFSET(ORÇAMENTO!$X$15,ROW(AJ88)-ROW(AJ$15),0),
ROUND(ROUND(OFFSET($P88,0,AJ$13),15-13*ORÇAMENTO!$AF$7)*OFFSET(ORÇAMENTO!$W$15,ROW(AJ88)-ROW(AJ$15),0),15-13*ORÇAMENTO!$AF$11)),0)</f>
        <v>0</v>
      </c>
      <c r="AK88" s="628">
        <f ca="1">IF(AND($D88="Serviço",AK$12&lt;&gt;0,$H88&gt;0,OR(AUTOEVENTO&lt;&gt;"manual",$M88&lt;&gt;1)),
IF(Import.TipoArredondamento&lt;&gt;"TransfereGOV",
ROUND(OFFSET($P88,0,AK$13),15-13*ORÇAMENTO!$AF$7)/$H88*OFFSET(ORÇAMENTO!$X$15,ROW(AK88)-ROW(AK$15),0),
ROUND(ROUND(OFFSET($P88,0,AK$13),15-13*ORÇAMENTO!$AF$7)*OFFSET(ORÇAMENTO!$W$15,ROW(AK88)-ROW(AK$15),0),15-13*ORÇAMENTO!$AF$11)),0)</f>
        <v>0</v>
      </c>
      <c r="AM88" s="211">
        <f ca="1">IF($D88&lt;&gt;"Serviço",0,IF(AND(AUTOEVENTO="Manual",$M88=1),0,IF(OFFSET(CRONOPLE!$F$14,$M88,AM$13)="",10^12,OFFSET(CRONOPLE!$F$14,$M88,AM$13))))</f>
        <v>2</v>
      </c>
      <c r="AN88" s="211">
        <f ca="1">IF($D88&lt;&gt;"Serviço",0,IF(AND(AUTOEVENTO="Manual",$M88=1),0,IF(OFFSET(CRONOPLE!$F$14,$M88,AN$13)="",10^12,OFFSET(CRONOPLE!$F$14,$M88,AN$13))))</f>
        <v>1</v>
      </c>
      <c r="AO88" s="211">
        <f ca="1">IF($D88&lt;&gt;"Serviço",0,IF(AND(AUTOEVENTO="Manual",$M88=1),0,IF(OFFSET(CRONOPLE!$F$14,$M88,AO$13)="",10^12,OFFSET(CRONOPLE!$F$14,$M88,AO$13))))</f>
        <v>2</v>
      </c>
      <c r="AP88" s="211">
        <f ca="1">IF($D88&lt;&gt;"Serviço",0,IF(AND(AUTOEVENTO="Manual",$M88=1),0,IF(OFFSET(CRONOPLE!$F$14,$M88,AP$13)="",10^12,OFFSET(CRONOPLE!$F$14,$M88,AP$13))))</f>
        <v>2</v>
      </c>
      <c r="AQ88" s="211">
        <f ca="1">IF($D88&lt;&gt;"Serviço",0,IF(AND(AUTOEVENTO="Manual",$M88=1),0,IF(OFFSET(CRONOPLE!$F$14,$M88,AQ$13)="",10^12,OFFSET(CRONOPLE!$F$14,$M88,AQ$13))))</f>
        <v>1000000000000</v>
      </c>
      <c r="AR88" s="211">
        <f ca="1">IF($D88&lt;&gt;"Serviço",0,IF(AND(AUTOEVENTO="Manual",$M88=1),0,IF(OFFSET(CRONOPLE!$F$14,$M88,AR$13)="",10^12,OFFSET(CRONOPLE!$F$14,$M88,AR$13))))</f>
        <v>1000000000000</v>
      </c>
      <c r="AS88" s="211">
        <f ca="1">IF($D88&lt;&gt;"Serviço",0,IF(AND(AUTOEVENTO="Manual",$M88=1),0,IF(OFFSET(CRONOPLE!$F$14,$M88,AS$13)="",10^12,OFFSET(CRONOPLE!$F$14,$M88,AS$13))))</f>
        <v>1000000000000</v>
      </c>
      <c r="AT88" s="211">
        <f ca="1">IF($D88&lt;&gt;"Serviço",0,IF(AND(AUTOEVENTO="Manual",$M88=1),0,IF(OFFSET(CRONOPLE!$F$14,$M88,AT$13)="",10^12,OFFSET(CRONOPLE!$F$14,$M88,AT$13))))</f>
        <v>1000000000000</v>
      </c>
      <c r="AU88" s="211">
        <f ca="1">IF($D88&lt;&gt;"Serviço",0,IF(AND(AUTOEVENTO="Manual",$M88=1),0,IF(OFFSET(CRONOPLE!$F$14,$M88,AU$13)="",10^12,OFFSET(CRONOPLE!$F$14,$M88,AU$13))))</f>
        <v>1000000000000</v>
      </c>
      <c r="AV88" s="211">
        <f ca="1">IF($D88&lt;&gt;"Serviço",0,IF(AND(AUTOEVENTO="Manual",$M88=1),0,IF(OFFSET(CRONOPLE!$F$14,$M88,AV$13)="",10^12,OFFSET(CRONOPLE!$F$14,$M88,AV$13))))</f>
        <v>1000000000000</v>
      </c>
      <c r="AX88" s="212">
        <f ca="1">IF($D88&lt;&gt;"Serviço",0,IF(OR(AND(AUTOEVENTO="Manual",$M88=1),$M88&gt;(ROW(PLE.lastrow)-ROW(PLE.firstrow))),0,IF(OFFSET(PLE!$G$14,$M88,AX$13)="",10^12,OFFSET(PLE!$G$14,$M88,AX$13))))</f>
        <v>1000000000000</v>
      </c>
      <c r="AY88" s="212">
        <f ca="1">IF($D88&lt;&gt;"Serviço",0,IF(OR(AND(AUTOEVENTO="Manual",$M88=1),$M88&gt;(ROW(PLE.lastrow)-ROW(PLE.firstrow))),0,IF(OFFSET(PLE!$G$14,$M88,AY$13)="",10^12,OFFSET(PLE!$G$14,$M88,AY$13))))</f>
        <v>1000000000000</v>
      </c>
      <c r="AZ88" s="212">
        <f ca="1">IF($D88&lt;&gt;"Serviço",0,IF(OR(AND(AUTOEVENTO="Manual",$M88=1),$M88&gt;(ROW(PLE.lastrow)-ROW(PLE.firstrow))),0,IF(OFFSET(PLE!$G$14,$M88,AZ$13)="",10^12,OFFSET(PLE!$G$14,$M88,AZ$13))))</f>
        <v>1000000000000</v>
      </c>
      <c r="BA88" s="212">
        <f ca="1">IF($D88&lt;&gt;"Serviço",0,IF(OR(AND(AUTOEVENTO="Manual",$M88=1),$M88&gt;(ROW(PLE.lastrow)-ROW(PLE.firstrow))),0,IF(OFFSET(PLE!$G$14,$M88,BA$13)="",10^12,OFFSET(PLE!$G$14,$M88,BA$13))))</f>
        <v>1000000000000</v>
      </c>
      <c r="BB88" s="212">
        <f ca="1">IF($D88&lt;&gt;"Serviço",0,IF(OR(AND(AUTOEVENTO="Manual",$M88=1),$M88&gt;(ROW(PLE.lastrow)-ROW(PLE.firstrow))),0,IF(OFFSET(PLE!$G$14,$M88,BB$13)="",10^12,OFFSET(PLE!$G$14,$M88,BB$13))))</f>
        <v>1000000000000</v>
      </c>
      <c r="BC88" s="212">
        <f ca="1">IF($D88&lt;&gt;"Serviço",0,IF(OR(AND(AUTOEVENTO="Manual",$M88=1),$M88&gt;(ROW(PLE.lastrow)-ROW(PLE.firstrow))),0,IF(OFFSET(PLE!$G$14,$M88,BC$13)="",10^12,OFFSET(PLE!$G$14,$M88,BC$13))))</f>
        <v>1000000000000</v>
      </c>
      <c r="BD88" s="212">
        <f ca="1">IF($D88&lt;&gt;"Serviço",0,IF(OR(AND(AUTOEVENTO="Manual",$M88=1),$M88&gt;(ROW(PLE.lastrow)-ROW(PLE.firstrow))),0,IF(OFFSET(PLE!$G$14,$M88,BD$13)="",10^12,OFFSET(PLE!$G$14,$M88,BD$13))))</f>
        <v>1000000000000</v>
      </c>
      <c r="BE88" s="212">
        <f ca="1">IF($D88&lt;&gt;"Serviço",0,IF(OR(AND(AUTOEVENTO="Manual",$M88=1),$M88&gt;(ROW(PLE.lastrow)-ROW(PLE.firstrow))),0,IF(OFFSET(PLE!$G$14,$M88,BE$13)="",10^12,OFFSET(PLE!$G$14,$M88,BE$13))))</f>
        <v>1000000000000</v>
      </c>
      <c r="BF88" s="212">
        <f ca="1">IF($D88&lt;&gt;"Serviço",0,IF(OR(AND(AUTOEVENTO="Manual",$M88=1),$M88&gt;(ROW(PLE.lastrow)-ROW(PLE.firstrow))),0,IF(OFFSET(PLE!$G$14,$M88,BF$13)="",10^12,OFFSET(PLE!$G$14,$M88,BF$13))))</f>
        <v>1000000000000</v>
      </c>
      <c r="BG88" s="212">
        <f ca="1">IF($D88&lt;&gt;"Serviço",0,IF(OR(AND(AUTOEVENTO="Manual",$M88=1),$M88&gt;(ROW(PLE.lastrow)-ROW(PLE.firstrow))),0,IF(OFFSET(PLE!$G$14,$M88,BG$13)="",10^12,OFFSET(PLE!$G$14,$M88,BG$13))))</f>
        <v>1000000000000</v>
      </c>
    </row>
    <row r="89" spans="1:59" ht="13.2">
      <c r="A89" s="9" t="str">
        <f t="shared" ca="1" si="10"/>
        <v>15</v>
      </c>
      <c r="B89" s="9" t="str">
        <f ca="1">OFFSET(ORÇAMENTO!C$15,ROW(B89)-ROW(B$15),0)</f>
        <v>S</v>
      </c>
      <c r="C89" s="9" t="str">
        <f ca="1">OFFSET(ORÇAMENTO!L$15,ROW(C89)-ROW(C$15),0)</f>
        <v/>
      </c>
      <c r="D89" s="141" t="str">
        <f ca="1">OFFSET(ORÇAMENTO!N$15,ROW(D89)-ROW(D$15),0)</f>
        <v>Serviço</v>
      </c>
      <c r="E89" s="201" t="str">
        <f ca="1">OFFSET(ORÇAMENTO!O$15,ROW(E89)-ROW(E$15),0)</f>
        <v>-</v>
      </c>
      <c r="F89" s="202" t="str">
        <f ca="1">OFFSET(ORÇAMENTO!R$15,ROW(F89)-ROW(F$15),0)</f>
        <v>(abra o arquivo 'Referência 11-2024.xlsm)</v>
      </c>
      <c r="G89" s="203" t="str">
        <f ca="1">IF($D89&lt;&gt;"Serviço","",OFFSET(ORÇAMENTO!S$15,ROW(G89)-ROW(G$15),0))</f>
        <v>-</v>
      </c>
      <c r="H89" s="147">
        <f ca="1">IF($D89&lt;&gt;"Serviço",0,IF(ACOMPANHAMENTO="BM",ROUND(OFFSET(ORÇAMENTO!AJ$15,ROW(H89)-ROW(H$15),0),15-13*ORÇAMENTO!$AF$7),SUMPRODUCT(($Q$12:$AA$12&lt;&gt;"")*ROUND($Q89:$AA89,15-13*ORÇAMENTO!$AF$7))))</f>
        <v>0</v>
      </c>
      <c r="I89" s="645"/>
      <c r="K89" s="204"/>
      <c r="L89" s="205" t="s">
        <v>255</v>
      </c>
      <c r="M89" s="206">
        <f ca="1">IF($D89&lt;&gt;"Serviço","",IF(AUTOEVENTO="manual",$A89,IF(ISERROR(MATCH($A89,$A$15:OFFSET($A89,-1,0),0)),MAX($M$15:OFFSET(M89,-1,0))+1,INDEX($M$15:OFFSET(M89,-1,0),MATCH($A89,$A$15:OFFSET($A89,-1,0),0)))))</f>
        <v>6</v>
      </c>
      <c r="N89" s="207" t="str">
        <f ca="1">IF($D89&lt;&gt;"Serviço","",IF(AUTOEVENTO="Manual",IF($A89=0,"&lt;-- defina o número do agrupador",OFFSET(EVENTOS!$D$14,$A89,0)),OFFSET($F$15,$A89,0)))</f>
        <v>DRENAGEM</v>
      </c>
      <c r="O89" s="208"/>
      <c r="Q89" s="208"/>
      <c r="R89" s="209"/>
      <c r="S89" s="209"/>
      <c r="T89" s="209"/>
      <c r="U89" s="209"/>
      <c r="V89" s="209"/>
      <c r="W89" s="209"/>
      <c r="X89" s="209"/>
      <c r="Y89" s="209"/>
      <c r="Z89" s="210"/>
      <c r="AB89" s="626">
        <f ca="1">IF(AND($D89="Serviço",AB$12&lt;&gt;0,$H89&gt;0,OR(AUTOEVENTO&lt;&gt;"manual",$M89&lt;&gt;1)),
IF(Import.TipoArredondamento&lt;&gt;"TransfereGOV",
ROUND(OFFSET($P89,0,AB$13),15-13*ORÇAMENTO!$AF$7)/$H89*OFFSET(ORÇAMENTO!$X$15,ROW(AB89)-ROW(AB$15),0),
ROUND(ROUND(OFFSET($P89,0,AB$13),15-13*ORÇAMENTO!$AF$7)*OFFSET(ORÇAMENTO!$W$15,ROW(AB89)-ROW(AB$15),0),15-13*ORÇAMENTO!$AF$11)),0)</f>
        <v>0</v>
      </c>
      <c r="AC89" s="627">
        <f ca="1">IF(AND($D89="Serviço",AC$12&lt;&gt;0,$H89&gt;0,OR(AUTOEVENTO&lt;&gt;"manual",$M89&lt;&gt;1)),
IF(Import.TipoArredondamento&lt;&gt;"TransfereGOV",
ROUND(OFFSET($P89,0,AC$13),15-13*ORÇAMENTO!$AF$7)/$H89*OFFSET(ORÇAMENTO!$X$15,ROW(AC89)-ROW(AC$15),0),
ROUND(ROUND(OFFSET($P89,0,AC$13),15-13*ORÇAMENTO!$AF$7)*OFFSET(ORÇAMENTO!$W$15,ROW(AC89)-ROW(AC$15),0),15-13*ORÇAMENTO!$AF$11)),0)</f>
        <v>0</v>
      </c>
      <c r="AD89" s="627">
        <f ca="1">IF(AND($D89="Serviço",AD$12&lt;&gt;0,$H89&gt;0,OR(AUTOEVENTO&lt;&gt;"manual",$M89&lt;&gt;1)),
IF(Import.TipoArredondamento&lt;&gt;"TransfereGOV",
ROUND(OFFSET($P89,0,AD$13),15-13*ORÇAMENTO!$AF$7)/$H89*OFFSET(ORÇAMENTO!$X$15,ROW(AD89)-ROW(AD$15),0),
ROUND(ROUND(OFFSET($P89,0,AD$13),15-13*ORÇAMENTO!$AF$7)*OFFSET(ORÇAMENTO!$W$15,ROW(AD89)-ROW(AD$15),0),15-13*ORÇAMENTO!$AF$11)),0)</f>
        <v>0</v>
      </c>
      <c r="AE89" s="627">
        <f ca="1">IF(AND($D89="Serviço",AE$12&lt;&gt;0,$H89&gt;0,OR(AUTOEVENTO&lt;&gt;"manual",$M89&lt;&gt;1)),
IF(Import.TipoArredondamento&lt;&gt;"TransfereGOV",
ROUND(OFFSET($P89,0,AE$13),15-13*ORÇAMENTO!$AF$7)/$H89*OFFSET(ORÇAMENTO!$X$15,ROW(AE89)-ROW(AE$15),0),
ROUND(ROUND(OFFSET($P89,0,AE$13),15-13*ORÇAMENTO!$AF$7)*OFFSET(ORÇAMENTO!$W$15,ROW(AE89)-ROW(AE$15),0),15-13*ORÇAMENTO!$AF$11)),0)</f>
        <v>0</v>
      </c>
      <c r="AF89" s="627">
        <f ca="1">IF(AND($D89="Serviço",AF$12&lt;&gt;0,$H89&gt;0,OR(AUTOEVENTO&lt;&gt;"manual",$M89&lt;&gt;1)),
IF(Import.TipoArredondamento&lt;&gt;"TransfereGOV",
ROUND(OFFSET($P89,0,AF$13),15-13*ORÇAMENTO!$AF$7)/$H89*OFFSET(ORÇAMENTO!$X$15,ROW(AF89)-ROW(AF$15),0),
ROUND(ROUND(OFFSET($P89,0,AF$13),15-13*ORÇAMENTO!$AF$7)*OFFSET(ORÇAMENTO!$W$15,ROW(AF89)-ROW(AF$15),0),15-13*ORÇAMENTO!$AF$11)),0)</f>
        <v>0</v>
      </c>
      <c r="AG89" s="627">
        <f ca="1">IF(AND($D89="Serviço",AG$12&lt;&gt;0,$H89&gt;0,OR(AUTOEVENTO&lt;&gt;"manual",$M89&lt;&gt;1)),
IF(Import.TipoArredondamento&lt;&gt;"TransfereGOV",
ROUND(OFFSET($P89,0,AG$13),15-13*ORÇAMENTO!$AF$7)/$H89*OFFSET(ORÇAMENTO!$X$15,ROW(AG89)-ROW(AG$15),0),
ROUND(ROUND(OFFSET($P89,0,AG$13),15-13*ORÇAMENTO!$AF$7)*OFFSET(ORÇAMENTO!$W$15,ROW(AG89)-ROW(AG$15),0),15-13*ORÇAMENTO!$AF$11)),0)</f>
        <v>0</v>
      </c>
      <c r="AH89" s="627">
        <f ca="1">IF(AND($D89="Serviço",AH$12&lt;&gt;0,$H89&gt;0,OR(AUTOEVENTO&lt;&gt;"manual",$M89&lt;&gt;1)),
IF(Import.TipoArredondamento&lt;&gt;"TransfereGOV",
ROUND(OFFSET($P89,0,AH$13),15-13*ORÇAMENTO!$AF$7)/$H89*OFFSET(ORÇAMENTO!$X$15,ROW(AH89)-ROW(AH$15),0),
ROUND(ROUND(OFFSET($P89,0,AH$13),15-13*ORÇAMENTO!$AF$7)*OFFSET(ORÇAMENTO!$W$15,ROW(AH89)-ROW(AH$15),0),15-13*ORÇAMENTO!$AF$11)),0)</f>
        <v>0</v>
      </c>
      <c r="AI89" s="627">
        <f ca="1">IF(AND($D89="Serviço",AI$12&lt;&gt;0,$H89&gt;0,OR(AUTOEVENTO&lt;&gt;"manual",$M89&lt;&gt;1)),
IF(Import.TipoArredondamento&lt;&gt;"TransfereGOV",
ROUND(OFFSET($P89,0,AI$13),15-13*ORÇAMENTO!$AF$7)/$H89*OFFSET(ORÇAMENTO!$X$15,ROW(AI89)-ROW(AI$15),0),
ROUND(ROUND(OFFSET($P89,0,AI$13),15-13*ORÇAMENTO!$AF$7)*OFFSET(ORÇAMENTO!$W$15,ROW(AI89)-ROW(AI$15),0),15-13*ORÇAMENTO!$AF$11)),0)</f>
        <v>0</v>
      </c>
      <c r="AJ89" s="627">
        <f ca="1">IF(AND($D89="Serviço",AJ$12&lt;&gt;0,$H89&gt;0,OR(AUTOEVENTO&lt;&gt;"manual",$M89&lt;&gt;1)),
IF(Import.TipoArredondamento&lt;&gt;"TransfereGOV",
ROUND(OFFSET($P89,0,AJ$13),15-13*ORÇAMENTO!$AF$7)/$H89*OFFSET(ORÇAMENTO!$X$15,ROW(AJ89)-ROW(AJ$15),0),
ROUND(ROUND(OFFSET($P89,0,AJ$13),15-13*ORÇAMENTO!$AF$7)*OFFSET(ORÇAMENTO!$W$15,ROW(AJ89)-ROW(AJ$15),0),15-13*ORÇAMENTO!$AF$11)),0)</f>
        <v>0</v>
      </c>
      <c r="AK89" s="628">
        <f ca="1">IF(AND($D89="Serviço",AK$12&lt;&gt;0,$H89&gt;0,OR(AUTOEVENTO&lt;&gt;"manual",$M89&lt;&gt;1)),
IF(Import.TipoArredondamento&lt;&gt;"TransfereGOV",
ROUND(OFFSET($P89,0,AK$13),15-13*ORÇAMENTO!$AF$7)/$H89*OFFSET(ORÇAMENTO!$X$15,ROW(AK89)-ROW(AK$15),0),
ROUND(ROUND(OFFSET($P89,0,AK$13),15-13*ORÇAMENTO!$AF$7)*OFFSET(ORÇAMENTO!$W$15,ROW(AK89)-ROW(AK$15),0),15-13*ORÇAMENTO!$AF$11)),0)</f>
        <v>0</v>
      </c>
      <c r="AM89" s="211">
        <f ca="1">IF($D89&lt;&gt;"Serviço",0,IF(AND(AUTOEVENTO="Manual",$M89=1),0,IF(OFFSET(CRONOPLE!$F$14,$M89,AM$13)="",10^12,OFFSET(CRONOPLE!$F$14,$M89,AM$13))))</f>
        <v>2</v>
      </c>
      <c r="AN89" s="211">
        <f ca="1">IF($D89&lt;&gt;"Serviço",0,IF(AND(AUTOEVENTO="Manual",$M89=1),0,IF(OFFSET(CRONOPLE!$F$14,$M89,AN$13)="",10^12,OFFSET(CRONOPLE!$F$14,$M89,AN$13))))</f>
        <v>1</v>
      </c>
      <c r="AO89" s="211">
        <f ca="1">IF($D89&lt;&gt;"Serviço",0,IF(AND(AUTOEVENTO="Manual",$M89=1),0,IF(OFFSET(CRONOPLE!$F$14,$M89,AO$13)="",10^12,OFFSET(CRONOPLE!$F$14,$M89,AO$13))))</f>
        <v>2</v>
      </c>
      <c r="AP89" s="211">
        <f ca="1">IF($D89&lt;&gt;"Serviço",0,IF(AND(AUTOEVENTO="Manual",$M89=1),0,IF(OFFSET(CRONOPLE!$F$14,$M89,AP$13)="",10^12,OFFSET(CRONOPLE!$F$14,$M89,AP$13))))</f>
        <v>2</v>
      </c>
      <c r="AQ89" s="211">
        <f ca="1">IF($D89&lt;&gt;"Serviço",0,IF(AND(AUTOEVENTO="Manual",$M89=1),0,IF(OFFSET(CRONOPLE!$F$14,$M89,AQ$13)="",10^12,OFFSET(CRONOPLE!$F$14,$M89,AQ$13))))</f>
        <v>1000000000000</v>
      </c>
      <c r="AR89" s="211">
        <f ca="1">IF($D89&lt;&gt;"Serviço",0,IF(AND(AUTOEVENTO="Manual",$M89=1),0,IF(OFFSET(CRONOPLE!$F$14,$M89,AR$13)="",10^12,OFFSET(CRONOPLE!$F$14,$M89,AR$13))))</f>
        <v>1000000000000</v>
      </c>
      <c r="AS89" s="211">
        <f ca="1">IF($D89&lt;&gt;"Serviço",0,IF(AND(AUTOEVENTO="Manual",$M89=1),0,IF(OFFSET(CRONOPLE!$F$14,$M89,AS$13)="",10^12,OFFSET(CRONOPLE!$F$14,$M89,AS$13))))</f>
        <v>1000000000000</v>
      </c>
      <c r="AT89" s="211">
        <f ca="1">IF($D89&lt;&gt;"Serviço",0,IF(AND(AUTOEVENTO="Manual",$M89=1),0,IF(OFFSET(CRONOPLE!$F$14,$M89,AT$13)="",10^12,OFFSET(CRONOPLE!$F$14,$M89,AT$13))))</f>
        <v>1000000000000</v>
      </c>
      <c r="AU89" s="211">
        <f ca="1">IF($D89&lt;&gt;"Serviço",0,IF(AND(AUTOEVENTO="Manual",$M89=1),0,IF(OFFSET(CRONOPLE!$F$14,$M89,AU$13)="",10^12,OFFSET(CRONOPLE!$F$14,$M89,AU$13))))</f>
        <v>1000000000000</v>
      </c>
      <c r="AV89" s="211">
        <f ca="1">IF($D89&lt;&gt;"Serviço",0,IF(AND(AUTOEVENTO="Manual",$M89=1),0,IF(OFFSET(CRONOPLE!$F$14,$M89,AV$13)="",10^12,OFFSET(CRONOPLE!$F$14,$M89,AV$13))))</f>
        <v>1000000000000</v>
      </c>
      <c r="AX89" s="212">
        <f ca="1">IF($D89&lt;&gt;"Serviço",0,IF(OR(AND(AUTOEVENTO="Manual",$M89=1),$M89&gt;(ROW(PLE.lastrow)-ROW(PLE.firstrow))),0,IF(OFFSET(PLE!$G$14,$M89,AX$13)="",10^12,OFFSET(PLE!$G$14,$M89,AX$13))))</f>
        <v>1000000000000</v>
      </c>
      <c r="AY89" s="212">
        <f ca="1">IF($D89&lt;&gt;"Serviço",0,IF(OR(AND(AUTOEVENTO="Manual",$M89=1),$M89&gt;(ROW(PLE.lastrow)-ROW(PLE.firstrow))),0,IF(OFFSET(PLE!$G$14,$M89,AY$13)="",10^12,OFFSET(PLE!$G$14,$M89,AY$13))))</f>
        <v>1000000000000</v>
      </c>
      <c r="AZ89" s="212">
        <f ca="1">IF($D89&lt;&gt;"Serviço",0,IF(OR(AND(AUTOEVENTO="Manual",$M89=1),$M89&gt;(ROW(PLE.lastrow)-ROW(PLE.firstrow))),0,IF(OFFSET(PLE!$G$14,$M89,AZ$13)="",10^12,OFFSET(PLE!$G$14,$M89,AZ$13))))</f>
        <v>1000000000000</v>
      </c>
      <c r="BA89" s="212">
        <f ca="1">IF($D89&lt;&gt;"Serviço",0,IF(OR(AND(AUTOEVENTO="Manual",$M89=1),$M89&gt;(ROW(PLE.lastrow)-ROW(PLE.firstrow))),0,IF(OFFSET(PLE!$G$14,$M89,BA$13)="",10^12,OFFSET(PLE!$G$14,$M89,BA$13))))</f>
        <v>1000000000000</v>
      </c>
      <c r="BB89" s="212">
        <f ca="1">IF($D89&lt;&gt;"Serviço",0,IF(OR(AND(AUTOEVENTO="Manual",$M89=1),$M89&gt;(ROW(PLE.lastrow)-ROW(PLE.firstrow))),0,IF(OFFSET(PLE!$G$14,$M89,BB$13)="",10^12,OFFSET(PLE!$G$14,$M89,BB$13))))</f>
        <v>1000000000000</v>
      </c>
      <c r="BC89" s="212">
        <f ca="1">IF($D89&lt;&gt;"Serviço",0,IF(OR(AND(AUTOEVENTO="Manual",$M89=1),$M89&gt;(ROW(PLE.lastrow)-ROW(PLE.firstrow))),0,IF(OFFSET(PLE!$G$14,$M89,BC$13)="",10^12,OFFSET(PLE!$G$14,$M89,BC$13))))</f>
        <v>1000000000000</v>
      </c>
      <c r="BD89" s="212">
        <f ca="1">IF($D89&lt;&gt;"Serviço",0,IF(OR(AND(AUTOEVENTO="Manual",$M89=1),$M89&gt;(ROW(PLE.lastrow)-ROW(PLE.firstrow))),0,IF(OFFSET(PLE!$G$14,$M89,BD$13)="",10^12,OFFSET(PLE!$G$14,$M89,BD$13))))</f>
        <v>1000000000000</v>
      </c>
      <c r="BE89" s="212">
        <f ca="1">IF($D89&lt;&gt;"Serviço",0,IF(OR(AND(AUTOEVENTO="Manual",$M89=1),$M89&gt;(ROW(PLE.lastrow)-ROW(PLE.firstrow))),0,IF(OFFSET(PLE!$G$14,$M89,BE$13)="",10^12,OFFSET(PLE!$G$14,$M89,BE$13))))</f>
        <v>1000000000000</v>
      </c>
      <c r="BF89" s="212">
        <f ca="1">IF($D89&lt;&gt;"Serviço",0,IF(OR(AND(AUTOEVENTO="Manual",$M89=1),$M89&gt;(ROW(PLE.lastrow)-ROW(PLE.firstrow))),0,IF(OFFSET(PLE!$G$14,$M89,BF$13)="",10^12,OFFSET(PLE!$G$14,$M89,BF$13))))</f>
        <v>1000000000000</v>
      </c>
      <c r="BG89" s="212">
        <f ca="1">IF($D89&lt;&gt;"Serviço",0,IF(OR(AND(AUTOEVENTO="Manual",$M89=1),$M89&gt;(ROW(PLE.lastrow)-ROW(PLE.firstrow))),0,IF(OFFSET(PLE!$G$14,$M89,BG$13)="",10^12,OFFSET(PLE!$G$14,$M89,BG$13))))</f>
        <v>1000000000000</v>
      </c>
    </row>
    <row r="90" spans="1:59" ht="13.2">
      <c r="A90" s="9" t="str">
        <f t="shared" ca="1" si="10"/>
        <v>15</v>
      </c>
      <c r="B90" s="9" t="str">
        <f ca="1">OFFSET(ORÇAMENTO!C$15,ROW(B90)-ROW(B$15),0)</f>
        <v>S</v>
      </c>
      <c r="C90" s="9" t="str">
        <f ca="1">OFFSET(ORÇAMENTO!L$15,ROW(C90)-ROW(C$15),0)</f>
        <v/>
      </c>
      <c r="D90" s="141" t="str">
        <f ca="1">OFFSET(ORÇAMENTO!N$15,ROW(D90)-ROW(D$15),0)</f>
        <v>Serviço</v>
      </c>
      <c r="E90" s="201" t="str">
        <f ca="1">OFFSET(ORÇAMENTO!O$15,ROW(E90)-ROW(E$15),0)</f>
        <v>-</v>
      </c>
      <c r="F90" s="202" t="str">
        <f ca="1">OFFSET(ORÇAMENTO!R$15,ROW(F90)-ROW(F$15),0)</f>
        <v>(abra o arquivo 'Referência 11-2024.xlsm)</v>
      </c>
      <c r="G90" s="203" t="str">
        <f ca="1">IF($D90&lt;&gt;"Serviço","",OFFSET(ORÇAMENTO!S$15,ROW(G90)-ROW(G$15),0))</f>
        <v>-</v>
      </c>
      <c r="H90" s="147">
        <f ca="1">IF($D90&lt;&gt;"Serviço",0,IF(ACOMPANHAMENTO="BM",ROUND(OFFSET(ORÇAMENTO!AJ$15,ROW(H90)-ROW(H$15),0),15-13*ORÇAMENTO!$AF$7),SUMPRODUCT(($Q$12:$AA$12&lt;&gt;"")*ROUND($Q90:$AA90,15-13*ORÇAMENTO!$AF$7))))</f>
        <v>0</v>
      </c>
      <c r="I90" s="645"/>
      <c r="K90" s="204"/>
      <c r="L90" s="205" t="s">
        <v>255</v>
      </c>
      <c r="M90" s="206">
        <f ca="1">IF($D90&lt;&gt;"Serviço","",IF(AUTOEVENTO="manual",$A90,IF(ISERROR(MATCH($A90,$A$15:OFFSET($A90,-1,0),0)),MAX($M$15:OFFSET(M90,-1,0))+1,INDEX($M$15:OFFSET(M90,-1,0),MATCH($A90,$A$15:OFFSET($A90,-1,0),0)))))</f>
        <v>6</v>
      </c>
      <c r="N90" s="207" t="str">
        <f ca="1">IF($D90&lt;&gt;"Serviço","",IF(AUTOEVENTO="Manual",IF($A90=0,"&lt;-- defina o número do agrupador",OFFSET(EVENTOS!$D$14,$A90,0)),OFFSET($F$15,$A90,0)))</f>
        <v>DRENAGEM</v>
      </c>
      <c r="O90" s="208"/>
      <c r="Q90" s="208"/>
      <c r="R90" s="209"/>
      <c r="S90" s="209"/>
      <c r="T90" s="209"/>
      <c r="U90" s="209"/>
      <c r="V90" s="209"/>
      <c r="W90" s="209"/>
      <c r="X90" s="209"/>
      <c r="Y90" s="209"/>
      <c r="Z90" s="210"/>
      <c r="AB90" s="626">
        <f ca="1">IF(AND($D90="Serviço",AB$12&lt;&gt;0,$H90&gt;0,OR(AUTOEVENTO&lt;&gt;"manual",$M90&lt;&gt;1)),
IF(Import.TipoArredondamento&lt;&gt;"TransfereGOV",
ROUND(OFFSET($P90,0,AB$13),15-13*ORÇAMENTO!$AF$7)/$H90*OFFSET(ORÇAMENTO!$X$15,ROW(AB90)-ROW(AB$15),0),
ROUND(ROUND(OFFSET($P90,0,AB$13),15-13*ORÇAMENTO!$AF$7)*OFFSET(ORÇAMENTO!$W$15,ROW(AB90)-ROW(AB$15),0),15-13*ORÇAMENTO!$AF$11)),0)</f>
        <v>0</v>
      </c>
      <c r="AC90" s="627">
        <f ca="1">IF(AND($D90="Serviço",AC$12&lt;&gt;0,$H90&gt;0,OR(AUTOEVENTO&lt;&gt;"manual",$M90&lt;&gt;1)),
IF(Import.TipoArredondamento&lt;&gt;"TransfereGOV",
ROUND(OFFSET($P90,0,AC$13),15-13*ORÇAMENTO!$AF$7)/$H90*OFFSET(ORÇAMENTO!$X$15,ROW(AC90)-ROW(AC$15),0),
ROUND(ROUND(OFFSET($P90,0,AC$13),15-13*ORÇAMENTO!$AF$7)*OFFSET(ORÇAMENTO!$W$15,ROW(AC90)-ROW(AC$15),0),15-13*ORÇAMENTO!$AF$11)),0)</f>
        <v>0</v>
      </c>
      <c r="AD90" s="627">
        <f ca="1">IF(AND($D90="Serviço",AD$12&lt;&gt;0,$H90&gt;0,OR(AUTOEVENTO&lt;&gt;"manual",$M90&lt;&gt;1)),
IF(Import.TipoArredondamento&lt;&gt;"TransfereGOV",
ROUND(OFFSET($P90,0,AD$13),15-13*ORÇAMENTO!$AF$7)/$H90*OFFSET(ORÇAMENTO!$X$15,ROW(AD90)-ROW(AD$15),0),
ROUND(ROUND(OFFSET($P90,0,AD$13),15-13*ORÇAMENTO!$AF$7)*OFFSET(ORÇAMENTO!$W$15,ROW(AD90)-ROW(AD$15),0),15-13*ORÇAMENTO!$AF$11)),0)</f>
        <v>0</v>
      </c>
      <c r="AE90" s="627">
        <f ca="1">IF(AND($D90="Serviço",AE$12&lt;&gt;0,$H90&gt;0,OR(AUTOEVENTO&lt;&gt;"manual",$M90&lt;&gt;1)),
IF(Import.TipoArredondamento&lt;&gt;"TransfereGOV",
ROUND(OFFSET($P90,0,AE$13),15-13*ORÇAMENTO!$AF$7)/$H90*OFFSET(ORÇAMENTO!$X$15,ROW(AE90)-ROW(AE$15),0),
ROUND(ROUND(OFFSET($P90,0,AE$13),15-13*ORÇAMENTO!$AF$7)*OFFSET(ORÇAMENTO!$W$15,ROW(AE90)-ROW(AE$15),0),15-13*ORÇAMENTO!$AF$11)),0)</f>
        <v>0</v>
      </c>
      <c r="AF90" s="627">
        <f ca="1">IF(AND($D90="Serviço",AF$12&lt;&gt;0,$H90&gt;0,OR(AUTOEVENTO&lt;&gt;"manual",$M90&lt;&gt;1)),
IF(Import.TipoArredondamento&lt;&gt;"TransfereGOV",
ROUND(OFFSET($P90,0,AF$13),15-13*ORÇAMENTO!$AF$7)/$H90*OFFSET(ORÇAMENTO!$X$15,ROW(AF90)-ROW(AF$15),0),
ROUND(ROUND(OFFSET($P90,0,AF$13),15-13*ORÇAMENTO!$AF$7)*OFFSET(ORÇAMENTO!$W$15,ROW(AF90)-ROW(AF$15),0),15-13*ORÇAMENTO!$AF$11)),0)</f>
        <v>0</v>
      </c>
      <c r="AG90" s="627">
        <f ca="1">IF(AND($D90="Serviço",AG$12&lt;&gt;0,$H90&gt;0,OR(AUTOEVENTO&lt;&gt;"manual",$M90&lt;&gt;1)),
IF(Import.TipoArredondamento&lt;&gt;"TransfereGOV",
ROUND(OFFSET($P90,0,AG$13),15-13*ORÇAMENTO!$AF$7)/$H90*OFFSET(ORÇAMENTO!$X$15,ROW(AG90)-ROW(AG$15),0),
ROUND(ROUND(OFFSET($P90,0,AG$13),15-13*ORÇAMENTO!$AF$7)*OFFSET(ORÇAMENTO!$W$15,ROW(AG90)-ROW(AG$15),0),15-13*ORÇAMENTO!$AF$11)),0)</f>
        <v>0</v>
      </c>
      <c r="AH90" s="627">
        <f ca="1">IF(AND($D90="Serviço",AH$12&lt;&gt;0,$H90&gt;0,OR(AUTOEVENTO&lt;&gt;"manual",$M90&lt;&gt;1)),
IF(Import.TipoArredondamento&lt;&gt;"TransfereGOV",
ROUND(OFFSET($P90,0,AH$13),15-13*ORÇAMENTO!$AF$7)/$H90*OFFSET(ORÇAMENTO!$X$15,ROW(AH90)-ROW(AH$15),0),
ROUND(ROUND(OFFSET($P90,0,AH$13),15-13*ORÇAMENTO!$AF$7)*OFFSET(ORÇAMENTO!$W$15,ROW(AH90)-ROW(AH$15),0),15-13*ORÇAMENTO!$AF$11)),0)</f>
        <v>0</v>
      </c>
      <c r="AI90" s="627">
        <f ca="1">IF(AND($D90="Serviço",AI$12&lt;&gt;0,$H90&gt;0,OR(AUTOEVENTO&lt;&gt;"manual",$M90&lt;&gt;1)),
IF(Import.TipoArredondamento&lt;&gt;"TransfereGOV",
ROUND(OFFSET($P90,0,AI$13),15-13*ORÇAMENTO!$AF$7)/$H90*OFFSET(ORÇAMENTO!$X$15,ROW(AI90)-ROW(AI$15),0),
ROUND(ROUND(OFFSET($P90,0,AI$13),15-13*ORÇAMENTO!$AF$7)*OFFSET(ORÇAMENTO!$W$15,ROW(AI90)-ROW(AI$15),0),15-13*ORÇAMENTO!$AF$11)),0)</f>
        <v>0</v>
      </c>
      <c r="AJ90" s="627">
        <f ca="1">IF(AND($D90="Serviço",AJ$12&lt;&gt;0,$H90&gt;0,OR(AUTOEVENTO&lt;&gt;"manual",$M90&lt;&gt;1)),
IF(Import.TipoArredondamento&lt;&gt;"TransfereGOV",
ROUND(OFFSET($P90,0,AJ$13),15-13*ORÇAMENTO!$AF$7)/$H90*OFFSET(ORÇAMENTO!$X$15,ROW(AJ90)-ROW(AJ$15),0),
ROUND(ROUND(OFFSET($P90,0,AJ$13),15-13*ORÇAMENTO!$AF$7)*OFFSET(ORÇAMENTO!$W$15,ROW(AJ90)-ROW(AJ$15),0),15-13*ORÇAMENTO!$AF$11)),0)</f>
        <v>0</v>
      </c>
      <c r="AK90" s="628">
        <f ca="1">IF(AND($D90="Serviço",AK$12&lt;&gt;0,$H90&gt;0,OR(AUTOEVENTO&lt;&gt;"manual",$M90&lt;&gt;1)),
IF(Import.TipoArredondamento&lt;&gt;"TransfereGOV",
ROUND(OFFSET($P90,0,AK$13),15-13*ORÇAMENTO!$AF$7)/$H90*OFFSET(ORÇAMENTO!$X$15,ROW(AK90)-ROW(AK$15),0),
ROUND(ROUND(OFFSET($P90,0,AK$13),15-13*ORÇAMENTO!$AF$7)*OFFSET(ORÇAMENTO!$W$15,ROW(AK90)-ROW(AK$15),0),15-13*ORÇAMENTO!$AF$11)),0)</f>
        <v>0</v>
      </c>
      <c r="AM90" s="211">
        <f ca="1">IF($D90&lt;&gt;"Serviço",0,IF(AND(AUTOEVENTO="Manual",$M90=1),0,IF(OFFSET(CRONOPLE!$F$14,$M90,AM$13)="",10^12,OFFSET(CRONOPLE!$F$14,$M90,AM$13))))</f>
        <v>2</v>
      </c>
      <c r="AN90" s="211">
        <f ca="1">IF($D90&lt;&gt;"Serviço",0,IF(AND(AUTOEVENTO="Manual",$M90=1),0,IF(OFFSET(CRONOPLE!$F$14,$M90,AN$13)="",10^12,OFFSET(CRONOPLE!$F$14,$M90,AN$13))))</f>
        <v>1</v>
      </c>
      <c r="AO90" s="211">
        <f ca="1">IF($D90&lt;&gt;"Serviço",0,IF(AND(AUTOEVENTO="Manual",$M90=1),0,IF(OFFSET(CRONOPLE!$F$14,$M90,AO$13)="",10^12,OFFSET(CRONOPLE!$F$14,$M90,AO$13))))</f>
        <v>2</v>
      </c>
      <c r="AP90" s="211">
        <f ca="1">IF($D90&lt;&gt;"Serviço",0,IF(AND(AUTOEVENTO="Manual",$M90=1),0,IF(OFFSET(CRONOPLE!$F$14,$M90,AP$13)="",10^12,OFFSET(CRONOPLE!$F$14,$M90,AP$13))))</f>
        <v>2</v>
      </c>
      <c r="AQ90" s="211">
        <f ca="1">IF($D90&lt;&gt;"Serviço",0,IF(AND(AUTOEVENTO="Manual",$M90=1),0,IF(OFFSET(CRONOPLE!$F$14,$M90,AQ$13)="",10^12,OFFSET(CRONOPLE!$F$14,$M90,AQ$13))))</f>
        <v>1000000000000</v>
      </c>
      <c r="AR90" s="211">
        <f ca="1">IF($D90&lt;&gt;"Serviço",0,IF(AND(AUTOEVENTO="Manual",$M90=1),0,IF(OFFSET(CRONOPLE!$F$14,$M90,AR$13)="",10^12,OFFSET(CRONOPLE!$F$14,$M90,AR$13))))</f>
        <v>1000000000000</v>
      </c>
      <c r="AS90" s="211">
        <f ca="1">IF($D90&lt;&gt;"Serviço",0,IF(AND(AUTOEVENTO="Manual",$M90=1),0,IF(OFFSET(CRONOPLE!$F$14,$M90,AS$13)="",10^12,OFFSET(CRONOPLE!$F$14,$M90,AS$13))))</f>
        <v>1000000000000</v>
      </c>
      <c r="AT90" s="211">
        <f ca="1">IF($D90&lt;&gt;"Serviço",0,IF(AND(AUTOEVENTO="Manual",$M90=1),0,IF(OFFSET(CRONOPLE!$F$14,$M90,AT$13)="",10^12,OFFSET(CRONOPLE!$F$14,$M90,AT$13))))</f>
        <v>1000000000000</v>
      </c>
      <c r="AU90" s="211">
        <f ca="1">IF($D90&lt;&gt;"Serviço",0,IF(AND(AUTOEVENTO="Manual",$M90=1),0,IF(OFFSET(CRONOPLE!$F$14,$M90,AU$13)="",10^12,OFFSET(CRONOPLE!$F$14,$M90,AU$13))))</f>
        <v>1000000000000</v>
      </c>
      <c r="AV90" s="211">
        <f ca="1">IF($D90&lt;&gt;"Serviço",0,IF(AND(AUTOEVENTO="Manual",$M90=1),0,IF(OFFSET(CRONOPLE!$F$14,$M90,AV$13)="",10^12,OFFSET(CRONOPLE!$F$14,$M90,AV$13))))</f>
        <v>1000000000000</v>
      </c>
      <c r="AX90" s="212">
        <f ca="1">IF($D90&lt;&gt;"Serviço",0,IF(OR(AND(AUTOEVENTO="Manual",$M90=1),$M90&gt;(ROW(PLE.lastrow)-ROW(PLE.firstrow))),0,IF(OFFSET(PLE!$G$14,$M90,AX$13)="",10^12,OFFSET(PLE!$G$14,$M90,AX$13))))</f>
        <v>1000000000000</v>
      </c>
      <c r="AY90" s="212">
        <f ca="1">IF($D90&lt;&gt;"Serviço",0,IF(OR(AND(AUTOEVENTO="Manual",$M90=1),$M90&gt;(ROW(PLE.lastrow)-ROW(PLE.firstrow))),0,IF(OFFSET(PLE!$G$14,$M90,AY$13)="",10^12,OFFSET(PLE!$G$14,$M90,AY$13))))</f>
        <v>1000000000000</v>
      </c>
      <c r="AZ90" s="212">
        <f ca="1">IF($D90&lt;&gt;"Serviço",0,IF(OR(AND(AUTOEVENTO="Manual",$M90=1),$M90&gt;(ROW(PLE.lastrow)-ROW(PLE.firstrow))),0,IF(OFFSET(PLE!$G$14,$M90,AZ$13)="",10^12,OFFSET(PLE!$G$14,$M90,AZ$13))))</f>
        <v>1000000000000</v>
      </c>
      <c r="BA90" s="212">
        <f ca="1">IF($D90&lt;&gt;"Serviço",0,IF(OR(AND(AUTOEVENTO="Manual",$M90=1),$M90&gt;(ROW(PLE.lastrow)-ROW(PLE.firstrow))),0,IF(OFFSET(PLE!$G$14,$M90,BA$13)="",10^12,OFFSET(PLE!$G$14,$M90,BA$13))))</f>
        <v>1000000000000</v>
      </c>
      <c r="BB90" s="212">
        <f ca="1">IF($D90&lt;&gt;"Serviço",0,IF(OR(AND(AUTOEVENTO="Manual",$M90=1),$M90&gt;(ROW(PLE.lastrow)-ROW(PLE.firstrow))),0,IF(OFFSET(PLE!$G$14,$M90,BB$13)="",10^12,OFFSET(PLE!$G$14,$M90,BB$13))))</f>
        <v>1000000000000</v>
      </c>
      <c r="BC90" s="212">
        <f ca="1">IF($D90&lt;&gt;"Serviço",0,IF(OR(AND(AUTOEVENTO="Manual",$M90=1),$M90&gt;(ROW(PLE.lastrow)-ROW(PLE.firstrow))),0,IF(OFFSET(PLE!$G$14,$M90,BC$13)="",10^12,OFFSET(PLE!$G$14,$M90,BC$13))))</f>
        <v>1000000000000</v>
      </c>
      <c r="BD90" s="212">
        <f ca="1">IF($D90&lt;&gt;"Serviço",0,IF(OR(AND(AUTOEVENTO="Manual",$M90=1),$M90&gt;(ROW(PLE.lastrow)-ROW(PLE.firstrow))),0,IF(OFFSET(PLE!$G$14,$M90,BD$13)="",10^12,OFFSET(PLE!$G$14,$M90,BD$13))))</f>
        <v>1000000000000</v>
      </c>
      <c r="BE90" s="212">
        <f ca="1">IF($D90&lt;&gt;"Serviço",0,IF(OR(AND(AUTOEVENTO="Manual",$M90=1),$M90&gt;(ROW(PLE.lastrow)-ROW(PLE.firstrow))),0,IF(OFFSET(PLE!$G$14,$M90,BE$13)="",10^12,OFFSET(PLE!$G$14,$M90,BE$13))))</f>
        <v>1000000000000</v>
      </c>
      <c r="BF90" s="212">
        <f ca="1">IF($D90&lt;&gt;"Serviço",0,IF(OR(AND(AUTOEVENTO="Manual",$M90=1),$M90&gt;(ROW(PLE.lastrow)-ROW(PLE.firstrow))),0,IF(OFFSET(PLE!$G$14,$M90,BF$13)="",10^12,OFFSET(PLE!$G$14,$M90,BF$13))))</f>
        <v>1000000000000</v>
      </c>
      <c r="BG90" s="212">
        <f ca="1">IF($D90&lt;&gt;"Serviço",0,IF(OR(AND(AUTOEVENTO="Manual",$M90=1),$M90&gt;(ROW(PLE.lastrow)-ROW(PLE.firstrow))),0,IF(OFFSET(PLE!$G$14,$M90,BG$13)="",10^12,OFFSET(PLE!$G$14,$M90,BG$13))))</f>
        <v>1000000000000</v>
      </c>
    </row>
    <row r="91" spans="1:59" ht="13.2">
      <c r="A91" s="9" t="str">
        <f t="shared" ca="1" si="10"/>
        <v>15</v>
      </c>
      <c r="B91" s="9" t="str">
        <f ca="1">OFFSET(ORÇAMENTO!C$15,ROW(B91)-ROW(B$15),0)</f>
        <v>S</v>
      </c>
      <c r="C91" s="9" t="str">
        <f ca="1">OFFSET(ORÇAMENTO!L$15,ROW(C91)-ROW(C$15),0)</f>
        <v/>
      </c>
      <c r="D91" s="141" t="str">
        <f ca="1">OFFSET(ORÇAMENTO!N$15,ROW(D91)-ROW(D$15),0)</f>
        <v>Serviço</v>
      </c>
      <c r="E91" s="201" t="str">
        <f ca="1">OFFSET(ORÇAMENTO!O$15,ROW(E91)-ROW(E$15),0)</f>
        <v>-</v>
      </c>
      <c r="F91" s="202" t="str">
        <f ca="1">OFFSET(ORÇAMENTO!R$15,ROW(F91)-ROW(F$15),0)</f>
        <v>(abra o arquivo 'Referência 11-2024.xlsm)</v>
      </c>
      <c r="G91" s="203" t="str">
        <f ca="1">IF($D91&lt;&gt;"Serviço","",OFFSET(ORÇAMENTO!S$15,ROW(G91)-ROW(G$15),0))</f>
        <v>-</v>
      </c>
      <c r="H91" s="147">
        <f ca="1">IF($D91&lt;&gt;"Serviço",0,IF(ACOMPANHAMENTO="BM",ROUND(OFFSET(ORÇAMENTO!AJ$15,ROW(H91)-ROW(H$15),0),15-13*ORÇAMENTO!$AF$7),SUMPRODUCT(($Q$12:$AA$12&lt;&gt;"")*ROUND($Q91:$AA91,15-13*ORÇAMENTO!$AF$7))))</f>
        <v>0</v>
      </c>
      <c r="I91" s="645"/>
      <c r="K91" s="204"/>
      <c r="L91" s="205" t="s">
        <v>255</v>
      </c>
      <c r="M91" s="206">
        <f ca="1">IF($D91&lt;&gt;"Serviço","",IF(AUTOEVENTO="manual",$A91,IF(ISERROR(MATCH($A91,$A$15:OFFSET($A91,-1,0),0)),MAX($M$15:OFFSET(M91,-1,0))+1,INDEX($M$15:OFFSET(M91,-1,0),MATCH($A91,$A$15:OFFSET($A91,-1,0),0)))))</f>
        <v>6</v>
      </c>
      <c r="N91" s="207" t="str">
        <f ca="1">IF($D91&lt;&gt;"Serviço","",IF(AUTOEVENTO="Manual",IF($A91=0,"&lt;-- defina o número do agrupador",OFFSET(EVENTOS!$D$14,$A91,0)),OFFSET($F$15,$A91,0)))</f>
        <v>DRENAGEM</v>
      </c>
      <c r="O91" s="208"/>
      <c r="Q91" s="208"/>
      <c r="R91" s="209"/>
      <c r="S91" s="209"/>
      <c r="T91" s="209"/>
      <c r="U91" s="209"/>
      <c r="V91" s="209"/>
      <c r="W91" s="209"/>
      <c r="X91" s="209"/>
      <c r="Y91" s="209"/>
      <c r="Z91" s="210"/>
      <c r="AB91" s="626">
        <f ca="1">IF(AND($D91="Serviço",AB$12&lt;&gt;0,$H91&gt;0,OR(AUTOEVENTO&lt;&gt;"manual",$M91&lt;&gt;1)),
IF(Import.TipoArredondamento&lt;&gt;"TransfereGOV",
ROUND(OFFSET($P91,0,AB$13),15-13*ORÇAMENTO!$AF$7)/$H91*OFFSET(ORÇAMENTO!$X$15,ROW(AB91)-ROW(AB$15),0),
ROUND(ROUND(OFFSET($P91,0,AB$13),15-13*ORÇAMENTO!$AF$7)*OFFSET(ORÇAMENTO!$W$15,ROW(AB91)-ROW(AB$15),0),15-13*ORÇAMENTO!$AF$11)),0)</f>
        <v>0</v>
      </c>
      <c r="AC91" s="627">
        <f ca="1">IF(AND($D91="Serviço",AC$12&lt;&gt;0,$H91&gt;0,OR(AUTOEVENTO&lt;&gt;"manual",$M91&lt;&gt;1)),
IF(Import.TipoArredondamento&lt;&gt;"TransfereGOV",
ROUND(OFFSET($P91,0,AC$13),15-13*ORÇAMENTO!$AF$7)/$H91*OFFSET(ORÇAMENTO!$X$15,ROW(AC91)-ROW(AC$15),0),
ROUND(ROUND(OFFSET($P91,0,AC$13),15-13*ORÇAMENTO!$AF$7)*OFFSET(ORÇAMENTO!$W$15,ROW(AC91)-ROW(AC$15),0),15-13*ORÇAMENTO!$AF$11)),0)</f>
        <v>0</v>
      </c>
      <c r="AD91" s="627">
        <f ca="1">IF(AND($D91="Serviço",AD$12&lt;&gt;0,$H91&gt;0,OR(AUTOEVENTO&lt;&gt;"manual",$M91&lt;&gt;1)),
IF(Import.TipoArredondamento&lt;&gt;"TransfereGOV",
ROUND(OFFSET($P91,0,AD$13),15-13*ORÇAMENTO!$AF$7)/$H91*OFFSET(ORÇAMENTO!$X$15,ROW(AD91)-ROW(AD$15),0),
ROUND(ROUND(OFFSET($P91,0,AD$13),15-13*ORÇAMENTO!$AF$7)*OFFSET(ORÇAMENTO!$W$15,ROW(AD91)-ROW(AD$15),0),15-13*ORÇAMENTO!$AF$11)),0)</f>
        <v>0</v>
      </c>
      <c r="AE91" s="627">
        <f ca="1">IF(AND($D91="Serviço",AE$12&lt;&gt;0,$H91&gt;0,OR(AUTOEVENTO&lt;&gt;"manual",$M91&lt;&gt;1)),
IF(Import.TipoArredondamento&lt;&gt;"TransfereGOV",
ROUND(OFFSET($P91,0,AE$13),15-13*ORÇAMENTO!$AF$7)/$H91*OFFSET(ORÇAMENTO!$X$15,ROW(AE91)-ROW(AE$15),0),
ROUND(ROUND(OFFSET($P91,0,AE$13),15-13*ORÇAMENTO!$AF$7)*OFFSET(ORÇAMENTO!$W$15,ROW(AE91)-ROW(AE$15),0),15-13*ORÇAMENTO!$AF$11)),0)</f>
        <v>0</v>
      </c>
      <c r="AF91" s="627">
        <f ca="1">IF(AND($D91="Serviço",AF$12&lt;&gt;0,$H91&gt;0,OR(AUTOEVENTO&lt;&gt;"manual",$M91&lt;&gt;1)),
IF(Import.TipoArredondamento&lt;&gt;"TransfereGOV",
ROUND(OFFSET($P91,0,AF$13),15-13*ORÇAMENTO!$AF$7)/$H91*OFFSET(ORÇAMENTO!$X$15,ROW(AF91)-ROW(AF$15),0),
ROUND(ROUND(OFFSET($P91,0,AF$13),15-13*ORÇAMENTO!$AF$7)*OFFSET(ORÇAMENTO!$W$15,ROW(AF91)-ROW(AF$15),0),15-13*ORÇAMENTO!$AF$11)),0)</f>
        <v>0</v>
      </c>
      <c r="AG91" s="627">
        <f ca="1">IF(AND($D91="Serviço",AG$12&lt;&gt;0,$H91&gt;0,OR(AUTOEVENTO&lt;&gt;"manual",$M91&lt;&gt;1)),
IF(Import.TipoArredondamento&lt;&gt;"TransfereGOV",
ROUND(OFFSET($P91,0,AG$13),15-13*ORÇAMENTO!$AF$7)/$H91*OFFSET(ORÇAMENTO!$X$15,ROW(AG91)-ROW(AG$15),0),
ROUND(ROUND(OFFSET($P91,0,AG$13),15-13*ORÇAMENTO!$AF$7)*OFFSET(ORÇAMENTO!$W$15,ROW(AG91)-ROW(AG$15),0),15-13*ORÇAMENTO!$AF$11)),0)</f>
        <v>0</v>
      </c>
      <c r="AH91" s="627">
        <f ca="1">IF(AND($D91="Serviço",AH$12&lt;&gt;0,$H91&gt;0,OR(AUTOEVENTO&lt;&gt;"manual",$M91&lt;&gt;1)),
IF(Import.TipoArredondamento&lt;&gt;"TransfereGOV",
ROUND(OFFSET($P91,0,AH$13),15-13*ORÇAMENTO!$AF$7)/$H91*OFFSET(ORÇAMENTO!$X$15,ROW(AH91)-ROW(AH$15),0),
ROUND(ROUND(OFFSET($P91,0,AH$13),15-13*ORÇAMENTO!$AF$7)*OFFSET(ORÇAMENTO!$W$15,ROW(AH91)-ROW(AH$15),0),15-13*ORÇAMENTO!$AF$11)),0)</f>
        <v>0</v>
      </c>
      <c r="AI91" s="627">
        <f ca="1">IF(AND($D91="Serviço",AI$12&lt;&gt;0,$H91&gt;0,OR(AUTOEVENTO&lt;&gt;"manual",$M91&lt;&gt;1)),
IF(Import.TipoArredondamento&lt;&gt;"TransfereGOV",
ROUND(OFFSET($P91,0,AI$13),15-13*ORÇAMENTO!$AF$7)/$H91*OFFSET(ORÇAMENTO!$X$15,ROW(AI91)-ROW(AI$15),0),
ROUND(ROUND(OFFSET($P91,0,AI$13),15-13*ORÇAMENTO!$AF$7)*OFFSET(ORÇAMENTO!$W$15,ROW(AI91)-ROW(AI$15),0),15-13*ORÇAMENTO!$AF$11)),0)</f>
        <v>0</v>
      </c>
      <c r="AJ91" s="627">
        <f ca="1">IF(AND($D91="Serviço",AJ$12&lt;&gt;0,$H91&gt;0,OR(AUTOEVENTO&lt;&gt;"manual",$M91&lt;&gt;1)),
IF(Import.TipoArredondamento&lt;&gt;"TransfereGOV",
ROUND(OFFSET($P91,0,AJ$13),15-13*ORÇAMENTO!$AF$7)/$H91*OFFSET(ORÇAMENTO!$X$15,ROW(AJ91)-ROW(AJ$15),0),
ROUND(ROUND(OFFSET($P91,0,AJ$13),15-13*ORÇAMENTO!$AF$7)*OFFSET(ORÇAMENTO!$W$15,ROW(AJ91)-ROW(AJ$15),0),15-13*ORÇAMENTO!$AF$11)),0)</f>
        <v>0</v>
      </c>
      <c r="AK91" s="628">
        <f ca="1">IF(AND($D91="Serviço",AK$12&lt;&gt;0,$H91&gt;0,OR(AUTOEVENTO&lt;&gt;"manual",$M91&lt;&gt;1)),
IF(Import.TipoArredondamento&lt;&gt;"TransfereGOV",
ROUND(OFFSET($P91,0,AK$13),15-13*ORÇAMENTO!$AF$7)/$H91*OFFSET(ORÇAMENTO!$X$15,ROW(AK91)-ROW(AK$15),0),
ROUND(ROUND(OFFSET($P91,0,AK$13),15-13*ORÇAMENTO!$AF$7)*OFFSET(ORÇAMENTO!$W$15,ROW(AK91)-ROW(AK$15),0),15-13*ORÇAMENTO!$AF$11)),0)</f>
        <v>0</v>
      </c>
      <c r="AM91" s="211">
        <f ca="1">IF($D91&lt;&gt;"Serviço",0,IF(AND(AUTOEVENTO="Manual",$M91=1),0,IF(OFFSET(CRONOPLE!$F$14,$M91,AM$13)="",10^12,OFFSET(CRONOPLE!$F$14,$M91,AM$13))))</f>
        <v>2</v>
      </c>
      <c r="AN91" s="211">
        <f ca="1">IF($D91&lt;&gt;"Serviço",0,IF(AND(AUTOEVENTO="Manual",$M91=1),0,IF(OFFSET(CRONOPLE!$F$14,$M91,AN$13)="",10^12,OFFSET(CRONOPLE!$F$14,$M91,AN$13))))</f>
        <v>1</v>
      </c>
      <c r="AO91" s="211">
        <f ca="1">IF($D91&lt;&gt;"Serviço",0,IF(AND(AUTOEVENTO="Manual",$M91=1),0,IF(OFFSET(CRONOPLE!$F$14,$M91,AO$13)="",10^12,OFFSET(CRONOPLE!$F$14,$M91,AO$13))))</f>
        <v>2</v>
      </c>
      <c r="AP91" s="211">
        <f ca="1">IF($D91&lt;&gt;"Serviço",0,IF(AND(AUTOEVENTO="Manual",$M91=1),0,IF(OFFSET(CRONOPLE!$F$14,$M91,AP$13)="",10^12,OFFSET(CRONOPLE!$F$14,$M91,AP$13))))</f>
        <v>2</v>
      </c>
      <c r="AQ91" s="211">
        <f ca="1">IF($D91&lt;&gt;"Serviço",0,IF(AND(AUTOEVENTO="Manual",$M91=1),0,IF(OFFSET(CRONOPLE!$F$14,$M91,AQ$13)="",10^12,OFFSET(CRONOPLE!$F$14,$M91,AQ$13))))</f>
        <v>1000000000000</v>
      </c>
      <c r="AR91" s="211">
        <f ca="1">IF($D91&lt;&gt;"Serviço",0,IF(AND(AUTOEVENTO="Manual",$M91=1),0,IF(OFFSET(CRONOPLE!$F$14,$M91,AR$13)="",10^12,OFFSET(CRONOPLE!$F$14,$M91,AR$13))))</f>
        <v>1000000000000</v>
      </c>
      <c r="AS91" s="211">
        <f ca="1">IF($D91&lt;&gt;"Serviço",0,IF(AND(AUTOEVENTO="Manual",$M91=1),0,IF(OFFSET(CRONOPLE!$F$14,$M91,AS$13)="",10^12,OFFSET(CRONOPLE!$F$14,$M91,AS$13))))</f>
        <v>1000000000000</v>
      </c>
      <c r="AT91" s="211">
        <f ca="1">IF($D91&lt;&gt;"Serviço",0,IF(AND(AUTOEVENTO="Manual",$M91=1),0,IF(OFFSET(CRONOPLE!$F$14,$M91,AT$13)="",10^12,OFFSET(CRONOPLE!$F$14,$M91,AT$13))))</f>
        <v>1000000000000</v>
      </c>
      <c r="AU91" s="211">
        <f ca="1">IF($D91&lt;&gt;"Serviço",0,IF(AND(AUTOEVENTO="Manual",$M91=1),0,IF(OFFSET(CRONOPLE!$F$14,$M91,AU$13)="",10^12,OFFSET(CRONOPLE!$F$14,$M91,AU$13))))</f>
        <v>1000000000000</v>
      </c>
      <c r="AV91" s="211">
        <f ca="1">IF($D91&lt;&gt;"Serviço",0,IF(AND(AUTOEVENTO="Manual",$M91=1),0,IF(OFFSET(CRONOPLE!$F$14,$M91,AV$13)="",10^12,OFFSET(CRONOPLE!$F$14,$M91,AV$13))))</f>
        <v>1000000000000</v>
      </c>
      <c r="AX91" s="212">
        <f ca="1">IF($D91&lt;&gt;"Serviço",0,IF(OR(AND(AUTOEVENTO="Manual",$M91=1),$M91&gt;(ROW(PLE.lastrow)-ROW(PLE.firstrow))),0,IF(OFFSET(PLE!$G$14,$M91,AX$13)="",10^12,OFFSET(PLE!$G$14,$M91,AX$13))))</f>
        <v>1000000000000</v>
      </c>
      <c r="AY91" s="212">
        <f ca="1">IF($D91&lt;&gt;"Serviço",0,IF(OR(AND(AUTOEVENTO="Manual",$M91=1),$M91&gt;(ROW(PLE.lastrow)-ROW(PLE.firstrow))),0,IF(OFFSET(PLE!$G$14,$M91,AY$13)="",10^12,OFFSET(PLE!$G$14,$M91,AY$13))))</f>
        <v>1000000000000</v>
      </c>
      <c r="AZ91" s="212">
        <f ca="1">IF($D91&lt;&gt;"Serviço",0,IF(OR(AND(AUTOEVENTO="Manual",$M91=1),$M91&gt;(ROW(PLE.lastrow)-ROW(PLE.firstrow))),0,IF(OFFSET(PLE!$G$14,$M91,AZ$13)="",10^12,OFFSET(PLE!$G$14,$M91,AZ$13))))</f>
        <v>1000000000000</v>
      </c>
      <c r="BA91" s="212">
        <f ca="1">IF($D91&lt;&gt;"Serviço",0,IF(OR(AND(AUTOEVENTO="Manual",$M91=1),$M91&gt;(ROW(PLE.lastrow)-ROW(PLE.firstrow))),0,IF(OFFSET(PLE!$G$14,$M91,BA$13)="",10^12,OFFSET(PLE!$G$14,$M91,BA$13))))</f>
        <v>1000000000000</v>
      </c>
      <c r="BB91" s="212">
        <f ca="1">IF($D91&lt;&gt;"Serviço",0,IF(OR(AND(AUTOEVENTO="Manual",$M91=1),$M91&gt;(ROW(PLE.lastrow)-ROW(PLE.firstrow))),0,IF(OFFSET(PLE!$G$14,$M91,BB$13)="",10^12,OFFSET(PLE!$G$14,$M91,BB$13))))</f>
        <v>1000000000000</v>
      </c>
      <c r="BC91" s="212">
        <f ca="1">IF($D91&lt;&gt;"Serviço",0,IF(OR(AND(AUTOEVENTO="Manual",$M91=1),$M91&gt;(ROW(PLE.lastrow)-ROW(PLE.firstrow))),0,IF(OFFSET(PLE!$G$14,$M91,BC$13)="",10^12,OFFSET(PLE!$G$14,$M91,BC$13))))</f>
        <v>1000000000000</v>
      </c>
      <c r="BD91" s="212">
        <f ca="1">IF($D91&lt;&gt;"Serviço",0,IF(OR(AND(AUTOEVENTO="Manual",$M91=1),$M91&gt;(ROW(PLE.lastrow)-ROW(PLE.firstrow))),0,IF(OFFSET(PLE!$G$14,$M91,BD$13)="",10^12,OFFSET(PLE!$G$14,$M91,BD$13))))</f>
        <v>1000000000000</v>
      </c>
      <c r="BE91" s="212">
        <f ca="1">IF($D91&lt;&gt;"Serviço",0,IF(OR(AND(AUTOEVENTO="Manual",$M91=1),$M91&gt;(ROW(PLE.lastrow)-ROW(PLE.firstrow))),0,IF(OFFSET(PLE!$G$14,$M91,BE$13)="",10^12,OFFSET(PLE!$G$14,$M91,BE$13))))</f>
        <v>1000000000000</v>
      </c>
      <c r="BF91" s="212">
        <f ca="1">IF($D91&lt;&gt;"Serviço",0,IF(OR(AND(AUTOEVENTO="Manual",$M91=1),$M91&gt;(ROW(PLE.lastrow)-ROW(PLE.firstrow))),0,IF(OFFSET(PLE!$G$14,$M91,BF$13)="",10^12,OFFSET(PLE!$G$14,$M91,BF$13))))</f>
        <v>1000000000000</v>
      </c>
      <c r="BG91" s="212">
        <f ca="1">IF($D91&lt;&gt;"Serviço",0,IF(OR(AND(AUTOEVENTO="Manual",$M91=1),$M91&gt;(ROW(PLE.lastrow)-ROW(PLE.firstrow))),0,IF(OFFSET(PLE!$G$14,$M91,BG$13)="",10^12,OFFSET(PLE!$G$14,$M91,BG$13))))</f>
        <v>1000000000000</v>
      </c>
    </row>
    <row r="92" spans="1:59" ht="13.2">
      <c r="A92" s="9" t="str">
        <f t="shared" ca="1" si="10"/>
        <v>15</v>
      </c>
      <c r="B92" s="9" t="str">
        <f ca="1">OFFSET(ORÇAMENTO!C$15,ROW(B92)-ROW(B$15),0)</f>
        <v>S</v>
      </c>
      <c r="C92" s="9" t="str">
        <f ca="1">OFFSET(ORÇAMENTO!L$15,ROW(C92)-ROW(C$15),0)</f>
        <v/>
      </c>
      <c r="D92" s="141" t="str">
        <f ca="1">OFFSET(ORÇAMENTO!N$15,ROW(D92)-ROW(D$15),0)</f>
        <v>Serviço</v>
      </c>
      <c r="E92" s="201" t="str">
        <f ca="1">OFFSET(ORÇAMENTO!O$15,ROW(E92)-ROW(E$15),0)</f>
        <v>-</v>
      </c>
      <c r="F92" s="202" t="str">
        <f ca="1">OFFSET(ORÇAMENTO!R$15,ROW(F92)-ROW(F$15),0)</f>
        <v>(abra o arquivo 'Referência 11-2024.xlsm)</v>
      </c>
      <c r="G92" s="203" t="str">
        <f ca="1">IF($D92&lt;&gt;"Serviço","",OFFSET(ORÇAMENTO!S$15,ROW(G92)-ROW(G$15),0))</f>
        <v>-</v>
      </c>
      <c r="H92" s="147">
        <f ca="1">IF($D92&lt;&gt;"Serviço",0,IF(ACOMPANHAMENTO="BM",ROUND(OFFSET(ORÇAMENTO!AJ$15,ROW(H92)-ROW(H$15),0),15-13*ORÇAMENTO!$AF$7),SUMPRODUCT(($Q$12:$AA$12&lt;&gt;"")*ROUND($Q92:$AA92,15-13*ORÇAMENTO!$AF$7))))</f>
        <v>0</v>
      </c>
      <c r="I92" s="645"/>
      <c r="K92" s="204"/>
      <c r="L92" s="205" t="s">
        <v>255</v>
      </c>
      <c r="M92" s="206">
        <f ca="1">IF($D92&lt;&gt;"Serviço","",IF(AUTOEVENTO="manual",$A92,IF(ISERROR(MATCH($A92,$A$15:OFFSET($A92,-1,0),0)),MAX($M$15:OFFSET(M92,-1,0))+1,INDEX($M$15:OFFSET(M92,-1,0),MATCH($A92,$A$15:OFFSET($A92,-1,0),0)))))</f>
        <v>6</v>
      </c>
      <c r="N92" s="207" t="str">
        <f ca="1">IF($D92&lt;&gt;"Serviço","",IF(AUTOEVENTO="Manual",IF($A92=0,"&lt;-- defina o número do agrupador",OFFSET(EVENTOS!$D$14,$A92,0)),OFFSET($F$15,$A92,0)))</f>
        <v>DRENAGEM</v>
      </c>
      <c r="O92" s="208"/>
      <c r="Q92" s="208"/>
      <c r="R92" s="209"/>
      <c r="S92" s="209"/>
      <c r="T92" s="209"/>
      <c r="U92" s="209"/>
      <c r="V92" s="209"/>
      <c r="W92" s="209"/>
      <c r="X92" s="209"/>
      <c r="Y92" s="209"/>
      <c r="Z92" s="210"/>
      <c r="AB92" s="626">
        <f ca="1">IF(AND($D92="Serviço",AB$12&lt;&gt;0,$H92&gt;0,OR(AUTOEVENTO&lt;&gt;"manual",$M92&lt;&gt;1)),
IF(Import.TipoArredondamento&lt;&gt;"TransfereGOV",
ROUND(OFFSET($P92,0,AB$13),15-13*ORÇAMENTO!$AF$7)/$H92*OFFSET(ORÇAMENTO!$X$15,ROW(AB92)-ROW(AB$15),0),
ROUND(ROUND(OFFSET($P92,0,AB$13),15-13*ORÇAMENTO!$AF$7)*OFFSET(ORÇAMENTO!$W$15,ROW(AB92)-ROW(AB$15),0),15-13*ORÇAMENTO!$AF$11)),0)</f>
        <v>0</v>
      </c>
      <c r="AC92" s="627">
        <f ca="1">IF(AND($D92="Serviço",AC$12&lt;&gt;0,$H92&gt;0,OR(AUTOEVENTO&lt;&gt;"manual",$M92&lt;&gt;1)),
IF(Import.TipoArredondamento&lt;&gt;"TransfereGOV",
ROUND(OFFSET($P92,0,AC$13),15-13*ORÇAMENTO!$AF$7)/$H92*OFFSET(ORÇAMENTO!$X$15,ROW(AC92)-ROW(AC$15),0),
ROUND(ROUND(OFFSET($P92,0,AC$13),15-13*ORÇAMENTO!$AF$7)*OFFSET(ORÇAMENTO!$W$15,ROW(AC92)-ROW(AC$15),0),15-13*ORÇAMENTO!$AF$11)),0)</f>
        <v>0</v>
      </c>
      <c r="AD92" s="627">
        <f ca="1">IF(AND($D92="Serviço",AD$12&lt;&gt;0,$H92&gt;0,OR(AUTOEVENTO&lt;&gt;"manual",$M92&lt;&gt;1)),
IF(Import.TipoArredondamento&lt;&gt;"TransfereGOV",
ROUND(OFFSET($P92,0,AD$13),15-13*ORÇAMENTO!$AF$7)/$H92*OFFSET(ORÇAMENTO!$X$15,ROW(AD92)-ROW(AD$15),0),
ROUND(ROUND(OFFSET($P92,0,AD$13),15-13*ORÇAMENTO!$AF$7)*OFFSET(ORÇAMENTO!$W$15,ROW(AD92)-ROW(AD$15),0),15-13*ORÇAMENTO!$AF$11)),0)</f>
        <v>0</v>
      </c>
      <c r="AE92" s="627">
        <f ca="1">IF(AND($D92="Serviço",AE$12&lt;&gt;0,$H92&gt;0,OR(AUTOEVENTO&lt;&gt;"manual",$M92&lt;&gt;1)),
IF(Import.TipoArredondamento&lt;&gt;"TransfereGOV",
ROUND(OFFSET($P92,0,AE$13),15-13*ORÇAMENTO!$AF$7)/$H92*OFFSET(ORÇAMENTO!$X$15,ROW(AE92)-ROW(AE$15),0),
ROUND(ROUND(OFFSET($P92,0,AE$13),15-13*ORÇAMENTO!$AF$7)*OFFSET(ORÇAMENTO!$W$15,ROW(AE92)-ROW(AE$15),0),15-13*ORÇAMENTO!$AF$11)),0)</f>
        <v>0</v>
      </c>
      <c r="AF92" s="627">
        <f ca="1">IF(AND($D92="Serviço",AF$12&lt;&gt;0,$H92&gt;0,OR(AUTOEVENTO&lt;&gt;"manual",$M92&lt;&gt;1)),
IF(Import.TipoArredondamento&lt;&gt;"TransfereGOV",
ROUND(OFFSET($P92,0,AF$13),15-13*ORÇAMENTO!$AF$7)/$H92*OFFSET(ORÇAMENTO!$X$15,ROW(AF92)-ROW(AF$15),0),
ROUND(ROUND(OFFSET($P92,0,AF$13),15-13*ORÇAMENTO!$AF$7)*OFFSET(ORÇAMENTO!$W$15,ROW(AF92)-ROW(AF$15),0),15-13*ORÇAMENTO!$AF$11)),0)</f>
        <v>0</v>
      </c>
      <c r="AG92" s="627">
        <f ca="1">IF(AND($D92="Serviço",AG$12&lt;&gt;0,$H92&gt;0,OR(AUTOEVENTO&lt;&gt;"manual",$M92&lt;&gt;1)),
IF(Import.TipoArredondamento&lt;&gt;"TransfereGOV",
ROUND(OFFSET($P92,0,AG$13),15-13*ORÇAMENTO!$AF$7)/$H92*OFFSET(ORÇAMENTO!$X$15,ROW(AG92)-ROW(AG$15),0),
ROUND(ROUND(OFFSET($P92,0,AG$13),15-13*ORÇAMENTO!$AF$7)*OFFSET(ORÇAMENTO!$W$15,ROW(AG92)-ROW(AG$15),0),15-13*ORÇAMENTO!$AF$11)),0)</f>
        <v>0</v>
      </c>
      <c r="AH92" s="627">
        <f ca="1">IF(AND($D92="Serviço",AH$12&lt;&gt;0,$H92&gt;0,OR(AUTOEVENTO&lt;&gt;"manual",$M92&lt;&gt;1)),
IF(Import.TipoArredondamento&lt;&gt;"TransfereGOV",
ROUND(OFFSET($P92,0,AH$13),15-13*ORÇAMENTO!$AF$7)/$H92*OFFSET(ORÇAMENTO!$X$15,ROW(AH92)-ROW(AH$15),0),
ROUND(ROUND(OFFSET($P92,0,AH$13),15-13*ORÇAMENTO!$AF$7)*OFFSET(ORÇAMENTO!$W$15,ROW(AH92)-ROW(AH$15),0),15-13*ORÇAMENTO!$AF$11)),0)</f>
        <v>0</v>
      </c>
      <c r="AI92" s="627">
        <f ca="1">IF(AND($D92="Serviço",AI$12&lt;&gt;0,$H92&gt;0,OR(AUTOEVENTO&lt;&gt;"manual",$M92&lt;&gt;1)),
IF(Import.TipoArredondamento&lt;&gt;"TransfereGOV",
ROUND(OFFSET($P92,0,AI$13),15-13*ORÇAMENTO!$AF$7)/$H92*OFFSET(ORÇAMENTO!$X$15,ROW(AI92)-ROW(AI$15),0),
ROUND(ROUND(OFFSET($P92,0,AI$13),15-13*ORÇAMENTO!$AF$7)*OFFSET(ORÇAMENTO!$W$15,ROW(AI92)-ROW(AI$15),0),15-13*ORÇAMENTO!$AF$11)),0)</f>
        <v>0</v>
      </c>
      <c r="AJ92" s="627">
        <f ca="1">IF(AND($D92="Serviço",AJ$12&lt;&gt;0,$H92&gt;0,OR(AUTOEVENTO&lt;&gt;"manual",$M92&lt;&gt;1)),
IF(Import.TipoArredondamento&lt;&gt;"TransfereGOV",
ROUND(OFFSET($P92,0,AJ$13),15-13*ORÇAMENTO!$AF$7)/$H92*OFFSET(ORÇAMENTO!$X$15,ROW(AJ92)-ROW(AJ$15),0),
ROUND(ROUND(OFFSET($P92,0,AJ$13),15-13*ORÇAMENTO!$AF$7)*OFFSET(ORÇAMENTO!$W$15,ROW(AJ92)-ROW(AJ$15),0),15-13*ORÇAMENTO!$AF$11)),0)</f>
        <v>0</v>
      </c>
      <c r="AK92" s="628">
        <f ca="1">IF(AND($D92="Serviço",AK$12&lt;&gt;0,$H92&gt;0,OR(AUTOEVENTO&lt;&gt;"manual",$M92&lt;&gt;1)),
IF(Import.TipoArredondamento&lt;&gt;"TransfereGOV",
ROUND(OFFSET($P92,0,AK$13),15-13*ORÇAMENTO!$AF$7)/$H92*OFFSET(ORÇAMENTO!$X$15,ROW(AK92)-ROW(AK$15),0),
ROUND(ROUND(OFFSET($P92,0,AK$13),15-13*ORÇAMENTO!$AF$7)*OFFSET(ORÇAMENTO!$W$15,ROW(AK92)-ROW(AK$15),0),15-13*ORÇAMENTO!$AF$11)),0)</f>
        <v>0</v>
      </c>
      <c r="AM92" s="211">
        <f ca="1">IF($D92&lt;&gt;"Serviço",0,IF(AND(AUTOEVENTO="Manual",$M92=1),0,IF(OFFSET(CRONOPLE!$F$14,$M92,AM$13)="",10^12,OFFSET(CRONOPLE!$F$14,$M92,AM$13))))</f>
        <v>2</v>
      </c>
      <c r="AN92" s="211">
        <f ca="1">IF($D92&lt;&gt;"Serviço",0,IF(AND(AUTOEVENTO="Manual",$M92=1),0,IF(OFFSET(CRONOPLE!$F$14,$M92,AN$13)="",10^12,OFFSET(CRONOPLE!$F$14,$M92,AN$13))))</f>
        <v>1</v>
      </c>
      <c r="AO92" s="211">
        <f ca="1">IF($D92&lt;&gt;"Serviço",0,IF(AND(AUTOEVENTO="Manual",$M92=1),0,IF(OFFSET(CRONOPLE!$F$14,$M92,AO$13)="",10^12,OFFSET(CRONOPLE!$F$14,$M92,AO$13))))</f>
        <v>2</v>
      </c>
      <c r="AP92" s="211">
        <f ca="1">IF($D92&lt;&gt;"Serviço",0,IF(AND(AUTOEVENTO="Manual",$M92=1),0,IF(OFFSET(CRONOPLE!$F$14,$M92,AP$13)="",10^12,OFFSET(CRONOPLE!$F$14,$M92,AP$13))))</f>
        <v>2</v>
      </c>
      <c r="AQ92" s="211">
        <f ca="1">IF($D92&lt;&gt;"Serviço",0,IF(AND(AUTOEVENTO="Manual",$M92=1),0,IF(OFFSET(CRONOPLE!$F$14,$M92,AQ$13)="",10^12,OFFSET(CRONOPLE!$F$14,$M92,AQ$13))))</f>
        <v>1000000000000</v>
      </c>
      <c r="AR92" s="211">
        <f ca="1">IF($D92&lt;&gt;"Serviço",0,IF(AND(AUTOEVENTO="Manual",$M92=1),0,IF(OFFSET(CRONOPLE!$F$14,$M92,AR$13)="",10^12,OFFSET(CRONOPLE!$F$14,$M92,AR$13))))</f>
        <v>1000000000000</v>
      </c>
      <c r="AS92" s="211">
        <f ca="1">IF($D92&lt;&gt;"Serviço",0,IF(AND(AUTOEVENTO="Manual",$M92=1),0,IF(OFFSET(CRONOPLE!$F$14,$M92,AS$13)="",10^12,OFFSET(CRONOPLE!$F$14,$M92,AS$13))))</f>
        <v>1000000000000</v>
      </c>
      <c r="AT92" s="211">
        <f ca="1">IF($D92&lt;&gt;"Serviço",0,IF(AND(AUTOEVENTO="Manual",$M92=1),0,IF(OFFSET(CRONOPLE!$F$14,$M92,AT$13)="",10^12,OFFSET(CRONOPLE!$F$14,$M92,AT$13))))</f>
        <v>1000000000000</v>
      </c>
      <c r="AU92" s="211">
        <f ca="1">IF($D92&lt;&gt;"Serviço",0,IF(AND(AUTOEVENTO="Manual",$M92=1),0,IF(OFFSET(CRONOPLE!$F$14,$M92,AU$13)="",10^12,OFFSET(CRONOPLE!$F$14,$M92,AU$13))))</f>
        <v>1000000000000</v>
      </c>
      <c r="AV92" s="211">
        <f ca="1">IF($D92&lt;&gt;"Serviço",0,IF(AND(AUTOEVENTO="Manual",$M92=1),0,IF(OFFSET(CRONOPLE!$F$14,$M92,AV$13)="",10^12,OFFSET(CRONOPLE!$F$14,$M92,AV$13))))</f>
        <v>1000000000000</v>
      </c>
      <c r="AX92" s="212">
        <f ca="1">IF($D92&lt;&gt;"Serviço",0,IF(OR(AND(AUTOEVENTO="Manual",$M92=1),$M92&gt;(ROW(PLE.lastrow)-ROW(PLE.firstrow))),0,IF(OFFSET(PLE!$G$14,$M92,AX$13)="",10^12,OFFSET(PLE!$G$14,$M92,AX$13))))</f>
        <v>1000000000000</v>
      </c>
      <c r="AY92" s="212">
        <f ca="1">IF($D92&lt;&gt;"Serviço",0,IF(OR(AND(AUTOEVENTO="Manual",$M92=1),$M92&gt;(ROW(PLE.lastrow)-ROW(PLE.firstrow))),0,IF(OFFSET(PLE!$G$14,$M92,AY$13)="",10^12,OFFSET(PLE!$G$14,$M92,AY$13))))</f>
        <v>1000000000000</v>
      </c>
      <c r="AZ92" s="212">
        <f ca="1">IF($D92&lt;&gt;"Serviço",0,IF(OR(AND(AUTOEVENTO="Manual",$M92=1),$M92&gt;(ROW(PLE.lastrow)-ROW(PLE.firstrow))),0,IF(OFFSET(PLE!$G$14,$M92,AZ$13)="",10^12,OFFSET(PLE!$G$14,$M92,AZ$13))))</f>
        <v>1000000000000</v>
      </c>
      <c r="BA92" s="212">
        <f ca="1">IF($D92&lt;&gt;"Serviço",0,IF(OR(AND(AUTOEVENTO="Manual",$M92=1),$M92&gt;(ROW(PLE.lastrow)-ROW(PLE.firstrow))),0,IF(OFFSET(PLE!$G$14,$M92,BA$13)="",10^12,OFFSET(PLE!$G$14,$M92,BA$13))))</f>
        <v>1000000000000</v>
      </c>
      <c r="BB92" s="212">
        <f ca="1">IF($D92&lt;&gt;"Serviço",0,IF(OR(AND(AUTOEVENTO="Manual",$M92=1),$M92&gt;(ROW(PLE.lastrow)-ROW(PLE.firstrow))),0,IF(OFFSET(PLE!$G$14,$M92,BB$13)="",10^12,OFFSET(PLE!$G$14,$M92,BB$13))))</f>
        <v>1000000000000</v>
      </c>
      <c r="BC92" s="212">
        <f ca="1">IF($D92&lt;&gt;"Serviço",0,IF(OR(AND(AUTOEVENTO="Manual",$M92=1),$M92&gt;(ROW(PLE.lastrow)-ROW(PLE.firstrow))),0,IF(OFFSET(PLE!$G$14,$M92,BC$13)="",10^12,OFFSET(PLE!$G$14,$M92,BC$13))))</f>
        <v>1000000000000</v>
      </c>
      <c r="BD92" s="212">
        <f ca="1">IF($D92&lt;&gt;"Serviço",0,IF(OR(AND(AUTOEVENTO="Manual",$M92=1),$M92&gt;(ROW(PLE.lastrow)-ROW(PLE.firstrow))),0,IF(OFFSET(PLE!$G$14,$M92,BD$13)="",10^12,OFFSET(PLE!$G$14,$M92,BD$13))))</f>
        <v>1000000000000</v>
      </c>
      <c r="BE92" s="212">
        <f ca="1">IF($D92&lt;&gt;"Serviço",0,IF(OR(AND(AUTOEVENTO="Manual",$M92=1),$M92&gt;(ROW(PLE.lastrow)-ROW(PLE.firstrow))),0,IF(OFFSET(PLE!$G$14,$M92,BE$13)="",10^12,OFFSET(PLE!$G$14,$M92,BE$13))))</f>
        <v>1000000000000</v>
      </c>
      <c r="BF92" s="212">
        <f ca="1">IF($D92&lt;&gt;"Serviço",0,IF(OR(AND(AUTOEVENTO="Manual",$M92=1),$M92&gt;(ROW(PLE.lastrow)-ROW(PLE.firstrow))),0,IF(OFFSET(PLE!$G$14,$M92,BF$13)="",10^12,OFFSET(PLE!$G$14,$M92,BF$13))))</f>
        <v>1000000000000</v>
      </c>
      <c r="BG92" s="212">
        <f ca="1">IF($D92&lt;&gt;"Serviço",0,IF(OR(AND(AUTOEVENTO="Manual",$M92=1),$M92&gt;(ROW(PLE.lastrow)-ROW(PLE.firstrow))),0,IF(OFFSET(PLE!$G$14,$M92,BG$13)="",10^12,OFFSET(PLE!$G$14,$M92,BG$13))))</f>
        <v>1000000000000</v>
      </c>
    </row>
    <row r="93" spans="1:59" ht="13.2">
      <c r="A93" s="9" t="str">
        <f t="shared" ca="1" si="10"/>
        <v>15</v>
      </c>
      <c r="B93" s="9" t="str">
        <f ca="1">OFFSET(ORÇAMENTO!C$15,ROW(B93)-ROW(B$15),0)</f>
        <v>S</v>
      </c>
      <c r="C93" s="9" t="str">
        <f ca="1">OFFSET(ORÇAMENTO!L$15,ROW(C93)-ROW(C$15),0)</f>
        <v/>
      </c>
      <c r="D93" s="141" t="str">
        <f ca="1">OFFSET(ORÇAMENTO!N$15,ROW(D93)-ROW(D$15),0)</f>
        <v>Serviço</v>
      </c>
      <c r="E93" s="201" t="str">
        <f ca="1">OFFSET(ORÇAMENTO!O$15,ROW(E93)-ROW(E$15),0)</f>
        <v>-</v>
      </c>
      <c r="F93" s="202" t="str">
        <f ca="1">OFFSET(ORÇAMENTO!R$15,ROW(F93)-ROW(F$15),0)</f>
        <v>(abra o arquivo 'Referência 11-2024.xlsm)</v>
      </c>
      <c r="G93" s="203" t="str">
        <f ca="1">IF($D93&lt;&gt;"Serviço","",OFFSET(ORÇAMENTO!S$15,ROW(G93)-ROW(G$15),0))</f>
        <v>-</v>
      </c>
      <c r="H93" s="147">
        <f ca="1">IF($D93&lt;&gt;"Serviço",0,IF(ACOMPANHAMENTO="BM",ROUND(OFFSET(ORÇAMENTO!AJ$15,ROW(H93)-ROW(H$15),0),15-13*ORÇAMENTO!$AF$7),SUMPRODUCT(($Q$12:$AA$12&lt;&gt;"")*ROUND($Q93:$AA93,15-13*ORÇAMENTO!$AF$7))))</f>
        <v>0</v>
      </c>
      <c r="I93" s="645"/>
      <c r="K93" s="204"/>
      <c r="L93" s="205" t="s">
        <v>255</v>
      </c>
      <c r="M93" s="206">
        <f ca="1">IF($D93&lt;&gt;"Serviço","",IF(AUTOEVENTO="manual",$A93,IF(ISERROR(MATCH($A93,$A$15:OFFSET($A93,-1,0),0)),MAX($M$15:OFFSET(M93,-1,0))+1,INDEX($M$15:OFFSET(M93,-1,0),MATCH($A93,$A$15:OFFSET($A93,-1,0),0)))))</f>
        <v>6</v>
      </c>
      <c r="N93" s="207" t="str">
        <f ca="1">IF($D93&lt;&gt;"Serviço","",IF(AUTOEVENTO="Manual",IF($A93=0,"&lt;-- defina o número do agrupador",OFFSET(EVENTOS!$D$14,$A93,0)),OFFSET($F$15,$A93,0)))</f>
        <v>DRENAGEM</v>
      </c>
      <c r="O93" s="208"/>
      <c r="Q93" s="208"/>
      <c r="R93" s="209"/>
      <c r="S93" s="209"/>
      <c r="T93" s="209"/>
      <c r="U93" s="209"/>
      <c r="V93" s="209"/>
      <c r="W93" s="209"/>
      <c r="X93" s="209"/>
      <c r="Y93" s="209"/>
      <c r="Z93" s="210"/>
      <c r="AB93" s="626">
        <f ca="1">IF(AND($D93="Serviço",AB$12&lt;&gt;0,$H93&gt;0,OR(AUTOEVENTO&lt;&gt;"manual",$M93&lt;&gt;1)),
IF(Import.TipoArredondamento&lt;&gt;"TransfereGOV",
ROUND(OFFSET($P93,0,AB$13),15-13*ORÇAMENTO!$AF$7)/$H93*OFFSET(ORÇAMENTO!$X$15,ROW(AB93)-ROW(AB$15),0),
ROUND(ROUND(OFFSET($P93,0,AB$13),15-13*ORÇAMENTO!$AF$7)*OFFSET(ORÇAMENTO!$W$15,ROW(AB93)-ROW(AB$15),0),15-13*ORÇAMENTO!$AF$11)),0)</f>
        <v>0</v>
      </c>
      <c r="AC93" s="627">
        <f ca="1">IF(AND($D93="Serviço",AC$12&lt;&gt;0,$H93&gt;0,OR(AUTOEVENTO&lt;&gt;"manual",$M93&lt;&gt;1)),
IF(Import.TipoArredondamento&lt;&gt;"TransfereGOV",
ROUND(OFFSET($P93,0,AC$13),15-13*ORÇAMENTO!$AF$7)/$H93*OFFSET(ORÇAMENTO!$X$15,ROW(AC93)-ROW(AC$15),0),
ROUND(ROUND(OFFSET($P93,0,AC$13),15-13*ORÇAMENTO!$AF$7)*OFFSET(ORÇAMENTO!$W$15,ROW(AC93)-ROW(AC$15),0),15-13*ORÇAMENTO!$AF$11)),0)</f>
        <v>0</v>
      </c>
      <c r="AD93" s="627">
        <f ca="1">IF(AND($D93="Serviço",AD$12&lt;&gt;0,$H93&gt;0,OR(AUTOEVENTO&lt;&gt;"manual",$M93&lt;&gt;1)),
IF(Import.TipoArredondamento&lt;&gt;"TransfereGOV",
ROUND(OFFSET($P93,0,AD$13),15-13*ORÇAMENTO!$AF$7)/$H93*OFFSET(ORÇAMENTO!$X$15,ROW(AD93)-ROW(AD$15),0),
ROUND(ROUND(OFFSET($P93,0,AD$13),15-13*ORÇAMENTO!$AF$7)*OFFSET(ORÇAMENTO!$W$15,ROW(AD93)-ROW(AD$15),0),15-13*ORÇAMENTO!$AF$11)),0)</f>
        <v>0</v>
      </c>
      <c r="AE93" s="627">
        <f ca="1">IF(AND($D93="Serviço",AE$12&lt;&gt;0,$H93&gt;0,OR(AUTOEVENTO&lt;&gt;"manual",$M93&lt;&gt;1)),
IF(Import.TipoArredondamento&lt;&gt;"TransfereGOV",
ROUND(OFFSET($P93,0,AE$13),15-13*ORÇAMENTO!$AF$7)/$H93*OFFSET(ORÇAMENTO!$X$15,ROW(AE93)-ROW(AE$15),0),
ROUND(ROUND(OFFSET($P93,0,AE$13),15-13*ORÇAMENTO!$AF$7)*OFFSET(ORÇAMENTO!$W$15,ROW(AE93)-ROW(AE$15),0),15-13*ORÇAMENTO!$AF$11)),0)</f>
        <v>0</v>
      </c>
      <c r="AF93" s="627">
        <f ca="1">IF(AND($D93="Serviço",AF$12&lt;&gt;0,$H93&gt;0,OR(AUTOEVENTO&lt;&gt;"manual",$M93&lt;&gt;1)),
IF(Import.TipoArredondamento&lt;&gt;"TransfereGOV",
ROUND(OFFSET($P93,0,AF$13),15-13*ORÇAMENTO!$AF$7)/$H93*OFFSET(ORÇAMENTO!$X$15,ROW(AF93)-ROW(AF$15),0),
ROUND(ROUND(OFFSET($P93,0,AF$13),15-13*ORÇAMENTO!$AF$7)*OFFSET(ORÇAMENTO!$W$15,ROW(AF93)-ROW(AF$15),0),15-13*ORÇAMENTO!$AF$11)),0)</f>
        <v>0</v>
      </c>
      <c r="AG93" s="627">
        <f ca="1">IF(AND($D93="Serviço",AG$12&lt;&gt;0,$H93&gt;0,OR(AUTOEVENTO&lt;&gt;"manual",$M93&lt;&gt;1)),
IF(Import.TipoArredondamento&lt;&gt;"TransfereGOV",
ROUND(OFFSET($P93,0,AG$13),15-13*ORÇAMENTO!$AF$7)/$H93*OFFSET(ORÇAMENTO!$X$15,ROW(AG93)-ROW(AG$15),0),
ROUND(ROUND(OFFSET($P93,0,AG$13),15-13*ORÇAMENTO!$AF$7)*OFFSET(ORÇAMENTO!$W$15,ROW(AG93)-ROW(AG$15),0),15-13*ORÇAMENTO!$AF$11)),0)</f>
        <v>0</v>
      </c>
      <c r="AH93" s="627">
        <f ca="1">IF(AND($D93="Serviço",AH$12&lt;&gt;0,$H93&gt;0,OR(AUTOEVENTO&lt;&gt;"manual",$M93&lt;&gt;1)),
IF(Import.TipoArredondamento&lt;&gt;"TransfereGOV",
ROUND(OFFSET($P93,0,AH$13),15-13*ORÇAMENTO!$AF$7)/$H93*OFFSET(ORÇAMENTO!$X$15,ROW(AH93)-ROW(AH$15),0),
ROUND(ROUND(OFFSET($P93,0,AH$13),15-13*ORÇAMENTO!$AF$7)*OFFSET(ORÇAMENTO!$W$15,ROW(AH93)-ROW(AH$15),0),15-13*ORÇAMENTO!$AF$11)),0)</f>
        <v>0</v>
      </c>
      <c r="AI93" s="627">
        <f ca="1">IF(AND($D93="Serviço",AI$12&lt;&gt;0,$H93&gt;0,OR(AUTOEVENTO&lt;&gt;"manual",$M93&lt;&gt;1)),
IF(Import.TipoArredondamento&lt;&gt;"TransfereGOV",
ROUND(OFFSET($P93,0,AI$13),15-13*ORÇAMENTO!$AF$7)/$H93*OFFSET(ORÇAMENTO!$X$15,ROW(AI93)-ROW(AI$15),0),
ROUND(ROUND(OFFSET($P93,0,AI$13),15-13*ORÇAMENTO!$AF$7)*OFFSET(ORÇAMENTO!$W$15,ROW(AI93)-ROW(AI$15),0),15-13*ORÇAMENTO!$AF$11)),0)</f>
        <v>0</v>
      </c>
      <c r="AJ93" s="627">
        <f ca="1">IF(AND($D93="Serviço",AJ$12&lt;&gt;0,$H93&gt;0,OR(AUTOEVENTO&lt;&gt;"manual",$M93&lt;&gt;1)),
IF(Import.TipoArredondamento&lt;&gt;"TransfereGOV",
ROUND(OFFSET($P93,0,AJ$13),15-13*ORÇAMENTO!$AF$7)/$H93*OFFSET(ORÇAMENTO!$X$15,ROW(AJ93)-ROW(AJ$15),0),
ROUND(ROUND(OFFSET($P93,0,AJ$13),15-13*ORÇAMENTO!$AF$7)*OFFSET(ORÇAMENTO!$W$15,ROW(AJ93)-ROW(AJ$15),0),15-13*ORÇAMENTO!$AF$11)),0)</f>
        <v>0</v>
      </c>
      <c r="AK93" s="628">
        <f ca="1">IF(AND($D93="Serviço",AK$12&lt;&gt;0,$H93&gt;0,OR(AUTOEVENTO&lt;&gt;"manual",$M93&lt;&gt;1)),
IF(Import.TipoArredondamento&lt;&gt;"TransfereGOV",
ROUND(OFFSET($P93,0,AK$13),15-13*ORÇAMENTO!$AF$7)/$H93*OFFSET(ORÇAMENTO!$X$15,ROW(AK93)-ROW(AK$15),0),
ROUND(ROUND(OFFSET($P93,0,AK$13),15-13*ORÇAMENTO!$AF$7)*OFFSET(ORÇAMENTO!$W$15,ROW(AK93)-ROW(AK$15),0),15-13*ORÇAMENTO!$AF$11)),0)</f>
        <v>0</v>
      </c>
      <c r="AM93" s="211">
        <f ca="1">IF($D93&lt;&gt;"Serviço",0,IF(AND(AUTOEVENTO="Manual",$M93=1),0,IF(OFFSET(CRONOPLE!$F$14,$M93,AM$13)="",10^12,OFFSET(CRONOPLE!$F$14,$M93,AM$13))))</f>
        <v>2</v>
      </c>
      <c r="AN93" s="211">
        <f ca="1">IF($D93&lt;&gt;"Serviço",0,IF(AND(AUTOEVENTO="Manual",$M93=1),0,IF(OFFSET(CRONOPLE!$F$14,$M93,AN$13)="",10^12,OFFSET(CRONOPLE!$F$14,$M93,AN$13))))</f>
        <v>1</v>
      </c>
      <c r="AO93" s="211">
        <f ca="1">IF($D93&lt;&gt;"Serviço",0,IF(AND(AUTOEVENTO="Manual",$M93=1),0,IF(OFFSET(CRONOPLE!$F$14,$M93,AO$13)="",10^12,OFFSET(CRONOPLE!$F$14,$M93,AO$13))))</f>
        <v>2</v>
      </c>
      <c r="AP93" s="211">
        <f ca="1">IF($D93&lt;&gt;"Serviço",0,IF(AND(AUTOEVENTO="Manual",$M93=1),0,IF(OFFSET(CRONOPLE!$F$14,$M93,AP$13)="",10^12,OFFSET(CRONOPLE!$F$14,$M93,AP$13))))</f>
        <v>2</v>
      </c>
      <c r="AQ93" s="211">
        <f ca="1">IF($D93&lt;&gt;"Serviço",0,IF(AND(AUTOEVENTO="Manual",$M93=1),0,IF(OFFSET(CRONOPLE!$F$14,$M93,AQ$13)="",10^12,OFFSET(CRONOPLE!$F$14,$M93,AQ$13))))</f>
        <v>1000000000000</v>
      </c>
      <c r="AR93" s="211">
        <f ca="1">IF($D93&lt;&gt;"Serviço",0,IF(AND(AUTOEVENTO="Manual",$M93=1),0,IF(OFFSET(CRONOPLE!$F$14,$M93,AR$13)="",10^12,OFFSET(CRONOPLE!$F$14,$M93,AR$13))))</f>
        <v>1000000000000</v>
      </c>
      <c r="AS93" s="211">
        <f ca="1">IF($D93&lt;&gt;"Serviço",0,IF(AND(AUTOEVENTO="Manual",$M93=1),0,IF(OFFSET(CRONOPLE!$F$14,$M93,AS$13)="",10^12,OFFSET(CRONOPLE!$F$14,$M93,AS$13))))</f>
        <v>1000000000000</v>
      </c>
      <c r="AT93" s="211">
        <f ca="1">IF($D93&lt;&gt;"Serviço",0,IF(AND(AUTOEVENTO="Manual",$M93=1),0,IF(OFFSET(CRONOPLE!$F$14,$M93,AT$13)="",10^12,OFFSET(CRONOPLE!$F$14,$M93,AT$13))))</f>
        <v>1000000000000</v>
      </c>
      <c r="AU93" s="211">
        <f ca="1">IF($D93&lt;&gt;"Serviço",0,IF(AND(AUTOEVENTO="Manual",$M93=1),0,IF(OFFSET(CRONOPLE!$F$14,$M93,AU$13)="",10^12,OFFSET(CRONOPLE!$F$14,$M93,AU$13))))</f>
        <v>1000000000000</v>
      </c>
      <c r="AV93" s="211">
        <f ca="1">IF($D93&lt;&gt;"Serviço",0,IF(AND(AUTOEVENTO="Manual",$M93=1),0,IF(OFFSET(CRONOPLE!$F$14,$M93,AV$13)="",10^12,OFFSET(CRONOPLE!$F$14,$M93,AV$13))))</f>
        <v>1000000000000</v>
      </c>
      <c r="AX93" s="212">
        <f ca="1">IF($D93&lt;&gt;"Serviço",0,IF(OR(AND(AUTOEVENTO="Manual",$M93=1),$M93&gt;(ROW(PLE.lastrow)-ROW(PLE.firstrow))),0,IF(OFFSET(PLE!$G$14,$M93,AX$13)="",10^12,OFFSET(PLE!$G$14,$M93,AX$13))))</f>
        <v>1000000000000</v>
      </c>
      <c r="AY93" s="212">
        <f ca="1">IF($D93&lt;&gt;"Serviço",0,IF(OR(AND(AUTOEVENTO="Manual",$M93=1),$M93&gt;(ROW(PLE.lastrow)-ROW(PLE.firstrow))),0,IF(OFFSET(PLE!$G$14,$M93,AY$13)="",10^12,OFFSET(PLE!$G$14,$M93,AY$13))))</f>
        <v>1000000000000</v>
      </c>
      <c r="AZ93" s="212">
        <f ca="1">IF($D93&lt;&gt;"Serviço",0,IF(OR(AND(AUTOEVENTO="Manual",$M93=1),$M93&gt;(ROW(PLE.lastrow)-ROW(PLE.firstrow))),0,IF(OFFSET(PLE!$G$14,$M93,AZ$13)="",10^12,OFFSET(PLE!$G$14,$M93,AZ$13))))</f>
        <v>1000000000000</v>
      </c>
      <c r="BA93" s="212">
        <f ca="1">IF($D93&lt;&gt;"Serviço",0,IF(OR(AND(AUTOEVENTO="Manual",$M93=1),$M93&gt;(ROW(PLE.lastrow)-ROW(PLE.firstrow))),0,IF(OFFSET(PLE!$G$14,$M93,BA$13)="",10^12,OFFSET(PLE!$G$14,$M93,BA$13))))</f>
        <v>1000000000000</v>
      </c>
      <c r="BB93" s="212">
        <f ca="1">IF($D93&lt;&gt;"Serviço",0,IF(OR(AND(AUTOEVENTO="Manual",$M93=1),$M93&gt;(ROW(PLE.lastrow)-ROW(PLE.firstrow))),0,IF(OFFSET(PLE!$G$14,$M93,BB$13)="",10^12,OFFSET(PLE!$G$14,$M93,BB$13))))</f>
        <v>1000000000000</v>
      </c>
      <c r="BC93" s="212">
        <f ca="1">IF($D93&lt;&gt;"Serviço",0,IF(OR(AND(AUTOEVENTO="Manual",$M93=1),$M93&gt;(ROW(PLE.lastrow)-ROW(PLE.firstrow))),0,IF(OFFSET(PLE!$G$14,$M93,BC$13)="",10^12,OFFSET(PLE!$G$14,$M93,BC$13))))</f>
        <v>1000000000000</v>
      </c>
      <c r="BD93" s="212">
        <f ca="1">IF($D93&lt;&gt;"Serviço",0,IF(OR(AND(AUTOEVENTO="Manual",$M93=1),$M93&gt;(ROW(PLE.lastrow)-ROW(PLE.firstrow))),0,IF(OFFSET(PLE!$G$14,$M93,BD$13)="",10^12,OFFSET(PLE!$G$14,$M93,BD$13))))</f>
        <v>1000000000000</v>
      </c>
      <c r="BE93" s="212">
        <f ca="1">IF($D93&lt;&gt;"Serviço",0,IF(OR(AND(AUTOEVENTO="Manual",$M93=1),$M93&gt;(ROW(PLE.lastrow)-ROW(PLE.firstrow))),0,IF(OFFSET(PLE!$G$14,$M93,BE$13)="",10^12,OFFSET(PLE!$G$14,$M93,BE$13))))</f>
        <v>1000000000000</v>
      </c>
      <c r="BF93" s="212">
        <f ca="1">IF($D93&lt;&gt;"Serviço",0,IF(OR(AND(AUTOEVENTO="Manual",$M93=1),$M93&gt;(ROW(PLE.lastrow)-ROW(PLE.firstrow))),0,IF(OFFSET(PLE!$G$14,$M93,BF$13)="",10^12,OFFSET(PLE!$G$14,$M93,BF$13))))</f>
        <v>1000000000000</v>
      </c>
      <c r="BG93" s="212">
        <f ca="1">IF($D93&lt;&gt;"Serviço",0,IF(OR(AND(AUTOEVENTO="Manual",$M93=1),$M93&gt;(ROW(PLE.lastrow)-ROW(PLE.firstrow))),0,IF(OFFSET(PLE!$G$14,$M93,BG$13)="",10^12,OFFSET(PLE!$G$14,$M93,BG$13))))</f>
        <v>1000000000000</v>
      </c>
    </row>
    <row r="94" spans="1:59" ht="13.2">
      <c r="A94" s="9" t="str">
        <f t="shared" ca="1" si="10"/>
        <v>15</v>
      </c>
      <c r="B94" s="9" t="str">
        <f ca="1">OFFSET(ORÇAMENTO!C$15,ROW(B94)-ROW(B$15),0)</f>
        <v>S</v>
      </c>
      <c r="C94" s="9" t="str">
        <f ca="1">OFFSET(ORÇAMENTO!L$15,ROW(C94)-ROW(C$15),0)</f>
        <v/>
      </c>
      <c r="D94" s="141" t="str">
        <f ca="1">OFFSET(ORÇAMENTO!N$15,ROW(D94)-ROW(D$15),0)</f>
        <v>Serviço</v>
      </c>
      <c r="E94" s="201" t="str">
        <f ca="1">OFFSET(ORÇAMENTO!O$15,ROW(E94)-ROW(E$15),0)</f>
        <v>-</v>
      </c>
      <c r="F94" s="202" t="str">
        <f ca="1">OFFSET(ORÇAMENTO!R$15,ROW(F94)-ROW(F$15),0)</f>
        <v>(abra o arquivo 'Referência 11-2024.xlsm)</v>
      </c>
      <c r="G94" s="203" t="str">
        <f ca="1">IF($D94&lt;&gt;"Serviço","",OFFSET(ORÇAMENTO!S$15,ROW(G94)-ROW(G$15),0))</f>
        <v>-</v>
      </c>
      <c r="H94" s="147">
        <f ca="1">IF($D94&lt;&gt;"Serviço",0,IF(ACOMPANHAMENTO="BM",ROUND(OFFSET(ORÇAMENTO!AJ$15,ROW(H94)-ROW(H$15),0),15-13*ORÇAMENTO!$AF$7),SUMPRODUCT(($Q$12:$AA$12&lt;&gt;"")*ROUND($Q94:$AA94,15-13*ORÇAMENTO!$AF$7))))</f>
        <v>0</v>
      </c>
      <c r="I94" s="645"/>
      <c r="K94" s="204"/>
      <c r="L94" s="205" t="s">
        <v>255</v>
      </c>
      <c r="M94" s="206">
        <f ca="1">IF($D94&lt;&gt;"Serviço","",IF(AUTOEVENTO="manual",$A94,IF(ISERROR(MATCH($A94,$A$15:OFFSET($A94,-1,0),0)),MAX($M$15:OFFSET(M94,-1,0))+1,INDEX($M$15:OFFSET(M94,-1,0),MATCH($A94,$A$15:OFFSET($A94,-1,0),0)))))</f>
        <v>6</v>
      </c>
      <c r="N94" s="207" t="str">
        <f ca="1">IF($D94&lt;&gt;"Serviço","",IF(AUTOEVENTO="Manual",IF($A94=0,"&lt;-- defina o número do agrupador",OFFSET(EVENTOS!$D$14,$A94,0)),OFFSET($F$15,$A94,0)))</f>
        <v>DRENAGEM</v>
      </c>
      <c r="O94" s="208"/>
      <c r="Q94" s="208"/>
      <c r="R94" s="209"/>
      <c r="S94" s="209"/>
      <c r="T94" s="209"/>
      <c r="U94" s="209"/>
      <c r="V94" s="209"/>
      <c r="W94" s="209"/>
      <c r="X94" s="209"/>
      <c r="Y94" s="209"/>
      <c r="Z94" s="210"/>
      <c r="AB94" s="626">
        <f ca="1">IF(AND($D94="Serviço",AB$12&lt;&gt;0,$H94&gt;0,OR(AUTOEVENTO&lt;&gt;"manual",$M94&lt;&gt;1)),
IF(Import.TipoArredondamento&lt;&gt;"TransfereGOV",
ROUND(OFFSET($P94,0,AB$13),15-13*ORÇAMENTO!$AF$7)/$H94*OFFSET(ORÇAMENTO!$X$15,ROW(AB94)-ROW(AB$15),0),
ROUND(ROUND(OFFSET($P94,0,AB$13),15-13*ORÇAMENTO!$AF$7)*OFFSET(ORÇAMENTO!$W$15,ROW(AB94)-ROW(AB$15),0),15-13*ORÇAMENTO!$AF$11)),0)</f>
        <v>0</v>
      </c>
      <c r="AC94" s="627">
        <f ca="1">IF(AND($D94="Serviço",AC$12&lt;&gt;0,$H94&gt;0,OR(AUTOEVENTO&lt;&gt;"manual",$M94&lt;&gt;1)),
IF(Import.TipoArredondamento&lt;&gt;"TransfereGOV",
ROUND(OFFSET($P94,0,AC$13),15-13*ORÇAMENTO!$AF$7)/$H94*OFFSET(ORÇAMENTO!$X$15,ROW(AC94)-ROW(AC$15),0),
ROUND(ROUND(OFFSET($P94,0,AC$13),15-13*ORÇAMENTO!$AF$7)*OFFSET(ORÇAMENTO!$W$15,ROW(AC94)-ROW(AC$15),0),15-13*ORÇAMENTO!$AF$11)),0)</f>
        <v>0</v>
      </c>
      <c r="AD94" s="627">
        <f ca="1">IF(AND($D94="Serviço",AD$12&lt;&gt;0,$H94&gt;0,OR(AUTOEVENTO&lt;&gt;"manual",$M94&lt;&gt;1)),
IF(Import.TipoArredondamento&lt;&gt;"TransfereGOV",
ROUND(OFFSET($P94,0,AD$13),15-13*ORÇAMENTO!$AF$7)/$H94*OFFSET(ORÇAMENTO!$X$15,ROW(AD94)-ROW(AD$15),0),
ROUND(ROUND(OFFSET($P94,0,AD$13),15-13*ORÇAMENTO!$AF$7)*OFFSET(ORÇAMENTO!$W$15,ROW(AD94)-ROW(AD$15),0),15-13*ORÇAMENTO!$AF$11)),0)</f>
        <v>0</v>
      </c>
      <c r="AE94" s="627">
        <f ca="1">IF(AND($D94="Serviço",AE$12&lt;&gt;0,$H94&gt;0,OR(AUTOEVENTO&lt;&gt;"manual",$M94&lt;&gt;1)),
IF(Import.TipoArredondamento&lt;&gt;"TransfereGOV",
ROUND(OFFSET($P94,0,AE$13),15-13*ORÇAMENTO!$AF$7)/$H94*OFFSET(ORÇAMENTO!$X$15,ROW(AE94)-ROW(AE$15),0),
ROUND(ROUND(OFFSET($P94,0,AE$13),15-13*ORÇAMENTO!$AF$7)*OFFSET(ORÇAMENTO!$W$15,ROW(AE94)-ROW(AE$15),0),15-13*ORÇAMENTO!$AF$11)),0)</f>
        <v>0</v>
      </c>
      <c r="AF94" s="627">
        <f ca="1">IF(AND($D94="Serviço",AF$12&lt;&gt;0,$H94&gt;0,OR(AUTOEVENTO&lt;&gt;"manual",$M94&lt;&gt;1)),
IF(Import.TipoArredondamento&lt;&gt;"TransfereGOV",
ROUND(OFFSET($P94,0,AF$13),15-13*ORÇAMENTO!$AF$7)/$H94*OFFSET(ORÇAMENTO!$X$15,ROW(AF94)-ROW(AF$15),0),
ROUND(ROUND(OFFSET($P94,0,AF$13),15-13*ORÇAMENTO!$AF$7)*OFFSET(ORÇAMENTO!$W$15,ROW(AF94)-ROW(AF$15),0),15-13*ORÇAMENTO!$AF$11)),0)</f>
        <v>0</v>
      </c>
      <c r="AG94" s="627">
        <f ca="1">IF(AND($D94="Serviço",AG$12&lt;&gt;0,$H94&gt;0,OR(AUTOEVENTO&lt;&gt;"manual",$M94&lt;&gt;1)),
IF(Import.TipoArredondamento&lt;&gt;"TransfereGOV",
ROUND(OFFSET($P94,0,AG$13),15-13*ORÇAMENTO!$AF$7)/$H94*OFFSET(ORÇAMENTO!$X$15,ROW(AG94)-ROW(AG$15),0),
ROUND(ROUND(OFFSET($P94,0,AG$13),15-13*ORÇAMENTO!$AF$7)*OFFSET(ORÇAMENTO!$W$15,ROW(AG94)-ROW(AG$15),0),15-13*ORÇAMENTO!$AF$11)),0)</f>
        <v>0</v>
      </c>
      <c r="AH94" s="627">
        <f ca="1">IF(AND($D94="Serviço",AH$12&lt;&gt;0,$H94&gt;0,OR(AUTOEVENTO&lt;&gt;"manual",$M94&lt;&gt;1)),
IF(Import.TipoArredondamento&lt;&gt;"TransfereGOV",
ROUND(OFFSET($P94,0,AH$13),15-13*ORÇAMENTO!$AF$7)/$H94*OFFSET(ORÇAMENTO!$X$15,ROW(AH94)-ROW(AH$15),0),
ROUND(ROUND(OFFSET($P94,0,AH$13),15-13*ORÇAMENTO!$AF$7)*OFFSET(ORÇAMENTO!$W$15,ROW(AH94)-ROW(AH$15),0),15-13*ORÇAMENTO!$AF$11)),0)</f>
        <v>0</v>
      </c>
      <c r="AI94" s="627">
        <f ca="1">IF(AND($D94="Serviço",AI$12&lt;&gt;0,$H94&gt;0,OR(AUTOEVENTO&lt;&gt;"manual",$M94&lt;&gt;1)),
IF(Import.TipoArredondamento&lt;&gt;"TransfereGOV",
ROUND(OFFSET($P94,0,AI$13),15-13*ORÇAMENTO!$AF$7)/$H94*OFFSET(ORÇAMENTO!$X$15,ROW(AI94)-ROW(AI$15),0),
ROUND(ROUND(OFFSET($P94,0,AI$13),15-13*ORÇAMENTO!$AF$7)*OFFSET(ORÇAMENTO!$W$15,ROW(AI94)-ROW(AI$15),0),15-13*ORÇAMENTO!$AF$11)),0)</f>
        <v>0</v>
      </c>
      <c r="AJ94" s="627">
        <f ca="1">IF(AND($D94="Serviço",AJ$12&lt;&gt;0,$H94&gt;0,OR(AUTOEVENTO&lt;&gt;"manual",$M94&lt;&gt;1)),
IF(Import.TipoArredondamento&lt;&gt;"TransfereGOV",
ROUND(OFFSET($P94,0,AJ$13),15-13*ORÇAMENTO!$AF$7)/$H94*OFFSET(ORÇAMENTO!$X$15,ROW(AJ94)-ROW(AJ$15),0),
ROUND(ROUND(OFFSET($P94,0,AJ$13),15-13*ORÇAMENTO!$AF$7)*OFFSET(ORÇAMENTO!$W$15,ROW(AJ94)-ROW(AJ$15),0),15-13*ORÇAMENTO!$AF$11)),0)</f>
        <v>0</v>
      </c>
      <c r="AK94" s="628">
        <f ca="1">IF(AND($D94="Serviço",AK$12&lt;&gt;0,$H94&gt;0,OR(AUTOEVENTO&lt;&gt;"manual",$M94&lt;&gt;1)),
IF(Import.TipoArredondamento&lt;&gt;"TransfereGOV",
ROUND(OFFSET($P94,0,AK$13),15-13*ORÇAMENTO!$AF$7)/$H94*OFFSET(ORÇAMENTO!$X$15,ROW(AK94)-ROW(AK$15),0),
ROUND(ROUND(OFFSET($P94,0,AK$13),15-13*ORÇAMENTO!$AF$7)*OFFSET(ORÇAMENTO!$W$15,ROW(AK94)-ROW(AK$15),0),15-13*ORÇAMENTO!$AF$11)),0)</f>
        <v>0</v>
      </c>
      <c r="AM94" s="211">
        <f ca="1">IF($D94&lt;&gt;"Serviço",0,IF(AND(AUTOEVENTO="Manual",$M94=1),0,IF(OFFSET(CRONOPLE!$F$14,$M94,AM$13)="",10^12,OFFSET(CRONOPLE!$F$14,$M94,AM$13))))</f>
        <v>2</v>
      </c>
      <c r="AN94" s="211">
        <f ca="1">IF($D94&lt;&gt;"Serviço",0,IF(AND(AUTOEVENTO="Manual",$M94=1),0,IF(OFFSET(CRONOPLE!$F$14,$M94,AN$13)="",10^12,OFFSET(CRONOPLE!$F$14,$M94,AN$13))))</f>
        <v>1</v>
      </c>
      <c r="AO94" s="211">
        <f ca="1">IF($D94&lt;&gt;"Serviço",0,IF(AND(AUTOEVENTO="Manual",$M94=1),0,IF(OFFSET(CRONOPLE!$F$14,$M94,AO$13)="",10^12,OFFSET(CRONOPLE!$F$14,$M94,AO$13))))</f>
        <v>2</v>
      </c>
      <c r="AP94" s="211">
        <f ca="1">IF($D94&lt;&gt;"Serviço",0,IF(AND(AUTOEVENTO="Manual",$M94=1),0,IF(OFFSET(CRONOPLE!$F$14,$M94,AP$13)="",10^12,OFFSET(CRONOPLE!$F$14,$M94,AP$13))))</f>
        <v>2</v>
      </c>
      <c r="AQ94" s="211">
        <f ca="1">IF($D94&lt;&gt;"Serviço",0,IF(AND(AUTOEVENTO="Manual",$M94=1),0,IF(OFFSET(CRONOPLE!$F$14,$M94,AQ$13)="",10^12,OFFSET(CRONOPLE!$F$14,$M94,AQ$13))))</f>
        <v>1000000000000</v>
      </c>
      <c r="AR94" s="211">
        <f ca="1">IF($D94&lt;&gt;"Serviço",0,IF(AND(AUTOEVENTO="Manual",$M94=1),0,IF(OFFSET(CRONOPLE!$F$14,$M94,AR$13)="",10^12,OFFSET(CRONOPLE!$F$14,$M94,AR$13))))</f>
        <v>1000000000000</v>
      </c>
      <c r="AS94" s="211">
        <f ca="1">IF($D94&lt;&gt;"Serviço",0,IF(AND(AUTOEVENTO="Manual",$M94=1),0,IF(OFFSET(CRONOPLE!$F$14,$M94,AS$13)="",10^12,OFFSET(CRONOPLE!$F$14,$M94,AS$13))))</f>
        <v>1000000000000</v>
      </c>
      <c r="AT94" s="211">
        <f ca="1">IF($D94&lt;&gt;"Serviço",0,IF(AND(AUTOEVENTO="Manual",$M94=1),0,IF(OFFSET(CRONOPLE!$F$14,$M94,AT$13)="",10^12,OFFSET(CRONOPLE!$F$14,$M94,AT$13))))</f>
        <v>1000000000000</v>
      </c>
      <c r="AU94" s="211">
        <f ca="1">IF($D94&lt;&gt;"Serviço",0,IF(AND(AUTOEVENTO="Manual",$M94=1),0,IF(OFFSET(CRONOPLE!$F$14,$M94,AU$13)="",10^12,OFFSET(CRONOPLE!$F$14,$M94,AU$13))))</f>
        <v>1000000000000</v>
      </c>
      <c r="AV94" s="211">
        <f ca="1">IF($D94&lt;&gt;"Serviço",0,IF(AND(AUTOEVENTO="Manual",$M94=1),0,IF(OFFSET(CRONOPLE!$F$14,$M94,AV$13)="",10^12,OFFSET(CRONOPLE!$F$14,$M94,AV$13))))</f>
        <v>1000000000000</v>
      </c>
      <c r="AX94" s="212">
        <f ca="1">IF($D94&lt;&gt;"Serviço",0,IF(OR(AND(AUTOEVENTO="Manual",$M94=1),$M94&gt;(ROW(PLE.lastrow)-ROW(PLE.firstrow))),0,IF(OFFSET(PLE!$G$14,$M94,AX$13)="",10^12,OFFSET(PLE!$G$14,$M94,AX$13))))</f>
        <v>1000000000000</v>
      </c>
      <c r="AY94" s="212">
        <f ca="1">IF($D94&lt;&gt;"Serviço",0,IF(OR(AND(AUTOEVENTO="Manual",$M94=1),$M94&gt;(ROW(PLE.lastrow)-ROW(PLE.firstrow))),0,IF(OFFSET(PLE!$G$14,$M94,AY$13)="",10^12,OFFSET(PLE!$G$14,$M94,AY$13))))</f>
        <v>1000000000000</v>
      </c>
      <c r="AZ94" s="212">
        <f ca="1">IF($D94&lt;&gt;"Serviço",0,IF(OR(AND(AUTOEVENTO="Manual",$M94=1),$M94&gt;(ROW(PLE.lastrow)-ROW(PLE.firstrow))),0,IF(OFFSET(PLE!$G$14,$M94,AZ$13)="",10^12,OFFSET(PLE!$G$14,$M94,AZ$13))))</f>
        <v>1000000000000</v>
      </c>
      <c r="BA94" s="212">
        <f ca="1">IF($D94&lt;&gt;"Serviço",0,IF(OR(AND(AUTOEVENTO="Manual",$M94=1),$M94&gt;(ROW(PLE.lastrow)-ROW(PLE.firstrow))),0,IF(OFFSET(PLE!$G$14,$M94,BA$13)="",10^12,OFFSET(PLE!$G$14,$M94,BA$13))))</f>
        <v>1000000000000</v>
      </c>
      <c r="BB94" s="212">
        <f ca="1">IF($D94&lt;&gt;"Serviço",0,IF(OR(AND(AUTOEVENTO="Manual",$M94=1),$M94&gt;(ROW(PLE.lastrow)-ROW(PLE.firstrow))),0,IF(OFFSET(PLE!$G$14,$M94,BB$13)="",10^12,OFFSET(PLE!$G$14,$M94,BB$13))))</f>
        <v>1000000000000</v>
      </c>
      <c r="BC94" s="212">
        <f ca="1">IF($D94&lt;&gt;"Serviço",0,IF(OR(AND(AUTOEVENTO="Manual",$M94=1),$M94&gt;(ROW(PLE.lastrow)-ROW(PLE.firstrow))),0,IF(OFFSET(PLE!$G$14,$M94,BC$13)="",10^12,OFFSET(PLE!$G$14,$M94,BC$13))))</f>
        <v>1000000000000</v>
      </c>
      <c r="BD94" s="212">
        <f ca="1">IF($D94&lt;&gt;"Serviço",0,IF(OR(AND(AUTOEVENTO="Manual",$M94=1),$M94&gt;(ROW(PLE.lastrow)-ROW(PLE.firstrow))),0,IF(OFFSET(PLE!$G$14,$M94,BD$13)="",10^12,OFFSET(PLE!$G$14,$M94,BD$13))))</f>
        <v>1000000000000</v>
      </c>
      <c r="BE94" s="212">
        <f ca="1">IF($D94&lt;&gt;"Serviço",0,IF(OR(AND(AUTOEVENTO="Manual",$M94=1),$M94&gt;(ROW(PLE.lastrow)-ROW(PLE.firstrow))),0,IF(OFFSET(PLE!$G$14,$M94,BE$13)="",10^12,OFFSET(PLE!$G$14,$M94,BE$13))))</f>
        <v>1000000000000</v>
      </c>
      <c r="BF94" s="212">
        <f ca="1">IF($D94&lt;&gt;"Serviço",0,IF(OR(AND(AUTOEVENTO="Manual",$M94=1),$M94&gt;(ROW(PLE.lastrow)-ROW(PLE.firstrow))),0,IF(OFFSET(PLE!$G$14,$M94,BF$13)="",10^12,OFFSET(PLE!$G$14,$M94,BF$13))))</f>
        <v>1000000000000</v>
      </c>
      <c r="BG94" s="212">
        <f ca="1">IF($D94&lt;&gt;"Serviço",0,IF(OR(AND(AUTOEVENTO="Manual",$M94=1),$M94&gt;(ROW(PLE.lastrow)-ROW(PLE.firstrow))),0,IF(OFFSET(PLE!$G$14,$M94,BG$13)="",10^12,OFFSET(PLE!$G$14,$M94,BG$13))))</f>
        <v>1000000000000</v>
      </c>
    </row>
    <row r="95" spans="1:59" ht="13.2">
      <c r="A95" s="9" t="str">
        <f t="shared" ca="1" si="10"/>
        <v>15</v>
      </c>
      <c r="B95" s="9" t="str">
        <f ca="1">OFFSET(ORÇAMENTO!C$15,ROW(B95)-ROW(B$15),0)</f>
        <v>S</v>
      </c>
      <c r="C95" s="9" t="str">
        <f ca="1">OFFSET(ORÇAMENTO!L$15,ROW(C95)-ROW(C$15),0)</f>
        <v/>
      </c>
      <c r="D95" s="141" t="str">
        <f ca="1">OFFSET(ORÇAMENTO!N$15,ROW(D95)-ROW(D$15),0)</f>
        <v>Serviço</v>
      </c>
      <c r="E95" s="201" t="str">
        <f ca="1">OFFSET(ORÇAMENTO!O$15,ROW(E95)-ROW(E$15),0)</f>
        <v>-</v>
      </c>
      <c r="F95" s="202" t="str">
        <f ca="1">OFFSET(ORÇAMENTO!R$15,ROW(F95)-ROW(F$15),0)</f>
        <v>(abra o arquivo 'Referência 11-2024.xlsm)</v>
      </c>
      <c r="G95" s="203" t="str">
        <f ca="1">IF($D95&lt;&gt;"Serviço","",OFFSET(ORÇAMENTO!S$15,ROW(G95)-ROW(G$15),0))</f>
        <v>-</v>
      </c>
      <c r="H95" s="147">
        <f ca="1">IF($D95&lt;&gt;"Serviço",0,IF(ACOMPANHAMENTO="BM",ROUND(OFFSET(ORÇAMENTO!AJ$15,ROW(H95)-ROW(H$15),0),15-13*ORÇAMENTO!$AF$7),SUMPRODUCT(($Q$12:$AA$12&lt;&gt;"")*ROUND($Q95:$AA95,15-13*ORÇAMENTO!$AF$7))))</f>
        <v>0</v>
      </c>
      <c r="I95" s="645"/>
      <c r="K95" s="204"/>
      <c r="L95" s="205" t="s">
        <v>255</v>
      </c>
      <c r="M95" s="206">
        <f ca="1">IF($D95&lt;&gt;"Serviço","",IF(AUTOEVENTO="manual",$A95,IF(ISERROR(MATCH($A95,$A$15:OFFSET($A95,-1,0),0)),MAX($M$15:OFFSET(M95,-1,0))+1,INDEX($M$15:OFFSET(M95,-1,0),MATCH($A95,$A$15:OFFSET($A95,-1,0),0)))))</f>
        <v>6</v>
      </c>
      <c r="N95" s="207" t="str">
        <f ca="1">IF($D95&lt;&gt;"Serviço","",IF(AUTOEVENTO="Manual",IF($A95=0,"&lt;-- defina o número do agrupador",OFFSET(EVENTOS!$D$14,$A95,0)),OFFSET($F$15,$A95,0)))</f>
        <v>DRENAGEM</v>
      </c>
      <c r="O95" s="208"/>
      <c r="Q95" s="208"/>
      <c r="R95" s="209"/>
      <c r="S95" s="209"/>
      <c r="T95" s="209"/>
      <c r="U95" s="209"/>
      <c r="V95" s="209"/>
      <c r="W95" s="209"/>
      <c r="X95" s="209"/>
      <c r="Y95" s="209"/>
      <c r="Z95" s="210"/>
      <c r="AB95" s="626">
        <f ca="1">IF(AND($D95="Serviço",AB$12&lt;&gt;0,$H95&gt;0,OR(AUTOEVENTO&lt;&gt;"manual",$M95&lt;&gt;1)),
IF(Import.TipoArredondamento&lt;&gt;"TransfereGOV",
ROUND(OFFSET($P95,0,AB$13),15-13*ORÇAMENTO!$AF$7)/$H95*OFFSET(ORÇAMENTO!$X$15,ROW(AB95)-ROW(AB$15),0),
ROUND(ROUND(OFFSET($P95,0,AB$13),15-13*ORÇAMENTO!$AF$7)*OFFSET(ORÇAMENTO!$W$15,ROW(AB95)-ROW(AB$15),0),15-13*ORÇAMENTO!$AF$11)),0)</f>
        <v>0</v>
      </c>
      <c r="AC95" s="627">
        <f ca="1">IF(AND($D95="Serviço",AC$12&lt;&gt;0,$H95&gt;0,OR(AUTOEVENTO&lt;&gt;"manual",$M95&lt;&gt;1)),
IF(Import.TipoArredondamento&lt;&gt;"TransfereGOV",
ROUND(OFFSET($P95,0,AC$13),15-13*ORÇAMENTO!$AF$7)/$H95*OFFSET(ORÇAMENTO!$X$15,ROW(AC95)-ROW(AC$15),0),
ROUND(ROUND(OFFSET($P95,0,AC$13),15-13*ORÇAMENTO!$AF$7)*OFFSET(ORÇAMENTO!$W$15,ROW(AC95)-ROW(AC$15),0),15-13*ORÇAMENTO!$AF$11)),0)</f>
        <v>0</v>
      </c>
      <c r="AD95" s="627">
        <f ca="1">IF(AND($D95="Serviço",AD$12&lt;&gt;0,$H95&gt;0,OR(AUTOEVENTO&lt;&gt;"manual",$M95&lt;&gt;1)),
IF(Import.TipoArredondamento&lt;&gt;"TransfereGOV",
ROUND(OFFSET($P95,0,AD$13),15-13*ORÇAMENTO!$AF$7)/$H95*OFFSET(ORÇAMENTO!$X$15,ROW(AD95)-ROW(AD$15),0),
ROUND(ROUND(OFFSET($P95,0,AD$13),15-13*ORÇAMENTO!$AF$7)*OFFSET(ORÇAMENTO!$W$15,ROW(AD95)-ROW(AD$15),0),15-13*ORÇAMENTO!$AF$11)),0)</f>
        <v>0</v>
      </c>
      <c r="AE95" s="627">
        <f ca="1">IF(AND($D95="Serviço",AE$12&lt;&gt;0,$H95&gt;0,OR(AUTOEVENTO&lt;&gt;"manual",$M95&lt;&gt;1)),
IF(Import.TipoArredondamento&lt;&gt;"TransfereGOV",
ROUND(OFFSET($P95,0,AE$13),15-13*ORÇAMENTO!$AF$7)/$H95*OFFSET(ORÇAMENTO!$X$15,ROW(AE95)-ROW(AE$15),0),
ROUND(ROUND(OFFSET($P95,0,AE$13),15-13*ORÇAMENTO!$AF$7)*OFFSET(ORÇAMENTO!$W$15,ROW(AE95)-ROW(AE$15),0),15-13*ORÇAMENTO!$AF$11)),0)</f>
        <v>0</v>
      </c>
      <c r="AF95" s="627">
        <f ca="1">IF(AND($D95="Serviço",AF$12&lt;&gt;0,$H95&gt;0,OR(AUTOEVENTO&lt;&gt;"manual",$M95&lt;&gt;1)),
IF(Import.TipoArredondamento&lt;&gt;"TransfereGOV",
ROUND(OFFSET($P95,0,AF$13),15-13*ORÇAMENTO!$AF$7)/$H95*OFFSET(ORÇAMENTO!$X$15,ROW(AF95)-ROW(AF$15),0),
ROUND(ROUND(OFFSET($P95,0,AF$13),15-13*ORÇAMENTO!$AF$7)*OFFSET(ORÇAMENTO!$W$15,ROW(AF95)-ROW(AF$15),0),15-13*ORÇAMENTO!$AF$11)),0)</f>
        <v>0</v>
      </c>
      <c r="AG95" s="627">
        <f ca="1">IF(AND($D95="Serviço",AG$12&lt;&gt;0,$H95&gt;0,OR(AUTOEVENTO&lt;&gt;"manual",$M95&lt;&gt;1)),
IF(Import.TipoArredondamento&lt;&gt;"TransfereGOV",
ROUND(OFFSET($P95,0,AG$13),15-13*ORÇAMENTO!$AF$7)/$H95*OFFSET(ORÇAMENTO!$X$15,ROW(AG95)-ROW(AG$15),0),
ROUND(ROUND(OFFSET($P95,0,AG$13),15-13*ORÇAMENTO!$AF$7)*OFFSET(ORÇAMENTO!$W$15,ROW(AG95)-ROW(AG$15),0),15-13*ORÇAMENTO!$AF$11)),0)</f>
        <v>0</v>
      </c>
      <c r="AH95" s="627">
        <f ca="1">IF(AND($D95="Serviço",AH$12&lt;&gt;0,$H95&gt;0,OR(AUTOEVENTO&lt;&gt;"manual",$M95&lt;&gt;1)),
IF(Import.TipoArredondamento&lt;&gt;"TransfereGOV",
ROUND(OFFSET($P95,0,AH$13),15-13*ORÇAMENTO!$AF$7)/$H95*OFFSET(ORÇAMENTO!$X$15,ROW(AH95)-ROW(AH$15),0),
ROUND(ROUND(OFFSET($P95,0,AH$13),15-13*ORÇAMENTO!$AF$7)*OFFSET(ORÇAMENTO!$W$15,ROW(AH95)-ROW(AH$15),0),15-13*ORÇAMENTO!$AF$11)),0)</f>
        <v>0</v>
      </c>
      <c r="AI95" s="627">
        <f ca="1">IF(AND($D95="Serviço",AI$12&lt;&gt;0,$H95&gt;0,OR(AUTOEVENTO&lt;&gt;"manual",$M95&lt;&gt;1)),
IF(Import.TipoArredondamento&lt;&gt;"TransfereGOV",
ROUND(OFFSET($P95,0,AI$13),15-13*ORÇAMENTO!$AF$7)/$H95*OFFSET(ORÇAMENTO!$X$15,ROW(AI95)-ROW(AI$15),0),
ROUND(ROUND(OFFSET($P95,0,AI$13),15-13*ORÇAMENTO!$AF$7)*OFFSET(ORÇAMENTO!$W$15,ROW(AI95)-ROW(AI$15),0),15-13*ORÇAMENTO!$AF$11)),0)</f>
        <v>0</v>
      </c>
      <c r="AJ95" s="627">
        <f ca="1">IF(AND($D95="Serviço",AJ$12&lt;&gt;0,$H95&gt;0,OR(AUTOEVENTO&lt;&gt;"manual",$M95&lt;&gt;1)),
IF(Import.TipoArredondamento&lt;&gt;"TransfereGOV",
ROUND(OFFSET($P95,0,AJ$13),15-13*ORÇAMENTO!$AF$7)/$H95*OFFSET(ORÇAMENTO!$X$15,ROW(AJ95)-ROW(AJ$15),0),
ROUND(ROUND(OFFSET($P95,0,AJ$13),15-13*ORÇAMENTO!$AF$7)*OFFSET(ORÇAMENTO!$W$15,ROW(AJ95)-ROW(AJ$15),0),15-13*ORÇAMENTO!$AF$11)),0)</f>
        <v>0</v>
      </c>
      <c r="AK95" s="628">
        <f ca="1">IF(AND($D95="Serviço",AK$12&lt;&gt;0,$H95&gt;0,OR(AUTOEVENTO&lt;&gt;"manual",$M95&lt;&gt;1)),
IF(Import.TipoArredondamento&lt;&gt;"TransfereGOV",
ROUND(OFFSET($P95,0,AK$13),15-13*ORÇAMENTO!$AF$7)/$H95*OFFSET(ORÇAMENTO!$X$15,ROW(AK95)-ROW(AK$15),0),
ROUND(ROUND(OFFSET($P95,0,AK$13),15-13*ORÇAMENTO!$AF$7)*OFFSET(ORÇAMENTO!$W$15,ROW(AK95)-ROW(AK$15),0),15-13*ORÇAMENTO!$AF$11)),0)</f>
        <v>0</v>
      </c>
      <c r="AM95" s="211">
        <f ca="1">IF($D95&lt;&gt;"Serviço",0,IF(AND(AUTOEVENTO="Manual",$M95=1),0,IF(OFFSET(CRONOPLE!$F$14,$M95,AM$13)="",10^12,OFFSET(CRONOPLE!$F$14,$M95,AM$13))))</f>
        <v>2</v>
      </c>
      <c r="AN95" s="211">
        <f ca="1">IF($D95&lt;&gt;"Serviço",0,IF(AND(AUTOEVENTO="Manual",$M95=1),0,IF(OFFSET(CRONOPLE!$F$14,$M95,AN$13)="",10^12,OFFSET(CRONOPLE!$F$14,$M95,AN$13))))</f>
        <v>1</v>
      </c>
      <c r="AO95" s="211">
        <f ca="1">IF($D95&lt;&gt;"Serviço",0,IF(AND(AUTOEVENTO="Manual",$M95=1),0,IF(OFFSET(CRONOPLE!$F$14,$M95,AO$13)="",10^12,OFFSET(CRONOPLE!$F$14,$M95,AO$13))))</f>
        <v>2</v>
      </c>
      <c r="AP95" s="211">
        <f ca="1">IF($D95&lt;&gt;"Serviço",0,IF(AND(AUTOEVENTO="Manual",$M95=1),0,IF(OFFSET(CRONOPLE!$F$14,$M95,AP$13)="",10^12,OFFSET(CRONOPLE!$F$14,$M95,AP$13))))</f>
        <v>2</v>
      </c>
      <c r="AQ95" s="211">
        <f ca="1">IF($D95&lt;&gt;"Serviço",0,IF(AND(AUTOEVENTO="Manual",$M95=1),0,IF(OFFSET(CRONOPLE!$F$14,$M95,AQ$13)="",10^12,OFFSET(CRONOPLE!$F$14,$M95,AQ$13))))</f>
        <v>1000000000000</v>
      </c>
      <c r="AR95" s="211">
        <f ca="1">IF($D95&lt;&gt;"Serviço",0,IF(AND(AUTOEVENTO="Manual",$M95=1),0,IF(OFFSET(CRONOPLE!$F$14,$M95,AR$13)="",10^12,OFFSET(CRONOPLE!$F$14,$M95,AR$13))))</f>
        <v>1000000000000</v>
      </c>
      <c r="AS95" s="211">
        <f ca="1">IF($D95&lt;&gt;"Serviço",0,IF(AND(AUTOEVENTO="Manual",$M95=1),0,IF(OFFSET(CRONOPLE!$F$14,$M95,AS$13)="",10^12,OFFSET(CRONOPLE!$F$14,$M95,AS$13))))</f>
        <v>1000000000000</v>
      </c>
      <c r="AT95" s="211">
        <f ca="1">IF($D95&lt;&gt;"Serviço",0,IF(AND(AUTOEVENTO="Manual",$M95=1),0,IF(OFFSET(CRONOPLE!$F$14,$M95,AT$13)="",10^12,OFFSET(CRONOPLE!$F$14,$M95,AT$13))))</f>
        <v>1000000000000</v>
      </c>
      <c r="AU95" s="211">
        <f ca="1">IF($D95&lt;&gt;"Serviço",0,IF(AND(AUTOEVENTO="Manual",$M95=1),0,IF(OFFSET(CRONOPLE!$F$14,$M95,AU$13)="",10^12,OFFSET(CRONOPLE!$F$14,$M95,AU$13))))</f>
        <v>1000000000000</v>
      </c>
      <c r="AV95" s="211">
        <f ca="1">IF($D95&lt;&gt;"Serviço",0,IF(AND(AUTOEVENTO="Manual",$M95=1),0,IF(OFFSET(CRONOPLE!$F$14,$M95,AV$13)="",10^12,OFFSET(CRONOPLE!$F$14,$M95,AV$13))))</f>
        <v>1000000000000</v>
      </c>
      <c r="AX95" s="212">
        <f ca="1">IF($D95&lt;&gt;"Serviço",0,IF(OR(AND(AUTOEVENTO="Manual",$M95=1),$M95&gt;(ROW(PLE.lastrow)-ROW(PLE.firstrow))),0,IF(OFFSET(PLE!$G$14,$M95,AX$13)="",10^12,OFFSET(PLE!$G$14,$M95,AX$13))))</f>
        <v>1000000000000</v>
      </c>
      <c r="AY95" s="212">
        <f ca="1">IF($D95&lt;&gt;"Serviço",0,IF(OR(AND(AUTOEVENTO="Manual",$M95=1),$M95&gt;(ROW(PLE.lastrow)-ROW(PLE.firstrow))),0,IF(OFFSET(PLE!$G$14,$M95,AY$13)="",10^12,OFFSET(PLE!$G$14,$M95,AY$13))))</f>
        <v>1000000000000</v>
      </c>
      <c r="AZ95" s="212">
        <f ca="1">IF($D95&lt;&gt;"Serviço",0,IF(OR(AND(AUTOEVENTO="Manual",$M95=1),$M95&gt;(ROW(PLE.lastrow)-ROW(PLE.firstrow))),0,IF(OFFSET(PLE!$G$14,$M95,AZ$13)="",10^12,OFFSET(PLE!$G$14,$M95,AZ$13))))</f>
        <v>1000000000000</v>
      </c>
      <c r="BA95" s="212">
        <f ca="1">IF($D95&lt;&gt;"Serviço",0,IF(OR(AND(AUTOEVENTO="Manual",$M95=1),$M95&gt;(ROW(PLE.lastrow)-ROW(PLE.firstrow))),0,IF(OFFSET(PLE!$G$14,$M95,BA$13)="",10^12,OFFSET(PLE!$G$14,$M95,BA$13))))</f>
        <v>1000000000000</v>
      </c>
      <c r="BB95" s="212">
        <f ca="1">IF($D95&lt;&gt;"Serviço",0,IF(OR(AND(AUTOEVENTO="Manual",$M95=1),$M95&gt;(ROW(PLE.lastrow)-ROW(PLE.firstrow))),0,IF(OFFSET(PLE!$G$14,$M95,BB$13)="",10^12,OFFSET(PLE!$G$14,$M95,BB$13))))</f>
        <v>1000000000000</v>
      </c>
      <c r="BC95" s="212">
        <f ca="1">IF($D95&lt;&gt;"Serviço",0,IF(OR(AND(AUTOEVENTO="Manual",$M95=1),$M95&gt;(ROW(PLE.lastrow)-ROW(PLE.firstrow))),0,IF(OFFSET(PLE!$G$14,$M95,BC$13)="",10^12,OFFSET(PLE!$G$14,$M95,BC$13))))</f>
        <v>1000000000000</v>
      </c>
      <c r="BD95" s="212">
        <f ca="1">IF($D95&lt;&gt;"Serviço",0,IF(OR(AND(AUTOEVENTO="Manual",$M95=1),$M95&gt;(ROW(PLE.lastrow)-ROW(PLE.firstrow))),0,IF(OFFSET(PLE!$G$14,$M95,BD$13)="",10^12,OFFSET(PLE!$G$14,$M95,BD$13))))</f>
        <v>1000000000000</v>
      </c>
      <c r="BE95" s="212">
        <f ca="1">IF($D95&lt;&gt;"Serviço",0,IF(OR(AND(AUTOEVENTO="Manual",$M95=1),$M95&gt;(ROW(PLE.lastrow)-ROW(PLE.firstrow))),0,IF(OFFSET(PLE!$G$14,$M95,BE$13)="",10^12,OFFSET(PLE!$G$14,$M95,BE$13))))</f>
        <v>1000000000000</v>
      </c>
      <c r="BF95" s="212">
        <f ca="1">IF($D95&lt;&gt;"Serviço",0,IF(OR(AND(AUTOEVENTO="Manual",$M95=1),$M95&gt;(ROW(PLE.lastrow)-ROW(PLE.firstrow))),0,IF(OFFSET(PLE!$G$14,$M95,BF$13)="",10^12,OFFSET(PLE!$G$14,$M95,BF$13))))</f>
        <v>1000000000000</v>
      </c>
      <c r="BG95" s="212">
        <f ca="1">IF($D95&lt;&gt;"Serviço",0,IF(OR(AND(AUTOEVENTO="Manual",$M95=1),$M95&gt;(ROW(PLE.lastrow)-ROW(PLE.firstrow))),0,IF(OFFSET(PLE!$G$14,$M95,BG$13)="",10^12,OFFSET(PLE!$G$14,$M95,BG$13))))</f>
        <v>1000000000000</v>
      </c>
    </row>
    <row r="96" spans="1:59" ht="13.2">
      <c r="A96" s="9" t="str">
        <f t="shared" ca="1" si="10"/>
        <v>15</v>
      </c>
      <c r="B96" s="9" t="str">
        <f ca="1">OFFSET(ORÇAMENTO!C$15,ROW(B96)-ROW(B$15),0)</f>
        <v>S</v>
      </c>
      <c r="C96" s="9" t="str">
        <f ca="1">OFFSET(ORÇAMENTO!L$15,ROW(C96)-ROW(C$15),0)</f>
        <v/>
      </c>
      <c r="D96" s="141" t="str">
        <f ca="1">OFFSET(ORÇAMENTO!N$15,ROW(D96)-ROW(D$15),0)</f>
        <v>Serviço</v>
      </c>
      <c r="E96" s="201" t="str">
        <f ca="1">OFFSET(ORÇAMENTO!O$15,ROW(E96)-ROW(E$15),0)</f>
        <v>-</v>
      </c>
      <c r="F96" s="202" t="str">
        <f ca="1">OFFSET(ORÇAMENTO!R$15,ROW(F96)-ROW(F$15),0)</f>
        <v>(abra o arquivo 'Referência 11-2024.xlsm)</v>
      </c>
      <c r="G96" s="203" t="str">
        <f ca="1">IF($D96&lt;&gt;"Serviço","",OFFSET(ORÇAMENTO!S$15,ROW(G96)-ROW(G$15),0))</f>
        <v>-</v>
      </c>
      <c r="H96" s="147">
        <f ca="1">IF($D96&lt;&gt;"Serviço",0,IF(ACOMPANHAMENTO="BM",ROUND(OFFSET(ORÇAMENTO!AJ$15,ROW(H96)-ROW(H$15),0),15-13*ORÇAMENTO!$AF$7),SUMPRODUCT(($Q$12:$AA$12&lt;&gt;"")*ROUND($Q96:$AA96,15-13*ORÇAMENTO!$AF$7))))</f>
        <v>0</v>
      </c>
      <c r="I96" s="645"/>
      <c r="K96" s="204"/>
      <c r="L96" s="205" t="s">
        <v>255</v>
      </c>
      <c r="M96" s="206">
        <f ca="1">IF($D96&lt;&gt;"Serviço","",IF(AUTOEVENTO="manual",$A96,IF(ISERROR(MATCH($A96,$A$15:OFFSET($A96,-1,0),0)),MAX($M$15:OFFSET(M96,-1,0))+1,INDEX($M$15:OFFSET(M96,-1,0),MATCH($A96,$A$15:OFFSET($A96,-1,0),0)))))</f>
        <v>6</v>
      </c>
      <c r="N96" s="207" t="str">
        <f ca="1">IF($D96&lt;&gt;"Serviço","",IF(AUTOEVENTO="Manual",IF($A96=0,"&lt;-- defina o número do agrupador",OFFSET(EVENTOS!$D$14,$A96,0)),OFFSET($F$15,$A96,0)))</f>
        <v>DRENAGEM</v>
      </c>
      <c r="O96" s="208"/>
      <c r="Q96" s="208"/>
      <c r="R96" s="209"/>
      <c r="S96" s="209"/>
      <c r="T96" s="209"/>
      <c r="U96" s="209"/>
      <c r="V96" s="209"/>
      <c r="W96" s="209"/>
      <c r="X96" s="209"/>
      <c r="Y96" s="209"/>
      <c r="Z96" s="210"/>
      <c r="AB96" s="626">
        <f ca="1">IF(AND($D96="Serviço",AB$12&lt;&gt;0,$H96&gt;0,OR(AUTOEVENTO&lt;&gt;"manual",$M96&lt;&gt;1)),
IF(Import.TipoArredondamento&lt;&gt;"TransfereGOV",
ROUND(OFFSET($P96,0,AB$13),15-13*ORÇAMENTO!$AF$7)/$H96*OFFSET(ORÇAMENTO!$X$15,ROW(AB96)-ROW(AB$15),0),
ROUND(ROUND(OFFSET($P96,0,AB$13),15-13*ORÇAMENTO!$AF$7)*OFFSET(ORÇAMENTO!$W$15,ROW(AB96)-ROW(AB$15),0),15-13*ORÇAMENTO!$AF$11)),0)</f>
        <v>0</v>
      </c>
      <c r="AC96" s="627">
        <f ca="1">IF(AND($D96="Serviço",AC$12&lt;&gt;0,$H96&gt;0,OR(AUTOEVENTO&lt;&gt;"manual",$M96&lt;&gt;1)),
IF(Import.TipoArredondamento&lt;&gt;"TransfereGOV",
ROUND(OFFSET($P96,0,AC$13),15-13*ORÇAMENTO!$AF$7)/$H96*OFFSET(ORÇAMENTO!$X$15,ROW(AC96)-ROW(AC$15),0),
ROUND(ROUND(OFFSET($P96,0,AC$13),15-13*ORÇAMENTO!$AF$7)*OFFSET(ORÇAMENTO!$W$15,ROW(AC96)-ROW(AC$15),0),15-13*ORÇAMENTO!$AF$11)),0)</f>
        <v>0</v>
      </c>
      <c r="AD96" s="627">
        <f ca="1">IF(AND($D96="Serviço",AD$12&lt;&gt;0,$H96&gt;0,OR(AUTOEVENTO&lt;&gt;"manual",$M96&lt;&gt;1)),
IF(Import.TipoArredondamento&lt;&gt;"TransfereGOV",
ROUND(OFFSET($P96,0,AD$13),15-13*ORÇAMENTO!$AF$7)/$H96*OFFSET(ORÇAMENTO!$X$15,ROW(AD96)-ROW(AD$15),0),
ROUND(ROUND(OFFSET($P96,0,AD$13),15-13*ORÇAMENTO!$AF$7)*OFFSET(ORÇAMENTO!$W$15,ROW(AD96)-ROW(AD$15),0),15-13*ORÇAMENTO!$AF$11)),0)</f>
        <v>0</v>
      </c>
      <c r="AE96" s="627">
        <f ca="1">IF(AND($D96="Serviço",AE$12&lt;&gt;0,$H96&gt;0,OR(AUTOEVENTO&lt;&gt;"manual",$M96&lt;&gt;1)),
IF(Import.TipoArredondamento&lt;&gt;"TransfereGOV",
ROUND(OFFSET($P96,0,AE$13),15-13*ORÇAMENTO!$AF$7)/$H96*OFFSET(ORÇAMENTO!$X$15,ROW(AE96)-ROW(AE$15),0),
ROUND(ROUND(OFFSET($P96,0,AE$13),15-13*ORÇAMENTO!$AF$7)*OFFSET(ORÇAMENTO!$W$15,ROW(AE96)-ROW(AE$15),0),15-13*ORÇAMENTO!$AF$11)),0)</f>
        <v>0</v>
      </c>
      <c r="AF96" s="627">
        <f ca="1">IF(AND($D96="Serviço",AF$12&lt;&gt;0,$H96&gt;0,OR(AUTOEVENTO&lt;&gt;"manual",$M96&lt;&gt;1)),
IF(Import.TipoArredondamento&lt;&gt;"TransfereGOV",
ROUND(OFFSET($P96,0,AF$13),15-13*ORÇAMENTO!$AF$7)/$H96*OFFSET(ORÇAMENTO!$X$15,ROW(AF96)-ROW(AF$15),0),
ROUND(ROUND(OFFSET($P96,0,AF$13),15-13*ORÇAMENTO!$AF$7)*OFFSET(ORÇAMENTO!$W$15,ROW(AF96)-ROW(AF$15),0),15-13*ORÇAMENTO!$AF$11)),0)</f>
        <v>0</v>
      </c>
      <c r="AG96" s="627">
        <f ca="1">IF(AND($D96="Serviço",AG$12&lt;&gt;0,$H96&gt;0,OR(AUTOEVENTO&lt;&gt;"manual",$M96&lt;&gt;1)),
IF(Import.TipoArredondamento&lt;&gt;"TransfereGOV",
ROUND(OFFSET($P96,0,AG$13),15-13*ORÇAMENTO!$AF$7)/$H96*OFFSET(ORÇAMENTO!$X$15,ROW(AG96)-ROW(AG$15),0),
ROUND(ROUND(OFFSET($P96,0,AG$13),15-13*ORÇAMENTO!$AF$7)*OFFSET(ORÇAMENTO!$W$15,ROW(AG96)-ROW(AG$15),0),15-13*ORÇAMENTO!$AF$11)),0)</f>
        <v>0</v>
      </c>
      <c r="AH96" s="627">
        <f ca="1">IF(AND($D96="Serviço",AH$12&lt;&gt;0,$H96&gt;0,OR(AUTOEVENTO&lt;&gt;"manual",$M96&lt;&gt;1)),
IF(Import.TipoArredondamento&lt;&gt;"TransfereGOV",
ROUND(OFFSET($P96,0,AH$13),15-13*ORÇAMENTO!$AF$7)/$H96*OFFSET(ORÇAMENTO!$X$15,ROW(AH96)-ROW(AH$15),0),
ROUND(ROUND(OFFSET($P96,0,AH$13),15-13*ORÇAMENTO!$AF$7)*OFFSET(ORÇAMENTO!$W$15,ROW(AH96)-ROW(AH$15),0),15-13*ORÇAMENTO!$AF$11)),0)</f>
        <v>0</v>
      </c>
      <c r="AI96" s="627">
        <f ca="1">IF(AND($D96="Serviço",AI$12&lt;&gt;0,$H96&gt;0,OR(AUTOEVENTO&lt;&gt;"manual",$M96&lt;&gt;1)),
IF(Import.TipoArredondamento&lt;&gt;"TransfereGOV",
ROUND(OFFSET($P96,0,AI$13),15-13*ORÇAMENTO!$AF$7)/$H96*OFFSET(ORÇAMENTO!$X$15,ROW(AI96)-ROW(AI$15),0),
ROUND(ROUND(OFFSET($P96,0,AI$13),15-13*ORÇAMENTO!$AF$7)*OFFSET(ORÇAMENTO!$W$15,ROW(AI96)-ROW(AI$15),0),15-13*ORÇAMENTO!$AF$11)),0)</f>
        <v>0</v>
      </c>
      <c r="AJ96" s="627">
        <f ca="1">IF(AND($D96="Serviço",AJ$12&lt;&gt;0,$H96&gt;0,OR(AUTOEVENTO&lt;&gt;"manual",$M96&lt;&gt;1)),
IF(Import.TipoArredondamento&lt;&gt;"TransfereGOV",
ROUND(OFFSET($P96,0,AJ$13),15-13*ORÇAMENTO!$AF$7)/$H96*OFFSET(ORÇAMENTO!$X$15,ROW(AJ96)-ROW(AJ$15),0),
ROUND(ROUND(OFFSET($P96,0,AJ$13),15-13*ORÇAMENTO!$AF$7)*OFFSET(ORÇAMENTO!$W$15,ROW(AJ96)-ROW(AJ$15),0),15-13*ORÇAMENTO!$AF$11)),0)</f>
        <v>0</v>
      </c>
      <c r="AK96" s="628">
        <f ca="1">IF(AND($D96="Serviço",AK$12&lt;&gt;0,$H96&gt;0,OR(AUTOEVENTO&lt;&gt;"manual",$M96&lt;&gt;1)),
IF(Import.TipoArredondamento&lt;&gt;"TransfereGOV",
ROUND(OFFSET($P96,0,AK$13),15-13*ORÇAMENTO!$AF$7)/$H96*OFFSET(ORÇAMENTO!$X$15,ROW(AK96)-ROW(AK$15),0),
ROUND(ROUND(OFFSET($P96,0,AK$13),15-13*ORÇAMENTO!$AF$7)*OFFSET(ORÇAMENTO!$W$15,ROW(AK96)-ROW(AK$15),0),15-13*ORÇAMENTO!$AF$11)),0)</f>
        <v>0</v>
      </c>
      <c r="AM96" s="211">
        <f ca="1">IF($D96&lt;&gt;"Serviço",0,IF(AND(AUTOEVENTO="Manual",$M96=1),0,IF(OFFSET(CRONOPLE!$F$14,$M96,AM$13)="",10^12,OFFSET(CRONOPLE!$F$14,$M96,AM$13))))</f>
        <v>2</v>
      </c>
      <c r="AN96" s="211">
        <f ca="1">IF($D96&lt;&gt;"Serviço",0,IF(AND(AUTOEVENTO="Manual",$M96=1),0,IF(OFFSET(CRONOPLE!$F$14,$M96,AN$13)="",10^12,OFFSET(CRONOPLE!$F$14,$M96,AN$13))))</f>
        <v>1</v>
      </c>
      <c r="AO96" s="211">
        <f ca="1">IF($D96&lt;&gt;"Serviço",0,IF(AND(AUTOEVENTO="Manual",$M96=1),0,IF(OFFSET(CRONOPLE!$F$14,$M96,AO$13)="",10^12,OFFSET(CRONOPLE!$F$14,$M96,AO$13))))</f>
        <v>2</v>
      </c>
      <c r="AP96" s="211">
        <f ca="1">IF($D96&lt;&gt;"Serviço",0,IF(AND(AUTOEVENTO="Manual",$M96=1),0,IF(OFFSET(CRONOPLE!$F$14,$M96,AP$13)="",10^12,OFFSET(CRONOPLE!$F$14,$M96,AP$13))))</f>
        <v>2</v>
      </c>
      <c r="AQ96" s="211">
        <f ca="1">IF($D96&lt;&gt;"Serviço",0,IF(AND(AUTOEVENTO="Manual",$M96=1),0,IF(OFFSET(CRONOPLE!$F$14,$M96,AQ$13)="",10^12,OFFSET(CRONOPLE!$F$14,$M96,AQ$13))))</f>
        <v>1000000000000</v>
      </c>
      <c r="AR96" s="211">
        <f ca="1">IF($D96&lt;&gt;"Serviço",0,IF(AND(AUTOEVENTO="Manual",$M96=1),0,IF(OFFSET(CRONOPLE!$F$14,$M96,AR$13)="",10^12,OFFSET(CRONOPLE!$F$14,$M96,AR$13))))</f>
        <v>1000000000000</v>
      </c>
      <c r="AS96" s="211">
        <f ca="1">IF($D96&lt;&gt;"Serviço",0,IF(AND(AUTOEVENTO="Manual",$M96=1),0,IF(OFFSET(CRONOPLE!$F$14,$M96,AS$13)="",10^12,OFFSET(CRONOPLE!$F$14,$M96,AS$13))))</f>
        <v>1000000000000</v>
      </c>
      <c r="AT96" s="211">
        <f ca="1">IF($D96&lt;&gt;"Serviço",0,IF(AND(AUTOEVENTO="Manual",$M96=1),0,IF(OFFSET(CRONOPLE!$F$14,$M96,AT$13)="",10^12,OFFSET(CRONOPLE!$F$14,$M96,AT$13))))</f>
        <v>1000000000000</v>
      </c>
      <c r="AU96" s="211">
        <f ca="1">IF($D96&lt;&gt;"Serviço",0,IF(AND(AUTOEVENTO="Manual",$M96=1),0,IF(OFFSET(CRONOPLE!$F$14,$M96,AU$13)="",10^12,OFFSET(CRONOPLE!$F$14,$M96,AU$13))))</f>
        <v>1000000000000</v>
      </c>
      <c r="AV96" s="211">
        <f ca="1">IF($D96&lt;&gt;"Serviço",0,IF(AND(AUTOEVENTO="Manual",$M96=1),0,IF(OFFSET(CRONOPLE!$F$14,$M96,AV$13)="",10^12,OFFSET(CRONOPLE!$F$14,$M96,AV$13))))</f>
        <v>1000000000000</v>
      </c>
      <c r="AX96" s="212">
        <f ca="1">IF($D96&lt;&gt;"Serviço",0,IF(OR(AND(AUTOEVENTO="Manual",$M96=1),$M96&gt;(ROW(PLE.lastrow)-ROW(PLE.firstrow))),0,IF(OFFSET(PLE!$G$14,$M96,AX$13)="",10^12,OFFSET(PLE!$G$14,$M96,AX$13))))</f>
        <v>1000000000000</v>
      </c>
      <c r="AY96" s="212">
        <f ca="1">IF($D96&lt;&gt;"Serviço",0,IF(OR(AND(AUTOEVENTO="Manual",$M96=1),$M96&gt;(ROW(PLE.lastrow)-ROW(PLE.firstrow))),0,IF(OFFSET(PLE!$G$14,$M96,AY$13)="",10^12,OFFSET(PLE!$G$14,$M96,AY$13))))</f>
        <v>1000000000000</v>
      </c>
      <c r="AZ96" s="212">
        <f ca="1">IF($D96&lt;&gt;"Serviço",0,IF(OR(AND(AUTOEVENTO="Manual",$M96=1),$M96&gt;(ROW(PLE.lastrow)-ROW(PLE.firstrow))),0,IF(OFFSET(PLE!$G$14,$M96,AZ$13)="",10^12,OFFSET(PLE!$G$14,$M96,AZ$13))))</f>
        <v>1000000000000</v>
      </c>
      <c r="BA96" s="212">
        <f ca="1">IF($D96&lt;&gt;"Serviço",0,IF(OR(AND(AUTOEVENTO="Manual",$M96=1),$M96&gt;(ROW(PLE.lastrow)-ROW(PLE.firstrow))),0,IF(OFFSET(PLE!$G$14,$M96,BA$13)="",10^12,OFFSET(PLE!$G$14,$M96,BA$13))))</f>
        <v>1000000000000</v>
      </c>
      <c r="BB96" s="212">
        <f ca="1">IF($D96&lt;&gt;"Serviço",0,IF(OR(AND(AUTOEVENTO="Manual",$M96=1),$M96&gt;(ROW(PLE.lastrow)-ROW(PLE.firstrow))),0,IF(OFFSET(PLE!$G$14,$M96,BB$13)="",10^12,OFFSET(PLE!$G$14,$M96,BB$13))))</f>
        <v>1000000000000</v>
      </c>
      <c r="BC96" s="212">
        <f ca="1">IF($D96&lt;&gt;"Serviço",0,IF(OR(AND(AUTOEVENTO="Manual",$M96=1),$M96&gt;(ROW(PLE.lastrow)-ROW(PLE.firstrow))),0,IF(OFFSET(PLE!$G$14,$M96,BC$13)="",10^12,OFFSET(PLE!$G$14,$M96,BC$13))))</f>
        <v>1000000000000</v>
      </c>
      <c r="BD96" s="212">
        <f ca="1">IF($D96&lt;&gt;"Serviço",0,IF(OR(AND(AUTOEVENTO="Manual",$M96=1),$M96&gt;(ROW(PLE.lastrow)-ROW(PLE.firstrow))),0,IF(OFFSET(PLE!$G$14,$M96,BD$13)="",10^12,OFFSET(PLE!$G$14,$M96,BD$13))))</f>
        <v>1000000000000</v>
      </c>
      <c r="BE96" s="212">
        <f ca="1">IF($D96&lt;&gt;"Serviço",0,IF(OR(AND(AUTOEVENTO="Manual",$M96=1),$M96&gt;(ROW(PLE.lastrow)-ROW(PLE.firstrow))),0,IF(OFFSET(PLE!$G$14,$M96,BE$13)="",10^12,OFFSET(PLE!$G$14,$M96,BE$13))))</f>
        <v>1000000000000</v>
      </c>
      <c r="BF96" s="212">
        <f ca="1">IF($D96&lt;&gt;"Serviço",0,IF(OR(AND(AUTOEVENTO="Manual",$M96=1),$M96&gt;(ROW(PLE.lastrow)-ROW(PLE.firstrow))),0,IF(OFFSET(PLE!$G$14,$M96,BF$13)="",10^12,OFFSET(PLE!$G$14,$M96,BF$13))))</f>
        <v>1000000000000</v>
      </c>
      <c r="BG96" s="212">
        <f ca="1">IF($D96&lt;&gt;"Serviço",0,IF(OR(AND(AUTOEVENTO="Manual",$M96=1),$M96&gt;(ROW(PLE.lastrow)-ROW(PLE.firstrow))),0,IF(OFFSET(PLE!$G$14,$M96,BG$13)="",10^12,OFFSET(PLE!$G$14,$M96,BG$13))))</f>
        <v>1000000000000</v>
      </c>
    </row>
    <row r="97" spans="1:59" ht="13.2">
      <c r="A97" s="9" t="str">
        <f t="shared" ca="1" si="10"/>
        <v>15</v>
      </c>
      <c r="B97" s="9" t="str">
        <f ca="1">OFFSET(ORÇAMENTO!C$15,ROW(B97)-ROW(B$15),0)</f>
        <v>S</v>
      </c>
      <c r="C97" s="9" t="str">
        <f ca="1">OFFSET(ORÇAMENTO!L$15,ROW(C97)-ROW(C$15),0)</f>
        <v/>
      </c>
      <c r="D97" s="141" t="str">
        <f ca="1">OFFSET(ORÇAMENTO!N$15,ROW(D97)-ROW(D$15),0)</f>
        <v>Serviço</v>
      </c>
      <c r="E97" s="201" t="str">
        <f ca="1">OFFSET(ORÇAMENTO!O$15,ROW(E97)-ROW(E$15),0)</f>
        <v>-</v>
      </c>
      <c r="F97" s="202" t="str">
        <f ca="1">OFFSET(ORÇAMENTO!R$15,ROW(F97)-ROW(F$15),0)</f>
        <v>(abra o arquivo 'Referência 11-2024.xlsm)</v>
      </c>
      <c r="G97" s="203" t="str">
        <f ca="1">IF($D97&lt;&gt;"Serviço","",OFFSET(ORÇAMENTO!S$15,ROW(G97)-ROW(G$15),0))</f>
        <v>-</v>
      </c>
      <c r="H97" s="147">
        <f ca="1">IF($D97&lt;&gt;"Serviço",0,IF(ACOMPANHAMENTO="BM",ROUND(OFFSET(ORÇAMENTO!AJ$15,ROW(H97)-ROW(H$15),0),15-13*ORÇAMENTO!$AF$7),SUMPRODUCT(($Q$12:$AA$12&lt;&gt;"")*ROUND($Q97:$AA97,15-13*ORÇAMENTO!$AF$7))))</f>
        <v>0</v>
      </c>
      <c r="I97" s="645"/>
      <c r="K97" s="204"/>
      <c r="L97" s="205" t="s">
        <v>255</v>
      </c>
      <c r="M97" s="206">
        <f ca="1">IF($D97&lt;&gt;"Serviço","",IF(AUTOEVENTO="manual",$A97,IF(ISERROR(MATCH($A97,$A$15:OFFSET($A97,-1,0),0)),MAX($M$15:OFFSET(M97,-1,0))+1,INDEX($M$15:OFFSET(M97,-1,0),MATCH($A97,$A$15:OFFSET($A97,-1,0),0)))))</f>
        <v>6</v>
      </c>
      <c r="N97" s="207" t="str">
        <f ca="1">IF($D97&lt;&gt;"Serviço","",IF(AUTOEVENTO="Manual",IF($A97=0,"&lt;-- defina o número do agrupador",OFFSET(EVENTOS!$D$14,$A97,0)),OFFSET($F$15,$A97,0)))</f>
        <v>DRENAGEM</v>
      </c>
      <c r="O97" s="208"/>
      <c r="Q97" s="208"/>
      <c r="R97" s="209"/>
      <c r="S97" s="209"/>
      <c r="T97" s="209"/>
      <c r="U97" s="209"/>
      <c r="V97" s="209"/>
      <c r="W97" s="209"/>
      <c r="X97" s="209"/>
      <c r="Y97" s="209"/>
      <c r="Z97" s="210"/>
      <c r="AB97" s="626">
        <f ca="1">IF(AND($D97="Serviço",AB$12&lt;&gt;0,$H97&gt;0,OR(AUTOEVENTO&lt;&gt;"manual",$M97&lt;&gt;1)),
IF(Import.TipoArredondamento&lt;&gt;"TransfereGOV",
ROUND(OFFSET($P97,0,AB$13),15-13*ORÇAMENTO!$AF$7)/$H97*OFFSET(ORÇAMENTO!$X$15,ROW(AB97)-ROW(AB$15),0),
ROUND(ROUND(OFFSET($P97,0,AB$13),15-13*ORÇAMENTO!$AF$7)*OFFSET(ORÇAMENTO!$W$15,ROW(AB97)-ROW(AB$15),0),15-13*ORÇAMENTO!$AF$11)),0)</f>
        <v>0</v>
      </c>
      <c r="AC97" s="627">
        <f ca="1">IF(AND($D97="Serviço",AC$12&lt;&gt;0,$H97&gt;0,OR(AUTOEVENTO&lt;&gt;"manual",$M97&lt;&gt;1)),
IF(Import.TipoArredondamento&lt;&gt;"TransfereGOV",
ROUND(OFFSET($P97,0,AC$13),15-13*ORÇAMENTO!$AF$7)/$H97*OFFSET(ORÇAMENTO!$X$15,ROW(AC97)-ROW(AC$15),0),
ROUND(ROUND(OFFSET($P97,0,AC$13),15-13*ORÇAMENTO!$AF$7)*OFFSET(ORÇAMENTO!$W$15,ROW(AC97)-ROW(AC$15),0),15-13*ORÇAMENTO!$AF$11)),0)</f>
        <v>0</v>
      </c>
      <c r="AD97" s="627">
        <f ca="1">IF(AND($D97="Serviço",AD$12&lt;&gt;0,$H97&gt;0,OR(AUTOEVENTO&lt;&gt;"manual",$M97&lt;&gt;1)),
IF(Import.TipoArredondamento&lt;&gt;"TransfereGOV",
ROUND(OFFSET($P97,0,AD$13),15-13*ORÇAMENTO!$AF$7)/$H97*OFFSET(ORÇAMENTO!$X$15,ROW(AD97)-ROW(AD$15),0),
ROUND(ROUND(OFFSET($P97,0,AD$13),15-13*ORÇAMENTO!$AF$7)*OFFSET(ORÇAMENTO!$W$15,ROW(AD97)-ROW(AD$15),0),15-13*ORÇAMENTO!$AF$11)),0)</f>
        <v>0</v>
      </c>
      <c r="AE97" s="627">
        <f ca="1">IF(AND($D97="Serviço",AE$12&lt;&gt;0,$H97&gt;0,OR(AUTOEVENTO&lt;&gt;"manual",$M97&lt;&gt;1)),
IF(Import.TipoArredondamento&lt;&gt;"TransfereGOV",
ROUND(OFFSET($P97,0,AE$13),15-13*ORÇAMENTO!$AF$7)/$H97*OFFSET(ORÇAMENTO!$X$15,ROW(AE97)-ROW(AE$15),0),
ROUND(ROUND(OFFSET($P97,0,AE$13),15-13*ORÇAMENTO!$AF$7)*OFFSET(ORÇAMENTO!$W$15,ROW(AE97)-ROW(AE$15),0),15-13*ORÇAMENTO!$AF$11)),0)</f>
        <v>0</v>
      </c>
      <c r="AF97" s="627">
        <f ca="1">IF(AND($D97="Serviço",AF$12&lt;&gt;0,$H97&gt;0,OR(AUTOEVENTO&lt;&gt;"manual",$M97&lt;&gt;1)),
IF(Import.TipoArredondamento&lt;&gt;"TransfereGOV",
ROUND(OFFSET($P97,0,AF$13),15-13*ORÇAMENTO!$AF$7)/$H97*OFFSET(ORÇAMENTO!$X$15,ROW(AF97)-ROW(AF$15),0),
ROUND(ROUND(OFFSET($P97,0,AF$13),15-13*ORÇAMENTO!$AF$7)*OFFSET(ORÇAMENTO!$W$15,ROW(AF97)-ROW(AF$15),0),15-13*ORÇAMENTO!$AF$11)),0)</f>
        <v>0</v>
      </c>
      <c r="AG97" s="627">
        <f ca="1">IF(AND($D97="Serviço",AG$12&lt;&gt;0,$H97&gt;0,OR(AUTOEVENTO&lt;&gt;"manual",$M97&lt;&gt;1)),
IF(Import.TipoArredondamento&lt;&gt;"TransfereGOV",
ROUND(OFFSET($P97,0,AG$13),15-13*ORÇAMENTO!$AF$7)/$H97*OFFSET(ORÇAMENTO!$X$15,ROW(AG97)-ROW(AG$15),0),
ROUND(ROUND(OFFSET($P97,0,AG$13),15-13*ORÇAMENTO!$AF$7)*OFFSET(ORÇAMENTO!$W$15,ROW(AG97)-ROW(AG$15),0),15-13*ORÇAMENTO!$AF$11)),0)</f>
        <v>0</v>
      </c>
      <c r="AH97" s="627">
        <f ca="1">IF(AND($D97="Serviço",AH$12&lt;&gt;0,$H97&gt;0,OR(AUTOEVENTO&lt;&gt;"manual",$M97&lt;&gt;1)),
IF(Import.TipoArredondamento&lt;&gt;"TransfereGOV",
ROUND(OFFSET($P97,0,AH$13),15-13*ORÇAMENTO!$AF$7)/$H97*OFFSET(ORÇAMENTO!$X$15,ROW(AH97)-ROW(AH$15),0),
ROUND(ROUND(OFFSET($P97,0,AH$13),15-13*ORÇAMENTO!$AF$7)*OFFSET(ORÇAMENTO!$W$15,ROW(AH97)-ROW(AH$15),0),15-13*ORÇAMENTO!$AF$11)),0)</f>
        <v>0</v>
      </c>
      <c r="AI97" s="627">
        <f ca="1">IF(AND($D97="Serviço",AI$12&lt;&gt;0,$H97&gt;0,OR(AUTOEVENTO&lt;&gt;"manual",$M97&lt;&gt;1)),
IF(Import.TipoArredondamento&lt;&gt;"TransfereGOV",
ROUND(OFFSET($P97,0,AI$13),15-13*ORÇAMENTO!$AF$7)/$H97*OFFSET(ORÇAMENTO!$X$15,ROW(AI97)-ROW(AI$15),0),
ROUND(ROUND(OFFSET($P97,0,AI$13),15-13*ORÇAMENTO!$AF$7)*OFFSET(ORÇAMENTO!$W$15,ROW(AI97)-ROW(AI$15),0),15-13*ORÇAMENTO!$AF$11)),0)</f>
        <v>0</v>
      </c>
      <c r="AJ97" s="627">
        <f ca="1">IF(AND($D97="Serviço",AJ$12&lt;&gt;0,$H97&gt;0,OR(AUTOEVENTO&lt;&gt;"manual",$M97&lt;&gt;1)),
IF(Import.TipoArredondamento&lt;&gt;"TransfereGOV",
ROUND(OFFSET($P97,0,AJ$13),15-13*ORÇAMENTO!$AF$7)/$H97*OFFSET(ORÇAMENTO!$X$15,ROW(AJ97)-ROW(AJ$15),0),
ROUND(ROUND(OFFSET($P97,0,AJ$13),15-13*ORÇAMENTO!$AF$7)*OFFSET(ORÇAMENTO!$W$15,ROW(AJ97)-ROW(AJ$15),0),15-13*ORÇAMENTO!$AF$11)),0)</f>
        <v>0</v>
      </c>
      <c r="AK97" s="628">
        <f ca="1">IF(AND($D97="Serviço",AK$12&lt;&gt;0,$H97&gt;0,OR(AUTOEVENTO&lt;&gt;"manual",$M97&lt;&gt;1)),
IF(Import.TipoArredondamento&lt;&gt;"TransfereGOV",
ROUND(OFFSET($P97,0,AK$13),15-13*ORÇAMENTO!$AF$7)/$H97*OFFSET(ORÇAMENTO!$X$15,ROW(AK97)-ROW(AK$15),0),
ROUND(ROUND(OFFSET($P97,0,AK$13),15-13*ORÇAMENTO!$AF$7)*OFFSET(ORÇAMENTO!$W$15,ROW(AK97)-ROW(AK$15),0),15-13*ORÇAMENTO!$AF$11)),0)</f>
        <v>0</v>
      </c>
      <c r="AM97" s="211">
        <f ca="1">IF($D97&lt;&gt;"Serviço",0,IF(AND(AUTOEVENTO="Manual",$M97=1),0,IF(OFFSET(CRONOPLE!$F$14,$M97,AM$13)="",10^12,OFFSET(CRONOPLE!$F$14,$M97,AM$13))))</f>
        <v>2</v>
      </c>
      <c r="AN97" s="211">
        <f ca="1">IF($D97&lt;&gt;"Serviço",0,IF(AND(AUTOEVENTO="Manual",$M97=1),0,IF(OFFSET(CRONOPLE!$F$14,$M97,AN$13)="",10^12,OFFSET(CRONOPLE!$F$14,$M97,AN$13))))</f>
        <v>1</v>
      </c>
      <c r="AO97" s="211">
        <f ca="1">IF($D97&lt;&gt;"Serviço",0,IF(AND(AUTOEVENTO="Manual",$M97=1),0,IF(OFFSET(CRONOPLE!$F$14,$M97,AO$13)="",10^12,OFFSET(CRONOPLE!$F$14,$M97,AO$13))))</f>
        <v>2</v>
      </c>
      <c r="AP97" s="211">
        <f ca="1">IF($D97&lt;&gt;"Serviço",0,IF(AND(AUTOEVENTO="Manual",$M97=1),0,IF(OFFSET(CRONOPLE!$F$14,$M97,AP$13)="",10^12,OFFSET(CRONOPLE!$F$14,$M97,AP$13))))</f>
        <v>2</v>
      </c>
      <c r="AQ97" s="211">
        <f ca="1">IF($D97&lt;&gt;"Serviço",0,IF(AND(AUTOEVENTO="Manual",$M97=1),0,IF(OFFSET(CRONOPLE!$F$14,$M97,AQ$13)="",10^12,OFFSET(CRONOPLE!$F$14,$M97,AQ$13))))</f>
        <v>1000000000000</v>
      </c>
      <c r="AR97" s="211">
        <f ca="1">IF($D97&lt;&gt;"Serviço",0,IF(AND(AUTOEVENTO="Manual",$M97=1),0,IF(OFFSET(CRONOPLE!$F$14,$M97,AR$13)="",10^12,OFFSET(CRONOPLE!$F$14,$M97,AR$13))))</f>
        <v>1000000000000</v>
      </c>
      <c r="AS97" s="211">
        <f ca="1">IF($D97&lt;&gt;"Serviço",0,IF(AND(AUTOEVENTO="Manual",$M97=1),0,IF(OFFSET(CRONOPLE!$F$14,$M97,AS$13)="",10^12,OFFSET(CRONOPLE!$F$14,$M97,AS$13))))</f>
        <v>1000000000000</v>
      </c>
      <c r="AT97" s="211">
        <f ca="1">IF($D97&lt;&gt;"Serviço",0,IF(AND(AUTOEVENTO="Manual",$M97=1),0,IF(OFFSET(CRONOPLE!$F$14,$M97,AT$13)="",10^12,OFFSET(CRONOPLE!$F$14,$M97,AT$13))))</f>
        <v>1000000000000</v>
      </c>
      <c r="AU97" s="211">
        <f ca="1">IF($D97&lt;&gt;"Serviço",0,IF(AND(AUTOEVENTO="Manual",$M97=1),0,IF(OFFSET(CRONOPLE!$F$14,$M97,AU$13)="",10^12,OFFSET(CRONOPLE!$F$14,$M97,AU$13))))</f>
        <v>1000000000000</v>
      </c>
      <c r="AV97" s="211">
        <f ca="1">IF($D97&lt;&gt;"Serviço",0,IF(AND(AUTOEVENTO="Manual",$M97=1),0,IF(OFFSET(CRONOPLE!$F$14,$M97,AV$13)="",10^12,OFFSET(CRONOPLE!$F$14,$M97,AV$13))))</f>
        <v>1000000000000</v>
      </c>
      <c r="AX97" s="212">
        <f ca="1">IF($D97&lt;&gt;"Serviço",0,IF(OR(AND(AUTOEVENTO="Manual",$M97=1),$M97&gt;(ROW(PLE.lastrow)-ROW(PLE.firstrow))),0,IF(OFFSET(PLE!$G$14,$M97,AX$13)="",10^12,OFFSET(PLE!$G$14,$M97,AX$13))))</f>
        <v>1000000000000</v>
      </c>
      <c r="AY97" s="212">
        <f ca="1">IF($D97&lt;&gt;"Serviço",0,IF(OR(AND(AUTOEVENTO="Manual",$M97=1),$M97&gt;(ROW(PLE.lastrow)-ROW(PLE.firstrow))),0,IF(OFFSET(PLE!$G$14,$M97,AY$13)="",10^12,OFFSET(PLE!$G$14,$M97,AY$13))))</f>
        <v>1000000000000</v>
      </c>
      <c r="AZ97" s="212">
        <f ca="1">IF($D97&lt;&gt;"Serviço",0,IF(OR(AND(AUTOEVENTO="Manual",$M97=1),$M97&gt;(ROW(PLE.lastrow)-ROW(PLE.firstrow))),0,IF(OFFSET(PLE!$G$14,$M97,AZ$13)="",10^12,OFFSET(PLE!$G$14,$M97,AZ$13))))</f>
        <v>1000000000000</v>
      </c>
      <c r="BA97" s="212">
        <f ca="1">IF($D97&lt;&gt;"Serviço",0,IF(OR(AND(AUTOEVENTO="Manual",$M97=1),$M97&gt;(ROW(PLE.lastrow)-ROW(PLE.firstrow))),0,IF(OFFSET(PLE!$G$14,$M97,BA$13)="",10^12,OFFSET(PLE!$G$14,$M97,BA$13))))</f>
        <v>1000000000000</v>
      </c>
      <c r="BB97" s="212">
        <f ca="1">IF($D97&lt;&gt;"Serviço",0,IF(OR(AND(AUTOEVENTO="Manual",$M97=1),$M97&gt;(ROW(PLE.lastrow)-ROW(PLE.firstrow))),0,IF(OFFSET(PLE!$G$14,$M97,BB$13)="",10^12,OFFSET(PLE!$G$14,$M97,BB$13))))</f>
        <v>1000000000000</v>
      </c>
      <c r="BC97" s="212">
        <f ca="1">IF($D97&lt;&gt;"Serviço",0,IF(OR(AND(AUTOEVENTO="Manual",$M97=1),$M97&gt;(ROW(PLE.lastrow)-ROW(PLE.firstrow))),0,IF(OFFSET(PLE!$G$14,$M97,BC$13)="",10^12,OFFSET(PLE!$G$14,$M97,BC$13))))</f>
        <v>1000000000000</v>
      </c>
      <c r="BD97" s="212">
        <f ca="1">IF($D97&lt;&gt;"Serviço",0,IF(OR(AND(AUTOEVENTO="Manual",$M97=1),$M97&gt;(ROW(PLE.lastrow)-ROW(PLE.firstrow))),0,IF(OFFSET(PLE!$G$14,$M97,BD$13)="",10^12,OFFSET(PLE!$G$14,$M97,BD$13))))</f>
        <v>1000000000000</v>
      </c>
      <c r="BE97" s="212">
        <f ca="1">IF($D97&lt;&gt;"Serviço",0,IF(OR(AND(AUTOEVENTO="Manual",$M97=1),$M97&gt;(ROW(PLE.lastrow)-ROW(PLE.firstrow))),0,IF(OFFSET(PLE!$G$14,$M97,BE$13)="",10^12,OFFSET(PLE!$G$14,$M97,BE$13))))</f>
        <v>1000000000000</v>
      </c>
      <c r="BF97" s="212">
        <f ca="1">IF($D97&lt;&gt;"Serviço",0,IF(OR(AND(AUTOEVENTO="Manual",$M97=1),$M97&gt;(ROW(PLE.lastrow)-ROW(PLE.firstrow))),0,IF(OFFSET(PLE!$G$14,$M97,BF$13)="",10^12,OFFSET(PLE!$G$14,$M97,BF$13))))</f>
        <v>1000000000000</v>
      </c>
      <c r="BG97" s="212">
        <f ca="1">IF($D97&lt;&gt;"Serviço",0,IF(OR(AND(AUTOEVENTO="Manual",$M97=1),$M97&gt;(ROW(PLE.lastrow)-ROW(PLE.firstrow))),0,IF(OFFSET(PLE!$G$14,$M97,BG$13)="",10^12,OFFSET(PLE!$G$14,$M97,BG$13))))</f>
        <v>1000000000000</v>
      </c>
    </row>
    <row r="98" spans="1:59" ht="13.2">
      <c r="A98" s="9" t="str">
        <f t="shared" ca="1" si="10"/>
        <v>15</v>
      </c>
      <c r="B98" s="9" t="str">
        <f ca="1">OFFSET(ORÇAMENTO!C$15,ROW(B98)-ROW(B$15),0)</f>
        <v>S</v>
      </c>
      <c r="C98" s="9" t="str">
        <f ca="1">OFFSET(ORÇAMENTO!L$15,ROW(C98)-ROW(C$15),0)</f>
        <v/>
      </c>
      <c r="D98" s="141" t="str">
        <f ca="1">OFFSET(ORÇAMENTO!N$15,ROW(D98)-ROW(D$15),0)</f>
        <v>Serviço</v>
      </c>
      <c r="E98" s="201" t="str">
        <f ca="1">OFFSET(ORÇAMENTO!O$15,ROW(E98)-ROW(E$15),0)</f>
        <v>-</v>
      </c>
      <c r="F98" s="202" t="str">
        <f ca="1">OFFSET(ORÇAMENTO!R$15,ROW(F98)-ROW(F$15),0)</f>
        <v>(abra o arquivo 'Referência 11-2024.xlsm)</v>
      </c>
      <c r="G98" s="203" t="str">
        <f ca="1">IF($D98&lt;&gt;"Serviço","",OFFSET(ORÇAMENTO!S$15,ROW(G98)-ROW(G$15),0))</f>
        <v>-</v>
      </c>
      <c r="H98" s="147">
        <f ca="1">IF($D98&lt;&gt;"Serviço",0,IF(ACOMPANHAMENTO="BM",ROUND(OFFSET(ORÇAMENTO!AJ$15,ROW(H98)-ROW(H$15),0),15-13*ORÇAMENTO!$AF$7),SUMPRODUCT(($Q$12:$AA$12&lt;&gt;"")*ROUND($Q98:$AA98,15-13*ORÇAMENTO!$AF$7))))</f>
        <v>0</v>
      </c>
      <c r="I98" s="645"/>
      <c r="K98" s="204"/>
      <c r="L98" s="205" t="s">
        <v>255</v>
      </c>
      <c r="M98" s="206">
        <f ca="1">IF($D98&lt;&gt;"Serviço","",IF(AUTOEVENTO="manual",$A98,IF(ISERROR(MATCH($A98,$A$15:OFFSET($A98,-1,0),0)),MAX($M$15:OFFSET(M98,-1,0))+1,INDEX($M$15:OFFSET(M98,-1,0),MATCH($A98,$A$15:OFFSET($A98,-1,0),0)))))</f>
        <v>6</v>
      </c>
      <c r="N98" s="207" t="str">
        <f ca="1">IF($D98&lt;&gt;"Serviço","",IF(AUTOEVENTO="Manual",IF($A98=0,"&lt;-- defina o número do agrupador",OFFSET(EVENTOS!$D$14,$A98,0)),OFFSET($F$15,$A98,0)))</f>
        <v>DRENAGEM</v>
      </c>
      <c r="O98" s="208"/>
      <c r="Q98" s="208"/>
      <c r="R98" s="209"/>
      <c r="S98" s="209"/>
      <c r="T98" s="209"/>
      <c r="U98" s="209"/>
      <c r="V98" s="209"/>
      <c r="W98" s="209"/>
      <c r="X98" s="209"/>
      <c r="Y98" s="209"/>
      <c r="Z98" s="210"/>
      <c r="AB98" s="626">
        <f ca="1">IF(AND($D98="Serviço",AB$12&lt;&gt;0,$H98&gt;0,OR(AUTOEVENTO&lt;&gt;"manual",$M98&lt;&gt;1)),
IF(Import.TipoArredondamento&lt;&gt;"TransfereGOV",
ROUND(OFFSET($P98,0,AB$13),15-13*ORÇAMENTO!$AF$7)/$H98*OFFSET(ORÇAMENTO!$X$15,ROW(AB98)-ROW(AB$15),0),
ROUND(ROUND(OFFSET($P98,0,AB$13),15-13*ORÇAMENTO!$AF$7)*OFFSET(ORÇAMENTO!$W$15,ROW(AB98)-ROW(AB$15),0),15-13*ORÇAMENTO!$AF$11)),0)</f>
        <v>0</v>
      </c>
      <c r="AC98" s="627">
        <f ca="1">IF(AND($D98="Serviço",AC$12&lt;&gt;0,$H98&gt;0,OR(AUTOEVENTO&lt;&gt;"manual",$M98&lt;&gt;1)),
IF(Import.TipoArredondamento&lt;&gt;"TransfereGOV",
ROUND(OFFSET($P98,0,AC$13),15-13*ORÇAMENTO!$AF$7)/$H98*OFFSET(ORÇAMENTO!$X$15,ROW(AC98)-ROW(AC$15),0),
ROUND(ROUND(OFFSET($P98,0,AC$13),15-13*ORÇAMENTO!$AF$7)*OFFSET(ORÇAMENTO!$W$15,ROW(AC98)-ROW(AC$15),0),15-13*ORÇAMENTO!$AF$11)),0)</f>
        <v>0</v>
      </c>
      <c r="AD98" s="627">
        <f ca="1">IF(AND($D98="Serviço",AD$12&lt;&gt;0,$H98&gt;0,OR(AUTOEVENTO&lt;&gt;"manual",$M98&lt;&gt;1)),
IF(Import.TipoArredondamento&lt;&gt;"TransfereGOV",
ROUND(OFFSET($P98,0,AD$13),15-13*ORÇAMENTO!$AF$7)/$H98*OFFSET(ORÇAMENTO!$X$15,ROW(AD98)-ROW(AD$15),0),
ROUND(ROUND(OFFSET($P98,0,AD$13),15-13*ORÇAMENTO!$AF$7)*OFFSET(ORÇAMENTO!$W$15,ROW(AD98)-ROW(AD$15),0),15-13*ORÇAMENTO!$AF$11)),0)</f>
        <v>0</v>
      </c>
      <c r="AE98" s="627">
        <f ca="1">IF(AND($D98="Serviço",AE$12&lt;&gt;0,$H98&gt;0,OR(AUTOEVENTO&lt;&gt;"manual",$M98&lt;&gt;1)),
IF(Import.TipoArredondamento&lt;&gt;"TransfereGOV",
ROUND(OFFSET($P98,0,AE$13),15-13*ORÇAMENTO!$AF$7)/$H98*OFFSET(ORÇAMENTO!$X$15,ROW(AE98)-ROW(AE$15),0),
ROUND(ROUND(OFFSET($P98,0,AE$13),15-13*ORÇAMENTO!$AF$7)*OFFSET(ORÇAMENTO!$W$15,ROW(AE98)-ROW(AE$15),0),15-13*ORÇAMENTO!$AF$11)),0)</f>
        <v>0</v>
      </c>
      <c r="AF98" s="627">
        <f ca="1">IF(AND($D98="Serviço",AF$12&lt;&gt;0,$H98&gt;0,OR(AUTOEVENTO&lt;&gt;"manual",$M98&lt;&gt;1)),
IF(Import.TipoArredondamento&lt;&gt;"TransfereGOV",
ROUND(OFFSET($P98,0,AF$13),15-13*ORÇAMENTO!$AF$7)/$H98*OFFSET(ORÇAMENTO!$X$15,ROW(AF98)-ROW(AF$15),0),
ROUND(ROUND(OFFSET($P98,0,AF$13),15-13*ORÇAMENTO!$AF$7)*OFFSET(ORÇAMENTO!$W$15,ROW(AF98)-ROW(AF$15),0),15-13*ORÇAMENTO!$AF$11)),0)</f>
        <v>0</v>
      </c>
      <c r="AG98" s="627">
        <f ca="1">IF(AND($D98="Serviço",AG$12&lt;&gt;0,$H98&gt;0,OR(AUTOEVENTO&lt;&gt;"manual",$M98&lt;&gt;1)),
IF(Import.TipoArredondamento&lt;&gt;"TransfereGOV",
ROUND(OFFSET($P98,0,AG$13),15-13*ORÇAMENTO!$AF$7)/$H98*OFFSET(ORÇAMENTO!$X$15,ROW(AG98)-ROW(AG$15),0),
ROUND(ROUND(OFFSET($P98,0,AG$13),15-13*ORÇAMENTO!$AF$7)*OFFSET(ORÇAMENTO!$W$15,ROW(AG98)-ROW(AG$15),0),15-13*ORÇAMENTO!$AF$11)),0)</f>
        <v>0</v>
      </c>
      <c r="AH98" s="627">
        <f ca="1">IF(AND($D98="Serviço",AH$12&lt;&gt;0,$H98&gt;0,OR(AUTOEVENTO&lt;&gt;"manual",$M98&lt;&gt;1)),
IF(Import.TipoArredondamento&lt;&gt;"TransfereGOV",
ROUND(OFFSET($P98,0,AH$13),15-13*ORÇAMENTO!$AF$7)/$H98*OFFSET(ORÇAMENTO!$X$15,ROW(AH98)-ROW(AH$15),0),
ROUND(ROUND(OFFSET($P98,0,AH$13),15-13*ORÇAMENTO!$AF$7)*OFFSET(ORÇAMENTO!$W$15,ROW(AH98)-ROW(AH$15),0),15-13*ORÇAMENTO!$AF$11)),0)</f>
        <v>0</v>
      </c>
      <c r="AI98" s="627">
        <f ca="1">IF(AND($D98="Serviço",AI$12&lt;&gt;0,$H98&gt;0,OR(AUTOEVENTO&lt;&gt;"manual",$M98&lt;&gt;1)),
IF(Import.TipoArredondamento&lt;&gt;"TransfereGOV",
ROUND(OFFSET($P98,0,AI$13),15-13*ORÇAMENTO!$AF$7)/$H98*OFFSET(ORÇAMENTO!$X$15,ROW(AI98)-ROW(AI$15),0),
ROUND(ROUND(OFFSET($P98,0,AI$13),15-13*ORÇAMENTO!$AF$7)*OFFSET(ORÇAMENTO!$W$15,ROW(AI98)-ROW(AI$15),0),15-13*ORÇAMENTO!$AF$11)),0)</f>
        <v>0</v>
      </c>
      <c r="AJ98" s="627">
        <f ca="1">IF(AND($D98="Serviço",AJ$12&lt;&gt;0,$H98&gt;0,OR(AUTOEVENTO&lt;&gt;"manual",$M98&lt;&gt;1)),
IF(Import.TipoArredondamento&lt;&gt;"TransfereGOV",
ROUND(OFFSET($P98,0,AJ$13),15-13*ORÇAMENTO!$AF$7)/$H98*OFFSET(ORÇAMENTO!$X$15,ROW(AJ98)-ROW(AJ$15),0),
ROUND(ROUND(OFFSET($P98,0,AJ$13),15-13*ORÇAMENTO!$AF$7)*OFFSET(ORÇAMENTO!$W$15,ROW(AJ98)-ROW(AJ$15),0),15-13*ORÇAMENTO!$AF$11)),0)</f>
        <v>0</v>
      </c>
      <c r="AK98" s="628">
        <f ca="1">IF(AND($D98="Serviço",AK$12&lt;&gt;0,$H98&gt;0,OR(AUTOEVENTO&lt;&gt;"manual",$M98&lt;&gt;1)),
IF(Import.TipoArredondamento&lt;&gt;"TransfereGOV",
ROUND(OFFSET($P98,0,AK$13),15-13*ORÇAMENTO!$AF$7)/$H98*OFFSET(ORÇAMENTO!$X$15,ROW(AK98)-ROW(AK$15),0),
ROUND(ROUND(OFFSET($P98,0,AK$13),15-13*ORÇAMENTO!$AF$7)*OFFSET(ORÇAMENTO!$W$15,ROW(AK98)-ROW(AK$15),0),15-13*ORÇAMENTO!$AF$11)),0)</f>
        <v>0</v>
      </c>
      <c r="AM98" s="211">
        <f ca="1">IF($D98&lt;&gt;"Serviço",0,IF(AND(AUTOEVENTO="Manual",$M98=1),0,IF(OFFSET(CRONOPLE!$F$14,$M98,AM$13)="",10^12,OFFSET(CRONOPLE!$F$14,$M98,AM$13))))</f>
        <v>2</v>
      </c>
      <c r="AN98" s="211">
        <f ca="1">IF($D98&lt;&gt;"Serviço",0,IF(AND(AUTOEVENTO="Manual",$M98=1),0,IF(OFFSET(CRONOPLE!$F$14,$M98,AN$13)="",10^12,OFFSET(CRONOPLE!$F$14,$M98,AN$13))))</f>
        <v>1</v>
      </c>
      <c r="AO98" s="211">
        <f ca="1">IF($D98&lt;&gt;"Serviço",0,IF(AND(AUTOEVENTO="Manual",$M98=1),0,IF(OFFSET(CRONOPLE!$F$14,$M98,AO$13)="",10^12,OFFSET(CRONOPLE!$F$14,$M98,AO$13))))</f>
        <v>2</v>
      </c>
      <c r="AP98" s="211">
        <f ca="1">IF($D98&lt;&gt;"Serviço",0,IF(AND(AUTOEVENTO="Manual",$M98=1),0,IF(OFFSET(CRONOPLE!$F$14,$M98,AP$13)="",10^12,OFFSET(CRONOPLE!$F$14,$M98,AP$13))))</f>
        <v>2</v>
      </c>
      <c r="AQ98" s="211">
        <f ca="1">IF($D98&lt;&gt;"Serviço",0,IF(AND(AUTOEVENTO="Manual",$M98=1),0,IF(OFFSET(CRONOPLE!$F$14,$M98,AQ$13)="",10^12,OFFSET(CRONOPLE!$F$14,$M98,AQ$13))))</f>
        <v>1000000000000</v>
      </c>
      <c r="AR98" s="211">
        <f ca="1">IF($D98&lt;&gt;"Serviço",0,IF(AND(AUTOEVENTO="Manual",$M98=1),0,IF(OFFSET(CRONOPLE!$F$14,$M98,AR$13)="",10^12,OFFSET(CRONOPLE!$F$14,$M98,AR$13))))</f>
        <v>1000000000000</v>
      </c>
      <c r="AS98" s="211">
        <f ca="1">IF($D98&lt;&gt;"Serviço",0,IF(AND(AUTOEVENTO="Manual",$M98=1),0,IF(OFFSET(CRONOPLE!$F$14,$M98,AS$13)="",10^12,OFFSET(CRONOPLE!$F$14,$M98,AS$13))))</f>
        <v>1000000000000</v>
      </c>
      <c r="AT98" s="211">
        <f ca="1">IF($D98&lt;&gt;"Serviço",0,IF(AND(AUTOEVENTO="Manual",$M98=1),0,IF(OFFSET(CRONOPLE!$F$14,$M98,AT$13)="",10^12,OFFSET(CRONOPLE!$F$14,$M98,AT$13))))</f>
        <v>1000000000000</v>
      </c>
      <c r="AU98" s="211">
        <f ca="1">IF($D98&lt;&gt;"Serviço",0,IF(AND(AUTOEVENTO="Manual",$M98=1),0,IF(OFFSET(CRONOPLE!$F$14,$M98,AU$13)="",10^12,OFFSET(CRONOPLE!$F$14,$M98,AU$13))))</f>
        <v>1000000000000</v>
      </c>
      <c r="AV98" s="211">
        <f ca="1">IF($D98&lt;&gt;"Serviço",0,IF(AND(AUTOEVENTO="Manual",$M98=1),0,IF(OFFSET(CRONOPLE!$F$14,$M98,AV$13)="",10^12,OFFSET(CRONOPLE!$F$14,$M98,AV$13))))</f>
        <v>1000000000000</v>
      </c>
      <c r="AX98" s="212">
        <f ca="1">IF($D98&lt;&gt;"Serviço",0,IF(OR(AND(AUTOEVENTO="Manual",$M98=1),$M98&gt;(ROW(PLE.lastrow)-ROW(PLE.firstrow))),0,IF(OFFSET(PLE!$G$14,$M98,AX$13)="",10^12,OFFSET(PLE!$G$14,$M98,AX$13))))</f>
        <v>1000000000000</v>
      </c>
      <c r="AY98" s="212">
        <f ca="1">IF($D98&lt;&gt;"Serviço",0,IF(OR(AND(AUTOEVENTO="Manual",$M98=1),$M98&gt;(ROW(PLE.lastrow)-ROW(PLE.firstrow))),0,IF(OFFSET(PLE!$G$14,$M98,AY$13)="",10^12,OFFSET(PLE!$G$14,$M98,AY$13))))</f>
        <v>1000000000000</v>
      </c>
      <c r="AZ98" s="212">
        <f ca="1">IF($D98&lt;&gt;"Serviço",0,IF(OR(AND(AUTOEVENTO="Manual",$M98=1),$M98&gt;(ROW(PLE.lastrow)-ROW(PLE.firstrow))),0,IF(OFFSET(PLE!$G$14,$M98,AZ$13)="",10^12,OFFSET(PLE!$G$14,$M98,AZ$13))))</f>
        <v>1000000000000</v>
      </c>
      <c r="BA98" s="212">
        <f ca="1">IF($D98&lt;&gt;"Serviço",0,IF(OR(AND(AUTOEVENTO="Manual",$M98=1),$M98&gt;(ROW(PLE.lastrow)-ROW(PLE.firstrow))),0,IF(OFFSET(PLE!$G$14,$M98,BA$13)="",10^12,OFFSET(PLE!$G$14,$M98,BA$13))))</f>
        <v>1000000000000</v>
      </c>
      <c r="BB98" s="212">
        <f ca="1">IF($D98&lt;&gt;"Serviço",0,IF(OR(AND(AUTOEVENTO="Manual",$M98=1),$M98&gt;(ROW(PLE.lastrow)-ROW(PLE.firstrow))),0,IF(OFFSET(PLE!$G$14,$M98,BB$13)="",10^12,OFFSET(PLE!$G$14,$M98,BB$13))))</f>
        <v>1000000000000</v>
      </c>
      <c r="BC98" s="212">
        <f ca="1">IF($D98&lt;&gt;"Serviço",0,IF(OR(AND(AUTOEVENTO="Manual",$M98=1),$M98&gt;(ROW(PLE.lastrow)-ROW(PLE.firstrow))),0,IF(OFFSET(PLE!$G$14,$M98,BC$13)="",10^12,OFFSET(PLE!$G$14,$M98,BC$13))))</f>
        <v>1000000000000</v>
      </c>
      <c r="BD98" s="212">
        <f ca="1">IF($D98&lt;&gt;"Serviço",0,IF(OR(AND(AUTOEVENTO="Manual",$M98=1),$M98&gt;(ROW(PLE.lastrow)-ROW(PLE.firstrow))),0,IF(OFFSET(PLE!$G$14,$M98,BD$13)="",10^12,OFFSET(PLE!$G$14,$M98,BD$13))))</f>
        <v>1000000000000</v>
      </c>
      <c r="BE98" s="212">
        <f ca="1">IF($D98&lt;&gt;"Serviço",0,IF(OR(AND(AUTOEVENTO="Manual",$M98=1),$M98&gt;(ROW(PLE.lastrow)-ROW(PLE.firstrow))),0,IF(OFFSET(PLE!$G$14,$M98,BE$13)="",10^12,OFFSET(PLE!$G$14,$M98,BE$13))))</f>
        <v>1000000000000</v>
      </c>
      <c r="BF98" s="212">
        <f ca="1">IF($D98&lt;&gt;"Serviço",0,IF(OR(AND(AUTOEVENTO="Manual",$M98=1),$M98&gt;(ROW(PLE.lastrow)-ROW(PLE.firstrow))),0,IF(OFFSET(PLE!$G$14,$M98,BF$13)="",10^12,OFFSET(PLE!$G$14,$M98,BF$13))))</f>
        <v>1000000000000</v>
      </c>
      <c r="BG98" s="212">
        <f ca="1">IF($D98&lt;&gt;"Serviço",0,IF(OR(AND(AUTOEVENTO="Manual",$M98=1),$M98&gt;(ROW(PLE.lastrow)-ROW(PLE.firstrow))),0,IF(OFFSET(PLE!$G$14,$M98,BG$13)="",10^12,OFFSET(PLE!$G$14,$M98,BG$13))))</f>
        <v>1000000000000</v>
      </c>
    </row>
    <row r="99" spans="1:59" ht="13.2">
      <c r="A99" s="9" t="str">
        <f t="shared" ca="1" si="10"/>
        <v>15</v>
      </c>
      <c r="B99" s="9" t="str">
        <f ca="1">OFFSET(ORÇAMENTO!C$15,ROW(B99)-ROW(B$15),0)</f>
        <v>S</v>
      </c>
      <c r="C99" s="9" t="str">
        <f ca="1">OFFSET(ORÇAMENTO!L$15,ROW(C99)-ROW(C$15),0)</f>
        <v/>
      </c>
      <c r="D99" s="141" t="str">
        <f ca="1">OFFSET(ORÇAMENTO!N$15,ROW(D99)-ROW(D$15),0)</f>
        <v>Serviço</v>
      </c>
      <c r="E99" s="201" t="str">
        <f ca="1">OFFSET(ORÇAMENTO!O$15,ROW(E99)-ROW(E$15),0)</f>
        <v>-</v>
      </c>
      <c r="F99" s="202" t="str">
        <f ca="1">OFFSET(ORÇAMENTO!R$15,ROW(F99)-ROW(F$15),0)</f>
        <v>(abra o arquivo 'Referência 11-2024.xlsm)</v>
      </c>
      <c r="G99" s="203" t="str">
        <f ca="1">IF($D99&lt;&gt;"Serviço","",OFFSET(ORÇAMENTO!S$15,ROW(G99)-ROW(G$15),0))</f>
        <v>-</v>
      </c>
      <c r="H99" s="147">
        <f ca="1">IF($D99&lt;&gt;"Serviço",0,IF(ACOMPANHAMENTO="BM",ROUND(OFFSET(ORÇAMENTO!AJ$15,ROW(H99)-ROW(H$15),0),15-13*ORÇAMENTO!$AF$7),SUMPRODUCT(($Q$12:$AA$12&lt;&gt;"")*ROUND($Q99:$AA99,15-13*ORÇAMENTO!$AF$7))))</f>
        <v>0</v>
      </c>
      <c r="I99" s="645"/>
      <c r="K99" s="204"/>
      <c r="L99" s="205" t="s">
        <v>255</v>
      </c>
      <c r="M99" s="206">
        <f ca="1">IF($D99&lt;&gt;"Serviço","",IF(AUTOEVENTO="manual",$A99,IF(ISERROR(MATCH($A99,$A$15:OFFSET($A99,-1,0),0)),MAX($M$15:OFFSET(M99,-1,0))+1,INDEX($M$15:OFFSET(M99,-1,0),MATCH($A99,$A$15:OFFSET($A99,-1,0),0)))))</f>
        <v>6</v>
      </c>
      <c r="N99" s="207" t="str">
        <f ca="1">IF($D99&lt;&gt;"Serviço","",IF(AUTOEVENTO="Manual",IF($A99=0,"&lt;-- defina o número do agrupador",OFFSET(EVENTOS!$D$14,$A99,0)),OFFSET($F$15,$A99,0)))</f>
        <v>DRENAGEM</v>
      </c>
      <c r="O99" s="208"/>
      <c r="Q99" s="208"/>
      <c r="R99" s="209"/>
      <c r="S99" s="209"/>
      <c r="T99" s="209"/>
      <c r="U99" s="209"/>
      <c r="V99" s="209"/>
      <c r="W99" s="209"/>
      <c r="X99" s="209"/>
      <c r="Y99" s="209"/>
      <c r="Z99" s="210"/>
      <c r="AB99" s="626">
        <f ca="1">IF(AND($D99="Serviço",AB$12&lt;&gt;0,$H99&gt;0,OR(AUTOEVENTO&lt;&gt;"manual",$M99&lt;&gt;1)),
IF(Import.TipoArredondamento&lt;&gt;"TransfereGOV",
ROUND(OFFSET($P99,0,AB$13),15-13*ORÇAMENTO!$AF$7)/$H99*OFFSET(ORÇAMENTO!$X$15,ROW(AB99)-ROW(AB$15),0),
ROUND(ROUND(OFFSET($P99,0,AB$13),15-13*ORÇAMENTO!$AF$7)*OFFSET(ORÇAMENTO!$W$15,ROW(AB99)-ROW(AB$15),0),15-13*ORÇAMENTO!$AF$11)),0)</f>
        <v>0</v>
      </c>
      <c r="AC99" s="627">
        <f ca="1">IF(AND($D99="Serviço",AC$12&lt;&gt;0,$H99&gt;0,OR(AUTOEVENTO&lt;&gt;"manual",$M99&lt;&gt;1)),
IF(Import.TipoArredondamento&lt;&gt;"TransfereGOV",
ROUND(OFFSET($P99,0,AC$13),15-13*ORÇAMENTO!$AF$7)/$H99*OFFSET(ORÇAMENTO!$X$15,ROW(AC99)-ROW(AC$15),0),
ROUND(ROUND(OFFSET($P99,0,AC$13),15-13*ORÇAMENTO!$AF$7)*OFFSET(ORÇAMENTO!$W$15,ROW(AC99)-ROW(AC$15),0),15-13*ORÇAMENTO!$AF$11)),0)</f>
        <v>0</v>
      </c>
      <c r="AD99" s="627">
        <f ca="1">IF(AND($D99="Serviço",AD$12&lt;&gt;0,$H99&gt;0,OR(AUTOEVENTO&lt;&gt;"manual",$M99&lt;&gt;1)),
IF(Import.TipoArredondamento&lt;&gt;"TransfereGOV",
ROUND(OFFSET($P99,0,AD$13),15-13*ORÇAMENTO!$AF$7)/$H99*OFFSET(ORÇAMENTO!$X$15,ROW(AD99)-ROW(AD$15),0),
ROUND(ROUND(OFFSET($P99,0,AD$13),15-13*ORÇAMENTO!$AF$7)*OFFSET(ORÇAMENTO!$W$15,ROW(AD99)-ROW(AD$15),0),15-13*ORÇAMENTO!$AF$11)),0)</f>
        <v>0</v>
      </c>
      <c r="AE99" s="627">
        <f ca="1">IF(AND($D99="Serviço",AE$12&lt;&gt;0,$H99&gt;0,OR(AUTOEVENTO&lt;&gt;"manual",$M99&lt;&gt;1)),
IF(Import.TipoArredondamento&lt;&gt;"TransfereGOV",
ROUND(OFFSET($P99,0,AE$13),15-13*ORÇAMENTO!$AF$7)/$H99*OFFSET(ORÇAMENTO!$X$15,ROW(AE99)-ROW(AE$15),0),
ROUND(ROUND(OFFSET($P99,0,AE$13),15-13*ORÇAMENTO!$AF$7)*OFFSET(ORÇAMENTO!$W$15,ROW(AE99)-ROW(AE$15),0),15-13*ORÇAMENTO!$AF$11)),0)</f>
        <v>0</v>
      </c>
      <c r="AF99" s="627">
        <f ca="1">IF(AND($D99="Serviço",AF$12&lt;&gt;0,$H99&gt;0,OR(AUTOEVENTO&lt;&gt;"manual",$M99&lt;&gt;1)),
IF(Import.TipoArredondamento&lt;&gt;"TransfereGOV",
ROUND(OFFSET($P99,0,AF$13),15-13*ORÇAMENTO!$AF$7)/$H99*OFFSET(ORÇAMENTO!$X$15,ROW(AF99)-ROW(AF$15),0),
ROUND(ROUND(OFFSET($P99,0,AF$13),15-13*ORÇAMENTO!$AF$7)*OFFSET(ORÇAMENTO!$W$15,ROW(AF99)-ROW(AF$15),0),15-13*ORÇAMENTO!$AF$11)),0)</f>
        <v>0</v>
      </c>
      <c r="AG99" s="627">
        <f ca="1">IF(AND($D99="Serviço",AG$12&lt;&gt;0,$H99&gt;0,OR(AUTOEVENTO&lt;&gt;"manual",$M99&lt;&gt;1)),
IF(Import.TipoArredondamento&lt;&gt;"TransfereGOV",
ROUND(OFFSET($P99,0,AG$13),15-13*ORÇAMENTO!$AF$7)/$H99*OFFSET(ORÇAMENTO!$X$15,ROW(AG99)-ROW(AG$15),0),
ROUND(ROUND(OFFSET($P99,0,AG$13),15-13*ORÇAMENTO!$AF$7)*OFFSET(ORÇAMENTO!$W$15,ROW(AG99)-ROW(AG$15),0),15-13*ORÇAMENTO!$AF$11)),0)</f>
        <v>0</v>
      </c>
      <c r="AH99" s="627">
        <f ca="1">IF(AND($D99="Serviço",AH$12&lt;&gt;0,$H99&gt;0,OR(AUTOEVENTO&lt;&gt;"manual",$M99&lt;&gt;1)),
IF(Import.TipoArredondamento&lt;&gt;"TransfereGOV",
ROUND(OFFSET($P99,0,AH$13),15-13*ORÇAMENTO!$AF$7)/$H99*OFFSET(ORÇAMENTO!$X$15,ROW(AH99)-ROW(AH$15),0),
ROUND(ROUND(OFFSET($P99,0,AH$13),15-13*ORÇAMENTO!$AF$7)*OFFSET(ORÇAMENTO!$W$15,ROW(AH99)-ROW(AH$15),0),15-13*ORÇAMENTO!$AF$11)),0)</f>
        <v>0</v>
      </c>
      <c r="AI99" s="627">
        <f ca="1">IF(AND($D99="Serviço",AI$12&lt;&gt;0,$H99&gt;0,OR(AUTOEVENTO&lt;&gt;"manual",$M99&lt;&gt;1)),
IF(Import.TipoArredondamento&lt;&gt;"TransfereGOV",
ROUND(OFFSET($P99,0,AI$13),15-13*ORÇAMENTO!$AF$7)/$H99*OFFSET(ORÇAMENTO!$X$15,ROW(AI99)-ROW(AI$15),0),
ROUND(ROUND(OFFSET($P99,0,AI$13),15-13*ORÇAMENTO!$AF$7)*OFFSET(ORÇAMENTO!$W$15,ROW(AI99)-ROW(AI$15),0),15-13*ORÇAMENTO!$AF$11)),0)</f>
        <v>0</v>
      </c>
      <c r="AJ99" s="627">
        <f ca="1">IF(AND($D99="Serviço",AJ$12&lt;&gt;0,$H99&gt;0,OR(AUTOEVENTO&lt;&gt;"manual",$M99&lt;&gt;1)),
IF(Import.TipoArredondamento&lt;&gt;"TransfereGOV",
ROUND(OFFSET($P99,0,AJ$13),15-13*ORÇAMENTO!$AF$7)/$H99*OFFSET(ORÇAMENTO!$X$15,ROW(AJ99)-ROW(AJ$15),0),
ROUND(ROUND(OFFSET($P99,0,AJ$13),15-13*ORÇAMENTO!$AF$7)*OFFSET(ORÇAMENTO!$W$15,ROW(AJ99)-ROW(AJ$15),0),15-13*ORÇAMENTO!$AF$11)),0)</f>
        <v>0</v>
      </c>
      <c r="AK99" s="628">
        <f ca="1">IF(AND($D99="Serviço",AK$12&lt;&gt;0,$H99&gt;0,OR(AUTOEVENTO&lt;&gt;"manual",$M99&lt;&gt;1)),
IF(Import.TipoArredondamento&lt;&gt;"TransfereGOV",
ROUND(OFFSET($P99,0,AK$13),15-13*ORÇAMENTO!$AF$7)/$H99*OFFSET(ORÇAMENTO!$X$15,ROW(AK99)-ROW(AK$15),0),
ROUND(ROUND(OFFSET($P99,0,AK$13),15-13*ORÇAMENTO!$AF$7)*OFFSET(ORÇAMENTO!$W$15,ROW(AK99)-ROW(AK$15),0),15-13*ORÇAMENTO!$AF$11)),0)</f>
        <v>0</v>
      </c>
      <c r="AM99" s="211">
        <f ca="1">IF($D99&lt;&gt;"Serviço",0,IF(AND(AUTOEVENTO="Manual",$M99=1),0,IF(OFFSET(CRONOPLE!$F$14,$M99,AM$13)="",10^12,OFFSET(CRONOPLE!$F$14,$M99,AM$13))))</f>
        <v>2</v>
      </c>
      <c r="AN99" s="211">
        <f ca="1">IF($D99&lt;&gt;"Serviço",0,IF(AND(AUTOEVENTO="Manual",$M99=1),0,IF(OFFSET(CRONOPLE!$F$14,$M99,AN$13)="",10^12,OFFSET(CRONOPLE!$F$14,$M99,AN$13))))</f>
        <v>1</v>
      </c>
      <c r="AO99" s="211">
        <f ca="1">IF($D99&lt;&gt;"Serviço",0,IF(AND(AUTOEVENTO="Manual",$M99=1),0,IF(OFFSET(CRONOPLE!$F$14,$M99,AO$13)="",10^12,OFFSET(CRONOPLE!$F$14,$M99,AO$13))))</f>
        <v>2</v>
      </c>
      <c r="AP99" s="211">
        <f ca="1">IF($D99&lt;&gt;"Serviço",0,IF(AND(AUTOEVENTO="Manual",$M99=1),0,IF(OFFSET(CRONOPLE!$F$14,$M99,AP$13)="",10^12,OFFSET(CRONOPLE!$F$14,$M99,AP$13))))</f>
        <v>2</v>
      </c>
      <c r="AQ99" s="211">
        <f ca="1">IF($D99&lt;&gt;"Serviço",0,IF(AND(AUTOEVENTO="Manual",$M99=1),0,IF(OFFSET(CRONOPLE!$F$14,$M99,AQ$13)="",10^12,OFFSET(CRONOPLE!$F$14,$M99,AQ$13))))</f>
        <v>1000000000000</v>
      </c>
      <c r="AR99" s="211">
        <f ca="1">IF($D99&lt;&gt;"Serviço",0,IF(AND(AUTOEVENTO="Manual",$M99=1),0,IF(OFFSET(CRONOPLE!$F$14,$M99,AR$13)="",10^12,OFFSET(CRONOPLE!$F$14,$M99,AR$13))))</f>
        <v>1000000000000</v>
      </c>
      <c r="AS99" s="211">
        <f ca="1">IF($D99&lt;&gt;"Serviço",0,IF(AND(AUTOEVENTO="Manual",$M99=1),0,IF(OFFSET(CRONOPLE!$F$14,$M99,AS$13)="",10^12,OFFSET(CRONOPLE!$F$14,$M99,AS$13))))</f>
        <v>1000000000000</v>
      </c>
      <c r="AT99" s="211">
        <f ca="1">IF($D99&lt;&gt;"Serviço",0,IF(AND(AUTOEVENTO="Manual",$M99=1),0,IF(OFFSET(CRONOPLE!$F$14,$M99,AT$13)="",10^12,OFFSET(CRONOPLE!$F$14,$M99,AT$13))))</f>
        <v>1000000000000</v>
      </c>
      <c r="AU99" s="211">
        <f ca="1">IF($D99&lt;&gt;"Serviço",0,IF(AND(AUTOEVENTO="Manual",$M99=1),0,IF(OFFSET(CRONOPLE!$F$14,$M99,AU$13)="",10^12,OFFSET(CRONOPLE!$F$14,$M99,AU$13))))</f>
        <v>1000000000000</v>
      </c>
      <c r="AV99" s="211">
        <f ca="1">IF($D99&lt;&gt;"Serviço",0,IF(AND(AUTOEVENTO="Manual",$M99=1),0,IF(OFFSET(CRONOPLE!$F$14,$M99,AV$13)="",10^12,OFFSET(CRONOPLE!$F$14,$M99,AV$13))))</f>
        <v>1000000000000</v>
      </c>
      <c r="AX99" s="212">
        <f ca="1">IF($D99&lt;&gt;"Serviço",0,IF(OR(AND(AUTOEVENTO="Manual",$M99=1),$M99&gt;(ROW(PLE.lastrow)-ROW(PLE.firstrow))),0,IF(OFFSET(PLE!$G$14,$M99,AX$13)="",10^12,OFFSET(PLE!$G$14,$M99,AX$13))))</f>
        <v>1000000000000</v>
      </c>
      <c r="AY99" s="212">
        <f ca="1">IF($D99&lt;&gt;"Serviço",0,IF(OR(AND(AUTOEVENTO="Manual",$M99=1),$M99&gt;(ROW(PLE.lastrow)-ROW(PLE.firstrow))),0,IF(OFFSET(PLE!$G$14,$M99,AY$13)="",10^12,OFFSET(PLE!$G$14,$M99,AY$13))))</f>
        <v>1000000000000</v>
      </c>
      <c r="AZ99" s="212">
        <f ca="1">IF($D99&lt;&gt;"Serviço",0,IF(OR(AND(AUTOEVENTO="Manual",$M99=1),$M99&gt;(ROW(PLE.lastrow)-ROW(PLE.firstrow))),0,IF(OFFSET(PLE!$G$14,$M99,AZ$13)="",10^12,OFFSET(PLE!$G$14,$M99,AZ$13))))</f>
        <v>1000000000000</v>
      </c>
      <c r="BA99" s="212">
        <f ca="1">IF($D99&lt;&gt;"Serviço",0,IF(OR(AND(AUTOEVENTO="Manual",$M99=1),$M99&gt;(ROW(PLE.lastrow)-ROW(PLE.firstrow))),0,IF(OFFSET(PLE!$G$14,$M99,BA$13)="",10^12,OFFSET(PLE!$G$14,$M99,BA$13))))</f>
        <v>1000000000000</v>
      </c>
      <c r="BB99" s="212">
        <f ca="1">IF($D99&lt;&gt;"Serviço",0,IF(OR(AND(AUTOEVENTO="Manual",$M99=1),$M99&gt;(ROW(PLE.lastrow)-ROW(PLE.firstrow))),0,IF(OFFSET(PLE!$G$14,$M99,BB$13)="",10^12,OFFSET(PLE!$G$14,$M99,BB$13))))</f>
        <v>1000000000000</v>
      </c>
      <c r="BC99" s="212">
        <f ca="1">IF($D99&lt;&gt;"Serviço",0,IF(OR(AND(AUTOEVENTO="Manual",$M99=1),$M99&gt;(ROW(PLE.lastrow)-ROW(PLE.firstrow))),0,IF(OFFSET(PLE!$G$14,$M99,BC$13)="",10^12,OFFSET(PLE!$G$14,$M99,BC$13))))</f>
        <v>1000000000000</v>
      </c>
      <c r="BD99" s="212">
        <f ca="1">IF($D99&lt;&gt;"Serviço",0,IF(OR(AND(AUTOEVENTO="Manual",$M99=1),$M99&gt;(ROW(PLE.lastrow)-ROW(PLE.firstrow))),0,IF(OFFSET(PLE!$G$14,$M99,BD$13)="",10^12,OFFSET(PLE!$G$14,$M99,BD$13))))</f>
        <v>1000000000000</v>
      </c>
      <c r="BE99" s="212">
        <f ca="1">IF($D99&lt;&gt;"Serviço",0,IF(OR(AND(AUTOEVENTO="Manual",$M99=1),$M99&gt;(ROW(PLE.lastrow)-ROW(PLE.firstrow))),0,IF(OFFSET(PLE!$G$14,$M99,BE$13)="",10^12,OFFSET(PLE!$G$14,$M99,BE$13))))</f>
        <v>1000000000000</v>
      </c>
      <c r="BF99" s="212">
        <f ca="1">IF($D99&lt;&gt;"Serviço",0,IF(OR(AND(AUTOEVENTO="Manual",$M99=1),$M99&gt;(ROW(PLE.lastrow)-ROW(PLE.firstrow))),0,IF(OFFSET(PLE!$G$14,$M99,BF$13)="",10^12,OFFSET(PLE!$G$14,$M99,BF$13))))</f>
        <v>1000000000000</v>
      </c>
      <c r="BG99" s="212">
        <f ca="1">IF($D99&lt;&gt;"Serviço",0,IF(OR(AND(AUTOEVENTO="Manual",$M99=1),$M99&gt;(ROW(PLE.lastrow)-ROW(PLE.firstrow))),0,IF(OFFSET(PLE!$G$14,$M99,BG$13)="",10^12,OFFSET(PLE!$G$14,$M99,BG$13))))</f>
        <v>1000000000000</v>
      </c>
    </row>
    <row r="100" spans="1:59" ht="13.2">
      <c r="A100" s="9" t="str">
        <f t="shared" ca="1" si="10"/>
        <v>15</v>
      </c>
      <c r="B100" s="9" t="str">
        <f ca="1">OFFSET(ORÇAMENTO!C$15,ROW(B100)-ROW(B$15),0)</f>
        <v>S</v>
      </c>
      <c r="C100" s="9" t="str">
        <f ca="1">OFFSET(ORÇAMENTO!L$15,ROW(C100)-ROW(C$15),0)</f>
        <v/>
      </c>
      <c r="D100" s="141" t="str">
        <f ca="1">OFFSET(ORÇAMENTO!N$15,ROW(D100)-ROW(D$15),0)</f>
        <v>Serviço</v>
      </c>
      <c r="E100" s="201" t="str">
        <f ca="1">OFFSET(ORÇAMENTO!O$15,ROW(E100)-ROW(E$15),0)</f>
        <v>-</v>
      </c>
      <c r="F100" s="202" t="str">
        <f ca="1">OFFSET(ORÇAMENTO!R$15,ROW(F100)-ROW(F$15),0)</f>
        <v>(abra o arquivo 'Referência 11-2024.xlsm)</v>
      </c>
      <c r="G100" s="203" t="str">
        <f ca="1">IF($D100&lt;&gt;"Serviço","",OFFSET(ORÇAMENTO!S$15,ROW(G100)-ROW(G$15),0))</f>
        <v>-</v>
      </c>
      <c r="H100" s="147">
        <f ca="1">IF($D100&lt;&gt;"Serviço",0,IF(ACOMPANHAMENTO="BM",ROUND(OFFSET(ORÇAMENTO!AJ$15,ROW(H100)-ROW(H$15),0),15-13*ORÇAMENTO!$AF$7),SUMPRODUCT(($Q$12:$AA$12&lt;&gt;"")*ROUND($Q100:$AA100,15-13*ORÇAMENTO!$AF$7))))</f>
        <v>0</v>
      </c>
      <c r="I100" s="645"/>
      <c r="K100" s="204"/>
      <c r="L100" s="205" t="s">
        <v>255</v>
      </c>
      <c r="M100" s="206">
        <f ca="1">IF($D100&lt;&gt;"Serviço","",IF(AUTOEVENTO="manual",$A100,IF(ISERROR(MATCH($A100,$A$15:OFFSET($A100,-1,0),0)),MAX($M$15:OFFSET(M100,-1,0))+1,INDEX($M$15:OFFSET(M100,-1,0),MATCH($A100,$A$15:OFFSET($A100,-1,0),0)))))</f>
        <v>6</v>
      </c>
      <c r="N100" s="207" t="str">
        <f ca="1">IF($D100&lt;&gt;"Serviço","",IF(AUTOEVENTO="Manual",IF($A100=0,"&lt;-- defina o número do agrupador",OFFSET(EVENTOS!$D$14,$A100,0)),OFFSET($F$15,$A100,0)))</f>
        <v>DRENAGEM</v>
      </c>
      <c r="O100" s="208"/>
      <c r="Q100" s="208"/>
      <c r="R100" s="209"/>
      <c r="S100" s="209"/>
      <c r="T100" s="209"/>
      <c r="U100" s="209"/>
      <c r="V100" s="209"/>
      <c r="W100" s="209"/>
      <c r="X100" s="209"/>
      <c r="Y100" s="209"/>
      <c r="Z100" s="210"/>
      <c r="AB100" s="626">
        <f ca="1">IF(AND($D100="Serviço",AB$12&lt;&gt;0,$H100&gt;0,OR(AUTOEVENTO&lt;&gt;"manual",$M100&lt;&gt;1)),
IF(Import.TipoArredondamento&lt;&gt;"TransfereGOV",
ROUND(OFFSET($P100,0,AB$13),15-13*ORÇAMENTO!$AF$7)/$H100*OFFSET(ORÇAMENTO!$X$15,ROW(AB100)-ROW(AB$15),0),
ROUND(ROUND(OFFSET($P100,0,AB$13),15-13*ORÇAMENTO!$AF$7)*OFFSET(ORÇAMENTO!$W$15,ROW(AB100)-ROW(AB$15),0),15-13*ORÇAMENTO!$AF$11)),0)</f>
        <v>0</v>
      </c>
      <c r="AC100" s="627">
        <f ca="1">IF(AND($D100="Serviço",AC$12&lt;&gt;0,$H100&gt;0,OR(AUTOEVENTO&lt;&gt;"manual",$M100&lt;&gt;1)),
IF(Import.TipoArredondamento&lt;&gt;"TransfereGOV",
ROUND(OFFSET($P100,0,AC$13),15-13*ORÇAMENTO!$AF$7)/$H100*OFFSET(ORÇAMENTO!$X$15,ROW(AC100)-ROW(AC$15),0),
ROUND(ROUND(OFFSET($P100,0,AC$13),15-13*ORÇAMENTO!$AF$7)*OFFSET(ORÇAMENTO!$W$15,ROW(AC100)-ROW(AC$15),0),15-13*ORÇAMENTO!$AF$11)),0)</f>
        <v>0</v>
      </c>
      <c r="AD100" s="627">
        <f ca="1">IF(AND($D100="Serviço",AD$12&lt;&gt;0,$H100&gt;0,OR(AUTOEVENTO&lt;&gt;"manual",$M100&lt;&gt;1)),
IF(Import.TipoArredondamento&lt;&gt;"TransfereGOV",
ROUND(OFFSET($P100,0,AD$13),15-13*ORÇAMENTO!$AF$7)/$H100*OFFSET(ORÇAMENTO!$X$15,ROW(AD100)-ROW(AD$15),0),
ROUND(ROUND(OFFSET($P100,0,AD$13),15-13*ORÇAMENTO!$AF$7)*OFFSET(ORÇAMENTO!$W$15,ROW(AD100)-ROW(AD$15),0),15-13*ORÇAMENTO!$AF$11)),0)</f>
        <v>0</v>
      </c>
      <c r="AE100" s="627">
        <f ca="1">IF(AND($D100="Serviço",AE$12&lt;&gt;0,$H100&gt;0,OR(AUTOEVENTO&lt;&gt;"manual",$M100&lt;&gt;1)),
IF(Import.TipoArredondamento&lt;&gt;"TransfereGOV",
ROUND(OFFSET($P100,0,AE$13),15-13*ORÇAMENTO!$AF$7)/$H100*OFFSET(ORÇAMENTO!$X$15,ROW(AE100)-ROW(AE$15),0),
ROUND(ROUND(OFFSET($P100,0,AE$13),15-13*ORÇAMENTO!$AF$7)*OFFSET(ORÇAMENTO!$W$15,ROW(AE100)-ROW(AE$15),0),15-13*ORÇAMENTO!$AF$11)),0)</f>
        <v>0</v>
      </c>
      <c r="AF100" s="627">
        <f ca="1">IF(AND($D100="Serviço",AF$12&lt;&gt;0,$H100&gt;0,OR(AUTOEVENTO&lt;&gt;"manual",$M100&lt;&gt;1)),
IF(Import.TipoArredondamento&lt;&gt;"TransfereGOV",
ROUND(OFFSET($P100,0,AF$13),15-13*ORÇAMENTO!$AF$7)/$H100*OFFSET(ORÇAMENTO!$X$15,ROW(AF100)-ROW(AF$15),0),
ROUND(ROUND(OFFSET($P100,0,AF$13),15-13*ORÇAMENTO!$AF$7)*OFFSET(ORÇAMENTO!$W$15,ROW(AF100)-ROW(AF$15),0),15-13*ORÇAMENTO!$AF$11)),0)</f>
        <v>0</v>
      </c>
      <c r="AG100" s="627">
        <f ca="1">IF(AND($D100="Serviço",AG$12&lt;&gt;0,$H100&gt;0,OR(AUTOEVENTO&lt;&gt;"manual",$M100&lt;&gt;1)),
IF(Import.TipoArredondamento&lt;&gt;"TransfereGOV",
ROUND(OFFSET($P100,0,AG$13),15-13*ORÇAMENTO!$AF$7)/$H100*OFFSET(ORÇAMENTO!$X$15,ROW(AG100)-ROW(AG$15),0),
ROUND(ROUND(OFFSET($P100,0,AG$13),15-13*ORÇAMENTO!$AF$7)*OFFSET(ORÇAMENTO!$W$15,ROW(AG100)-ROW(AG$15),0),15-13*ORÇAMENTO!$AF$11)),0)</f>
        <v>0</v>
      </c>
      <c r="AH100" s="627">
        <f ca="1">IF(AND($D100="Serviço",AH$12&lt;&gt;0,$H100&gt;0,OR(AUTOEVENTO&lt;&gt;"manual",$M100&lt;&gt;1)),
IF(Import.TipoArredondamento&lt;&gt;"TransfereGOV",
ROUND(OFFSET($P100,0,AH$13),15-13*ORÇAMENTO!$AF$7)/$H100*OFFSET(ORÇAMENTO!$X$15,ROW(AH100)-ROW(AH$15),0),
ROUND(ROUND(OFFSET($P100,0,AH$13),15-13*ORÇAMENTO!$AF$7)*OFFSET(ORÇAMENTO!$W$15,ROW(AH100)-ROW(AH$15),0),15-13*ORÇAMENTO!$AF$11)),0)</f>
        <v>0</v>
      </c>
      <c r="AI100" s="627">
        <f ca="1">IF(AND($D100="Serviço",AI$12&lt;&gt;0,$H100&gt;0,OR(AUTOEVENTO&lt;&gt;"manual",$M100&lt;&gt;1)),
IF(Import.TipoArredondamento&lt;&gt;"TransfereGOV",
ROUND(OFFSET($P100,0,AI$13),15-13*ORÇAMENTO!$AF$7)/$H100*OFFSET(ORÇAMENTO!$X$15,ROW(AI100)-ROW(AI$15),0),
ROUND(ROUND(OFFSET($P100,0,AI$13),15-13*ORÇAMENTO!$AF$7)*OFFSET(ORÇAMENTO!$W$15,ROW(AI100)-ROW(AI$15),0),15-13*ORÇAMENTO!$AF$11)),0)</f>
        <v>0</v>
      </c>
      <c r="AJ100" s="627">
        <f ca="1">IF(AND($D100="Serviço",AJ$12&lt;&gt;0,$H100&gt;0,OR(AUTOEVENTO&lt;&gt;"manual",$M100&lt;&gt;1)),
IF(Import.TipoArredondamento&lt;&gt;"TransfereGOV",
ROUND(OFFSET($P100,0,AJ$13),15-13*ORÇAMENTO!$AF$7)/$H100*OFFSET(ORÇAMENTO!$X$15,ROW(AJ100)-ROW(AJ$15),0),
ROUND(ROUND(OFFSET($P100,0,AJ$13),15-13*ORÇAMENTO!$AF$7)*OFFSET(ORÇAMENTO!$W$15,ROW(AJ100)-ROW(AJ$15),0),15-13*ORÇAMENTO!$AF$11)),0)</f>
        <v>0</v>
      </c>
      <c r="AK100" s="628">
        <f ca="1">IF(AND($D100="Serviço",AK$12&lt;&gt;0,$H100&gt;0,OR(AUTOEVENTO&lt;&gt;"manual",$M100&lt;&gt;1)),
IF(Import.TipoArredondamento&lt;&gt;"TransfereGOV",
ROUND(OFFSET($P100,0,AK$13),15-13*ORÇAMENTO!$AF$7)/$H100*OFFSET(ORÇAMENTO!$X$15,ROW(AK100)-ROW(AK$15),0),
ROUND(ROUND(OFFSET($P100,0,AK$13),15-13*ORÇAMENTO!$AF$7)*OFFSET(ORÇAMENTO!$W$15,ROW(AK100)-ROW(AK$15),0),15-13*ORÇAMENTO!$AF$11)),0)</f>
        <v>0</v>
      </c>
      <c r="AM100" s="211">
        <f ca="1">IF($D100&lt;&gt;"Serviço",0,IF(AND(AUTOEVENTO="Manual",$M100=1),0,IF(OFFSET(CRONOPLE!$F$14,$M100,AM$13)="",10^12,OFFSET(CRONOPLE!$F$14,$M100,AM$13))))</f>
        <v>2</v>
      </c>
      <c r="AN100" s="211">
        <f ca="1">IF($D100&lt;&gt;"Serviço",0,IF(AND(AUTOEVENTO="Manual",$M100=1),0,IF(OFFSET(CRONOPLE!$F$14,$M100,AN$13)="",10^12,OFFSET(CRONOPLE!$F$14,$M100,AN$13))))</f>
        <v>1</v>
      </c>
      <c r="AO100" s="211">
        <f ca="1">IF($D100&lt;&gt;"Serviço",0,IF(AND(AUTOEVENTO="Manual",$M100=1),0,IF(OFFSET(CRONOPLE!$F$14,$M100,AO$13)="",10^12,OFFSET(CRONOPLE!$F$14,$M100,AO$13))))</f>
        <v>2</v>
      </c>
      <c r="AP100" s="211">
        <f ca="1">IF($D100&lt;&gt;"Serviço",0,IF(AND(AUTOEVENTO="Manual",$M100=1),0,IF(OFFSET(CRONOPLE!$F$14,$M100,AP$13)="",10^12,OFFSET(CRONOPLE!$F$14,$M100,AP$13))))</f>
        <v>2</v>
      </c>
      <c r="AQ100" s="211">
        <f ca="1">IF($D100&lt;&gt;"Serviço",0,IF(AND(AUTOEVENTO="Manual",$M100=1),0,IF(OFFSET(CRONOPLE!$F$14,$M100,AQ$13)="",10^12,OFFSET(CRONOPLE!$F$14,$M100,AQ$13))))</f>
        <v>1000000000000</v>
      </c>
      <c r="AR100" s="211">
        <f ca="1">IF($D100&lt;&gt;"Serviço",0,IF(AND(AUTOEVENTO="Manual",$M100=1),0,IF(OFFSET(CRONOPLE!$F$14,$M100,AR$13)="",10^12,OFFSET(CRONOPLE!$F$14,$M100,AR$13))))</f>
        <v>1000000000000</v>
      </c>
      <c r="AS100" s="211">
        <f ca="1">IF($D100&lt;&gt;"Serviço",0,IF(AND(AUTOEVENTO="Manual",$M100=1),0,IF(OFFSET(CRONOPLE!$F$14,$M100,AS$13)="",10^12,OFFSET(CRONOPLE!$F$14,$M100,AS$13))))</f>
        <v>1000000000000</v>
      </c>
      <c r="AT100" s="211">
        <f ca="1">IF($D100&lt;&gt;"Serviço",0,IF(AND(AUTOEVENTO="Manual",$M100=1),0,IF(OFFSET(CRONOPLE!$F$14,$M100,AT$13)="",10^12,OFFSET(CRONOPLE!$F$14,$M100,AT$13))))</f>
        <v>1000000000000</v>
      </c>
      <c r="AU100" s="211">
        <f ca="1">IF($D100&lt;&gt;"Serviço",0,IF(AND(AUTOEVENTO="Manual",$M100=1),0,IF(OFFSET(CRONOPLE!$F$14,$M100,AU$13)="",10^12,OFFSET(CRONOPLE!$F$14,$M100,AU$13))))</f>
        <v>1000000000000</v>
      </c>
      <c r="AV100" s="211">
        <f ca="1">IF($D100&lt;&gt;"Serviço",0,IF(AND(AUTOEVENTO="Manual",$M100=1),0,IF(OFFSET(CRONOPLE!$F$14,$M100,AV$13)="",10^12,OFFSET(CRONOPLE!$F$14,$M100,AV$13))))</f>
        <v>1000000000000</v>
      </c>
      <c r="AX100" s="212">
        <f ca="1">IF($D100&lt;&gt;"Serviço",0,IF(OR(AND(AUTOEVENTO="Manual",$M100=1),$M100&gt;(ROW(PLE.lastrow)-ROW(PLE.firstrow))),0,IF(OFFSET(PLE!$G$14,$M100,AX$13)="",10^12,OFFSET(PLE!$G$14,$M100,AX$13))))</f>
        <v>1000000000000</v>
      </c>
      <c r="AY100" s="212">
        <f ca="1">IF($D100&lt;&gt;"Serviço",0,IF(OR(AND(AUTOEVENTO="Manual",$M100=1),$M100&gt;(ROW(PLE.lastrow)-ROW(PLE.firstrow))),0,IF(OFFSET(PLE!$G$14,$M100,AY$13)="",10^12,OFFSET(PLE!$G$14,$M100,AY$13))))</f>
        <v>1000000000000</v>
      </c>
      <c r="AZ100" s="212">
        <f ca="1">IF($D100&lt;&gt;"Serviço",0,IF(OR(AND(AUTOEVENTO="Manual",$M100=1),$M100&gt;(ROW(PLE.lastrow)-ROW(PLE.firstrow))),0,IF(OFFSET(PLE!$G$14,$M100,AZ$13)="",10^12,OFFSET(PLE!$G$14,$M100,AZ$13))))</f>
        <v>1000000000000</v>
      </c>
      <c r="BA100" s="212">
        <f ca="1">IF($D100&lt;&gt;"Serviço",0,IF(OR(AND(AUTOEVENTO="Manual",$M100=1),$M100&gt;(ROW(PLE.lastrow)-ROW(PLE.firstrow))),0,IF(OFFSET(PLE!$G$14,$M100,BA$13)="",10^12,OFFSET(PLE!$G$14,$M100,BA$13))))</f>
        <v>1000000000000</v>
      </c>
      <c r="BB100" s="212">
        <f ca="1">IF($D100&lt;&gt;"Serviço",0,IF(OR(AND(AUTOEVENTO="Manual",$M100=1),$M100&gt;(ROW(PLE.lastrow)-ROW(PLE.firstrow))),0,IF(OFFSET(PLE!$G$14,$M100,BB$13)="",10^12,OFFSET(PLE!$G$14,$M100,BB$13))))</f>
        <v>1000000000000</v>
      </c>
      <c r="BC100" s="212">
        <f ca="1">IF($D100&lt;&gt;"Serviço",0,IF(OR(AND(AUTOEVENTO="Manual",$M100=1),$M100&gt;(ROW(PLE.lastrow)-ROW(PLE.firstrow))),0,IF(OFFSET(PLE!$G$14,$M100,BC$13)="",10^12,OFFSET(PLE!$G$14,$M100,BC$13))))</f>
        <v>1000000000000</v>
      </c>
      <c r="BD100" s="212">
        <f ca="1">IF($D100&lt;&gt;"Serviço",0,IF(OR(AND(AUTOEVENTO="Manual",$M100=1),$M100&gt;(ROW(PLE.lastrow)-ROW(PLE.firstrow))),0,IF(OFFSET(PLE!$G$14,$M100,BD$13)="",10^12,OFFSET(PLE!$G$14,$M100,BD$13))))</f>
        <v>1000000000000</v>
      </c>
      <c r="BE100" s="212">
        <f ca="1">IF($D100&lt;&gt;"Serviço",0,IF(OR(AND(AUTOEVENTO="Manual",$M100=1),$M100&gt;(ROW(PLE.lastrow)-ROW(PLE.firstrow))),0,IF(OFFSET(PLE!$G$14,$M100,BE$13)="",10^12,OFFSET(PLE!$G$14,$M100,BE$13))))</f>
        <v>1000000000000</v>
      </c>
      <c r="BF100" s="212">
        <f ca="1">IF($D100&lt;&gt;"Serviço",0,IF(OR(AND(AUTOEVENTO="Manual",$M100=1),$M100&gt;(ROW(PLE.lastrow)-ROW(PLE.firstrow))),0,IF(OFFSET(PLE!$G$14,$M100,BF$13)="",10^12,OFFSET(PLE!$G$14,$M100,BF$13))))</f>
        <v>1000000000000</v>
      </c>
      <c r="BG100" s="212">
        <f ca="1">IF($D100&lt;&gt;"Serviço",0,IF(OR(AND(AUTOEVENTO="Manual",$M100=1),$M100&gt;(ROW(PLE.lastrow)-ROW(PLE.firstrow))),0,IF(OFFSET(PLE!$G$14,$M100,BG$13)="",10^12,OFFSET(PLE!$G$14,$M100,BG$13))))</f>
        <v>1000000000000</v>
      </c>
    </row>
    <row r="101" spans="1:59" ht="13.2">
      <c r="A101" s="9" t="str">
        <f t="shared" ca="1" si="10"/>
        <v>15</v>
      </c>
      <c r="B101" s="9" t="str">
        <f ca="1">OFFSET(ORÇAMENTO!C$15,ROW(B101)-ROW(B$15),0)</f>
        <v>S</v>
      </c>
      <c r="C101" s="9" t="str">
        <f ca="1">OFFSET(ORÇAMENTO!L$15,ROW(C101)-ROW(C$15),0)</f>
        <v/>
      </c>
      <c r="D101" s="141" t="str">
        <f ca="1">OFFSET(ORÇAMENTO!N$15,ROW(D101)-ROW(D$15),0)</f>
        <v>Serviço</v>
      </c>
      <c r="E101" s="201" t="str">
        <f ca="1">OFFSET(ORÇAMENTO!O$15,ROW(E101)-ROW(E$15),0)</f>
        <v>-</v>
      </c>
      <c r="F101" s="202" t="str">
        <f ca="1">OFFSET(ORÇAMENTO!R$15,ROW(F101)-ROW(F$15),0)</f>
        <v>(abra o arquivo 'Referência 11-2024.xlsm)</v>
      </c>
      <c r="G101" s="203" t="str">
        <f ca="1">IF($D101&lt;&gt;"Serviço","",OFFSET(ORÇAMENTO!S$15,ROW(G101)-ROW(G$15),0))</f>
        <v>-</v>
      </c>
      <c r="H101" s="147">
        <f ca="1">IF($D101&lt;&gt;"Serviço",0,IF(ACOMPANHAMENTO="BM",ROUND(OFFSET(ORÇAMENTO!AJ$15,ROW(H101)-ROW(H$15),0),15-13*ORÇAMENTO!$AF$7),SUMPRODUCT(($Q$12:$AA$12&lt;&gt;"")*ROUND($Q101:$AA101,15-13*ORÇAMENTO!$AF$7))))</f>
        <v>0</v>
      </c>
      <c r="I101" s="645"/>
      <c r="K101" s="204"/>
      <c r="L101" s="205" t="s">
        <v>255</v>
      </c>
      <c r="M101" s="206">
        <f ca="1">IF($D101&lt;&gt;"Serviço","",IF(AUTOEVENTO="manual",$A101,IF(ISERROR(MATCH($A101,$A$15:OFFSET($A101,-1,0),0)),MAX($M$15:OFFSET(M101,-1,0))+1,INDEX($M$15:OFFSET(M101,-1,0),MATCH($A101,$A$15:OFFSET($A101,-1,0),0)))))</f>
        <v>6</v>
      </c>
      <c r="N101" s="207" t="str">
        <f ca="1">IF($D101&lt;&gt;"Serviço","",IF(AUTOEVENTO="Manual",IF($A101=0,"&lt;-- defina o número do agrupador",OFFSET(EVENTOS!$D$14,$A101,0)),OFFSET($F$15,$A101,0)))</f>
        <v>DRENAGEM</v>
      </c>
      <c r="O101" s="208"/>
      <c r="Q101" s="208"/>
      <c r="R101" s="209"/>
      <c r="S101" s="209"/>
      <c r="T101" s="209"/>
      <c r="U101" s="209"/>
      <c r="V101" s="209"/>
      <c r="W101" s="209"/>
      <c r="X101" s="209"/>
      <c r="Y101" s="209"/>
      <c r="Z101" s="210"/>
      <c r="AB101" s="626">
        <f ca="1">IF(AND($D101="Serviço",AB$12&lt;&gt;0,$H101&gt;0,OR(AUTOEVENTO&lt;&gt;"manual",$M101&lt;&gt;1)),
IF(Import.TipoArredondamento&lt;&gt;"TransfereGOV",
ROUND(OFFSET($P101,0,AB$13),15-13*ORÇAMENTO!$AF$7)/$H101*OFFSET(ORÇAMENTO!$X$15,ROW(AB101)-ROW(AB$15),0),
ROUND(ROUND(OFFSET($P101,0,AB$13),15-13*ORÇAMENTO!$AF$7)*OFFSET(ORÇAMENTO!$W$15,ROW(AB101)-ROW(AB$15),0),15-13*ORÇAMENTO!$AF$11)),0)</f>
        <v>0</v>
      </c>
      <c r="AC101" s="627">
        <f ca="1">IF(AND($D101="Serviço",AC$12&lt;&gt;0,$H101&gt;0,OR(AUTOEVENTO&lt;&gt;"manual",$M101&lt;&gt;1)),
IF(Import.TipoArredondamento&lt;&gt;"TransfereGOV",
ROUND(OFFSET($P101,0,AC$13),15-13*ORÇAMENTO!$AF$7)/$H101*OFFSET(ORÇAMENTO!$X$15,ROW(AC101)-ROW(AC$15),0),
ROUND(ROUND(OFFSET($P101,0,AC$13),15-13*ORÇAMENTO!$AF$7)*OFFSET(ORÇAMENTO!$W$15,ROW(AC101)-ROW(AC$15),0),15-13*ORÇAMENTO!$AF$11)),0)</f>
        <v>0</v>
      </c>
      <c r="AD101" s="627">
        <f ca="1">IF(AND($D101="Serviço",AD$12&lt;&gt;0,$H101&gt;0,OR(AUTOEVENTO&lt;&gt;"manual",$M101&lt;&gt;1)),
IF(Import.TipoArredondamento&lt;&gt;"TransfereGOV",
ROUND(OFFSET($P101,0,AD$13),15-13*ORÇAMENTO!$AF$7)/$H101*OFFSET(ORÇAMENTO!$X$15,ROW(AD101)-ROW(AD$15),0),
ROUND(ROUND(OFFSET($P101,0,AD$13),15-13*ORÇAMENTO!$AF$7)*OFFSET(ORÇAMENTO!$W$15,ROW(AD101)-ROW(AD$15),0),15-13*ORÇAMENTO!$AF$11)),0)</f>
        <v>0</v>
      </c>
      <c r="AE101" s="627">
        <f ca="1">IF(AND($D101="Serviço",AE$12&lt;&gt;0,$H101&gt;0,OR(AUTOEVENTO&lt;&gt;"manual",$M101&lt;&gt;1)),
IF(Import.TipoArredondamento&lt;&gt;"TransfereGOV",
ROUND(OFFSET($P101,0,AE$13),15-13*ORÇAMENTO!$AF$7)/$H101*OFFSET(ORÇAMENTO!$X$15,ROW(AE101)-ROW(AE$15),0),
ROUND(ROUND(OFFSET($P101,0,AE$13),15-13*ORÇAMENTO!$AF$7)*OFFSET(ORÇAMENTO!$W$15,ROW(AE101)-ROW(AE$15),0),15-13*ORÇAMENTO!$AF$11)),0)</f>
        <v>0</v>
      </c>
      <c r="AF101" s="627">
        <f ca="1">IF(AND($D101="Serviço",AF$12&lt;&gt;0,$H101&gt;0,OR(AUTOEVENTO&lt;&gt;"manual",$M101&lt;&gt;1)),
IF(Import.TipoArredondamento&lt;&gt;"TransfereGOV",
ROUND(OFFSET($P101,0,AF$13),15-13*ORÇAMENTO!$AF$7)/$H101*OFFSET(ORÇAMENTO!$X$15,ROW(AF101)-ROW(AF$15),0),
ROUND(ROUND(OFFSET($P101,0,AF$13),15-13*ORÇAMENTO!$AF$7)*OFFSET(ORÇAMENTO!$W$15,ROW(AF101)-ROW(AF$15),0),15-13*ORÇAMENTO!$AF$11)),0)</f>
        <v>0</v>
      </c>
      <c r="AG101" s="627">
        <f ca="1">IF(AND($D101="Serviço",AG$12&lt;&gt;0,$H101&gt;0,OR(AUTOEVENTO&lt;&gt;"manual",$M101&lt;&gt;1)),
IF(Import.TipoArredondamento&lt;&gt;"TransfereGOV",
ROUND(OFFSET($P101,0,AG$13),15-13*ORÇAMENTO!$AF$7)/$H101*OFFSET(ORÇAMENTO!$X$15,ROW(AG101)-ROW(AG$15),0),
ROUND(ROUND(OFFSET($P101,0,AG$13),15-13*ORÇAMENTO!$AF$7)*OFFSET(ORÇAMENTO!$W$15,ROW(AG101)-ROW(AG$15),0),15-13*ORÇAMENTO!$AF$11)),0)</f>
        <v>0</v>
      </c>
      <c r="AH101" s="627">
        <f ca="1">IF(AND($D101="Serviço",AH$12&lt;&gt;0,$H101&gt;0,OR(AUTOEVENTO&lt;&gt;"manual",$M101&lt;&gt;1)),
IF(Import.TipoArredondamento&lt;&gt;"TransfereGOV",
ROUND(OFFSET($P101,0,AH$13),15-13*ORÇAMENTO!$AF$7)/$H101*OFFSET(ORÇAMENTO!$X$15,ROW(AH101)-ROW(AH$15),0),
ROUND(ROUND(OFFSET($P101,0,AH$13),15-13*ORÇAMENTO!$AF$7)*OFFSET(ORÇAMENTO!$W$15,ROW(AH101)-ROW(AH$15),0),15-13*ORÇAMENTO!$AF$11)),0)</f>
        <v>0</v>
      </c>
      <c r="AI101" s="627">
        <f ca="1">IF(AND($D101="Serviço",AI$12&lt;&gt;0,$H101&gt;0,OR(AUTOEVENTO&lt;&gt;"manual",$M101&lt;&gt;1)),
IF(Import.TipoArredondamento&lt;&gt;"TransfereGOV",
ROUND(OFFSET($P101,0,AI$13),15-13*ORÇAMENTO!$AF$7)/$H101*OFFSET(ORÇAMENTO!$X$15,ROW(AI101)-ROW(AI$15),0),
ROUND(ROUND(OFFSET($P101,0,AI$13),15-13*ORÇAMENTO!$AF$7)*OFFSET(ORÇAMENTO!$W$15,ROW(AI101)-ROW(AI$15),0),15-13*ORÇAMENTO!$AF$11)),0)</f>
        <v>0</v>
      </c>
      <c r="AJ101" s="627">
        <f ca="1">IF(AND($D101="Serviço",AJ$12&lt;&gt;0,$H101&gt;0,OR(AUTOEVENTO&lt;&gt;"manual",$M101&lt;&gt;1)),
IF(Import.TipoArredondamento&lt;&gt;"TransfereGOV",
ROUND(OFFSET($P101,0,AJ$13),15-13*ORÇAMENTO!$AF$7)/$H101*OFFSET(ORÇAMENTO!$X$15,ROW(AJ101)-ROW(AJ$15),0),
ROUND(ROUND(OFFSET($P101,0,AJ$13),15-13*ORÇAMENTO!$AF$7)*OFFSET(ORÇAMENTO!$W$15,ROW(AJ101)-ROW(AJ$15),0),15-13*ORÇAMENTO!$AF$11)),0)</f>
        <v>0</v>
      </c>
      <c r="AK101" s="628">
        <f ca="1">IF(AND($D101="Serviço",AK$12&lt;&gt;0,$H101&gt;0,OR(AUTOEVENTO&lt;&gt;"manual",$M101&lt;&gt;1)),
IF(Import.TipoArredondamento&lt;&gt;"TransfereGOV",
ROUND(OFFSET($P101,0,AK$13),15-13*ORÇAMENTO!$AF$7)/$H101*OFFSET(ORÇAMENTO!$X$15,ROW(AK101)-ROW(AK$15),0),
ROUND(ROUND(OFFSET($P101,0,AK$13),15-13*ORÇAMENTO!$AF$7)*OFFSET(ORÇAMENTO!$W$15,ROW(AK101)-ROW(AK$15),0),15-13*ORÇAMENTO!$AF$11)),0)</f>
        <v>0</v>
      </c>
      <c r="AM101" s="211">
        <f ca="1">IF($D101&lt;&gt;"Serviço",0,IF(AND(AUTOEVENTO="Manual",$M101=1),0,IF(OFFSET(CRONOPLE!$F$14,$M101,AM$13)="",10^12,OFFSET(CRONOPLE!$F$14,$M101,AM$13))))</f>
        <v>2</v>
      </c>
      <c r="AN101" s="211">
        <f ca="1">IF($D101&lt;&gt;"Serviço",0,IF(AND(AUTOEVENTO="Manual",$M101=1),0,IF(OFFSET(CRONOPLE!$F$14,$M101,AN$13)="",10^12,OFFSET(CRONOPLE!$F$14,$M101,AN$13))))</f>
        <v>1</v>
      </c>
      <c r="AO101" s="211">
        <f ca="1">IF($D101&lt;&gt;"Serviço",0,IF(AND(AUTOEVENTO="Manual",$M101=1),0,IF(OFFSET(CRONOPLE!$F$14,$M101,AO$13)="",10^12,OFFSET(CRONOPLE!$F$14,$M101,AO$13))))</f>
        <v>2</v>
      </c>
      <c r="AP101" s="211">
        <f ca="1">IF($D101&lt;&gt;"Serviço",0,IF(AND(AUTOEVENTO="Manual",$M101=1),0,IF(OFFSET(CRONOPLE!$F$14,$M101,AP$13)="",10^12,OFFSET(CRONOPLE!$F$14,$M101,AP$13))))</f>
        <v>2</v>
      </c>
      <c r="AQ101" s="211">
        <f ca="1">IF($D101&lt;&gt;"Serviço",0,IF(AND(AUTOEVENTO="Manual",$M101=1),0,IF(OFFSET(CRONOPLE!$F$14,$M101,AQ$13)="",10^12,OFFSET(CRONOPLE!$F$14,$M101,AQ$13))))</f>
        <v>1000000000000</v>
      </c>
      <c r="AR101" s="211">
        <f ca="1">IF($D101&lt;&gt;"Serviço",0,IF(AND(AUTOEVENTO="Manual",$M101=1),0,IF(OFFSET(CRONOPLE!$F$14,$M101,AR$13)="",10^12,OFFSET(CRONOPLE!$F$14,$M101,AR$13))))</f>
        <v>1000000000000</v>
      </c>
      <c r="AS101" s="211">
        <f ca="1">IF($D101&lt;&gt;"Serviço",0,IF(AND(AUTOEVENTO="Manual",$M101=1),0,IF(OFFSET(CRONOPLE!$F$14,$M101,AS$13)="",10^12,OFFSET(CRONOPLE!$F$14,$M101,AS$13))))</f>
        <v>1000000000000</v>
      </c>
      <c r="AT101" s="211">
        <f ca="1">IF($D101&lt;&gt;"Serviço",0,IF(AND(AUTOEVENTO="Manual",$M101=1),0,IF(OFFSET(CRONOPLE!$F$14,$M101,AT$13)="",10^12,OFFSET(CRONOPLE!$F$14,$M101,AT$13))))</f>
        <v>1000000000000</v>
      </c>
      <c r="AU101" s="211">
        <f ca="1">IF($D101&lt;&gt;"Serviço",0,IF(AND(AUTOEVENTO="Manual",$M101=1),0,IF(OFFSET(CRONOPLE!$F$14,$M101,AU$13)="",10^12,OFFSET(CRONOPLE!$F$14,$M101,AU$13))))</f>
        <v>1000000000000</v>
      </c>
      <c r="AV101" s="211">
        <f ca="1">IF($D101&lt;&gt;"Serviço",0,IF(AND(AUTOEVENTO="Manual",$M101=1),0,IF(OFFSET(CRONOPLE!$F$14,$M101,AV$13)="",10^12,OFFSET(CRONOPLE!$F$14,$M101,AV$13))))</f>
        <v>1000000000000</v>
      </c>
      <c r="AX101" s="212">
        <f ca="1">IF($D101&lt;&gt;"Serviço",0,IF(OR(AND(AUTOEVENTO="Manual",$M101=1),$M101&gt;(ROW(PLE.lastrow)-ROW(PLE.firstrow))),0,IF(OFFSET(PLE!$G$14,$M101,AX$13)="",10^12,OFFSET(PLE!$G$14,$M101,AX$13))))</f>
        <v>1000000000000</v>
      </c>
      <c r="AY101" s="212">
        <f ca="1">IF($D101&lt;&gt;"Serviço",0,IF(OR(AND(AUTOEVENTO="Manual",$M101=1),$M101&gt;(ROW(PLE.lastrow)-ROW(PLE.firstrow))),0,IF(OFFSET(PLE!$G$14,$M101,AY$13)="",10^12,OFFSET(PLE!$G$14,$M101,AY$13))))</f>
        <v>1000000000000</v>
      </c>
      <c r="AZ101" s="212">
        <f ca="1">IF($D101&lt;&gt;"Serviço",0,IF(OR(AND(AUTOEVENTO="Manual",$M101=1),$M101&gt;(ROW(PLE.lastrow)-ROW(PLE.firstrow))),0,IF(OFFSET(PLE!$G$14,$M101,AZ$13)="",10^12,OFFSET(PLE!$G$14,$M101,AZ$13))))</f>
        <v>1000000000000</v>
      </c>
      <c r="BA101" s="212">
        <f ca="1">IF($D101&lt;&gt;"Serviço",0,IF(OR(AND(AUTOEVENTO="Manual",$M101=1),$M101&gt;(ROW(PLE.lastrow)-ROW(PLE.firstrow))),0,IF(OFFSET(PLE!$G$14,$M101,BA$13)="",10^12,OFFSET(PLE!$G$14,$M101,BA$13))))</f>
        <v>1000000000000</v>
      </c>
      <c r="BB101" s="212">
        <f ca="1">IF($D101&lt;&gt;"Serviço",0,IF(OR(AND(AUTOEVENTO="Manual",$M101=1),$M101&gt;(ROW(PLE.lastrow)-ROW(PLE.firstrow))),0,IF(OFFSET(PLE!$G$14,$M101,BB$13)="",10^12,OFFSET(PLE!$G$14,$M101,BB$13))))</f>
        <v>1000000000000</v>
      </c>
      <c r="BC101" s="212">
        <f ca="1">IF($D101&lt;&gt;"Serviço",0,IF(OR(AND(AUTOEVENTO="Manual",$M101=1),$M101&gt;(ROW(PLE.lastrow)-ROW(PLE.firstrow))),0,IF(OFFSET(PLE!$G$14,$M101,BC$13)="",10^12,OFFSET(PLE!$G$14,$M101,BC$13))))</f>
        <v>1000000000000</v>
      </c>
      <c r="BD101" s="212">
        <f ca="1">IF($D101&lt;&gt;"Serviço",0,IF(OR(AND(AUTOEVENTO="Manual",$M101=1),$M101&gt;(ROW(PLE.lastrow)-ROW(PLE.firstrow))),0,IF(OFFSET(PLE!$G$14,$M101,BD$13)="",10^12,OFFSET(PLE!$G$14,$M101,BD$13))))</f>
        <v>1000000000000</v>
      </c>
      <c r="BE101" s="212">
        <f ca="1">IF($D101&lt;&gt;"Serviço",0,IF(OR(AND(AUTOEVENTO="Manual",$M101=1),$M101&gt;(ROW(PLE.lastrow)-ROW(PLE.firstrow))),0,IF(OFFSET(PLE!$G$14,$M101,BE$13)="",10^12,OFFSET(PLE!$G$14,$M101,BE$13))))</f>
        <v>1000000000000</v>
      </c>
      <c r="BF101" s="212">
        <f ca="1">IF($D101&lt;&gt;"Serviço",0,IF(OR(AND(AUTOEVENTO="Manual",$M101=1),$M101&gt;(ROW(PLE.lastrow)-ROW(PLE.firstrow))),0,IF(OFFSET(PLE!$G$14,$M101,BF$13)="",10^12,OFFSET(PLE!$G$14,$M101,BF$13))))</f>
        <v>1000000000000</v>
      </c>
      <c r="BG101" s="212">
        <f ca="1">IF($D101&lt;&gt;"Serviço",0,IF(OR(AND(AUTOEVENTO="Manual",$M101=1),$M101&gt;(ROW(PLE.lastrow)-ROW(PLE.firstrow))),0,IF(OFFSET(PLE!$G$14,$M101,BG$13)="",10^12,OFFSET(PLE!$G$14,$M101,BG$13))))</f>
        <v>1000000000000</v>
      </c>
    </row>
    <row r="102" spans="1:59" ht="13.2">
      <c r="A102" s="9" t="str">
        <f t="shared" ca="1" si="10"/>
        <v>15</v>
      </c>
      <c r="B102" s="9" t="str">
        <f ca="1">OFFSET(ORÇAMENTO!C$15,ROW(B102)-ROW(B$15),0)</f>
        <v>S</v>
      </c>
      <c r="C102" s="9" t="str">
        <f ca="1">OFFSET(ORÇAMENTO!L$15,ROW(C102)-ROW(C$15),0)</f>
        <v/>
      </c>
      <c r="D102" s="141" t="str">
        <f ca="1">OFFSET(ORÇAMENTO!N$15,ROW(D102)-ROW(D$15),0)</f>
        <v>Serviço</v>
      </c>
      <c r="E102" s="201" t="str">
        <f ca="1">OFFSET(ORÇAMENTO!O$15,ROW(E102)-ROW(E$15),0)</f>
        <v>-</v>
      </c>
      <c r="F102" s="202" t="str">
        <f ca="1">OFFSET(ORÇAMENTO!R$15,ROW(F102)-ROW(F$15),0)</f>
        <v>(abra o arquivo 'Referência 11-2024.xlsm)</v>
      </c>
      <c r="G102" s="203" t="str">
        <f ca="1">IF($D102&lt;&gt;"Serviço","",OFFSET(ORÇAMENTO!S$15,ROW(G102)-ROW(G$15),0))</f>
        <v>-</v>
      </c>
      <c r="H102" s="147">
        <f ca="1">IF($D102&lt;&gt;"Serviço",0,IF(ACOMPANHAMENTO="BM",ROUND(OFFSET(ORÇAMENTO!AJ$15,ROW(H102)-ROW(H$15),0),15-13*ORÇAMENTO!$AF$7),SUMPRODUCT(($Q$12:$AA$12&lt;&gt;"")*ROUND($Q102:$AA102,15-13*ORÇAMENTO!$AF$7))))</f>
        <v>0</v>
      </c>
      <c r="I102" s="645"/>
      <c r="K102" s="204"/>
      <c r="L102" s="205" t="s">
        <v>255</v>
      </c>
      <c r="M102" s="206">
        <f ca="1">IF($D102&lt;&gt;"Serviço","",IF(AUTOEVENTO="manual",$A102,IF(ISERROR(MATCH($A102,$A$15:OFFSET($A102,-1,0),0)),MAX($M$15:OFFSET(M102,-1,0))+1,INDEX($M$15:OFFSET(M102,-1,0),MATCH($A102,$A$15:OFFSET($A102,-1,0),0)))))</f>
        <v>6</v>
      </c>
      <c r="N102" s="207" t="str">
        <f ca="1">IF($D102&lt;&gt;"Serviço","",IF(AUTOEVENTO="Manual",IF($A102=0,"&lt;-- defina o número do agrupador",OFFSET(EVENTOS!$D$14,$A102,0)),OFFSET($F$15,$A102,0)))</f>
        <v>DRENAGEM</v>
      </c>
      <c r="O102" s="208"/>
      <c r="Q102" s="208"/>
      <c r="R102" s="209"/>
      <c r="S102" s="209"/>
      <c r="T102" s="209"/>
      <c r="U102" s="209"/>
      <c r="V102" s="209"/>
      <c r="W102" s="209"/>
      <c r="X102" s="209"/>
      <c r="Y102" s="209"/>
      <c r="Z102" s="210"/>
      <c r="AB102" s="626">
        <f ca="1">IF(AND($D102="Serviço",AB$12&lt;&gt;0,$H102&gt;0,OR(AUTOEVENTO&lt;&gt;"manual",$M102&lt;&gt;1)),
IF(Import.TipoArredondamento&lt;&gt;"TransfereGOV",
ROUND(OFFSET($P102,0,AB$13),15-13*ORÇAMENTO!$AF$7)/$H102*OFFSET(ORÇAMENTO!$X$15,ROW(AB102)-ROW(AB$15),0),
ROUND(ROUND(OFFSET($P102,0,AB$13),15-13*ORÇAMENTO!$AF$7)*OFFSET(ORÇAMENTO!$W$15,ROW(AB102)-ROW(AB$15),0),15-13*ORÇAMENTO!$AF$11)),0)</f>
        <v>0</v>
      </c>
      <c r="AC102" s="627">
        <f ca="1">IF(AND($D102="Serviço",AC$12&lt;&gt;0,$H102&gt;0,OR(AUTOEVENTO&lt;&gt;"manual",$M102&lt;&gt;1)),
IF(Import.TipoArredondamento&lt;&gt;"TransfereGOV",
ROUND(OFFSET($P102,0,AC$13),15-13*ORÇAMENTO!$AF$7)/$H102*OFFSET(ORÇAMENTO!$X$15,ROW(AC102)-ROW(AC$15),0),
ROUND(ROUND(OFFSET($P102,0,AC$13),15-13*ORÇAMENTO!$AF$7)*OFFSET(ORÇAMENTO!$W$15,ROW(AC102)-ROW(AC$15),0),15-13*ORÇAMENTO!$AF$11)),0)</f>
        <v>0</v>
      </c>
      <c r="AD102" s="627">
        <f ca="1">IF(AND($D102="Serviço",AD$12&lt;&gt;0,$H102&gt;0,OR(AUTOEVENTO&lt;&gt;"manual",$M102&lt;&gt;1)),
IF(Import.TipoArredondamento&lt;&gt;"TransfereGOV",
ROUND(OFFSET($P102,0,AD$13),15-13*ORÇAMENTO!$AF$7)/$H102*OFFSET(ORÇAMENTO!$X$15,ROW(AD102)-ROW(AD$15),0),
ROUND(ROUND(OFFSET($P102,0,AD$13),15-13*ORÇAMENTO!$AF$7)*OFFSET(ORÇAMENTO!$W$15,ROW(AD102)-ROW(AD$15),0),15-13*ORÇAMENTO!$AF$11)),0)</f>
        <v>0</v>
      </c>
      <c r="AE102" s="627">
        <f ca="1">IF(AND($D102="Serviço",AE$12&lt;&gt;0,$H102&gt;0,OR(AUTOEVENTO&lt;&gt;"manual",$M102&lt;&gt;1)),
IF(Import.TipoArredondamento&lt;&gt;"TransfereGOV",
ROUND(OFFSET($P102,0,AE$13),15-13*ORÇAMENTO!$AF$7)/$H102*OFFSET(ORÇAMENTO!$X$15,ROW(AE102)-ROW(AE$15),0),
ROUND(ROUND(OFFSET($P102,0,AE$13),15-13*ORÇAMENTO!$AF$7)*OFFSET(ORÇAMENTO!$W$15,ROW(AE102)-ROW(AE$15),0),15-13*ORÇAMENTO!$AF$11)),0)</f>
        <v>0</v>
      </c>
      <c r="AF102" s="627">
        <f ca="1">IF(AND($D102="Serviço",AF$12&lt;&gt;0,$H102&gt;0,OR(AUTOEVENTO&lt;&gt;"manual",$M102&lt;&gt;1)),
IF(Import.TipoArredondamento&lt;&gt;"TransfereGOV",
ROUND(OFFSET($P102,0,AF$13),15-13*ORÇAMENTO!$AF$7)/$H102*OFFSET(ORÇAMENTO!$X$15,ROW(AF102)-ROW(AF$15),0),
ROUND(ROUND(OFFSET($P102,0,AF$13),15-13*ORÇAMENTO!$AF$7)*OFFSET(ORÇAMENTO!$W$15,ROW(AF102)-ROW(AF$15),0),15-13*ORÇAMENTO!$AF$11)),0)</f>
        <v>0</v>
      </c>
      <c r="AG102" s="627">
        <f ca="1">IF(AND($D102="Serviço",AG$12&lt;&gt;0,$H102&gt;0,OR(AUTOEVENTO&lt;&gt;"manual",$M102&lt;&gt;1)),
IF(Import.TipoArredondamento&lt;&gt;"TransfereGOV",
ROUND(OFFSET($P102,0,AG$13),15-13*ORÇAMENTO!$AF$7)/$H102*OFFSET(ORÇAMENTO!$X$15,ROW(AG102)-ROW(AG$15),0),
ROUND(ROUND(OFFSET($P102,0,AG$13),15-13*ORÇAMENTO!$AF$7)*OFFSET(ORÇAMENTO!$W$15,ROW(AG102)-ROW(AG$15),0),15-13*ORÇAMENTO!$AF$11)),0)</f>
        <v>0</v>
      </c>
      <c r="AH102" s="627">
        <f ca="1">IF(AND($D102="Serviço",AH$12&lt;&gt;0,$H102&gt;0,OR(AUTOEVENTO&lt;&gt;"manual",$M102&lt;&gt;1)),
IF(Import.TipoArredondamento&lt;&gt;"TransfereGOV",
ROUND(OFFSET($P102,0,AH$13),15-13*ORÇAMENTO!$AF$7)/$H102*OFFSET(ORÇAMENTO!$X$15,ROW(AH102)-ROW(AH$15),0),
ROUND(ROUND(OFFSET($P102,0,AH$13),15-13*ORÇAMENTO!$AF$7)*OFFSET(ORÇAMENTO!$W$15,ROW(AH102)-ROW(AH$15),0),15-13*ORÇAMENTO!$AF$11)),0)</f>
        <v>0</v>
      </c>
      <c r="AI102" s="627">
        <f ca="1">IF(AND($D102="Serviço",AI$12&lt;&gt;0,$H102&gt;0,OR(AUTOEVENTO&lt;&gt;"manual",$M102&lt;&gt;1)),
IF(Import.TipoArredondamento&lt;&gt;"TransfereGOV",
ROUND(OFFSET($P102,0,AI$13),15-13*ORÇAMENTO!$AF$7)/$H102*OFFSET(ORÇAMENTO!$X$15,ROW(AI102)-ROW(AI$15),0),
ROUND(ROUND(OFFSET($P102,0,AI$13),15-13*ORÇAMENTO!$AF$7)*OFFSET(ORÇAMENTO!$W$15,ROW(AI102)-ROW(AI$15),0),15-13*ORÇAMENTO!$AF$11)),0)</f>
        <v>0</v>
      </c>
      <c r="AJ102" s="627">
        <f ca="1">IF(AND($D102="Serviço",AJ$12&lt;&gt;0,$H102&gt;0,OR(AUTOEVENTO&lt;&gt;"manual",$M102&lt;&gt;1)),
IF(Import.TipoArredondamento&lt;&gt;"TransfereGOV",
ROUND(OFFSET($P102,0,AJ$13),15-13*ORÇAMENTO!$AF$7)/$H102*OFFSET(ORÇAMENTO!$X$15,ROW(AJ102)-ROW(AJ$15),0),
ROUND(ROUND(OFFSET($P102,0,AJ$13),15-13*ORÇAMENTO!$AF$7)*OFFSET(ORÇAMENTO!$W$15,ROW(AJ102)-ROW(AJ$15),0),15-13*ORÇAMENTO!$AF$11)),0)</f>
        <v>0</v>
      </c>
      <c r="AK102" s="628">
        <f ca="1">IF(AND($D102="Serviço",AK$12&lt;&gt;0,$H102&gt;0,OR(AUTOEVENTO&lt;&gt;"manual",$M102&lt;&gt;1)),
IF(Import.TipoArredondamento&lt;&gt;"TransfereGOV",
ROUND(OFFSET($P102,0,AK$13),15-13*ORÇAMENTO!$AF$7)/$H102*OFFSET(ORÇAMENTO!$X$15,ROW(AK102)-ROW(AK$15),0),
ROUND(ROUND(OFFSET($P102,0,AK$13),15-13*ORÇAMENTO!$AF$7)*OFFSET(ORÇAMENTO!$W$15,ROW(AK102)-ROW(AK$15),0),15-13*ORÇAMENTO!$AF$11)),0)</f>
        <v>0</v>
      </c>
      <c r="AM102" s="211">
        <f ca="1">IF($D102&lt;&gt;"Serviço",0,IF(AND(AUTOEVENTO="Manual",$M102=1),0,IF(OFFSET(CRONOPLE!$F$14,$M102,AM$13)="",10^12,OFFSET(CRONOPLE!$F$14,$M102,AM$13))))</f>
        <v>2</v>
      </c>
      <c r="AN102" s="211">
        <f ca="1">IF($D102&lt;&gt;"Serviço",0,IF(AND(AUTOEVENTO="Manual",$M102=1),0,IF(OFFSET(CRONOPLE!$F$14,$M102,AN$13)="",10^12,OFFSET(CRONOPLE!$F$14,$M102,AN$13))))</f>
        <v>1</v>
      </c>
      <c r="AO102" s="211">
        <f ca="1">IF($D102&lt;&gt;"Serviço",0,IF(AND(AUTOEVENTO="Manual",$M102=1),0,IF(OFFSET(CRONOPLE!$F$14,$M102,AO$13)="",10^12,OFFSET(CRONOPLE!$F$14,$M102,AO$13))))</f>
        <v>2</v>
      </c>
      <c r="AP102" s="211">
        <f ca="1">IF($D102&lt;&gt;"Serviço",0,IF(AND(AUTOEVENTO="Manual",$M102=1),0,IF(OFFSET(CRONOPLE!$F$14,$M102,AP$13)="",10^12,OFFSET(CRONOPLE!$F$14,$M102,AP$13))))</f>
        <v>2</v>
      </c>
      <c r="AQ102" s="211">
        <f ca="1">IF($D102&lt;&gt;"Serviço",0,IF(AND(AUTOEVENTO="Manual",$M102=1),0,IF(OFFSET(CRONOPLE!$F$14,$M102,AQ$13)="",10^12,OFFSET(CRONOPLE!$F$14,$M102,AQ$13))))</f>
        <v>1000000000000</v>
      </c>
      <c r="AR102" s="211">
        <f ca="1">IF($D102&lt;&gt;"Serviço",0,IF(AND(AUTOEVENTO="Manual",$M102=1),0,IF(OFFSET(CRONOPLE!$F$14,$M102,AR$13)="",10^12,OFFSET(CRONOPLE!$F$14,$M102,AR$13))))</f>
        <v>1000000000000</v>
      </c>
      <c r="AS102" s="211">
        <f ca="1">IF($D102&lt;&gt;"Serviço",0,IF(AND(AUTOEVENTO="Manual",$M102=1),0,IF(OFFSET(CRONOPLE!$F$14,$M102,AS$13)="",10^12,OFFSET(CRONOPLE!$F$14,$M102,AS$13))))</f>
        <v>1000000000000</v>
      </c>
      <c r="AT102" s="211">
        <f ca="1">IF($D102&lt;&gt;"Serviço",0,IF(AND(AUTOEVENTO="Manual",$M102=1),0,IF(OFFSET(CRONOPLE!$F$14,$M102,AT$13)="",10^12,OFFSET(CRONOPLE!$F$14,$M102,AT$13))))</f>
        <v>1000000000000</v>
      </c>
      <c r="AU102" s="211">
        <f ca="1">IF($D102&lt;&gt;"Serviço",0,IF(AND(AUTOEVENTO="Manual",$M102=1),0,IF(OFFSET(CRONOPLE!$F$14,$M102,AU$13)="",10^12,OFFSET(CRONOPLE!$F$14,$M102,AU$13))))</f>
        <v>1000000000000</v>
      </c>
      <c r="AV102" s="211">
        <f ca="1">IF($D102&lt;&gt;"Serviço",0,IF(AND(AUTOEVENTO="Manual",$M102=1),0,IF(OFFSET(CRONOPLE!$F$14,$M102,AV$13)="",10^12,OFFSET(CRONOPLE!$F$14,$M102,AV$13))))</f>
        <v>1000000000000</v>
      </c>
      <c r="AX102" s="212">
        <f ca="1">IF($D102&lt;&gt;"Serviço",0,IF(OR(AND(AUTOEVENTO="Manual",$M102=1),$M102&gt;(ROW(PLE.lastrow)-ROW(PLE.firstrow))),0,IF(OFFSET(PLE!$G$14,$M102,AX$13)="",10^12,OFFSET(PLE!$G$14,$M102,AX$13))))</f>
        <v>1000000000000</v>
      </c>
      <c r="AY102" s="212">
        <f ca="1">IF($D102&lt;&gt;"Serviço",0,IF(OR(AND(AUTOEVENTO="Manual",$M102=1),$M102&gt;(ROW(PLE.lastrow)-ROW(PLE.firstrow))),0,IF(OFFSET(PLE!$G$14,$M102,AY$13)="",10^12,OFFSET(PLE!$G$14,$M102,AY$13))))</f>
        <v>1000000000000</v>
      </c>
      <c r="AZ102" s="212">
        <f ca="1">IF($D102&lt;&gt;"Serviço",0,IF(OR(AND(AUTOEVENTO="Manual",$M102=1),$M102&gt;(ROW(PLE.lastrow)-ROW(PLE.firstrow))),0,IF(OFFSET(PLE!$G$14,$M102,AZ$13)="",10^12,OFFSET(PLE!$G$14,$M102,AZ$13))))</f>
        <v>1000000000000</v>
      </c>
      <c r="BA102" s="212">
        <f ca="1">IF($D102&lt;&gt;"Serviço",0,IF(OR(AND(AUTOEVENTO="Manual",$M102=1),$M102&gt;(ROW(PLE.lastrow)-ROW(PLE.firstrow))),0,IF(OFFSET(PLE!$G$14,$M102,BA$13)="",10^12,OFFSET(PLE!$G$14,$M102,BA$13))))</f>
        <v>1000000000000</v>
      </c>
      <c r="BB102" s="212">
        <f ca="1">IF($D102&lt;&gt;"Serviço",0,IF(OR(AND(AUTOEVENTO="Manual",$M102=1),$M102&gt;(ROW(PLE.lastrow)-ROW(PLE.firstrow))),0,IF(OFFSET(PLE!$G$14,$M102,BB$13)="",10^12,OFFSET(PLE!$G$14,$M102,BB$13))))</f>
        <v>1000000000000</v>
      </c>
      <c r="BC102" s="212">
        <f ca="1">IF($D102&lt;&gt;"Serviço",0,IF(OR(AND(AUTOEVENTO="Manual",$M102=1),$M102&gt;(ROW(PLE.lastrow)-ROW(PLE.firstrow))),0,IF(OFFSET(PLE!$G$14,$M102,BC$13)="",10^12,OFFSET(PLE!$G$14,$M102,BC$13))))</f>
        <v>1000000000000</v>
      </c>
      <c r="BD102" s="212">
        <f ca="1">IF($D102&lt;&gt;"Serviço",0,IF(OR(AND(AUTOEVENTO="Manual",$M102=1),$M102&gt;(ROW(PLE.lastrow)-ROW(PLE.firstrow))),0,IF(OFFSET(PLE!$G$14,$M102,BD$13)="",10^12,OFFSET(PLE!$G$14,$M102,BD$13))))</f>
        <v>1000000000000</v>
      </c>
      <c r="BE102" s="212">
        <f ca="1">IF($D102&lt;&gt;"Serviço",0,IF(OR(AND(AUTOEVENTO="Manual",$M102=1),$M102&gt;(ROW(PLE.lastrow)-ROW(PLE.firstrow))),0,IF(OFFSET(PLE!$G$14,$M102,BE$13)="",10^12,OFFSET(PLE!$G$14,$M102,BE$13))))</f>
        <v>1000000000000</v>
      </c>
      <c r="BF102" s="212">
        <f ca="1">IF($D102&lt;&gt;"Serviço",0,IF(OR(AND(AUTOEVENTO="Manual",$M102=1),$M102&gt;(ROW(PLE.lastrow)-ROW(PLE.firstrow))),0,IF(OFFSET(PLE!$G$14,$M102,BF$13)="",10^12,OFFSET(PLE!$G$14,$M102,BF$13))))</f>
        <v>1000000000000</v>
      </c>
      <c r="BG102" s="212">
        <f ca="1">IF($D102&lt;&gt;"Serviço",0,IF(OR(AND(AUTOEVENTO="Manual",$M102=1),$M102&gt;(ROW(PLE.lastrow)-ROW(PLE.firstrow))),0,IF(OFFSET(PLE!$G$14,$M102,BG$13)="",10^12,OFFSET(PLE!$G$14,$M102,BG$13))))</f>
        <v>1000000000000</v>
      </c>
    </row>
    <row r="103" spans="1:59" ht="13.2">
      <c r="A103" s="9" t="str">
        <f t="shared" ca="1" si="10"/>
        <v>15</v>
      </c>
      <c r="B103" s="9" t="str">
        <f ca="1">OFFSET(ORÇAMENTO!C$15,ROW(B103)-ROW(B$15),0)</f>
        <v>S</v>
      </c>
      <c r="C103" s="9" t="str">
        <f ca="1">OFFSET(ORÇAMENTO!L$15,ROW(C103)-ROW(C$15),0)</f>
        <v/>
      </c>
      <c r="D103" s="141" t="str">
        <f ca="1">OFFSET(ORÇAMENTO!N$15,ROW(D103)-ROW(D$15),0)</f>
        <v>Serviço</v>
      </c>
      <c r="E103" s="201" t="str">
        <f ca="1">OFFSET(ORÇAMENTO!O$15,ROW(E103)-ROW(E$15),0)</f>
        <v>-</v>
      </c>
      <c r="F103" s="202" t="str">
        <f ca="1">OFFSET(ORÇAMENTO!R$15,ROW(F103)-ROW(F$15),0)</f>
        <v>(abra o arquivo 'Referência 11-2024.xlsm)</v>
      </c>
      <c r="G103" s="203" t="str">
        <f ca="1">IF($D103&lt;&gt;"Serviço","",OFFSET(ORÇAMENTO!S$15,ROW(G103)-ROW(G$15),0))</f>
        <v>-</v>
      </c>
      <c r="H103" s="147">
        <f ca="1">IF($D103&lt;&gt;"Serviço",0,IF(ACOMPANHAMENTO="BM",ROUND(OFFSET(ORÇAMENTO!AJ$15,ROW(H103)-ROW(H$15),0),15-13*ORÇAMENTO!$AF$7),SUMPRODUCT(($Q$12:$AA$12&lt;&gt;"")*ROUND($Q103:$AA103,15-13*ORÇAMENTO!$AF$7))))</f>
        <v>0</v>
      </c>
      <c r="I103" s="645"/>
      <c r="K103" s="204"/>
      <c r="L103" s="205" t="s">
        <v>255</v>
      </c>
      <c r="M103" s="206">
        <f ca="1">IF($D103&lt;&gt;"Serviço","",IF(AUTOEVENTO="manual",$A103,IF(ISERROR(MATCH($A103,$A$15:OFFSET($A103,-1,0),0)),MAX($M$15:OFFSET(M103,-1,0))+1,INDEX($M$15:OFFSET(M103,-1,0),MATCH($A103,$A$15:OFFSET($A103,-1,0),0)))))</f>
        <v>6</v>
      </c>
      <c r="N103" s="207" t="str">
        <f ca="1">IF($D103&lt;&gt;"Serviço","",IF(AUTOEVENTO="Manual",IF($A103=0,"&lt;-- defina o número do agrupador",OFFSET(EVENTOS!$D$14,$A103,0)),OFFSET($F$15,$A103,0)))</f>
        <v>DRENAGEM</v>
      </c>
      <c r="O103" s="208"/>
      <c r="Q103" s="208"/>
      <c r="R103" s="209"/>
      <c r="S103" s="209"/>
      <c r="T103" s="209"/>
      <c r="U103" s="209"/>
      <c r="V103" s="209"/>
      <c r="W103" s="209"/>
      <c r="X103" s="209"/>
      <c r="Y103" s="209"/>
      <c r="Z103" s="210"/>
      <c r="AB103" s="626">
        <f ca="1">IF(AND($D103="Serviço",AB$12&lt;&gt;0,$H103&gt;0,OR(AUTOEVENTO&lt;&gt;"manual",$M103&lt;&gt;1)),
IF(Import.TipoArredondamento&lt;&gt;"TransfereGOV",
ROUND(OFFSET($P103,0,AB$13),15-13*ORÇAMENTO!$AF$7)/$H103*OFFSET(ORÇAMENTO!$X$15,ROW(AB103)-ROW(AB$15),0),
ROUND(ROUND(OFFSET($P103,0,AB$13),15-13*ORÇAMENTO!$AF$7)*OFFSET(ORÇAMENTO!$W$15,ROW(AB103)-ROW(AB$15),0),15-13*ORÇAMENTO!$AF$11)),0)</f>
        <v>0</v>
      </c>
      <c r="AC103" s="627">
        <f ca="1">IF(AND($D103="Serviço",AC$12&lt;&gt;0,$H103&gt;0,OR(AUTOEVENTO&lt;&gt;"manual",$M103&lt;&gt;1)),
IF(Import.TipoArredondamento&lt;&gt;"TransfereGOV",
ROUND(OFFSET($P103,0,AC$13),15-13*ORÇAMENTO!$AF$7)/$H103*OFFSET(ORÇAMENTO!$X$15,ROW(AC103)-ROW(AC$15),0),
ROUND(ROUND(OFFSET($P103,0,AC$13),15-13*ORÇAMENTO!$AF$7)*OFFSET(ORÇAMENTO!$W$15,ROW(AC103)-ROW(AC$15),0),15-13*ORÇAMENTO!$AF$11)),0)</f>
        <v>0</v>
      </c>
      <c r="AD103" s="627">
        <f ca="1">IF(AND($D103="Serviço",AD$12&lt;&gt;0,$H103&gt;0,OR(AUTOEVENTO&lt;&gt;"manual",$M103&lt;&gt;1)),
IF(Import.TipoArredondamento&lt;&gt;"TransfereGOV",
ROUND(OFFSET($P103,0,AD$13),15-13*ORÇAMENTO!$AF$7)/$H103*OFFSET(ORÇAMENTO!$X$15,ROW(AD103)-ROW(AD$15),0),
ROUND(ROUND(OFFSET($P103,0,AD$13),15-13*ORÇAMENTO!$AF$7)*OFFSET(ORÇAMENTO!$W$15,ROW(AD103)-ROW(AD$15),0),15-13*ORÇAMENTO!$AF$11)),0)</f>
        <v>0</v>
      </c>
      <c r="AE103" s="627">
        <f ca="1">IF(AND($D103="Serviço",AE$12&lt;&gt;0,$H103&gt;0,OR(AUTOEVENTO&lt;&gt;"manual",$M103&lt;&gt;1)),
IF(Import.TipoArredondamento&lt;&gt;"TransfereGOV",
ROUND(OFFSET($P103,0,AE$13),15-13*ORÇAMENTO!$AF$7)/$H103*OFFSET(ORÇAMENTO!$X$15,ROW(AE103)-ROW(AE$15),0),
ROUND(ROUND(OFFSET($P103,0,AE$13),15-13*ORÇAMENTO!$AF$7)*OFFSET(ORÇAMENTO!$W$15,ROW(AE103)-ROW(AE$15),0),15-13*ORÇAMENTO!$AF$11)),0)</f>
        <v>0</v>
      </c>
      <c r="AF103" s="627">
        <f ca="1">IF(AND($D103="Serviço",AF$12&lt;&gt;0,$H103&gt;0,OR(AUTOEVENTO&lt;&gt;"manual",$M103&lt;&gt;1)),
IF(Import.TipoArredondamento&lt;&gt;"TransfereGOV",
ROUND(OFFSET($P103,0,AF$13),15-13*ORÇAMENTO!$AF$7)/$H103*OFFSET(ORÇAMENTO!$X$15,ROW(AF103)-ROW(AF$15),0),
ROUND(ROUND(OFFSET($P103,0,AF$13),15-13*ORÇAMENTO!$AF$7)*OFFSET(ORÇAMENTO!$W$15,ROW(AF103)-ROW(AF$15),0),15-13*ORÇAMENTO!$AF$11)),0)</f>
        <v>0</v>
      </c>
      <c r="AG103" s="627">
        <f ca="1">IF(AND($D103="Serviço",AG$12&lt;&gt;0,$H103&gt;0,OR(AUTOEVENTO&lt;&gt;"manual",$M103&lt;&gt;1)),
IF(Import.TipoArredondamento&lt;&gt;"TransfereGOV",
ROUND(OFFSET($P103,0,AG$13),15-13*ORÇAMENTO!$AF$7)/$H103*OFFSET(ORÇAMENTO!$X$15,ROW(AG103)-ROW(AG$15),0),
ROUND(ROUND(OFFSET($P103,0,AG$13),15-13*ORÇAMENTO!$AF$7)*OFFSET(ORÇAMENTO!$W$15,ROW(AG103)-ROW(AG$15),0),15-13*ORÇAMENTO!$AF$11)),0)</f>
        <v>0</v>
      </c>
      <c r="AH103" s="627">
        <f ca="1">IF(AND($D103="Serviço",AH$12&lt;&gt;0,$H103&gt;0,OR(AUTOEVENTO&lt;&gt;"manual",$M103&lt;&gt;1)),
IF(Import.TipoArredondamento&lt;&gt;"TransfereGOV",
ROUND(OFFSET($P103,0,AH$13),15-13*ORÇAMENTO!$AF$7)/$H103*OFFSET(ORÇAMENTO!$X$15,ROW(AH103)-ROW(AH$15),0),
ROUND(ROUND(OFFSET($P103,0,AH$13),15-13*ORÇAMENTO!$AF$7)*OFFSET(ORÇAMENTO!$W$15,ROW(AH103)-ROW(AH$15),0),15-13*ORÇAMENTO!$AF$11)),0)</f>
        <v>0</v>
      </c>
      <c r="AI103" s="627">
        <f ca="1">IF(AND($D103="Serviço",AI$12&lt;&gt;0,$H103&gt;0,OR(AUTOEVENTO&lt;&gt;"manual",$M103&lt;&gt;1)),
IF(Import.TipoArredondamento&lt;&gt;"TransfereGOV",
ROUND(OFFSET($P103,0,AI$13),15-13*ORÇAMENTO!$AF$7)/$H103*OFFSET(ORÇAMENTO!$X$15,ROW(AI103)-ROW(AI$15),0),
ROUND(ROUND(OFFSET($P103,0,AI$13),15-13*ORÇAMENTO!$AF$7)*OFFSET(ORÇAMENTO!$W$15,ROW(AI103)-ROW(AI$15),0),15-13*ORÇAMENTO!$AF$11)),0)</f>
        <v>0</v>
      </c>
      <c r="AJ103" s="627">
        <f ca="1">IF(AND($D103="Serviço",AJ$12&lt;&gt;0,$H103&gt;0,OR(AUTOEVENTO&lt;&gt;"manual",$M103&lt;&gt;1)),
IF(Import.TipoArredondamento&lt;&gt;"TransfereGOV",
ROUND(OFFSET($P103,0,AJ$13),15-13*ORÇAMENTO!$AF$7)/$H103*OFFSET(ORÇAMENTO!$X$15,ROW(AJ103)-ROW(AJ$15),0),
ROUND(ROUND(OFFSET($P103,0,AJ$13),15-13*ORÇAMENTO!$AF$7)*OFFSET(ORÇAMENTO!$W$15,ROW(AJ103)-ROW(AJ$15),0),15-13*ORÇAMENTO!$AF$11)),0)</f>
        <v>0</v>
      </c>
      <c r="AK103" s="628">
        <f ca="1">IF(AND($D103="Serviço",AK$12&lt;&gt;0,$H103&gt;0,OR(AUTOEVENTO&lt;&gt;"manual",$M103&lt;&gt;1)),
IF(Import.TipoArredondamento&lt;&gt;"TransfereGOV",
ROUND(OFFSET($P103,0,AK$13),15-13*ORÇAMENTO!$AF$7)/$H103*OFFSET(ORÇAMENTO!$X$15,ROW(AK103)-ROW(AK$15),0),
ROUND(ROUND(OFFSET($P103,0,AK$13),15-13*ORÇAMENTO!$AF$7)*OFFSET(ORÇAMENTO!$W$15,ROW(AK103)-ROW(AK$15),0),15-13*ORÇAMENTO!$AF$11)),0)</f>
        <v>0</v>
      </c>
      <c r="AM103" s="211">
        <f ca="1">IF($D103&lt;&gt;"Serviço",0,IF(AND(AUTOEVENTO="Manual",$M103=1),0,IF(OFFSET(CRONOPLE!$F$14,$M103,AM$13)="",10^12,OFFSET(CRONOPLE!$F$14,$M103,AM$13))))</f>
        <v>2</v>
      </c>
      <c r="AN103" s="211">
        <f ca="1">IF($D103&lt;&gt;"Serviço",0,IF(AND(AUTOEVENTO="Manual",$M103=1),0,IF(OFFSET(CRONOPLE!$F$14,$M103,AN$13)="",10^12,OFFSET(CRONOPLE!$F$14,$M103,AN$13))))</f>
        <v>1</v>
      </c>
      <c r="AO103" s="211">
        <f ca="1">IF($D103&lt;&gt;"Serviço",0,IF(AND(AUTOEVENTO="Manual",$M103=1),0,IF(OFFSET(CRONOPLE!$F$14,$M103,AO$13)="",10^12,OFFSET(CRONOPLE!$F$14,$M103,AO$13))))</f>
        <v>2</v>
      </c>
      <c r="AP103" s="211">
        <f ca="1">IF($D103&lt;&gt;"Serviço",0,IF(AND(AUTOEVENTO="Manual",$M103=1),0,IF(OFFSET(CRONOPLE!$F$14,$M103,AP$13)="",10^12,OFFSET(CRONOPLE!$F$14,$M103,AP$13))))</f>
        <v>2</v>
      </c>
      <c r="AQ103" s="211">
        <f ca="1">IF($D103&lt;&gt;"Serviço",0,IF(AND(AUTOEVENTO="Manual",$M103=1),0,IF(OFFSET(CRONOPLE!$F$14,$M103,AQ$13)="",10^12,OFFSET(CRONOPLE!$F$14,$M103,AQ$13))))</f>
        <v>1000000000000</v>
      </c>
      <c r="AR103" s="211">
        <f ca="1">IF($D103&lt;&gt;"Serviço",0,IF(AND(AUTOEVENTO="Manual",$M103=1),0,IF(OFFSET(CRONOPLE!$F$14,$M103,AR$13)="",10^12,OFFSET(CRONOPLE!$F$14,$M103,AR$13))))</f>
        <v>1000000000000</v>
      </c>
      <c r="AS103" s="211">
        <f ca="1">IF($D103&lt;&gt;"Serviço",0,IF(AND(AUTOEVENTO="Manual",$M103=1),0,IF(OFFSET(CRONOPLE!$F$14,$M103,AS$13)="",10^12,OFFSET(CRONOPLE!$F$14,$M103,AS$13))))</f>
        <v>1000000000000</v>
      </c>
      <c r="AT103" s="211">
        <f ca="1">IF($D103&lt;&gt;"Serviço",0,IF(AND(AUTOEVENTO="Manual",$M103=1),0,IF(OFFSET(CRONOPLE!$F$14,$M103,AT$13)="",10^12,OFFSET(CRONOPLE!$F$14,$M103,AT$13))))</f>
        <v>1000000000000</v>
      </c>
      <c r="AU103" s="211">
        <f ca="1">IF($D103&lt;&gt;"Serviço",0,IF(AND(AUTOEVENTO="Manual",$M103=1),0,IF(OFFSET(CRONOPLE!$F$14,$M103,AU$13)="",10^12,OFFSET(CRONOPLE!$F$14,$M103,AU$13))))</f>
        <v>1000000000000</v>
      </c>
      <c r="AV103" s="211">
        <f ca="1">IF($D103&lt;&gt;"Serviço",0,IF(AND(AUTOEVENTO="Manual",$M103=1),0,IF(OFFSET(CRONOPLE!$F$14,$M103,AV$13)="",10^12,OFFSET(CRONOPLE!$F$14,$M103,AV$13))))</f>
        <v>1000000000000</v>
      </c>
      <c r="AX103" s="212">
        <f ca="1">IF($D103&lt;&gt;"Serviço",0,IF(OR(AND(AUTOEVENTO="Manual",$M103=1),$M103&gt;(ROW(PLE.lastrow)-ROW(PLE.firstrow))),0,IF(OFFSET(PLE!$G$14,$M103,AX$13)="",10^12,OFFSET(PLE!$G$14,$M103,AX$13))))</f>
        <v>1000000000000</v>
      </c>
      <c r="AY103" s="212">
        <f ca="1">IF($D103&lt;&gt;"Serviço",0,IF(OR(AND(AUTOEVENTO="Manual",$M103=1),$M103&gt;(ROW(PLE.lastrow)-ROW(PLE.firstrow))),0,IF(OFFSET(PLE!$G$14,$M103,AY$13)="",10^12,OFFSET(PLE!$G$14,$M103,AY$13))))</f>
        <v>1000000000000</v>
      </c>
      <c r="AZ103" s="212">
        <f ca="1">IF($D103&lt;&gt;"Serviço",0,IF(OR(AND(AUTOEVENTO="Manual",$M103=1),$M103&gt;(ROW(PLE.lastrow)-ROW(PLE.firstrow))),0,IF(OFFSET(PLE!$G$14,$M103,AZ$13)="",10^12,OFFSET(PLE!$G$14,$M103,AZ$13))))</f>
        <v>1000000000000</v>
      </c>
      <c r="BA103" s="212">
        <f ca="1">IF($D103&lt;&gt;"Serviço",0,IF(OR(AND(AUTOEVENTO="Manual",$M103=1),$M103&gt;(ROW(PLE.lastrow)-ROW(PLE.firstrow))),0,IF(OFFSET(PLE!$G$14,$M103,BA$13)="",10^12,OFFSET(PLE!$G$14,$M103,BA$13))))</f>
        <v>1000000000000</v>
      </c>
      <c r="BB103" s="212">
        <f ca="1">IF($D103&lt;&gt;"Serviço",0,IF(OR(AND(AUTOEVENTO="Manual",$M103=1),$M103&gt;(ROW(PLE.lastrow)-ROW(PLE.firstrow))),0,IF(OFFSET(PLE!$G$14,$M103,BB$13)="",10^12,OFFSET(PLE!$G$14,$M103,BB$13))))</f>
        <v>1000000000000</v>
      </c>
      <c r="BC103" s="212">
        <f ca="1">IF($D103&lt;&gt;"Serviço",0,IF(OR(AND(AUTOEVENTO="Manual",$M103=1),$M103&gt;(ROW(PLE.lastrow)-ROW(PLE.firstrow))),0,IF(OFFSET(PLE!$G$14,$M103,BC$13)="",10^12,OFFSET(PLE!$G$14,$M103,BC$13))))</f>
        <v>1000000000000</v>
      </c>
      <c r="BD103" s="212">
        <f ca="1">IF($D103&lt;&gt;"Serviço",0,IF(OR(AND(AUTOEVENTO="Manual",$M103=1),$M103&gt;(ROW(PLE.lastrow)-ROW(PLE.firstrow))),0,IF(OFFSET(PLE!$G$14,$M103,BD$13)="",10^12,OFFSET(PLE!$G$14,$M103,BD$13))))</f>
        <v>1000000000000</v>
      </c>
      <c r="BE103" s="212">
        <f ca="1">IF($D103&lt;&gt;"Serviço",0,IF(OR(AND(AUTOEVENTO="Manual",$M103=1),$M103&gt;(ROW(PLE.lastrow)-ROW(PLE.firstrow))),0,IF(OFFSET(PLE!$G$14,$M103,BE$13)="",10^12,OFFSET(PLE!$G$14,$M103,BE$13))))</f>
        <v>1000000000000</v>
      </c>
      <c r="BF103" s="212">
        <f ca="1">IF($D103&lt;&gt;"Serviço",0,IF(OR(AND(AUTOEVENTO="Manual",$M103=1),$M103&gt;(ROW(PLE.lastrow)-ROW(PLE.firstrow))),0,IF(OFFSET(PLE!$G$14,$M103,BF$13)="",10^12,OFFSET(PLE!$G$14,$M103,BF$13))))</f>
        <v>1000000000000</v>
      </c>
      <c r="BG103" s="212">
        <f ca="1">IF($D103&lt;&gt;"Serviço",0,IF(OR(AND(AUTOEVENTO="Manual",$M103=1),$M103&gt;(ROW(PLE.lastrow)-ROW(PLE.firstrow))),0,IF(OFFSET(PLE!$G$14,$M103,BG$13)="",10^12,OFFSET(PLE!$G$14,$M103,BG$13))))</f>
        <v>1000000000000</v>
      </c>
    </row>
    <row r="104" spans="1:59" ht="13.2">
      <c r="A104" s="9" t="str">
        <f t="shared" ca="1" si="10"/>
        <v>15</v>
      </c>
      <c r="B104" s="9" t="str">
        <f ca="1">OFFSET(ORÇAMENTO!C$15,ROW(B104)-ROW(B$15),0)</f>
        <v>S</v>
      </c>
      <c r="C104" s="9" t="str">
        <f ca="1">OFFSET(ORÇAMENTO!L$15,ROW(C104)-ROW(C$15),0)</f>
        <v/>
      </c>
      <c r="D104" s="141" t="str">
        <f ca="1">OFFSET(ORÇAMENTO!N$15,ROW(D104)-ROW(D$15),0)</f>
        <v>Serviço</v>
      </c>
      <c r="E104" s="201" t="str">
        <f ca="1">OFFSET(ORÇAMENTO!O$15,ROW(E104)-ROW(E$15),0)</f>
        <v>-</v>
      </c>
      <c r="F104" s="202" t="str">
        <f ca="1">OFFSET(ORÇAMENTO!R$15,ROW(F104)-ROW(F$15),0)</f>
        <v>(abra o arquivo 'Referência 11-2024.xlsm)</v>
      </c>
      <c r="G104" s="203" t="str">
        <f ca="1">IF($D104&lt;&gt;"Serviço","",OFFSET(ORÇAMENTO!S$15,ROW(G104)-ROW(G$15),0))</f>
        <v>-</v>
      </c>
      <c r="H104" s="147">
        <f ca="1">IF($D104&lt;&gt;"Serviço",0,IF(ACOMPANHAMENTO="BM",ROUND(OFFSET(ORÇAMENTO!AJ$15,ROW(H104)-ROW(H$15),0),15-13*ORÇAMENTO!$AF$7),SUMPRODUCT(($Q$12:$AA$12&lt;&gt;"")*ROUND($Q104:$AA104,15-13*ORÇAMENTO!$AF$7))))</f>
        <v>0</v>
      </c>
      <c r="I104" s="645"/>
      <c r="K104" s="204"/>
      <c r="L104" s="205" t="s">
        <v>255</v>
      </c>
      <c r="M104" s="206">
        <f ca="1">IF($D104&lt;&gt;"Serviço","",IF(AUTOEVENTO="manual",$A104,IF(ISERROR(MATCH($A104,$A$15:OFFSET($A104,-1,0),0)),MAX($M$15:OFFSET(M104,-1,0))+1,INDEX($M$15:OFFSET(M104,-1,0),MATCH($A104,$A$15:OFFSET($A104,-1,0),0)))))</f>
        <v>6</v>
      </c>
      <c r="N104" s="207" t="str">
        <f ca="1">IF($D104&lt;&gt;"Serviço","",IF(AUTOEVENTO="Manual",IF($A104=0,"&lt;-- defina o número do agrupador",OFFSET(EVENTOS!$D$14,$A104,0)),OFFSET($F$15,$A104,0)))</f>
        <v>DRENAGEM</v>
      </c>
      <c r="O104" s="208"/>
      <c r="Q104" s="208"/>
      <c r="R104" s="209"/>
      <c r="S104" s="209"/>
      <c r="T104" s="209"/>
      <c r="U104" s="209"/>
      <c r="V104" s="209"/>
      <c r="W104" s="209"/>
      <c r="X104" s="209"/>
      <c r="Y104" s="209"/>
      <c r="Z104" s="210"/>
      <c r="AB104" s="626">
        <f ca="1">IF(AND($D104="Serviço",AB$12&lt;&gt;0,$H104&gt;0,OR(AUTOEVENTO&lt;&gt;"manual",$M104&lt;&gt;1)),
IF(Import.TipoArredondamento&lt;&gt;"TransfereGOV",
ROUND(OFFSET($P104,0,AB$13),15-13*ORÇAMENTO!$AF$7)/$H104*OFFSET(ORÇAMENTO!$X$15,ROW(AB104)-ROW(AB$15),0),
ROUND(ROUND(OFFSET($P104,0,AB$13),15-13*ORÇAMENTO!$AF$7)*OFFSET(ORÇAMENTO!$W$15,ROW(AB104)-ROW(AB$15),0),15-13*ORÇAMENTO!$AF$11)),0)</f>
        <v>0</v>
      </c>
      <c r="AC104" s="627">
        <f ca="1">IF(AND($D104="Serviço",AC$12&lt;&gt;0,$H104&gt;0,OR(AUTOEVENTO&lt;&gt;"manual",$M104&lt;&gt;1)),
IF(Import.TipoArredondamento&lt;&gt;"TransfereGOV",
ROUND(OFFSET($P104,0,AC$13),15-13*ORÇAMENTO!$AF$7)/$H104*OFFSET(ORÇAMENTO!$X$15,ROW(AC104)-ROW(AC$15),0),
ROUND(ROUND(OFFSET($P104,0,AC$13),15-13*ORÇAMENTO!$AF$7)*OFFSET(ORÇAMENTO!$W$15,ROW(AC104)-ROW(AC$15),0),15-13*ORÇAMENTO!$AF$11)),0)</f>
        <v>0</v>
      </c>
      <c r="AD104" s="627">
        <f ca="1">IF(AND($D104="Serviço",AD$12&lt;&gt;0,$H104&gt;0,OR(AUTOEVENTO&lt;&gt;"manual",$M104&lt;&gt;1)),
IF(Import.TipoArredondamento&lt;&gt;"TransfereGOV",
ROUND(OFFSET($P104,0,AD$13),15-13*ORÇAMENTO!$AF$7)/$H104*OFFSET(ORÇAMENTO!$X$15,ROW(AD104)-ROW(AD$15),0),
ROUND(ROUND(OFFSET($P104,0,AD$13),15-13*ORÇAMENTO!$AF$7)*OFFSET(ORÇAMENTO!$W$15,ROW(AD104)-ROW(AD$15),0),15-13*ORÇAMENTO!$AF$11)),0)</f>
        <v>0</v>
      </c>
      <c r="AE104" s="627">
        <f ca="1">IF(AND($D104="Serviço",AE$12&lt;&gt;0,$H104&gt;0,OR(AUTOEVENTO&lt;&gt;"manual",$M104&lt;&gt;1)),
IF(Import.TipoArredondamento&lt;&gt;"TransfereGOV",
ROUND(OFFSET($P104,0,AE$13),15-13*ORÇAMENTO!$AF$7)/$H104*OFFSET(ORÇAMENTO!$X$15,ROW(AE104)-ROW(AE$15),0),
ROUND(ROUND(OFFSET($P104,0,AE$13),15-13*ORÇAMENTO!$AF$7)*OFFSET(ORÇAMENTO!$W$15,ROW(AE104)-ROW(AE$15),0),15-13*ORÇAMENTO!$AF$11)),0)</f>
        <v>0</v>
      </c>
      <c r="AF104" s="627">
        <f ca="1">IF(AND($D104="Serviço",AF$12&lt;&gt;0,$H104&gt;0,OR(AUTOEVENTO&lt;&gt;"manual",$M104&lt;&gt;1)),
IF(Import.TipoArredondamento&lt;&gt;"TransfereGOV",
ROUND(OFFSET($P104,0,AF$13),15-13*ORÇAMENTO!$AF$7)/$H104*OFFSET(ORÇAMENTO!$X$15,ROW(AF104)-ROW(AF$15),0),
ROUND(ROUND(OFFSET($P104,0,AF$13),15-13*ORÇAMENTO!$AF$7)*OFFSET(ORÇAMENTO!$W$15,ROW(AF104)-ROW(AF$15),0),15-13*ORÇAMENTO!$AF$11)),0)</f>
        <v>0</v>
      </c>
      <c r="AG104" s="627">
        <f ca="1">IF(AND($D104="Serviço",AG$12&lt;&gt;0,$H104&gt;0,OR(AUTOEVENTO&lt;&gt;"manual",$M104&lt;&gt;1)),
IF(Import.TipoArredondamento&lt;&gt;"TransfereGOV",
ROUND(OFFSET($P104,0,AG$13),15-13*ORÇAMENTO!$AF$7)/$H104*OFFSET(ORÇAMENTO!$X$15,ROW(AG104)-ROW(AG$15),0),
ROUND(ROUND(OFFSET($P104,0,AG$13),15-13*ORÇAMENTO!$AF$7)*OFFSET(ORÇAMENTO!$W$15,ROW(AG104)-ROW(AG$15),0),15-13*ORÇAMENTO!$AF$11)),0)</f>
        <v>0</v>
      </c>
      <c r="AH104" s="627">
        <f ca="1">IF(AND($D104="Serviço",AH$12&lt;&gt;0,$H104&gt;0,OR(AUTOEVENTO&lt;&gt;"manual",$M104&lt;&gt;1)),
IF(Import.TipoArredondamento&lt;&gt;"TransfereGOV",
ROUND(OFFSET($P104,0,AH$13),15-13*ORÇAMENTO!$AF$7)/$H104*OFFSET(ORÇAMENTO!$X$15,ROW(AH104)-ROW(AH$15),0),
ROUND(ROUND(OFFSET($P104,0,AH$13),15-13*ORÇAMENTO!$AF$7)*OFFSET(ORÇAMENTO!$W$15,ROW(AH104)-ROW(AH$15),0),15-13*ORÇAMENTO!$AF$11)),0)</f>
        <v>0</v>
      </c>
      <c r="AI104" s="627">
        <f ca="1">IF(AND($D104="Serviço",AI$12&lt;&gt;0,$H104&gt;0,OR(AUTOEVENTO&lt;&gt;"manual",$M104&lt;&gt;1)),
IF(Import.TipoArredondamento&lt;&gt;"TransfereGOV",
ROUND(OFFSET($P104,0,AI$13),15-13*ORÇAMENTO!$AF$7)/$H104*OFFSET(ORÇAMENTO!$X$15,ROW(AI104)-ROW(AI$15),0),
ROUND(ROUND(OFFSET($P104,0,AI$13),15-13*ORÇAMENTO!$AF$7)*OFFSET(ORÇAMENTO!$W$15,ROW(AI104)-ROW(AI$15),0),15-13*ORÇAMENTO!$AF$11)),0)</f>
        <v>0</v>
      </c>
      <c r="AJ104" s="627">
        <f ca="1">IF(AND($D104="Serviço",AJ$12&lt;&gt;0,$H104&gt;0,OR(AUTOEVENTO&lt;&gt;"manual",$M104&lt;&gt;1)),
IF(Import.TipoArredondamento&lt;&gt;"TransfereGOV",
ROUND(OFFSET($P104,0,AJ$13),15-13*ORÇAMENTO!$AF$7)/$H104*OFFSET(ORÇAMENTO!$X$15,ROW(AJ104)-ROW(AJ$15),0),
ROUND(ROUND(OFFSET($P104,0,AJ$13),15-13*ORÇAMENTO!$AF$7)*OFFSET(ORÇAMENTO!$W$15,ROW(AJ104)-ROW(AJ$15),0),15-13*ORÇAMENTO!$AF$11)),0)</f>
        <v>0</v>
      </c>
      <c r="AK104" s="628">
        <f ca="1">IF(AND($D104="Serviço",AK$12&lt;&gt;0,$H104&gt;0,OR(AUTOEVENTO&lt;&gt;"manual",$M104&lt;&gt;1)),
IF(Import.TipoArredondamento&lt;&gt;"TransfereGOV",
ROUND(OFFSET($P104,0,AK$13),15-13*ORÇAMENTO!$AF$7)/$H104*OFFSET(ORÇAMENTO!$X$15,ROW(AK104)-ROW(AK$15),0),
ROUND(ROUND(OFFSET($P104,0,AK$13),15-13*ORÇAMENTO!$AF$7)*OFFSET(ORÇAMENTO!$W$15,ROW(AK104)-ROW(AK$15),0),15-13*ORÇAMENTO!$AF$11)),0)</f>
        <v>0</v>
      </c>
      <c r="AM104" s="211">
        <f ca="1">IF($D104&lt;&gt;"Serviço",0,IF(AND(AUTOEVENTO="Manual",$M104=1),0,IF(OFFSET(CRONOPLE!$F$14,$M104,AM$13)="",10^12,OFFSET(CRONOPLE!$F$14,$M104,AM$13))))</f>
        <v>2</v>
      </c>
      <c r="AN104" s="211">
        <f ca="1">IF($D104&lt;&gt;"Serviço",0,IF(AND(AUTOEVENTO="Manual",$M104=1),0,IF(OFFSET(CRONOPLE!$F$14,$M104,AN$13)="",10^12,OFFSET(CRONOPLE!$F$14,$M104,AN$13))))</f>
        <v>1</v>
      </c>
      <c r="AO104" s="211">
        <f ca="1">IF($D104&lt;&gt;"Serviço",0,IF(AND(AUTOEVENTO="Manual",$M104=1),0,IF(OFFSET(CRONOPLE!$F$14,$M104,AO$13)="",10^12,OFFSET(CRONOPLE!$F$14,$M104,AO$13))))</f>
        <v>2</v>
      </c>
      <c r="AP104" s="211">
        <f ca="1">IF($D104&lt;&gt;"Serviço",0,IF(AND(AUTOEVENTO="Manual",$M104=1),0,IF(OFFSET(CRONOPLE!$F$14,$M104,AP$13)="",10^12,OFFSET(CRONOPLE!$F$14,$M104,AP$13))))</f>
        <v>2</v>
      </c>
      <c r="AQ104" s="211">
        <f ca="1">IF($D104&lt;&gt;"Serviço",0,IF(AND(AUTOEVENTO="Manual",$M104=1),0,IF(OFFSET(CRONOPLE!$F$14,$M104,AQ$13)="",10^12,OFFSET(CRONOPLE!$F$14,$M104,AQ$13))))</f>
        <v>1000000000000</v>
      </c>
      <c r="AR104" s="211">
        <f ca="1">IF($D104&lt;&gt;"Serviço",0,IF(AND(AUTOEVENTO="Manual",$M104=1),0,IF(OFFSET(CRONOPLE!$F$14,$M104,AR$13)="",10^12,OFFSET(CRONOPLE!$F$14,$M104,AR$13))))</f>
        <v>1000000000000</v>
      </c>
      <c r="AS104" s="211">
        <f ca="1">IF($D104&lt;&gt;"Serviço",0,IF(AND(AUTOEVENTO="Manual",$M104=1),0,IF(OFFSET(CRONOPLE!$F$14,$M104,AS$13)="",10^12,OFFSET(CRONOPLE!$F$14,$M104,AS$13))))</f>
        <v>1000000000000</v>
      </c>
      <c r="AT104" s="211">
        <f ca="1">IF($D104&lt;&gt;"Serviço",0,IF(AND(AUTOEVENTO="Manual",$M104=1),0,IF(OFFSET(CRONOPLE!$F$14,$M104,AT$13)="",10^12,OFFSET(CRONOPLE!$F$14,$M104,AT$13))))</f>
        <v>1000000000000</v>
      </c>
      <c r="AU104" s="211">
        <f ca="1">IF($D104&lt;&gt;"Serviço",0,IF(AND(AUTOEVENTO="Manual",$M104=1),0,IF(OFFSET(CRONOPLE!$F$14,$M104,AU$13)="",10^12,OFFSET(CRONOPLE!$F$14,$M104,AU$13))))</f>
        <v>1000000000000</v>
      </c>
      <c r="AV104" s="211">
        <f ca="1">IF($D104&lt;&gt;"Serviço",0,IF(AND(AUTOEVENTO="Manual",$M104=1),0,IF(OFFSET(CRONOPLE!$F$14,$M104,AV$13)="",10^12,OFFSET(CRONOPLE!$F$14,$M104,AV$13))))</f>
        <v>1000000000000</v>
      </c>
      <c r="AX104" s="212">
        <f ca="1">IF($D104&lt;&gt;"Serviço",0,IF(OR(AND(AUTOEVENTO="Manual",$M104=1),$M104&gt;(ROW(PLE.lastrow)-ROW(PLE.firstrow))),0,IF(OFFSET(PLE!$G$14,$M104,AX$13)="",10^12,OFFSET(PLE!$G$14,$M104,AX$13))))</f>
        <v>1000000000000</v>
      </c>
      <c r="AY104" s="212">
        <f ca="1">IF($D104&lt;&gt;"Serviço",0,IF(OR(AND(AUTOEVENTO="Manual",$M104=1),$M104&gt;(ROW(PLE.lastrow)-ROW(PLE.firstrow))),0,IF(OFFSET(PLE!$G$14,$M104,AY$13)="",10^12,OFFSET(PLE!$G$14,$M104,AY$13))))</f>
        <v>1000000000000</v>
      </c>
      <c r="AZ104" s="212">
        <f ca="1">IF($D104&lt;&gt;"Serviço",0,IF(OR(AND(AUTOEVENTO="Manual",$M104=1),$M104&gt;(ROW(PLE.lastrow)-ROW(PLE.firstrow))),0,IF(OFFSET(PLE!$G$14,$M104,AZ$13)="",10^12,OFFSET(PLE!$G$14,$M104,AZ$13))))</f>
        <v>1000000000000</v>
      </c>
      <c r="BA104" s="212">
        <f ca="1">IF($D104&lt;&gt;"Serviço",0,IF(OR(AND(AUTOEVENTO="Manual",$M104=1),$M104&gt;(ROW(PLE.lastrow)-ROW(PLE.firstrow))),0,IF(OFFSET(PLE!$G$14,$M104,BA$13)="",10^12,OFFSET(PLE!$G$14,$M104,BA$13))))</f>
        <v>1000000000000</v>
      </c>
      <c r="BB104" s="212">
        <f ca="1">IF($D104&lt;&gt;"Serviço",0,IF(OR(AND(AUTOEVENTO="Manual",$M104=1),$M104&gt;(ROW(PLE.lastrow)-ROW(PLE.firstrow))),0,IF(OFFSET(PLE!$G$14,$M104,BB$13)="",10^12,OFFSET(PLE!$G$14,$M104,BB$13))))</f>
        <v>1000000000000</v>
      </c>
      <c r="BC104" s="212">
        <f ca="1">IF($D104&lt;&gt;"Serviço",0,IF(OR(AND(AUTOEVENTO="Manual",$M104=1),$M104&gt;(ROW(PLE.lastrow)-ROW(PLE.firstrow))),0,IF(OFFSET(PLE!$G$14,$M104,BC$13)="",10^12,OFFSET(PLE!$G$14,$M104,BC$13))))</f>
        <v>1000000000000</v>
      </c>
      <c r="BD104" s="212">
        <f ca="1">IF($D104&lt;&gt;"Serviço",0,IF(OR(AND(AUTOEVENTO="Manual",$M104=1),$M104&gt;(ROW(PLE.lastrow)-ROW(PLE.firstrow))),0,IF(OFFSET(PLE!$G$14,$M104,BD$13)="",10^12,OFFSET(PLE!$G$14,$M104,BD$13))))</f>
        <v>1000000000000</v>
      </c>
      <c r="BE104" s="212">
        <f ca="1">IF($D104&lt;&gt;"Serviço",0,IF(OR(AND(AUTOEVENTO="Manual",$M104=1),$M104&gt;(ROW(PLE.lastrow)-ROW(PLE.firstrow))),0,IF(OFFSET(PLE!$G$14,$M104,BE$13)="",10^12,OFFSET(PLE!$G$14,$M104,BE$13))))</f>
        <v>1000000000000</v>
      </c>
      <c r="BF104" s="212">
        <f ca="1">IF($D104&lt;&gt;"Serviço",0,IF(OR(AND(AUTOEVENTO="Manual",$M104=1),$M104&gt;(ROW(PLE.lastrow)-ROW(PLE.firstrow))),0,IF(OFFSET(PLE!$G$14,$M104,BF$13)="",10^12,OFFSET(PLE!$G$14,$M104,BF$13))))</f>
        <v>1000000000000</v>
      </c>
      <c r="BG104" s="212">
        <f ca="1">IF($D104&lt;&gt;"Serviço",0,IF(OR(AND(AUTOEVENTO="Manual",$M104=1),$M104&gt;(ROW(PLE.lastrow)-ROW(PLE.firstrow))),0,IF(OFFSET(PLE!$G$14,$M104,BG$13)="",10^12,OFFSET(PLE!$G$14,$M104,BG$13))))</f>
        <v>1000000000000</v>
      </c>
    </row>
    <row r="105" spans="1:59" ht="13.2">
      <c r="A105" s="9" t="str">
        <f t="shared" ca="1" si="10"/>
        <v>15</v>
      </c>
      <c r="B105" s="9" t="str">
        <f ca="1">OFFSET(ORÇAMENTO!C$15,ROW(B105)-ROW(B$15),0)</f>
        <v>S</v>
      </c>
      <c r="C105" s="9" t="str">
        <f ca="1">OFFSET(ORÇAMENTO!L$15,ROW(C105)-ROW(C$15),0)</f>
        <v/>
      </c>
      <c r="D105" s="141" t="str">
        <f ca="1">OFFSET(ORÇAMENTO!N$15,ROW(D105)-ROW(D$15),0)</f>
        <v>Serviço</v>
      </c>
      <c r="E105" s="201" t="str">
        <f ca="1">OFFSET(ORÇAMENTO!O$15,ROW(E105)-ROW(E$15),0)</f>
        <v>-</v>
      </c>
      <c r="F105" s="202" t="str">
        <f ca="1">OFFSET(ORÇAMENTO!R$15,ROW(F105)-ROW(F$15),0)</f>
        <v>(abra o arquivo 'Referência 11-2024.xlsm)</v>
      </c>
      <c r="G105" s="203" t="str">
        <f ca="1">IF($D105&lt;&gt;"Serviço","",OFFSET(ORÇAMENTO!S$15,ROW(G105)-ROW(G$15),0))</f>
        <v>-</v>
      </c>
      <c r="H105" s="147">
        <f ca="1">IF($D105&lt;&gt;"Serviço",0,IF(ACOMPANHAMENTO="BM",ROUND(OFFSET(ORÇAMENTO!AJ$15,ROW(H105)-ROW(H$15),0),15-13*ORÇAMENTO!$AF$7),SUMPRODUCT(($Q$12:$AA$12&lt;&gt;"")*ROUND($Q105:$AA105,15-13*ORÇAMENTO!$AF$7))))</f>
        <v>0</v>
      </c>
      <c r="I105" s="645"/>
      <c r="K105" s="204"/>
      <c r="L105" s="205" t="s">
        <v>255</v>
      </c>
      <c r="M105" s="206">
        <f ca="1">IF($D105&lt;&gt;"Serviço","",IF(AUTOEVENTO="manual",$A105,IF(ISERROR(MATCH($A105,$A$15:OFFSET($A105,-1,0),0)),MAX($M$15:OFFSET(M105,-1,0))+1,INDEX($M$15:OFFSET(M105,-1,0),MATCH($A105,$A$15:OFFSET($A105,-1,0),0)))))</f>
        <v>6</v>
      </c>
      <c r="N105" s="207" t="str">
        <f ca="1">IF($D105&lt;&gt;"Serviço","",IF(AUTOEVENTO="Manual",IF($A105=0,"&lt;-- defina o número do agrupador",OFFSET(EVENTOS!$D$14,$A105,0)),OFFSET($F$15,$A105,0)))</f>
        <v>DRENAGEM</v>
      </c>
      <c r="O105" s="208"/>
      <c r="Q105" s="208"/>
      <c r="R105" s="209"/>
      <c r="S105" s="209"/>
      <c r="T105" s="209"/>
      <c r="U105" s="209"/>
      <c r="V105" s="209"/>
      <c r="W105" s="209"/>
      <c r="X105" s="209"/>
      <c r="Y105" s="209"/>
      <c r="Z105" s="210"/>
      <c r="AB105" s="626">
        <f ca="1">IF(AND($D105="Serviço",AB$12&lt;&gt;0,$H105&gt;0,OR(AUTOEVENTO&lt;&gt;"manual",$M105&lt;&gt;1)),
IF(Import.TipoArredondamento&lt;&gt;"TransfereGOV",
ROUND(OFFSET($P105,0,AB$13),15-13*ORÇAMENTO!$AF$7)/$H105*OFFSET(ORÇAMENTO!$X$15,ROW(AB105)-ROW(AB$15),0),
ROUND(ROUND(OFFSET($P105,0,AB$13),15-13*ORÇAMENTO!$AF$7)*OFFSET(ORÇAMENTO!$W$15,ROW(AB105)-ROW(AB$15),0),15-13*ORÇAMENTO!$AF$11)),0)</f>
        <v>0</v>
      </c>
      <c r="AC105" s="627">
        <f ca="1">IF(AND($D105="Serviço",AC$12&lt;&gt;0,$H105&gt;0,OR(AUTOEVENTO&lt;&gt;"manual",$M105&lt;&gt;1)),
IF(Import.TipoArredondamento&lt;&gt;"TransfereGOV",
ROUND(OFFSET($P105,0,AC$13),15-13*ORÇAMENTO!$AF$7)/$H105*OFFSET(ORÇAMENTO!$X$15,ROW(AC105)-ROW(AC$15),0),
ROUND(ROUND(OFFSET($P105,0,AC$13),15-13*ORÇAMENTO!$AF$7)*OFFSET(ORÇAMENTO!$W$15,ROW(AC105)-ROW(AC$15),0),15-13*ORÇAMENTO!$AF$11)),0)</f>
        <v>0</v>
      </c>
      <c r="AD105" s="627">
        <f ca="1">IF(AND($D105="Serviço",AD$12&lt;&gt;0,$H105&gt;0,OR(AUTOEVENTO&lt;&gt;"manual",$M105&lt;&gt;1)),
IF(Import.TipoArredondamento&lt;&gt;"TransfereGOV",
ROUND(OFFSET($P105,0,AD$13),15-13*ORÇAMENTO!$AF$7)/$H105*OFFSET(ORÇAMENTO!$X$15,ROW(AD105)-ROW(AD$15),0),
ROUND(ROUND(OFFSET($P105,0,AD$13),15-13*ORÇAMENTO!$AF$7)*OFFSET(ORÇAMENTO!$W$15,ROW(AD105)-ROW(AD$15),0),15-13*ORÇAMENTO!$AF$11)),0)</f>
        <v>0</v>
      </c>
      <c r="AE105" s="627">
        <f ca="1">IF(AND($D105="Serviço",AE$12&lt;&gt;0,$H105&gt;0,OR(AUTOEVENTO&lt;&gt;"manual",$M105&lt;&gt;1)),
IF(Import.TipoArredondamento&lt;&gt;"TransfereGOV",
ROUND(OFFSET($P105,0,AE$13),15-13*ORÇAMENTO!$AF$7)/$H105*OFFSET(ORÇAMENTO!$X$15,ROW(AE105)-ROW(AE$15),0),
ROUND(ROUND(OFFSET($P105,0,AE$13),15-13*ORÇAMENTO!$AF$7)*OFFSET(ORÇAMENTO!$W$15,ROW(AE105)-ROW(AE$15),0),15-13*ORÇAMENTO!$AF$11)),0)</f>
        <v>0</v>
      </c>
      <c r="AF105" s="627">
        <f ca="1">IF(AND($D105="Serviço",AF$12&lt;&gt;0,$H105&gt;0,OR(AUTOEVENTO&lt;&gt;"manual",$M105&lt;&gt;1)),
IF(Import.TipoArredondamento&lt;&gt;"TransfereGOV",
ROUND(OFFSET($P105,0,AF$13),15-13*ORÇAMENTO!$AF$7)/$H105*OFFSET(ORÇAMENTO!$X$15,ROW(AF105)-ROW(AF$15),0),
ROUND(ROUND(OFFSET($P105,0,AF$13),15-13*ORÇAMENTO!$AF$7)*OFFSET(ORÇAMENTO!$W$15,ROW(AF105)-ROW(AF$15),0),15-13*ORÇAMENTO!$AF$11)),0)</f>
        <v>0</v>
      </c>
      <c r="AG105" s="627">
        <f ca="1">IF(AND($D105="Serviço",AG$12&lt;&gt;0,$H105&gt;0,OR(AUTOEVENTO&lt;&gt;"manual",$M105&lt;&gt;1)),
IF(Import.TipoArredondamento&lt;&gt;"TransfereGOV",
ROUND(OFFSET($P105,0,AG$13),15-13*ORÇAMENTO!$AF$7)/$H105*OFFSET(ORÇAMENTO!$X$15,ROW(AG105)-ROW(AG$15),0),
ROUND(ROUND(OFFSET($P105,0,AG$13),15-13*ORÇAMENTO!$AF$7)*OFFSET(ORÇAMENTO!$W$15,ROW(AG105)-ROW(AG$15),0),15-13*ORÇAMENTO!$AF$11)),0)</f>
        <v>0</v>
      </c>
      <c r="AH105" s="627">
        <f ca="1">IF(AND($D105="Serviço",AH$12&lt;&gt;0,$H105&gt;0,OR(AUTOEVENTO&lt;&gt;"manual",$M105&lt;&gt;1)),
IF(Import.TipoArredondamento&lt;&gt;"TransfereGOV",
ROUND(OFFSET($P105,0,AH$13),15-13*ORÇAMENTO!$AF$7)/$H105*OFFSET(ORÇAMENTO!$X$15,ROW(AH105)-ROW(AH$15),0),
ROUND(ROUND(OFFSET($P105,0,AH$13),15-13*ORÇAMENTO!$AF$7)*OFFSET(ORÇAMENTO!$W$15,ROW(AH105)-ROW(AH$15),0),15-13*ORÇAMENTO!$AF$11)),0)</f>
        <v>0</v>
      </c>
      <c r="AI105" s="627">
        <f ca="1">IF(AND($D105="Serviço",AI$12&lt;&gt;0,$H105&gt;0,OR(AUTOEVENTO&lt;&gt;"manual",$M105&lt;&gt;1)),
IF(Import.TipoArredondamento&lt;&gt;"TransfereGOV",
ROUND(OFFSET($P105,0,AI$13),15-13*ORÇAMENTO!$AF$7)/$H105*OFFSET(ORÇAMENTO!$X$15,ROW(AI105)-ROW(AI$15),0),
ROUND(ROUND(OFFSET($P105,0,AI$13),15-13*ORÇAMENTO!$AF$7)*OFFSET(ORÇAMENTO!$W$15,ROW(AI105)-ROW(AI$15),0),15-13*ORÇAMENTO!$AF$11)),0)</f>
        <v>0</v>
      </c>
      <c r="AJ105" s="627">
        <f ca="1">IF(AND($D105="Serviço",AJ$12&lt;&gt;0,$H105&gt;0,OR(AUTOEVENTO&lt;&gt;"manual",$M105&lt;&gt;1)),
IF(Import.TipoArredondamento&lt;&gt;"TransfereGOV",
ROUND(OFFSET($P105,0,AJ$13),15-13*ORÇAMENTO!$AF$7)/$H105*OFFSET(ORÇAMENTO!$X$15,ROW(AJ105)-ROW(AJ$15),0),
ROUND(ROUND(OFFSET($P105,0,AJ$13),15-13*ORÇAMENTO!$AF$7)*OFFSET(ORÇAMENTO!$W$15,ROW(AJ105)-ROW(AJ$15),0),15-13*ORÇAMENTO!$AF$11)),0)</f>
        <v>0</v>
      </c>
      <c r="AK105" s="628">
        <f ca="1">IF(AND($D105="Serviço",AK$12&lt;&gt;0,$H105&gt;0,OR(AUTOEVENTO&lt;&gt;"manual",$M105&lt;&gt;1)),
IF(Import.TipoArredondamento&lt;&gt;"TransfereGOV",
ROUND(OFFSET($P105,0,AK$13),15-13*ORÇAMENTO!$AF$7)/$H105*OFFSET(ORÇAMENTO!$X$15,ROW(AK105)-ROW(AK$15),0),
ROUND(ROUND(OFFSET($P105,0,AK$13),15-13*ORÇAMENTO!$AF$7)*OFFSET(ORÇAMENTO!$W$15,ROW(AK105)-ROW(AK$15),0),15-13*ORÇAMENTO!$AF$11)),0)</f>
        <v>0</v>
      </c>
      <c r="AM105" s="211">
        <f ca="1">IF($D105&lt;&gt;"Serviço",0,IF(AND(AUTOEVENTO="Manual",$M105=1),0,IF(OFFSET(CRONOPLE!$F$14,$M105,AM$13)="",10^12,OFFSET(CRONOPLE!$F$14,$M105,AM$13))))</f>
        <v>2</v>
      </c>
      <c r="AN105" s="211">
        <f ca="1">IF($D105&lt;&gt;"Serviço",0,IF(AND(AUTOEVENTO="Manual",$M105=1),0,IF(OFFSET(CRONOPLE!$F$14,$M105,AN$13)="",10^12,OFFSET(CRONOPLE!$F$14,$M105,AN$13))))</f>
        <v>1</v>
      </c>
      <c r="AO105" s="211">
        <f ca="1">IF($D105&lt;&gt;"Serviço",0,IF(AND(AUTOEVENTO="Manual",$M105=1),0,IF(OFFSET(CRONOPLE!$F$14,$M105,AO$13)="",10^12,OFFSET(CRONOPLE!$F$14,$M105,AO$13))))</f>
        <v>2</v>
      </c>
      <c r="AP105" s="211">
        <f ca="1">IF($D105&lt;&gt;"Serviço",0,IF(AND(AUTOEVENTO="Manual",$M105=1),0,IF(OFFSET(CRONOPLE!$F$14,$M105,AP$13)="",10^12,OFFSET(CRONOPLE!$F$14,$M105,AP$13))))</f>
        <v>2</v>
      </c>
      <c r="AQ105" s="211">
        <f ca="1">IF($D105&lt;&gt;"Serviço",0,IF(AND(AUTOEVENTO="Manual",$M105=1),0,IF(OFFSET(CRONOPLE!$F$14,$M105,AQ$13)="",10^12,OFFSET(CRONOPLE!$F$14,$M105,AQ$13))))</f>
        <v>1000000000000</v>
      </c>
      <c r="AR105" s="211">
        <f ca="1">IF($D105&lt;&gt;"Serviço",0,IF(AND(AUTOEVENTO="Manual",$M105=1),0,IF(OFFSET(CRONOPLE!$F$14,$M105,AR$13)="",10^12,OFFSET(CRONOPLE!$F$14,$M105,AR$13))))</f>
        <v>1000000000000</v>
      </c>
      <c r="AS105" s="211">
        <f ca="1">IF($D105&lt;&gt;"Serviço",0,IF(AND(AUTOEVENTO="Manual",$M105=1),0,IF(OFFSET(CRONOPLE!$F$14,$M105,AS$13)="",10^12,OFFSET(CRONOPLE!$F$14,$M105,AS$13))))</f>
        <v>1000000000000</v>
      </c>
      <c r="AT105" s="211">
        <f ca="1">IF($D105&lt;&gt;"Serviço",0,IF(AND(AUTOEVENTO="Manual",$M105=1),0,IF(OFFSET(CRONOPLE!$F$14,$M105,AT$13)="",10^12,OFFSET(CRONOPLE!$F$14,$M105,AT$13))))</f>
        <v>1000000000000</v>
      </c>
      <c r="AU105" s="211">
        <f ca="1">IF($D105&lt;&gt;"Serviço",0,IF(AND(AUTOEVENTO="Manual",$M105=1),0,IF(OFFSET(CRONOPLE!$F$14,$M105,AU$13)="",10^12,OFFSET(CRONOPLE!$F$14,$M105,AU$13))))</f>
        <v>1000000000000</v>
      </c>
      <c r="AV105" s="211">
        <f ca="1">IF($D105&lt;&gt;"Serviço",0,IF(AND(AUTOEVENTO="Manual",$M105=1),0,IF(OFFSET(CRONOPLE!$F$14,$M105,AV$13)="",10^12,OFFSET(CRONOPLE!$F$14,$M105,AV$13))))</f>
        <v>1000000000000</v>
      </c>
      <c r="AX105" s="212">
        <f ca="1">IF($D105&lt;&gt;"Serviço",0,IF(OR(AND(AUTOEVENTO="Manual",$M105=1),$M105&gt;(ROW(PLE.lastrow)-ROW(PLE.firstrow))),0,IF(OFFSET(PLE!$G$14,$M105,AX$13)="",10^12,OFFSET(PLE!$G$14,$M105,AX$13))))</f>
        <v>1000000000000</v>
      </c>
      <c r="AY105" s="212">
        <f ca="1">IF($D105&lt;&gt;"Serviço",0,IF(OR(AND(AUTOEVENTO="Manual",$M105=1),$M105&gt;(ROW(PLE.lastrow)-ROW(PLE.firstrow))),0,IF(OFFSET(PLE!$G$14,$M105,AY$13)="",10^12,OFFSET(PLE!$G$14,$M105,AY$13))))</f>
        <v>1000000000000</v>
      </c>
      <c r="AZ105" s="212">
        <f ca="1">IF($D105&lt;&gt;"Serviço",0,IF(OR(AND(AUTOEVENTO="Manual",$M105=1),$M105&gt;(ROW(PLE.lastrow)-ROW(PLE.firstrow))),0,IF(OFFSET(PLE!$G$14,$M105,AZ$13)="",10^12,OFFSET(PLE!$G$14,$M105,AZ$13))))</f>
        <v>1000000000000</v>
      </c>
      <c r="BA105" s="212">
        <f ca="1">IF($D105&lt;&gt;"Serviço",0,IF(OR(AND(AUTOEVENTO="Manual",$M105=1),$M105&gt;(ROW(PLE.lastrow)-ROW(PLE.firstrow))),0,IF(OFFSET(PLE!$G$14,$M105,BA$13)="",10^12,OFFSET(PLE!$G$14,$M105,BA$13))))</f>
        <v>1000000000000</v>
      </c>
      <c r="BB105" s="212">
        <f ca="1">IF($D105&lt;&gt;"Serviço",0,IF(OR(AND(AUTOEVENTO="Manual",$M105=1),$M105&gt;(ROW(PLE.lastrow)-ROW(PLE.firstrow))),0,IF(OFFSET(PLE!$G$14,$M105,BB$13)="",10^12,OFFSET(PLE!$G$14,$M105,BB$13))))</f>
        <v>1000000000000</v>
      </c>
      <c r="BC105" s="212">
        <f ca="1">IF($D105&lt;&gt;"Serviço",0,IF(OR(AND(AUTOEVENTO="Manual",$M105=1),$M105&gt;(ROW(PLE.lastrow)-ROW(PLE.firstrow))),0,IF(OFFSET(PLE!$G$14,$M105,BC$13)="",10^12,OFFSET(PLE!$G$14,$M105,BC$13))))</f>
        <v>1000000000000</v>
      </c>
      <c r="BD105" s="212">
        <f ca="1">IF($D105&lt;&gt;"Serviço",0,IF(OR(AND(AUTOEVENTO="Manual",$M105=1),$M105&gt;(ROW(PLE.lastrow)-ROW(PLE.firstrow))),0,IF(OFFSET(PLE!$G$14,$M105,BD$13)="",10^12,OFFSET(PLE!$G$14,$M105,BD$13))))</f>
        <v>1000000000000</v>
      </c>
      <c r="BE105" s="212">
        <f ca="1">IF($D105&lt;&gt;"Serviço",0,IF(OR(AND(AUTOEVENTO="Manual",$M105=1),$M105&gt;(ROW(PLE.lastrow)-ROW(PLE.firstrow))),0,IF(OFFSET(PLE!$G$14,$M105,BE$13)="",10^12,OFFSET(PLE!$G$14,$M105,BE$13))))</f>
        <v>1000000000000</v>
      </c>
      <c r="BF105" s="212">
        <f ca="1">IF($D105&lt;&gt;"Serviço",0,IF(OR(AND(AUTOEVENTO="Manual",$M105=1),$M105&gt;(ROW(PLE.lastrow)-ROW(PLE.firstrow))),0,IF(OFFSET(PLE!$G$14,$M105,BF$13)="",10^12,OFFSET(PLE!$G$14,$M105,BF$13))))</f>
        <v>1000000000000</v>
      </c>
      <c r="BG105" s="212">
        <f ca="1">IF($D105&lt;&gt;"Serviço",0,IF(OR(AND(AUTOEVENTO="Manual",$M105=1),$M105&gt;(ROW(PLE.lastrow)-ROW(PLE.firstrow))),0,IF(OFFSET(PLE!$G$14,$M105,BG$13)="",10^12,OFFSET(PLE!$G$14,$M105,BG$13))))</f>
        <v>1000000000000</v>
      </c>
    </row>
    <row r="106" spans="1:59" ht="13.2">
      <c r="A106" s="9" t="str">
        <f t="shared" ca="1" si="10"/>
        <v>15</v>
      </c>
      <c r="B106" s="9" t="str">
        <f ca="1">OFFSET(ORÇAMENTO!C$15,ROW(B106)-ROW(B$15),0)</f>
        <v>S</v>
      </c>
      <c r="C106" s="9" t="str">
        <f ca="1">OFFSET(ORÇAMENTO!L$15,ROW(C106)-ROW(C$15),0)</f>
        <v/>
      </c>
      <c r="D106" s="141" t="str">
        <f ca="1">OFFSET(ORÇAMENTO!N$15,ROW(D106)-ROW(D$15),0)</f>
        <v>Serviço</v>
      </c>
      <c r="E106" s="201" t="str">
        <f ca="1">OFFSET(ORÇAMENTO!O$15,ROW(E106)-ROW(E$15),0)</f>
        <v>-</v>
      </c>
      <c r="F106" s="202" t="str">
        <f ca="1">OFFSET(ORÇAMENTO!R$15,ROW(F106)-ROW(F$15),0)</f>
        <v>(abra o arquivo 'Referência 11-2024.xlsm)</v>
      </c>
      <c r="G106" s="203" t="str">
        <f ca="1">IF($D106&lt;&gt;"Serviço","",OFFSET(ORÇAMENTO!S$15,ROW(G106)-ROW(G$15),0))</f>
        <v>-</v>
      </c>
      <c r="H106" s="147">
        <f ca="1">IF($D106&lt;&gt;"Serviço",0,IF(ACOMPANHAMENTO="BM",ROUND(OFFSET(ORÇAMENTO!AJ$15,ROW(H106)-ROW(H$15),0),15-13*ORÇAMENTO!$AF$7),SUMPRODUCT(($Q$12:$AA$12&lt;&gt;"")*ROUND($Q106:$AA106,15-13*ORÇAMENTO!$AF$7))))</f>
        <v>0</v>
      </c>
      <c r="I106" s="645"/>
      <c r="K106" s="204"/>
      <c r="L106" s="205" t="s">
        <v>255</v>
      </c>
      <c r="M106" s="206">
        <f ca="1">IF($D106&lt;&gt;"Serviço","",IF(AUTOEVENTO="manual",$A106,IF(ISERROR(MATCH($A106,$A$15:OFFSET($A106,-1,0),0)),MAX($M$15:OFFSET(M106,-1,0))+1,INDEX($M$15:OFFSET(M106,-1,0),MATCH($A106,$A$15:OFFSET($A106,-1,0),0)))))</f>
        <v>6</v>
      </c>
      <c r="N106" s="207" t="str">
        <f ca="1">IF($D106&lt;&gt;"Serviço","",IF(AUTOEVENTO="Manual",IF($A106=0,"&lt;-- defina o número do agrupador",OFFSET(EVENTOS!$D$14,$A106,0)),OFFSET($F$15,$A106,0)))</f>
        <v>DRENAGEM</v>
      </c>
      <c r="O106" s="208"/>
      <c r="Q106" s="208"/>
      <c r="R106" s="209"/>
      <c r="S106" s="209"/>
      <c r="T106" s="209"/>
      <c r="U106" s="209"/>
      <c r="V106" s="209"/>
      <c r="W106" s="209"/>
      <c r="X106" s="209"/>
      <c r="Y106" s="209"/>
      <c r="Z106" s="210"/>
      <c r="AB106" s="626">
        <f ca="1">IF(AND($D106="Serviço",AB$12&lt;&gt;0,$H106&gt;0,OR(AUTOEVENTO&lt;&gt;"manual",$M106&lt;&gt;1)),
IF(Import.TipoArredondamento&lt;&gt;"TransfereGOV",
ROUND(OFFSET($P106,0,AB$13),15-13*ORÇAMENTO!$AF$7)/$H106*OFFSET(ORÇAMENTO!$X$15,ROW(AB106)-ROW(AB$15),0),
ROUND(ROUND(OFFSET($P106,0,AB$13),15-13*ORÇAMENTO!$AF$7)*OFFSET(ORÇAMENTO!$W$15,ROW(AB106)-ROW(AB$15),0),15-13*ORÇAMENTO!$AF$11)),0)</f>
        <v>0</v>
      </c>
      <c r="AC106" s="627">
        <f ca="1">IF(AND($D106="Serviço",AC$12&lt;&gt;0,$H106&gt;0,OR(AUTOEVENTO&lt;&gt;"manual",$M106&lt;&gt;1)),
IF(Import.TipoArredondamento&lt;&gt;"TransfereGOV",
ROUND(OFFSET($P106,0,AC$13),15-13*ORÇAMENTO!$AF$7)/$H106*OFFSET(ORÇAMENTO!$X$15,ROW(AC106)-ROW(AC$15),0),
ROUND(ROUND(OFFSET($P106,0,AC$13),15-13*ORÇAMENTO!$AF$7)*OFFSET(ORÇAMENTO!$W$15,ROW(AC106)-ROW(AC$15),0),15-13*ORÇAMENTO!$AF$11)),0)</f>
        <v>0</v>
      </c>
      <c r="AD106" s="627">
        <f ca="1">IF(AND($D106="Serviço",AD$12&lt;&gt;0,$H106&gt;0,OR(AUTOEVENTO&lt;&gt;"manual",$M106&lt;&gt;1)),
IF(Import.TipoArredondamento&lt;&gt;"TransfereGOV",
ROUND(OFFSET($P106,0,AD$13),15-13*ORÇAMENTO!$AF$7)/$H106*OFFSET(ORÇAMENTO!$X$15,ROW(AD106)-ROW(AD$15),0),
ROUND(ROUND(OFFSET($P106,0,AD$13),15-13*ORÇAMENTO!$AF$7)*OFFSET(ORÇAMENTO!$W$15,ROW(AD106)-ROW(AD$15),0),15-13*ORÇAMENTO!$AF$11)),0)</f>
        <v>0</v>
      </c>
      <c r="AE106" s="627">
        <f ca="1">IF(AND($D106="Serviço",AE$12&lt;&gt;0,$H106&gt;0,OR(AUTOEVENTO&lt;&gt;"manual",$M106&lt;&gt;1)),
IF(Import.TipoArredondamento&lt;&gt;"TransfereGOV",
ROUND(OFFSET($P106,0,AE$13),15-13*ORÇAMENTO!$AF$7)/$H106*OFFSET(ORÇAMENTO!$X$15,ROW(AE106)-ROW(AE$15),0),
ROUND(ROUND(OFFSET($P106,0,AE$13),15-13*ORÇAMENTO!$AF$7)*OFFSET(ORÇAMENTO!$W$15,ROW(AE106)-ROW(AE$15),0),15-13*ORÇAMENTO!$AF$11)),0)</f>
        <v>0</v>
      </c>
      <c r="AF106" s="627">
        <f ca="1">IF(AND($D106="Serviço",AF$12&lt;&gt;0,$H106&gt;0,OR(AUTOEVENTO&lt;&gt;"manual",$M106&lt;&gt;1)),
IF(Import.TipoArredondamento&lt;&gt;"TransfereGOV",
ROUND(OFFSET($P106,0,AF$13),15-13*ORÇAMENTO!$AF$7)/$H106*OFFSET(ORÇAMENTO!$X$15,ROW(AF106)-ROW(AF$15),0),
ROUND(ROUND(OFFSET($P106,0,AF$13),15-13*ORÇAMENTO!$AF$7)*OFFSET(ORÇAMENTO!$W$15,ROW(AF106)-ROW(AF$15),0),15-13*ORÇAMENTO!$AF$11)),0)</f>
        <v>0</v>
      </c>
      <c r="AG106" s="627">
        <f ca="1">IF(AND($D106="Serviço",AG$12&lt;&gt;0,$H106&gt;0,OR(AUTOEVENTO&lt;&gt;"manual",$M106&lt;&gt;1)),
IF(Import.TipoArredondamento&lt;&gt;"TransfereGOV",
ROUND(OFFSET($P106,0,AG$13),15-13*ORÇAMENTO!$AF$7)/$H106*OFFSET(ORÇAMENTO!$X$15,ROW(AG106)-ROW(AG$15),0),
ROUND(ROUND(OFFSET($P106,0,AG$13),15-13*ORÇAMENTO!$AF$7)*OFFSET(ORÇAMENTO!$W$15,ROW(AG106)-ROW(AG$15),0),15-13*ORÇAMENTO!$AF$11)),0)</f>
        <v>0</v>
      </c>
      <c r="AH106" s="627">
        <f ca="1">IF(AND($D106="Serviço",AH$12&lt;&gt;0,$H106&gt;0,OR(AUTOEVENTO&lt;&gt;"manual",$M106&lt;&gt;1)),
IF(Import.TipoArredondamento&lt;&gt;"TransfereGOV",
ROUND(OFFSET($P106,0,AH$13),15-13*ORÇAMENTO!$AF$7)/$H106*OFFSET(ORÇAMENTO!$X$15,ROW(AH106)-ROW(AH$15),0),
ROUND(ROUND(OFFSET($P106,0,AH$13),15-13*ORÇAMENTO!$AF$7)*OFFSET(ORÇAMENTO!$W$15,ROW(AH106)-ROW(AH$15),0),15-13*ORÇAMENTO!$AF$11)),0)</f>
        <v>0</v>
      </c>
      <c r="AI106" s="627">
        <f ca="1">IF(AND($D106="Serviço",AI$12&lt;&gt;0,$H106&gt;0,OR(AUTOEVENTO&lt;&gt;"manual",$M106&lt;&gt;1)),
IF(Import.TipoArredondamento&lt;&gt;"TransfereGOV",
ROUND(OFFSET($P106,0,AI$13),15-13*ORÇAMENTO!$AF$7)/$H106*OFFSET(ORÇAMENTO!$X$15,ROW(AI106)-ROW(AI$15),0),
ROUND(ROUND(OFFSET($P106,0,AI$13),15-13*ORÇAMENTO!$AF$7)*OFFSET(ORÇAMENTO!$W$15,ROW(AI106)-ROW(AI$15),0),15-13*ORÇAMENTO!$AF$11)),0)</f>
        <v>0</v>
      </c>
      <c r="AJ106" s="627">
        <f ca="1">IF(AND($D106="Serviço",AJ$12&lt;&gt;0,$H106&gt;0,OR(AUTOEVENTO&lt;&gt;"manual",$M106&lt;&gt;1)),
IF(Import.TipoArredondamento&lt;&gt;"TransfereGOV",
ROUND(OFFSET($P106,0,AJ$13),15-13*ORÇAMENTO!$AF$7)/$H106*OFFSET(ORÇAMENTO!$X$15,ROW(AJ106)-ROW(AJ$15),0),
ROUND(ROUND(OFFSET($P106,0,AJ$13),15-13*ORÇAMENTO!$AF$7)*OFFSET(ORÇAMENTO!$W$15,ROW(AJ106)-ROW(AJ$15),0),15-13*ORÇAMENTO!$AF$11)),0)</f>
        <v>0</v>
      </c>
      <c r="AK106" s="628">
        <f ca="1">IF(AND($D106="Serviço",AK$12&lt;&gt;0,$H106&gt;0,OR(AUTOEVENTO&lt;&gt;"manual",$M106&lt;&gt;1)),
IF(Import.TipoArredondamento&lt;&gt;"TransfereGOV",
ROUND(OFFSET($P106,0,AK$13),15-13*ORÇAMENTO!$AF$7)/$H106*OFFSET(ORÇAMENTO!$X$15,ROW(AK106)-ROW(AK$15),0),
ROUND(ROUND(OFFSET($P106,0,AK$13),15-13*ORÇAMENTO!$AF$7)*OFFSET(ORÇAMENTO!$W$15,ROW(AK106)-ROW(AK$15),0),15-13*ORÇAMENTO!$AF$11)),0)</f>
        <v>0</v>
      </c>
      <c r="AM106" s="211">
        <f ca="1">IF($D106&lt;&gt;"Serviço",0,IF(AND(AUTOEVENTO="Manual",$M106=1),0,IF(OFFSET(CRONOPLE!$F$14,$M106,AM$13)="",10^12,OFFSET(CRONOPLE!$F$14,$M106,AM$13))))</f>
        <v>2</v>
      </c>
      <c r="AN106" s="211">
        <f ca="1">IF($D106&lt;&gt;"Serviço",0,IF(AND(AUTOEVENTO="Manual",$M106=1),0,IF(OFFSET(CRONOPLE!$F$14,$M106,AN$13)="",10^12,OFFSET(CRONOPLE!$F$14,$M106,AN$13))))</f>
        <v>1</v>
      </c>
      <c r="AO106" s="211">
        <f ca="1">IF($D106&lt;&gt;"Serviço",0,IF(AND(AUTOEVENTO="Manual",$M106=1),0,IF(OFFSET(CRONOPLE!$F$14,$M106,AO$13)="",10^12,OFFSET(CRONOPLE!$F$14,$M106,AO$13))))</f>
        <v>2</v>
      </c>
      <c r="AP106" s="211">
        <f ca="1">IF($D106&lt;&gt;"Serviço",0,IF(AND(AUTOEVENTO="Manual",$M106=1),0,IF(OFFSET(CRONOPLE!$F$14,$M106,AP$13)="",10^12,OFFSET(CRONOPLE!$F$14,$M106,AP$13))))</f>
        <v>2</v>
      </c>
      <c r="AQ106" s="211">
        <f ca="1">IF($D106&lt;&gt;"Serviço",0,IF(AND(AUTOEVENTO="Manual",$M106=1),0,IF(OFFSET(CRONOPLE!$F$14,$M106,AQ$13)="",10^12,OFFSET(CRONOPLE!$F$14,$M106,AQ$13))))</f>
        <v>1000000000000</v>
      </c>
      <c r="AR106" s="211">
        <f ca="1">IF($D106&lt;&gt;"Serviço",0,IF(AND(AUTOEVENTO="Manual",$M106=1),0,IF(OFFSET(CRONOPLE!$F$14,$M106,AR$13)="",10^12,OFFSET(CRONOPLE!$F$14,$M106,AR$13))))</f>
        <v>1000000000000</v>
      </c>
      <c r="AS106" s="211">
        <f ca="1">IF($D106&lt;&gt;"Serviço",0,IF(AND(AUTOEVENTO="Manual",$M106=1),0,IF(OFFSET(CRONOPLE!$F$14,$M106,AS$13)="",10^12,OFFSET(CRONOPLE!$F$14,$M106,AS$13))))</f>
        <v>1000000000000</v>
      </c>
      <c r="AT106" s="211">
        <f ca="1">IF($D106&lt;&gt;"Serviço",0,IF(AND(AUTOEVENTO="Manual",$M106=1),0,IF(OFFSET(CRONOPLE!$F$14,$M106,AT$13)="",10^12,OFFSET(CRONOPLE!$F$14,$M106,AT$13))))</f>
        <v>1000000000000</v>
      </c>
      <c r="AU106" s="211">
        <f ca="1">IF($D106&lt;&gt;"Serviço",0,IF(AND(AUTOEVENTO="Manual",$M106=1),0,IF(OFFSET(CRONOPLE!$F$14,$M106,AU$13)="",10^12,OFFSET(CRONOPLE!$F$14,$M106,AU$13))))</f>
        <v>1000000000000</v>
      </c>
      <c r="AV106" s="211">
        <f ca="1">IF($D106&lt;&gt;"Serviço",0,IF(AND(AUTOEVENTO="Manual",$M106=1),0,IF(OFFSET(CRONOPLE!$F$14,$M106,AV$13)="",10^12,OFFSET(CRONOPLE!$F$14,$M106,AV$13))))</f>
        <v>1000000000000</v>
      </c>
      <c r="AX106" s="212">
        <f ca="1">IF($D106&lt;&gt;"Serviço",0,IF(OR(AND(AUTOEVENTO="Manual",$M106=1),$M106&gt;(ROW(PLE.lastrow)-ROW(PLE.firstrow))),0,IF(OFFSET(PLE!$G$14,$M106,AX$13)="",10^12,OFFSET(PLE!$G$14,$M106,AX$13))))</f>
        <v>1000000000000</v>
      </c>
      <c r="AY106" s="212">
        <f ca="1">IF($D106&lt;&gt;"Serviço",0,IF(OR(AND(AUTOEVENTO="Manual",$M106=1),$M106&gt;(ROW(PLE.lastrow)-ROW(PLE.firstrow))),0,IF(OFFSET(PLE!$G$14,$M106,AY$13)="",10^12,OFFSET(PLE!$G$14,$M106,AY$13))))</f>
        <v>1000000000000</v>
      </c>
      <c r="AZ106" s="212">
        <f ca="1">IF($D106&lt;&gt;"Serviço",0,IF(OR(AND(AUTOEVENTO="Manual",$M106=1),$M106&gt;(ROW(PLE.lastrow)-ROW(PLE.firstrow))),0,IF(OFFSET(PLE!$G$14,$M106,AZ$13)="",10^12,OFFSET(PLE!$G$14,$M106,AZ$13))))</f>
        <v>1000000000000</v>
      </c>
      <c r="BA106" s="212">
        <f ca="1">IF($D106&lt;&gt;"Serviço",0,IF(OR(AND(AUTOEVENTO="Manual",$M106=1),$M106&gt;(ROW(PLE.lastrow)-ROW(PLE.firstrow))),0,IF(OFFSET(PLE!$G$14,$M106,BA$13)="",10^12,OFFSET(PLE!$G$14,$M106,BA$13))))</f>
        <v>1000000000000</v>
      </c>
      <c r="BB106" s="212">
        <f ca="1">IF($D106&lt;&gt;"Serviço",0,IF(OR(AND(AUTOEVENTO="Manual",$M106=1),$M106&gt;(ROW(PLE.lastrow)-ROW(PLE.firstrow))),0,IF(OFFSET(PLE!$G$14,$M106,BB$13)="",10^12,OFFSET(PLE!$G$14,$M106,BB$13))))</f>
        <v>1000000000000</v>
      </c>
      <c r="BC106" s="212">
        <f ca="1">IF($D106&lt;&gt;"Serviço",0,IF(OR(AND(AUTOEVENTO="Manual",$M106=1),$M106&gt;(ROW(PLE.lastrow)-ROW(PLE.firstrow))),0,IF(OFFSET(PLE!$G$14,$M106,BC$13)="",10^12,OFFSET(PLE!$G$14,$M106,BC$13))))</f>
        <v>1000000000000</v>
      </c>
      <c r="BD106" s="212">
        <f ca="1">IF($D106&lt;&gt;"Serviço",0,IF(OR(AND(AUTOEVENTO="Manual",$M106=1),$M106&gt;(ROW(PLE.lastrow)-ROW(PLE.firstrow))),0,IF(OFFSET(PLE!$G$14,$M106,BD$13)="",10^12,OFFSET(PLE!$G$14,$M106,BD$13))))</f>
        <v>1000000000000</v>
      </c>
      <c r="BE106" s="212">
        <f ca="1">IF($D106&lt;&gt;"Serviço",0,IF(OR(AND(AUTOEVENTO="Manual",$M106=1),$M106&gt;(ROW(PLE.lastrow)-ROW(PLE.firstrow))),0,IF(OFFSET(PLE!$G$14,$M106,BE$13)="",10^12,OFFSET(PLE!$G$14,$M106,BE$13))))</f>
        <v>1000000000000</v>
      </c>
      <c r="BF106" s="212">
        <f ca="1">IF($D106&lt;&gt;"Serviço",0,IF(OR(AND(AUTOEVENTO="Manual",$M106=1),$M106&gt;(ROW(PLE.lastrow)-ROW(PLE.firstrow))),0,IF(OFFSET(PLE!$G$14,$M106,BF$13)="",10^12,OFFSET(PLE!$G$14,$M106,BF$13))))</f>
        <v>1000000000000</v>
      </c>
      <c r="BG106" s="212">
        <f ca="1">IF($D106&lt;&gt;"Serviço",0,IF(OR(AND(AUTOEVENTO="Manual",$M106=1),$M106&gt;(ROW(PLE.lastrow)-ROW(PLE.firstrow))),0,IF(OFFSET(PLE!$G$14,$M106,BG$13)="",10^12,OFFSET(PLE!$G$14,$M106,BG$13))))</f>
        <v>1000000000000</v>
      </c>
    </row>
    <row r="107" spans="1:59" ht="13.2">
      <c r="A107" s="9" t="str">
        <f t="shared" ca="1" si="10"/>
        <v>15</v>
      </c>
      <c r="B107" s="9" t="str">
        <f ca="1">OFFSET(ORÇAMENTO!C$15,ROW(B107)-ROW(B$15),0)</f>
        <v>S</v>
      </c>
      <c r="C107" s="9" t="str">
        <f ca="1">OFFSET(ORÇAMENTO!L$15,ROW(C107)-ROW(C$15),0)</f>
        <v/>
      </c>
      <c r="D107" s="141" t="str">
        <f ca="1">OFFSET(ORÇAMENTO!N$15,ROW(D107)-ROW(D$15),0)</f>
        <v>Serviço</v>
      </c>
      <c r="E107" s="201" t="str">
        <f ca="1">OFFSET(ORÇAMENTO!O$15,ROW(E107)-ROW(E$15),0)</f>
        <v>-</v>
      </c>
      <c r="F107" s="202" t="str">
        <f ca="1">OFFSET(ORÇAMENTO!R$15,ROW(F107)-ROW(F$15),0)</f>
        <v>(abra o arquivo 'Referência 11-2024.xlsm)</v>
      </c>
      <c r="G107" s="203" t="str">
        <f ca="1">IF($D107&lt;&gt;"Serviço","",OFFSET(ORÇAMENTO!S$15,ROW(G107)-ROW(G$15),0))</f>
        <v>-</v>
      </c>
      <c r="H107" s="147">
        <f ca="1">IF($D107&lt;&gt;"Serviço",0,IF(ACOMPANHAMENTO="BM",ROUND(OFFSET(ORÇAMENTO!AJ$15,ROW(H107)-ROW(H$15),0),15-13*ORÇAMENTO!$AF$7),SUMPRODUCT(($Q$12:$AA$12&lt;&gt;"")*ROUND($Q107:$AA107,15-13*ORÇAMENTO!$AF$7))))</f>
        <v>0</v>
      </c>
      <c r="I107" s="645"/>
      <c r="K107" s="204"/>
      <c r="L107" s="205" t="s">
        <v>255</v>
      </c>
      <c r="M107" s="206">
        <f ca="1">IF($D107&lt;&gt;"Serviço","",IF(AUTOEVENTO="manual",$A107,IF(ISERROR(MATCH($A107,$A$15:OFFSET($A107,-1,0),0)),MAX($M$15:OFFSET(M107,-1,0))+1,INDEX($M$15:OFFSET(M107,-1,0),MATCH($A107,$A$15:OFFSET($A107,-1,0),0)))))</f>
        <v>6</v>
      </c>
      <c r="N107" s="207" t="str">
        <f ca="1">IF($D107&lt;&gt;"Serviço","",IF(AUTOEVENTO="Manual",IF($A107=0,"&lt;-- defina o número do agrupador",OFFSET(EVENTOS!$D$14,$A107,0)),OFFSET($F$15,$A107,0)))</f>
        <v>DRENAGEM</v>
      </c>
      <c r="O107" s="208"/>
      <c r="Q107" s="208"/>
      <c r="R107" s="209"/>
      <c r="S107" s="209"/>
      <c r="T107" s="209"/>
      <c r="U107" s="209"/>
      <c r="V107" s="209"/>
      <c r="W107" s="209"/>
      <c r="X107" s="209"/>
      <c r="Y107" s="209"/>
      <c r="Z107" s="210"/>
      <c r="AB107" s="626">
        <f ca="1">IF(AND($D107="Serviço",AB$12&lt;&gt;0,$H107&gt;0,OR(AUTOEVENTO&lt;&gt;"manual",$M107&lt;&gt;1)),
IF(Import.TipoArredondamento&lt;&gt;"TransfereGOV",
ROUND(OFFSET($P107,0,AB$13),15-13*ORÇAMENTO!$AF$7)/$H107*OFFSET(ORÇAMENTO!$X$15,ROW(AB107)-ROW(AB$15),0),
ROUND(ROUND(OFFSET($P107,0,AB$13),15-13*ORÇAMENTO!$AF$7)*OFFSET(ORÇAMENTO!$W$15,ROW(AB107)-ROW(AB$15),0),15-13*ORÇAMENTO!$AF$11)),0)</f>
        <v>0</v>
      </c>
      <c r="AC107" s="627">
        <f ca="1">IF(AND($D107="Serviço",AC$12&lt;&gt;0,$H107&gt;0,OR(AUTOEVENTO&lt;&gt;"manual",$M107&lt;&gt;1)),
IF(Import.TipoArredondamento&lt;&gt;"TransfereGOV",
ROUND(OFFSET($P107,0,AC$13),15-13*ORÇAMENTO!$AF$7)/$H107*OFFSET(ORÇAMENTO!$X$15,ROW(AC107)-ROW(AC$15),0),
ROUND(ROUND(OFFSET($P107,0,AC$13),15-13*ORÇAMENTO!$AF$7)*OFFSET(ORÇAMENTO!$W$15,ROW(AC107)-ROW(AC$15),0),15-13*ORÇAMENTO!$AF$11)),0)</f>
        <v>0</v>
      </c>
      <c r="AD107" s="627">
        <f ca="1">IF(AND($D107="Serviço",AD$12&lt;&gt;0,$H107&gt;0,OR(AUTOEVENTO&lt;&gt;"manual",$M107&lt;&gt;1)),
IF(Import.TipoArredondamento&lt;&gt;"TransfereGOV",
ROUND(OFFSET($P107,0,AD$13),15-13*ORÇAMENTO!$AF$7)/$H107*OFFSET(ORÇAMENTO!$X$15,ROW(AD107)-ROW(AD$15),0),
ROUND(ROUND(OFFSET($P107,0,AD$13),15-13*ORÇAMENTO!$AF$7)*OFFSET(ORÇAMENTO!$W$15,ROW(AD107)-ROW(AD$15),0),15-13*ORÇAMENTO!$AF$11)),0)</f>
        <v>0</v>
      </c>
      <c r="AE107" s="627">
        <f ca="1">IF(AND($D107="Serviço",AE$12&lt;&gt;0,$H107&gt;0,OR(AUTOEVENTO&lt;&gt;"manual",$M107&lt;&gt;1)),
IF(Import.TipoArredondamento&lt;&gt;"TransfereGOV",
ROUND(OFFSET($P107,0,AE$13),15-13*ORÇAMENTO!$AF$7)/$H107*OFFSET(ORÇAMENTO!$X$15,ROW(AE107)-ROW(AE$15),0),
ROUND(ROUND(OFFSET($P107,0,AE$13),15-13*ORÇAMENTO!$AF$7)*OFFSET(ORÇAMENTO!$W$15,ROW(AE107)-ROW(AE$15),0),15-13*ORÇAMENTO!$AF$11)),0)</f>
        <v>0</v>
      </c>
      <c r="AF107" s="627">
        <f ca="1">IF(AND($D107="Serviço",AF$12&lt;&gt;0,$H107&gt;0,OR(AUTOEVENTO&lt;&gt;"manual",$M107&lt;&gt;1)),
IF(Import.TipoArredondamento&lt;&gt;"TransfereGOV",
ROUND(OFFSET($P107,0,AF$13),15-13*ORÇAMENTO!$AF$7)/$H107*OFFSET(ORÇAMENTO!$X$15,ROW(AF107)-ROW(AF$15),0),
ROUND(ROUND(OFFSET($P107,0,AF$13),15-13*ORÇAMENTO!$AF$7)*OFFSET(ORÇAMENTO!$W$15,ROW(AF107)-ROW(AF$15),0),15-13*ORÇAMENTO!$AF$11)),0)</f>
        <v>0</v>
      </c>
      <c r="AG107" s="627">
        <f ca="1">IF(AND($D107="Serviço",AG$12&lt;&gt;0,$H107&gt;0,OR(AUTOEVENTO&lt;&gt;"manual",$M107&lt;&gt;1)),
IF(Import.TipoArredondamento&lt;&gt;"TransfereGOV",
ROUND(OFFSET($P107,0,AG$13),15-13*ORÇAMENTO!$AF$7)/$H107*OFFSET(ORÇAMENTO!$X$15,ROW(AG107)-ROW(AG$15),0),
ROUND(ROUND(OFFSET($P107,0,AG$13),15-13*ORÇAMENTO!$AF$7)*OFFSET(ORÇAMENTO!$W$15,ROW(AG107)-ROW(AG$15),0),15-13*ORÇAMENTO!$AF$11)),0)</f>
        <v>0</v>
      </c>
      <c r="AH107" s="627">
        <f ca="1">IF(AND($D107="Serviço",AH$12&lt;&gt;0,$H107&gt;0,OR(AUTOEVENTO&lt;&gt;"manual",$M107&lt;&gt;1)),
IF(Import.TipoArredondamento&lt;&gt;"TransfereGOV",
ROUND(OFFSET($P107,0,AH$13),15-13*ORÇAMENTO!$AF$7)/$H107*OFFSET(ORÇAMENTO!$X$15,ROW(AH107)-ROW(AH$15),0),
ROUND(ROUND(OFFSET($P107,0,AH$13),15-13*ORÇAMENTO!$AF$7)*OFFSET(ORÇAMENTO!$W$15,ROW(AH107)-ROW(AH$15),0),15-13*ORÇAMENTO!$AF$11)),0)</f>
        <v>0</v>
      </c>
      <c r="AI107" s="627">
        <f ca="1">IF(AND($D107="Serviço",AI$12&lt;&gt;0,$H107&gt;0,OR(AUTOEVENTO&lt;&gt;"manual",$M107&lt;&gt;1)),
IF(Import.TipoArredondamento&lt;&gt;"TransfereGOV",
ROUND(OFFSET($P107,0,AI$13),15-13*ORÇAMENTO!$AF$7)/$H107*OFFSET(ORÇAMENTO!$X$15,ROW(AI107)-ROW(AI$15),0),
ROUND(ROUND(OFFSET($P107,0,AI$13),15-13*ORÇAMENTO!$AF$7)*OFFSET(ORÇAMENTO!$W$15,ROW(AI107)-ROW(AI$15),0),15-13*ORÇAMENTO!$AF$11)),0)</f>
        <v>0</v>
      </c>
      <c r="AJ107" s="627">
        <f ca="1">IF(AND($D107="Serviço",AJ$12&lt;&gt;0,$H107&gt;0,OR(AUTOEVENTO&lt;&gt;"manual",$M107&lt;&gt;1)),
IF(Import.TipoArredondamento&lt;&gt;"TransfereGOV",
ROUND(OFFSET($P107,0,AJ$13),15-13*ORÇAMENTO!$AF$7)/$H107*OFFSET(ORÇAMENTO!$X$15,ROW(AJ107)-ROW(AJ$15),0),
ROUND(ROUND(OFFSET($P107,0,AJ$13),15-13*ORÇAMENTO!$AF$7)*OFFSET(ORÇAMENTO!$W$15,ROW(AJ107)-ROW(AJ$15),0),15-13*ORÇAMENTO!$AF$11)),0)</f>
        <v>0</v>
      </c>
      <c r="AK107" s="628">
        <f ca="1">IF(AND($D107="Serviço",AK$12&lt;&gt;0,$H107&gt;0,OR(AUTOEVENTO&lt;&gt;"manual",$M107&lt;&gt;1)),
IF(Import.TipoArredondamento&lt;&gt;"TransfereGOV",
ROUND(OFFSET($P107,0,AK$13),15-13*ORÇAMENTO!$AF$7)/$H107*OFFSET(ORÇAMENTO!$X$15,ROW(AK107)-ROW(AK$15),0),
ROUND(ROUND(OFFSET($P107,0,AK$13),15-13*ORÇAMENTO!$AF$7)*OFFSET(ORÇAMENTO!$W$15,ROW(AK107)-ROW(AK$15),0),15-13*ORÇAMENTO!$AF$11)),0)</f>
        <v>0</v>
      </c>
      <c r="AM107" s="211">
        <f ca="1">IF($D107&lt;&gt;"Serviço",0,IF(AND(AUTOEVENTO="Manual",$M107=1),0,IF(OFFSET(CRONOPLE!$F$14,$M107,AM$13)="",10^12,OFFSET(CRONOPLE!$F$14,$M107,AM$13))))</f>
        <v>2</v>
      </c>
      <c r="AN107" s="211">
        <f ca="1">IF($D107&lt;&gt;"Serviço",0,IF(AND(AUTOEVENTO="Manual",$M107=1),0,IF(OFFSET(CRONOPLE!$F$14,$M107,AN$13)="",10^12,OFFSET(CRONOPLE!$F$14,$M107,AN$13))))</f>
        <v>1</v>
      </c>
      <c r="AO107" s="211">
        <f ca="1">IF($D107&lt;&gt;"Serviço",0,IF(AND(AUTOEVENTO="Manual",$M107=1),0,IF(OFFSET(CRONOPLE!$F$14,$M107,AO$13)="",10^12,OFFSET(CRONOPLE!$F$14,$M107,AO$13))))</f>
        <v>2</v>
      </c>
      <c r="AP107" s="211">
        <f ca="1">IF($D107&lt;&gt;"Serviço",0,IF(AND(AUTOEVENTO="Manual",$M107=1),0,IF(OFFSET(CRONOPLE!$F$14,$M107,AP$13)="",10^12,OFFSET(CRONOPLE!$F$14,$M107,AP$13))))</f>
        <v>2</v>
      </c>
      <c r="AQ107" s="211">
        <f ca="1">IF($D107&lt;&gt;"Serviço",0,IF(AND(AUTOEVENTO="Manual",$M107=1),0,IF(OFFSET(CRONOPLE!$F$14,$M107,AQ$13)="",10^12,OFFSET(CRONOPLE!$F$14,$M107,AQ$13))))</f>
        <v>1000000000000</v>
      </c>
      <c r="AR107" s="211">
        <f ca="1">IF($D107&lt;&gt;"Serviço",0,IF(AND(AUTOEVENTO="Manual",$M107=1),0,IF(OFFSET(CRONOPLE!$F$14,$M107,AR$13)="",10^12,OFFSET(CRONOPLE!$F$14,$M107,AR$13))))</f>
        <v>1000000000000</v>
      </c>
      <c r="AS107" s="211">
        <f ca="1">IF($D107&lt;&gt;"Serviço",0,IF(AND(AUTOEVENTO="Manual",$M107=1),0,IF(OFFSET(CRONOPLE!$F$14,$M107,AS$13)="",10^12,OFFSET(CRONOPLE!$F$14,$M107,AS$13))))</f>
        <v>1000000000000</v>
      </c>
      <c r="AT107" s="211">
        <f ca="1">IF($D107&lt;&gt;"Serviço",0,IF(AND(AUTOEVENTO="Manual",$M107=1),0,IF(OFFSET(CRONOPLE!$F$14,$M107,AT$13)="",10^12,OFFSET(CRONOPLE!$F$14,$M107,AT$13))))</f>
        <v>1000000000000</v>
      </c>
      <c r="AU107" s="211">
        <f ca="1">IF($D107&lt;&gt;"Serviço",0,IF(AND(AUTOEVENTO="Manual",$M107=1),0,IF(OFFSET(CRONOPLE!$F$14,$M107,AU$13)="",10^12,OFFSET(CRONOPLE!$F$14,$M107,AU$13))))</f>
        <v>1000000000000</v>
      </c>
      <c r="AV107" s="211">
        <f ca="1">IF($D107&lt;&gt;"Serviço",0,IF(AND(AUTOEVENTO="Manual",$M107=1),0,IF(OFFSET(CRONOPLE!$F$14,$M107,AV$13)="",10^12,OFFSET(CRONOPLE!$F$14,$M107,AV$13))))</f>
        <v>1000000000000</v>
      </c>
      <c r="AX107" s="212">
        <f ca="1">IF($D107&lt;&gt;"Serviço",0,IF(OR(AND(AUTOEVENTO="Manual",$M107=1),$M107&gt;(ROW(PLE.lastrow)-ROW(PLE.firstrow))),0,IF(OFFSET(PLE!$G$14,$M107,AX$13)="",10^12,OFFSET(PLE!$G$14,$M107,AX$13))))</f>
        <v>1000000000000</v>
      </c>
      <c r="AY107" s="212">
        <f ca="1">IF($D107&lt;&gt;"Serviço",0,IF(OR(AND(AUTOEVENTO="Manual",$M107=1),$M107&gt;(ROW(PLE.lastrow)-ROW(PLE.firstrow))),0,IF(OFFSET(PLE!$G$14,$M107,AY$13)="",10^12,OFFSET(PLE!$G$14,$M107,AY$13))))</f>
        <v>1000000000000</v>
      </c>
      <c r="AZ107" s="212">
        <f ca="1">IF($D107&lt;&gt;"Serviço",0,IF(OR(AND(AUTOEVENTO="Manual",$M107=1),$M107&gt;(ROW(PLE.lastrow)-ROW(PLE.firstrow))),0,IF(OFFSET(PLE!$G$14,$M107,AZ$13)="",10^12,OFFSET(PLE!$G$14,$M107,AZ$13))))</f>
        <v>1000000000000</v>
      </c>
      <c r="BA107" s="212">
        <f ca="1">IF($D107&lt;&gt;"Serviço",0,IF(OR(AND(AUTOEVENTO="Manual",$M107=1),$M107&gt;(ROW(PLE.lastrow)-ROW(PLE.firstrow))),0,IF(OFFSET(PLE!$G$14,$M107,BA$13)="",10^12,OFFSET(PLE!$G$14,$M107,BA$13))))</f>
        <v>1000000000000</v>
      </c>
      <c r="BB107" s="212">
        <f ca="1">IF($D107&lt;&gt;"Serviço",0,IF(OR(AND(AUTOEVENTO="Manual",$M107=1),$M107&gt;(ROW(PLE.lastrow)-ROW(PLE.firstrow))),0,IF(OFFSET(PLE!$G$14,$M107,BB$13)="",10^12,OFFSET(PLE!$G$14,$M107,BB$13))))</f>
        <v>1000000000000</v>
      </c>
      <c r="BC107" s="212">
        <f ca="1">IF($D107&lt;&gt;"Serviço",0,IF(OR(AND(AUTOEVENTO="Manual",$M107=1),$M107&gt;(ROW(PLE.lastrow)-ROW(PLE.firstrow))),0,IF(OFFSET(PLE!$G$14,$M107,BC$13)="",10^12,OFFSET(PLE!$G$14,$M107,BC$13))))</f>
        <v>1000000000000</v>
      </c>
      <c r="BD107" s="212">
        <f ca="1">IF($D107&lt;&gt;"Serviço",0,IF(OR(AND(AUTOEVENTO="Manual",$M107=1),$M107&gt;(ROW(PLE.lastrow)-ROW(PLE.firstrow))),0,IF(OFFSET(PLE!$G$14,$M107,BD$13)="",10^12,OFFSET(PLE!$G$14,$M107,BD$13))))</f>
        <v>1000000000000</v>
      </c>
      <c r="BE107" s="212">
        <f ca="1">IF($D107&lt;&gt;"Serviço",0,IF(OR(AND(AUTOEVENTO="Manual",$M107=1),$M107&gt;(ROW(PLE.lastrow)-ROW(PLE.firstrow))),0,IF(OFFSET(PLE!$G$14,$M107,BE$13)="",10^12,OFFSET(PLE!$G$14,$M107,BE$13))))</f>
        <v>1000000000000</v>
      </c>
      <c r="BF107" s="212">
        <f ca="1">IF($D107&lt;&gt;"Serviço",0,IF(OR(AND(AUTOEVENTO="Manual",$M107=1),$M107&gt;(ROW(PLE.lastrow)-ROW(PLE.firstrow))),0,IF(OFFSET(PLE!$G$14,$M107,BF$13)="",10^12,OFFSET(PLE!$G$14,$M107,BF$13))))</f>
        <v>1000000000000</v>
      </c>
      <c r="BG107" s="212">
        <f ca="1">IF($D107&lt;&gt;"Serviço",0,IF(OR(AND(AUTOEVENTO="Manual",$M107=1),$M107&gt;(ROW(PLE.lastrow)-ROW(PLE.firstrow))),0,IF(OFFSET(PLE!$G$14,$M107,BG$13)="",10^12,OFFSET(PLE!$G$14,$M107,BG$13))))</f>
        <v>1000000000000</v>
      </c>
    </row>
    <row r="108" spans="1:59" ht="13.2">
      <c r="A108" s="9" t="str">
        <f t="shared" ca="1" si="10"/>
        <v>15</v>
      </c>
      <c r="B108" s="9" t="str">
        <f ca="1">OFFSET(ORÇAMENTO!C$15,ROW(B108)-ROW(B$15),0)</f>
        <v>S</v>
      </c>
      <c r="C108" s="9" t="str">
        <f ca="1">OFFSET(ORÇAMENTO!L$15,ROW(C108)-ROW(C$15),0)</f>
        <v/>
      </c>
      <c r="D108" s="141" t="str">
        <f ca="1">OFFSET(ORÇAMENTO!N$15,ROW(D108)-ROW(D$15),0)</f>
        <v>Serviço</v>
      </c>
      <c r="E108" s="201" t="str">
        <f ca="1">OFFSET(ORÇAMENTO!O$15,ROW(E108)-ROW(E$15),0)</f>
        <v>-</v>
      </c>
      <c r="F108" s="202" t="str">
        <f ca="1">OFFSET(ORÇAMENTO!R$15,ROW(F108)-ROW(F$15),0)</f>
        <v>(abra o arquivo 'Referência 11-2024.xlsm)</v>
      </c>
      <c r="G108" s="203" t="str">
        <f ca="1">IF($D108&lt;&gt;"Serviço","",OFFSET(ORÇAMENTO!S$15,ROW(G108)-ROW(G$15),0))</f>
        <v>-</v>
      </c>
      <c r="H108" s="147">
        <f ca="1">IF($D108&lt;&gt;"Serviço",0,IF(ACOMPANHAMENTO="BM",ROUND(OFFSET(ORÇAMENTO!AJ$15,ROW(H108)-ROW(H$15),0),15-13*ORÇAMENTO!$AF$7),SUMPRODUCT(($Q$12:$AA$12&lt;&gt;"")*ROUND($Q108:$AA108,15-13*ORÇAMENTO!$AF$7))))</f>
        <v>0</v>
      </c>
      <c r="I108" s="645"/>
      <c r="K108" s="204"/>
      <c r="L108" s="205" t="s">
        <v>255</v>
      </c>
      <c r="M108" s="206">
        <f ca="1">IF($D108&lt;&gt;"Serviço","",IF(AUTOEVENTO="manual",$A108,IF(ISERROR(MATCH($A108,$A$15:OFFSET($A108,-1,0),0)),MAX($M$15:OFFSET(M108,-1,0))+1,INDEX($M$15:OFFSET(M108,-1,0),MATCH($A108,$A$15:OFFSET($A108,-1,0),0)))))</f>
        <v>6</v>
      </c>
      <c r="N108" s="207" t="str">
        <f ca="1">IF($D108&lt;&gt;"Serviço","",IF(AUTOEVENTO="Manual",IF($A108=0,"&lt;-- defina o número do agrupador",OFFSET(EVENTOS!$D$14,$A108,0)),OFFSET($F$15,$A108,0)))</f>
        <v>DRENAGEM</v>
      </c>
      <c r="O108" s="208"/>
      <c r="Q108" s="208"/>
      <c r="R108" s="209"/>
      <c r="S108" s="209"/>
      <c r="T108" s="209"/>
      <c r="U108" s="209"/>
      <c r="V108" s="209"/>
      <c r="W108" s="209"/>
      <c r="X108" s="209"/>
      <c r="Y108" s="209"/>
      <c r="Z108" s="210"/>
      <c r="AB108" s="626">
        <f ca="1">IF(AND($D108="Serviço",AB$12&lt;&gt;0,$H108&gt;0,OR(AUTOEVENTO&lt;&gt;"manual",$M108&lt;&gt;1)),
IF(Import.TipoArredondamento&lt;&gt;"TransfereGOV",
ROUND(OFFSET($P108,0,AB$13),15-13*ORÇAMENTO!$AF$7)/$H108*OFFSET(ORÇAMENTO!$X$15,ROW(AB108)-ROW(AB$15),0),
ROUND(ROUND(OFFSET($P108,0,AB$13),15-13*ORÇAMENTO!$AF$7)*OFFSET(ORÇAMENTO!$W$15,ROW(AB108)-ROW(AB$15),0),15-13*ORÇAMENTO!$AF$11)),0)</f>
        <v>0</v>
      </c>
      <c r="AC108" s="627">
        <f ca="1">IF(AND($D108="Serviço",AC$12&lt;&gt;0,$H108&gt;0,OR(AUTOEVENTO&lt;&gt;"manual",$M108&lt;&gt;1)),
IF(Import.TipoArredondamento&lt;&gt;"TransfereGOV",
ROUND(OFFSET($P108,0,AC$13),15-13*ORÇAMENTO!$AF$7)/$H108*OFFSET(ORÇAMENTO!$X$15,ROW(AC108)-ROW(AC$15),0),
ROUND(ROUND(OFFSET($P108,0,AC$13),15-13*ORÇAMENTO!$AF$7)*OFFSET(ORÇAMENTO!$W$15,ROW(AC108)-ROW(AC$15),0),15-13*ORÇAMENTO!$AF$11)),0)</f>
        <v>0</v>
      </c>
      <c r="AD108" s="627">
        <f ca="1">IF(AND($D108="Serviço",AD$12&lt;&gt;0,$H108&gt;0,OR(AUTOEVENTO&lt;&gt;"manual",$M108&lt;&gt;1)),
IF(Import.TipoArredondamento&lt;&gt;"TransfereGOV",
ROUND(OFFSET($P108,0,AD$13),15-13*ORÇAMENTO!$AF$7)/$H108*OFFSET(ORÇAMENTO!$X$15,ROW(AD108)-ROW(AD$15),0),
ROUND(ROUND(OFFSET($P108,0,AD$13),15-13*ORÇAMENTO!$AF$7)*OFFSET(ORÇAMENTO!$W$15,ROW(AD108)-ROW(AD$15),0),15-13*ORÇAMENTO!$AF$11)),0)</f>
        <v>0</v>
      </c>
      <c r="AE108" s="627">
        <f ca="1">IF(AND($D108="Serviço",AE$12&lt;&gt;0,$H108&gt;0,OR(AUTOEVENTO&lt;&gt;"manual",$M108&lt;&gt;1)),
IF(Import.TipoArredondamento&lt;&gt;"TransfereGOV",
ROUND(OFFSET($P108,0,AE$13),15-13*ORÇAMENTO!$AF$7)/$H108*OFFSET(ORÇAMENTO!$X$15,ROW(AE108)-ROW(AE$15),0),
ROUND(ROUND(OFFSET($P108,0,AE$13),15-13*ORÇAMENTO!$AF$7)*OFFSET(ORÇAMENTO!$W$15,ROW(AE108)-ROW(AE$15),0),15-13*ORÇAMENTO!$AF$11)),0)</f>
        <v>0</v>
      </c>
      <c r="AF108" s="627">
        <f ca="1">IF(AND($D108="Serviço",AF$12&lt;&gt;0,$H108&gt;0,OR(AUTOEVENTO&lt;&gt;"manual",$M108&lt;&gt;1)),
IF(Import.TipoArredondamento&lt;&gt;"TransfereGOV",
ROUND(OFFSET($P108,0,AF$13),15-13*ORÇAMENTO!$AF$7)/$H108*OFFSET(ORÇAMENTO!$X$15,ROW(AF108)-ROW(AF$15),0),
ROUND(ROUND(OFFSET($P108,0,AF$13),15-13*ORÇAMENTO!$AF$7)*OFFSET(ORÇAMENTO!$W$15,ROW(AF108)-ROW(AF$15),0),15-13*ORÇAMENTO!$AF$11)),0)</f>
        <v>0</v>
      </c>
      <c r="AG108" s="627">
        <f ca="1">IF(AND($D108="Serviço",AG$12&lt;&gt;0,$H108&gt;0,OR(AUTOEVENTO&lt;&gt;"manual",$M108&lt;&gt;1)),
IF(Import.TipoArredondamento&lt;&gt;"TransfereGOV",
ROUND(OFFSET($P108,0,AG$13),15-13*ORÇAMENTO!$AF$7)/$H108*OFFSET(ORÇAMENTO!$X$15,ROW(AG108)-ROW(AG$15),0),
ROUND(ROUND(OFFSET($P108,0,AG$13),15-13*ORÇAMENTO!$AF$7)*OFFSET(ORÇAMENTO!$W$15,ROW(AG108)-ROW(AG$15),0),15-13*ORÇAMENTO!$AF$11)),0)</f>
        <v>0</v>
      </c>
      <c r="AH108" s="627">
        <f ca="1">IF(AND($D108="Serviço",AH$12&lt;&gt;0,$H108&gt;0,OR(AUTOEVENTO&lt;&gt;"manual",$M108&lt;&gt;1)),
IF(Import.TipoArredondamento&lt;&gt;"TransfereGOV",
ROUND(OFFSET($P108,0,AH$13),15-13*ORÇAMENTO!$AF$7)/$H108*OFFSET(ORÇAMENTO!$X$15,ROW(AH108)-ROW(AH$15),0),
ROUND(ROUND(OFFSET($P108,0,AH$13),15-13*ORÇAMENTO!$AF$7)*OFFSET(ORÇAMENTO!$W$15,ROW(AH108)-ROW(AH$15),0),15-13*ORÇAMENTO!$AF$11)),0)</f>
        <v>0</v>
      </c>
      <c r="AI108" s="627">
        <f ca="1">IF(AND($D108="Serviço",AI$12&lt;&gt;0,$H108&gt;0,OR(AUTOEVENTO&lt;&gt;"manual",$M108&lt;&gt;1)),
IF(Import.TipoArredondamento&lt;&gt;"TransfereGOV",
ROUND(OFFSET($P108,0,AI$13),15-13*ORÇAMENTO!$AF$7)/$H108*OFFSET(ORÇAMENTO!$X$15,ROW(AI108)-ROW(AI$15),0),
ROUND(ROUND(OFFSET($P108,0,AI$13),15-13*ORÇAMENTO!$AF$7)*OFFSET(ORÇAMENTO!$W$15,ROW(AI108)-ROW(AI$15),0),15-13*ORÇAMENTO!$AF$11)),0)</f>
        <v>0</v>
      </c>
      <c r="AJ108" s="627">
        <f ca="1">IF(AND($D108="Serviço",AJ$12&lt;&gt;0,$H108&gt;0,OR(AUTOEVENTO&lt;&gt;"manual",$M108&lt;&gt;1)),
IF(Import.TipoArredondamento&lt;&gt;"TransfereGOV",
ROUND(OFFSET($P108,0,AJ$13),15-13*ORÇAMENTO!$AF$7)/$H108*OFFSET(ORÇAMENTO!$X$15,ROW(AJ108)-ROW(AJ$15),0),
ROUND(ROUND(OFFSET($P108,0,AJ$13),15-13*ORÇAMENTO!$AF$7)*OFFSET(ORÇAMENTO!$W$15,ROW(AJ108)-ROW(AJ$15),0),15-13*ORÇAMENTO!$AF$11)),0)</f>
        <v>0</v>
      </c>
      <c r="AK108" s="628">
        <f ca="1">IF(AND($D108="Serviço",AK$12&lt;&gt;0,$H108&gt;0,OR(AUTOEVENTO&lt;&gt;"manual",$M108&lt;&gt;1)),
IF(Import.TipoArredondamento&lt;&gt;"TransfereGOV",
ROUND(OFFSET($P108,0,AK$13),15-13*ORÇAMENTO!$AF$7)/$H108*OFFSET(ORÇAMENTO!$X$15,ROW(AK108)-ROW(AK$15),0),
ROUND(ROUND(OFFSET($P108,0,AK$13),15-13*ORÇAMENTO!$AF$7)*OFFSET(ORÇAMENTO!$W$15,ROW(AK108)-ROW(AK$15),0),15-13*ORÇAMENTO!$AF$11)),0)</f>
        <v>0</v>
      </c>
      <c r="AM108" s="211">
        <f ca="1">IF($D108&lt;&gt;"Serviço",0,IF(AND(AUTOEVENTO="Manual",$M108=1),0,IF(OFFSET(CRONOPLE!$F$14,$M108,AM$13)="",10^12,OFFSET(CRONOPLE!$F$14,$M108,AM$13))))</f>
        <v>2</v>
      </c>
      <c r="AN108" s="211">
        <f ca="1">IF($D108&lt;&gt;"Serviço",0,IF(AND(AUTOEVENTO="Manual",$M108=1),0,IF(OFFSET(CRONOPLE!$F$14,$M108,AN$13)="",10^12,OFFSET(CRONOPLE!$F$14,$M108,AN$13))))</f>
        <v>1</v>
      </c>
      <c r="AO108" s="211">
        <f ca="1">IF($D108&lt;&gt;"Serviço",0,IF(AND(AUTOEVENTO="Manual",$M108=1),0,IF(OFFSET(CRONOPLE!$F$14,$M108,AO$13)="",10^12,OFFSET(CRONOPLE!$F$14,$M108,AO$13))))</f>
        <v>2</v>
      </c>
      <c r="AP108" s="211">
        <f ca="1">IF($D108&lt;&gt;"Serviço",0,IF(AND(AUTOEVENTO="Manual",$M108=1),0,IF(OFFSET(CRONOPLE!$F$14,$M108,AP$13)="",10^12,OFFSET(CRONOPLE!$F$14,$M108,AP$13))))</f>
        <v>2</v>
      </c>
      <c r="AQ108" s="211">
        <f ca="1">IF($D108&lt;&gt;"Serviço",0,IF(AND(AUTOEVENTO="Manual",$M108=1),0,IF(OFFSET(CRONOPLE!$F$14,$M108,AQ$13)="",10^12,OFFSET(CRONOPLE!$F$14,$M108,AQ$13))))</f>
        <v>1000000000000</v>
      </c>
      <c r="AR108" s="211">
        <f ca="1">IF($D108&lt;&gt;"Serviço",0,IF(AND(AUTOEVENTO="Manual",$M108=1),0,IF(OFFSET(CRONOPLE!$F$14,$M108,AR$13)="",10^12,OFFSET(CRONOPLE!$F$14,$M108,AR$13))))</f>
        <v>1000000000000</v>
      </c>
      <c r="AS108" s="211">
        <f ca="1">IF($D108&lt;&gt;"Serviço",0,IF(AND(AUTOEVENTO="Manual",$M108=1),0,IF(OFFSET(CRONOPLE!$F$14,$M108,AS$13)="",10^12,OFFSET(CRONOPLE!$F$14,$M108,AS$13))))</f>
        <v>1000000000000</v>
      </c>
      <c r="AT108" s="211">
        <f ca="1">IF($D108&lt;&gt;"Serviço",0,IF(AND(AUTOEVENTO="Manual",$M108=1),0,IF(OFFSET(CRONOPLE!$F$14,$M108,AT$13)="",10^12,OFFSET(CRONOPLE!$F$14,$M108,AT$13))))</f>
        <v>1000000000000</v>
      </c>
      <c r="AU108" s="211">
        <f ca="1">IF($D108&lt;&gt;"Serviço",0,IF(AND(AUTOEVENTO="Manual",$M108=1),0,IF(OFFSET(CRONOPLE!$F$14,$M108,AU$13)="",10^12,OFFSET(CRONOPLE!$F$14,$M108,AU$13))))</f>
        <v>1000000000000</v>
      </c>
      <c r="AV108" s="211">
        <f ca="1">IF($D108&lt;&gt;"Serviço",0,IF(AND(AUTOEVENTO="Manual",$M108=1),0,IF(OFFSET(CRONOPLE!$F$14,$M108,AV$13)="",10^12,OFFSET(CRONOPLE!$F$14,$M108,AV$13))))</f>
        <v>1000000000000</v>
      </c>
      <c r="AX108" s="212">
        <f ca="1">IF($D108&lt;&gt;"Serviço",0,IF(OR(AND(AUTOEVENTO="Manual",$M108=1),$M108&gt;(ROW(PLE.lastrow)-ROW(PLE.firstrow))),0,IF(OFFSET(PLE!$G$14,$M108,AX$13)="",10^12,OFFSET(PLE!$G$14,$M108,AX$13))))</f>
        <v>1000000000000</v>
      </c>
      <c r="AY108" s="212">
        <f ca="1">IF($D108&lt;&gt;"Serviço",0,IF(OR(AND(AUTOEVENTO="Manual",$M108=1),$M108&gt;(ROW(PLE.lastrow)-ROW(PLE.firstrow))),0,IF(OFFSET(PLE!$G$14,$M108,AY$13)="",10^12,OFFSET(PLE!$G$14,$M108,AY$13))))</f>
        <v>1000000000000</v>
      </c>
      <c r="AZ108" s="212">
        <f ca="1">IF($D108&lt;&gt;"Serviço",0,IF(OR(AND(AUTOEVENTO="Manual",$M108=1),$M108&gt;(ROW(PLE.lastrow)-ROW(PLE.firstrow))),0,IF(OFFSET(PLE!$G$14,$M108,AZ$13)="",10^12,OFFSET(PLE!$G$14,$M108,AZ$13))))</f>
        <v>1000000000000</v>
      </c>
      <c r="BA108" s="212">
        <f ca="1">IF($D108&lt;&gt;"Serviço",0,IF(OR(AND(AUTOEVENTO="Manual",$M108=1),$M108&gt;(ROW(PLE.lastrow)-ROW(PLE.firstrow))),0,IF(OFFSET(PLE!$G$14,$M108,BA$13)="",10^12,OFFSET(PLE!$G$14,$M108,BA$13))))</f>
        <v>1000000000000</v>
      </c>
      <c r="BB108" s="212">
        <f ca="1">IF($D108&lt;&gt;"Serviço",0,IF(OR(AND(AUTOEVENTO="Manual",$M108=1),$M108&gt;(ROW(PLE.lastrow)-ROW(PLE.firstrow))),0,IF(OFFSET(PLE!$G$14,$M108,BB$13)="",10^12,OFFSET(PLE!$G$14,$M108,BB$13))))</f>
        <v>1000000000000</v>
      </c>
      <c r="BC108" s="212">
        <f ca="1">IF($D108&lt;&gt;"Serviço",0,IF(OR(AND(AUTOEVENTO="Manual",$M108=1),$M108&gt;(ROW(PLE.lastrow)-ROW(PLE.firstrow))),0,IF(OFFSET(PLE!$G$14,$M108,BC$13)="",10^12,OFFSET(PLE!$G$14,$M108,BC$13))))</f>
        <v>1000000000000</v>
      </c>
      <c r="BD108" s="212">
        <f ca="1">IF($D108&lt;&gt;"Serviço",0,IF(OR(AND(AUTOEVENTO="Manual",$M108=1),$M108&gt;(ROW(PLE.lastrow)-ROW(PLE.firstrow))),0,IF(OFFSET(PLE!$G$14,$M108,BD$13)="",10^12,OFFSET(PLE!$G$14,$M108,BD$13))))</f>
        <v>1000000000000</v>
      </c>
      <c r="BE108" s="212">
        <f ca="1">IF($D108&lt;&gt;"Serviço",0,IF(OR(AND(AUTOEVENTO="Manual",$M108=1),$M108&gt;(ROW(PLE.lastrow)-ROW(PLE.firstrow))),0,IF(OFFSET(PLE!$G$14,$M108,BE$13)="",10^12,OFFSET(PLE!$G$14,$M108,BE$13))))</f>
        <v>1000000000000</v>
      </c>
      <c r="BF108" s="212">
        <f ca="1">IF($D108&lt;&gt;"Serviço",0,IF(OR(AND(AUTOEVENTO="Manual",$M108=1),$M108&gt;(ROW(PLE.lastrow)-ROW(PLE.firstrow))),0,IF(OFFSET(PLE!$G$14,$M108,BF$13)="",10^12,OFFSET(PLE!$G$14,$M108,BF$13))))</f>
        <v>1000000000000</v>
      </c>
      <c r="BG108" s="212">
        <f ca="1">IF($D108&lt;&gt;"Serviço",0,IF(OR(AND(AUTOEVENTO="Manual",$M108=1),$M108&gt;(ROW(PLE.lastrow)-ROW(PLE.firstrow))),0,IF(OFFSET(PLE!$G$14,$M108,BG$13)="",10^12,OFFSET(PLE!$G$14,$M108,BG$13))))</f>
        <v>1000000000000</v>
      </c>
    </row>
    <row r="109" spans="1:59" ht="13.2">
      <c r="A109" s="9" t="str">
        <f t="shared" ca="1" si="10"/>
        <v>15</v>
      </c>
      <c r="B109" s="9" t="str">
        <f ca="1">OFFSET(ORÇAMENTO!C$15,ROW(B109)-ROW(B$15),0)</f>
        <v>S</v>
      </c>
      <c r="C109" s="9" t="str">
        <f ca="1">OFFSET(ORÇAMENTO!L$15,ROW(C109)-ROW(C$15),0)</f>
        <v/>
      </c>
      <c r="D109" s="141" t="str">
        <f ca="1">OFFSET(ORÇAMENTO!N$15,ROW(D109)-ROW(D$15),0)</f>
        <v>Serviço</v>
      </c>
      <c r="E109" s="201" t="str">
        <f ca="1">OFFSET(ORÇAMENTO!O$15,ROW(E109)-ROW(E$15),0)</f>
        <v>-</v>
      </c>
      <c r="F109" s="202" t="str">
        <f ca="1">OFFSET(ORÇAMENTO!R$15,ROW(F109)-ROW(F$15),0)</f>
        <v>(abra o arquivo 'Referência 11-2024.xlsm)</v>
      </c>
      <c r="G109" s="203" t="str">
        <f ca="1">IF($D109&lt;&gt;"Serviço","",OFFSET(ORÇAMENTO!S$15,ROW(G109)-ROW(G$15),0))</f>
        <v>-</v>
      </c>
      <c r="H109" s="147">
        <f ca="1">IF($D109&lt;&gt;"Serviço",0,IF(ACOMPANHAMENTO="BM",ROUND(OFFSET(ORÇAMENTO!AJ$15,ROW(H109)-ROW(H$15),0),15-13*ORÇAMENTO!$AF$7),SUMPRODUCT(($Q$12:$AA$12&lt;&gt;"")*ROUND($Q109:$AA109,15-13*ORÇAMENTO!$AF$7))))</f>
        <v>0</v>
      </c>
      <c r="I109" s="645"/>
      <c r="K109" s="204"/>
      <c r="L109" s="205" t="s">
        <v>255</v>
      </c>
      <c r="M109" s="206">
        <f ca="1">IF($D109&lt;&gt;"Serviço","",IF(AUTOEVENTO="manual",$A109,IF(ISERROR(MATCH($A109,$A$15:OFFSET($A109,-1,0),0)),MAX($M$15:OFFSET(M109,-1,0))+1,INDEX($M$15:OFFSET(M109,-1,0),MATCH($A109,$A$15:OFFSET($A109,-1,0),0)))))</f>
        <v>6</v>
      </c>
      <c r="N109" s="207" t="str">
        <f ca="1">IF($D109&lt;&gt;"Serviço","",IF(AUTOEVENTO="Manual",IF($A109=0,"&lt;-- defina o número do agrupador",OFFSET(EVENTOS!$D$14,$A109,0)),OFFSET($F$15,$A109,0)))</f>
        <v>DRENAGEM</v>
      </c>
      <c r="O109" s="208"/>
      <c r="Q109" s="208"/>
      <c r="R109" s="209"/>
      <c r="S109" s="209"/>
      <c r="T109" s="209"/>
      <c r="U109" s="209"/>
      <c r="V109" s="209"/>
      <c r="W109" s="209"/>
      <c r="X109" s="209"/>
      <c r="Y109" s="209"/>
      <c r="Z109" s="210"/>
      <c r="AB109" s="626">
        <f ca="1">IF(AND($D109="Serviço",AB$12&lt;&gt;0,$H109&gt;0,OR(AUTOEVENTO&lt;&gt;"manual",$M109&lt;&gt;1)),
IF(Import.TipoArredondamento&lt;&gt;"TransfereGOV",
ROUND(OFFSET($P109,0,AB$13),15-13*ORÇAMENTO!$AF$7)/$H109*OFFSET(ORÇAMENTO!$X$15,ROW(AB109)-ROW(AB$15),0),
ROUND(ROUND(OFFSET($P109,0,AB$13),15-13*ORÇAMENTO!$AF$7)*OFFSET(ORÇAMENTO!$W$15,ROW(AB109)-ROW(AB$15),0),15-13*ORÇAMENTO!$AF$11)),0)</f>
        <v>0</v>
      </c>
      <c r="AC109" s="627">
        <f ca="1">IF(AND($D109="Serviço",AC$12&lt;&gt;0,$H109&gt;0,OR(AUTOEVENTO&lt;&gt;"manual",$M109&lt;&gt;1)),
IF(Import.TipoArredondamento&lt;&gt;"TransfereGOV",
ROUND(OFFSET($P109,0,AC$13),15-13*ORÇAMENTO!$AF$7)/$H109*OFFSET(ORÇAMENTO!$X$15,ROW(AC109)-ROW(AC$15),0),
ROUND(ROUND(OFFSET($P109,0,AC$13),15-13*ORÇAMENTO!$AF$7)*OFFSET(ORÇAMENTO!$W$15,ROW(AC109)-ROW(AC$15),0),15-13*ORÇAMENTO!$AF$11)),0)</f>
        <v>0</v>
      </c>
      <c r="AD109" s="627">
        <f ca="1">IF(AND($D109="Serviço",AD$12&lt;&gt;0,$H109&gt;0,OR(AUTOEVENTO&lt;&gt;"manual",$M109&lt;&gt;1)),
IF(Import.TipoArredondamento&lt;&gt;"TransfereGOV",
ROUND(OFFSET($P109,0,AD$13),15-13*ORÇAMENTO!$AF$7)/$H109*OFFSET(ORÇAMENTO!$X$15,ROW(AD109)-ROW(AD$15),0),
ROUND(ROUND(OFFSET($P109,0,AD$13),15-13*ORÇAMENTO!$AF$7)*OFFSET(ORÇAMENTO!$W$15,ROW(AD109)-ROW(AD$15),0),15-13*ORÇAMENTO!$AF$11)),0)</f>
        <v>0</v>
      </c>
      <c r="AE109" s="627">
        <f ca="1">IF(AND($D109="Serviço",AE$12&lt;&gt;0,$H109&gt;0,OR(AUTOEVENTO&lt;&gt;"manual",$M109&lt;&gt;1)),
IF(Import.TipoArredondamento&lt;&gt;"TransfereGOV",
ROUND(OFFSET($P109,0,AE$13),15-13*ORÇAMENTO!$AF$7)/$H109*OFFSET(ORÇAMENTO!$X$15,ROW(AE109)-ROW(AE$15),0),
ROUND(ROUND(OFFSET($P109,0,AE$13),15-13*ORÇAMENTO!$AF$7)*OFFSET(ORÇAMENTO!$W$15,ROW(AE109)-ROW(AE$15),0),15-13*ORÇAMENTO!$AF$11)),0)</f>
        <v>0</v>
      </c>
      <c r="AF109" s="627">
        <f ca="1">IF(AND($D109="Serviço",AF$12&lt;&gt;0,$H109&gt;0,OR(AUTOEVENTO&lt;&gt;"manual",$M109&lt;&gt;1)),
IF(Import.TipoArredondamento&lt;&gt;"TransfereGOV",
ROUND(OFFSET($P109,0,AF$13),15-13*ORÇAMENTO!$AF$7)/$H109*OFFSET(ORÇAMENTO!$X$15,ROW(AF109)-ROW(AF$15),0),
ROUND(ROUND(OFFSET($P109,0,AF$13),15-13*ORÇAMENTO!$AF$7)*OFFSET(ORÇAMENTO!$W$15,ROW(AF109)-ROW(AF$15),0),15-13*ORÇAMENTO!$AF$11)),0)</f>
        <v>0</v>
      </c>
      <c r="AG109" s="627">
        <f ca="1">IF(AND($D109="Serviço",AG$12&lt;&gt;0,$H109&gt;0,OR(AUTOEVENTO&lt;&gt;"manual",$M109&lt;&gt;1)),
IF(Import.TipoArredondamento&lt;&gt;"TransfereGOV",
ROUND(OFFSET($P109,0,AG$13),15-13*ORÇAMENTO!$AF$7)/$H109*OFFSET(ORÇAMENTO!$X$15,ROW(AG109)-ROW(AG$15),0),
ROUND(ROUND(OFFSET($P109,0,AG$13),15-13*ORÇAMENTO!$AF$7)*OFFSET(ORÇAMENTO!$W$15,ROW(AG109)-ROW(AG$15),0),15-13*ORÇAMENTO!$AF$11)),0)</f>
        <v>0</v>
      </c>
      <c r="AH109" s="627">
        <f ca="1">IF(AND($D109="Serviço",AH$12&lt;&gt;0,$H109&gt;0,OR(AUTOEVENTO&lt;&gt;"manual",$M109&lt;&gt;1)),
IF(Import.TipoArredondamento&lt;&gt;"TransfereGOV",
ROUND(OFFSET($P109,0,AH$13),15-13*ORÇAMENTO!$AF$7)/$H109*OFFSET(ORÇAMENTO!$X$15,ROW(AH109)-ROW(AH$15),0),
ROUND(ROUND(OFFSET($P109,0,AH$13),15-13*ORÇAMENTO!$AF$7)*OFFSET(ORÇAMENTO!$W$15,ROW(AH109)-ROW(AH$15),0),15-13*ORÇAMENTO!$AF$11)),0)</f>
        <v>0</v>
      </c>
      <c r="AI109" s="627">
        <f ca="1">IF(AND($D109="Serviço",AI$12&lt;&gt;0,$H109&gt;0,OR(AUTOEVENTO&lt;&gt;"manual",$M109&lt;&gt;1)),
IF(Import.TipoArredondamento&lt;&gt;"TransfereGOV",
ROUND(OFFSET($P109,0,AI$13),15-13*ORÇAMENTO!$AF$7)/$H109*OFFSET(ORÇAMENTO!$X$15,ROW(AI109)-ROW(AI$15),0),
ROUND(ROUND(OFFSET($P109,0,AI$13),15-13*ORÇAMENTO!$AF$7)*OFFSET(ORÇAMENTO!$W$15,ROW(AI109)-ROW(AI$15),0),15-13*ORÇAMENTO!$AF$11)),0)</f>
        <v>0</v>
      </c>
      <c r="AJ109" s="627">
        <f ca="1">IF(AND($D109="Serviço",AJ$12&lt;&gt;0,$H109&gt;0,OR(AUTOEVENTO&lt;&gt;"manual",$M109&lt;&gt;1)),
IF(Import.TipoArredondamento&lt;&gt;"TransfereGOV",
ROUND(OFFSET($P109,0,AJ$13),15-13*ORÇAMENTO!$AF$7)/$H109*OFFSET(ORÇAMENTO!$X$15,ROW(AJ109)-ROW(AJ$15),0),
ROUND(ROUND(OFFSET($P109,0,AJ$13),15-13*ORÇAMENTO!$AF$7)*OFFSET(ORÇAMENTO!$W$15,ROW(AJ109)-ROW(AJ$15),0),15-13*ORÇAMENTO!$AF$11)),0)</f>
        <v>0</v>
      </c>
      <c r="AK109" s="628">
        <f ca="1">IF(AND($D109="Serviço",AK$12&lt;&gt;0,$H109&gt;0,OR(AUTOEVENTO&lt;&gt;"manual",$M109&lt;&gt;1)),
IF(Import.TipoArredondamento&lt;&gt;"TransfereGOV",
ROUND(OFFSET($P109,0,AK$13),15-13*ORÇAMENTO!$AF$7)/$H109*OFFSET(ORÇAMENTO!$X$15,ROW(AK109)-ROW(AK$15),0),
ROUND(ROUND(OFFSET($P109,0,AK$13),15-13*ORÇAMENTO!$AF$7)*OFFSET(ORÇAMENTO!$W$15,ROW(AK109)-ROW(AK$15),0),15-13*ORÇAMENTO!$AF$11)),0)</f>
        <v>0</v>
      </c>
      <c r="AM109" s="211">
        <f ca="1">IF($D109&lt;&gt;"Serviço",0,IF(AND(AUTOEVENTO="Manual",$M109=1),0,IF(OFFSET(CRONOPLE!$F$14,$M109,AM$13)="",10^12,OFFSET(CRONOPLE!$F$14,$M109,AM$13))))</f>
        <v>2</v>
      </c>
      <c r="AN109" s="211">
        <f ca="1">IF($D109&lt;&gt;"Serviço",0,IF(AND(AUTOEVENTO="Manual",$M109=1),0,IF(OFFSET(CRONOPLE!$F$14,$M109,AN$13)="",10^12,OFFSET(CRONOPLE!$F$14,$M109,AN$13))))</f>
        <v>1</v>
      </c>
      <c r="AO109" s="211">
        <f ca="1">IF($D109&lt;&gt;"Serviço",0,IF(AND(AUTOEVENTO="Manual",$M109=1),0,IF(OFFSET(CRONOPLE!$F$14,$M109,AO$13)="",10^12,OFFSET(CRONOPLE!$F$14,$M109,AO$13))))</f>
        <v>2</v>
      </c>
      <c r="AP109" s="211">
        <f ca="1">IF($D109&lt;&gt;"Serviço",0,IF(AND(AUTOEVENTO="Manual",$M109=1),0,IF(OFFSET(CRONOPLE!$F$14,$M109,AP$13)="",10^12,OFFSET(CRONOPLE!$F$14,$M109,AP$13))))</f>
        <v>2</v>
      </c>
      <c r="AQ109" s="211">
        <f ca="1">IF($D109&lt;&gt;"Serviço",0,IF(AND(AUTOEVENTO="Manual",$M109=1),0,IF(OFFSET(CRONOPLE!$F$14,$M109,AQ$13)="",10^12,OFFSET(CRONOPLE!$F$14,$M109,AQ$13))))</f>
        <v>1000000000000</v>
      </c>
      <c r="AR109" s="211">
        <f ca="1">IF($D109&lt;&gt;"Serviço",0,IF(AND(AUTOEVENTO="Manual",$M109=1),0,IF(OFFSET(CRONOPLE!$F$14,$M109,AR$13)="",10^12,OFFSET(CRONOPLE!$F$14,$M109,AR$13))))</f>
        <v>1000000000000</v>
      </c>
      <c r="AS109" s="211">
        <f ca="1">IF($D109&lt;&gt;"Serviço",0,IF(AND(AUTOEVENTO="Manual",$M109=1),0,IF(OFFSET(CRONOPLE!$F$14,$M109,AS$13)="",10^12,OFFSET(CRONOPLE!$F$14,$M109,AS$13))))</f>
        <v>1000000000000</v>
      </c>
      <c r="AT109" s="211">
        <f ca="1">IF($D109&lt;&gt;"Serviço",0,IF(AND(AUTOEVENTO="Manual",$M109=1),0,IF(OFFSET(CRONOPLE!$F$14,$M109,AT$13)="",10^12,OFFSET(CRONOPLE!$F$14,$M109,AT$13))))</f>
        <v>1000000000000</v>
      </c>
      <c r="AU109" s="211">
        <f ca="1">IF($D109&lt;&gt;"Serviço",0,IF(AND(AUTOEVENTO="Manual",$M109=1),0,IF(OFFSET(CRONOPLE!$F$14,$M109,AU$13)="",10^12,OFFSET(CRONOPLE!$F$14,$M109,AU$13))))</f>
        <v>1000000000000</v>
      </c>
      <c r="AV109" s="211">
        <f ca="1">IF($D109&lt;&gt;"Serviço",0,IF(AND(AUTOEVENTO="Manual",$M109=1),0,IF(OFFSET(CRONOPLE!$F$14,$M109,AV$13)="",10^12,OFFSET(CRONOPLE!$F$14,$M109,AV$13))))</f>
        <v>1000000000000</v>
      </c>
      <c r="AX109" s="212">
        <f ca="1">IF($D109&lt;&gt;"Serviço",0,IF(OR(AND(AUTOEVENTO="Manual",$M109=1),$M109&gt;(ROW(PLE.lastrow)-ROW(PLE.firstrow))),0,IF(OFFSET(PLE!$G$14,$M109,AX$13)="",10^12,OFFSET(PLE!$G$14,$M109,AX$13))))</f>
        <v>1000000000000</v>
      </c>
      <c r="AY109" s="212">
        <f ca="1">IF($D109&lt;&gt;"Serviço",0,IF(OR(AND(AUTOEVENTO="Manual",$M109=1),$M109&gt;(ROW(PLE.lastrow)-ROW(PLE.firstrow))),0,IF(OFFSET(PLE!$G$14,$M109,AY$13)="",10^12,OFFSET(PLE!$G$14,$M109,AY$13))))</f>
        <v>1000000000000</v>
      </c>
      <c r="AZ109" s="212">
        <f ca="1">IF($D109&lt;&gt;"Serviço",0,IF(OR(AND(AUTOEVENTO="Manual",$M109=1),$M109&gt;(ROW(PLE.lastrow)-ROW(PLE.firstrow))),0,IF(OFFSET(PLE!$G$14,$M109,AZ$13)="",10^12,OFFSET(PLE!$G$14,$M109,AZ$13))))</f>
        <v>1000000000000</v>
      </c>
      <c r="BA109" s="212">
        <f ca="1">IF($D109&lt;&gt;"Serviço",0,IF(OR(AND(AUTOEVENTO="Manual",$M109=1),$M109&gt;(ROW(PLE.lastrow)-ROW(PLE.firstrow))),0,IF(OFFSET(PLE!$G$14,$M109,BA$13)="",10^12,OFFSET(PLE!$G$14,$M109,BA$13))))</f>
        <v>1000000000000</v>
      </c>
      <c r="BB109" s="212">
        <f ca="1">IF($D109&lt;&gt;"Serviço",0,IF(OR(AND(AUTOEVENTO="Manual",$M109=1),$M109&gt;(ROW(PLE.lastrow)-ROW(PLE.firstrow))),0,IF(OFFSET(PLE!$G$14,$M109,BB$13)="",10^12,OFFSET(PLE!$G$14,$M109,BB$13))))</f>
        <v>1000000000000</v>
      </c>
      <c r="BC109" s="212">
        <f ca="1">IF($D109&lt;&gt;"Serviço",0,IF(OR(AND(AUTOEVENTO="Manual",$M109=1),$M109&gt;(ROW(PLE.lastrow)-ROW(PLE.firstrow))),0,IF(OFFSET(PLE!$G$14,$M109,BC$13)="",10^12,OFFSET(PLE!$G$14,$M109,BC$13))))</f>
        <v>1000000000000</v>
      </c>
      <c r="BD109" s="212">
        <f ca="1">IF($D109&lt;&gt;"Serviço",0,IF(OR(AND(AUTOEVENTO="Manual",$M109=1),$M109&gt;(ROW(PLE.lastrow)-ROW(PLE.firstrow))),0,IF(OFFSET(PLE!$G$14,$M109,BD$13)="",10^12,OFFSET(PLE!$G$14,$M109,BD$13))))</f>
        <v>1000000000000</v>
      </c>
      <c r="BE109" s="212">
        <f ca="1">IF($D109&lt;&gt;"Serviço",0,IF(OR(AND(AUTOEVENTO="Manual",$M109=1),$M109&gt;(ROW(PLE.lastrow)-ROW(PLE.firstrow))),0,IF(OFFSET(PLE!$G$14,$M109,BE$13)="",10^12,OFFSET(PLE!$G$14,$M109,BE$13))))</f>
        <v>1000000000000</v>
      </c>
      <c r="BF109" s="212">
        <f ca="1">IF($D109&lt;&gt;"Serviço",0,IF(OR(AND(AUTOEVENTO="Manual",$M109=1),$M109&gt;(ROW(PLE.lastrow)-ROW(PLE.firstrow))),0,IF(OFFSET(PLE!$G$14,$M109,BF$13)="",10^12,OFFSET(PLE!$G$14,$M109,BF$13))))</f>
        <v>1000000000000</v>
      </c>
      <c r="BG109" s="212">
        <f ca="1">IF($D109&lt;&gt;"Serviço",0,IF(OR(AND(AUTOEVENTO="Manual",$M109=1),$M109&gt;(ROW(PLE.lastrow)-ROW(PLE.firstrow))),0,IF(OFFSET(PLE!$G$14,$M109,BG$13)="",10^12,OFFSET(PLE!$G$14,$M109,BG$13))))</f>
        <v>1000000000000</v>
      </c>
    </row>
    <row r="110" spans="1:59" ht="13.2">
      <c r="A110" s="9" t="str">
        <f t="shared" ca="1" si="10"/>
        <v>15</v>
      </c>
      <c r="B110" s="9" t="str">
        <f ca="1">OFFSET(ORÇAMENTO!C$15,ROW(B110)-ROW(B$15),0)</f>
        <v>S</v>
      </c>
      <c r="C110" s="9" t="str">
        <f ca="1">OFFSET(ORÇAMENTO!L$15,ROW(C110)-ROW(C$15),0)</f>
        <v/>
      </c>
      <c r="D110" s="141" t="str">
        <f ca="1">OFFSET(ORÇAMENTO!N$15,ROW(D110)-ROW(D$15),0)</f>
        <v>Serviço</v>
      </c>
      <c r="E110" s="201" t="str">
        <f ca="1">OFFSET(ORÇAMENTO!O$15,ROW(E110)-ROW(E$15),0)</f>
        <v>-</v>
      </c>
      <c r="F110" s="202" t="str">
        <f ca="1">OFFSET(ORÇAMENTO!R$15,ROW(F110)-ROW(F$15),0)</f>
        <v>(abra o arquivo 'Referência 11-2024.xlsm)</v>
      </c>
      <c r="G110" s="203" t="str">
        <f ca="1">IF($D110&lt;&gt;"Serviço","",OFFSET(ORÇAMENTO!S$15,ROW(G110)-ROW(G$15),0))</f>
        <v>-</v>
      </c>
      <c r="H110" s="147">
        <f ca="1">IF($D110&lt;&gt;"Serviço",0,IF(ACOMPANHAMENTO="BM",ROUND(OFFSET(ORÇAMENTO!AJ$15,ROW(H110)-ROW(H$15),0),15-13*ORÇAMENTO!$AF$7),SUMPRODUCT(($Q$12:$AA$12&lt;&gt;"")*ROUND($Q110:$AA110,15-13*ORÇAMENTO!$AF$7))))</f>
        <v>0</v>
      </c>
      <c r="I110" s="645"/>
      <c r="K110" s="204"/>
      <c r="L110" s="205" t="s">
        <v>255</v>
      </c>
      <c r="M110" s="206">
        <f ca="1">IF($D110&lt;&gt;"Serviço","",IF(AUTOEVENTO="manual",$A110,IF(ISERROR(MATCH($A110,$A$15:OFFSET($A110,-1,0),0)),MAX($M$15:OFFSET(M110,-1,0))+1,INDEX($M$15:OFFSET(M110,-1,0),MATCH($A110,$A$15:OFFSET($A110,-1,0),0)))))</f>
        <v>6</v>
      </c>
      <c r="N110" s="207" t="str">
        <f ca="1">IF($D110&lt;&gt;"Serviço","",IF(AUTOEVENTO="Manual",IF($A110=0,"&lt;-- defina o número do agrupador",OFFSET(EVENTOS!$D$14,$A110,0)),OFFSET($F$15,$A110,0)))</f>
        <v>DRENAGEM</v>
      </c>
      <c r="O110" s="208"/>
      <c r="Q110" s="208"/>
      <c r="R110" s="209"/>
      <c r="S110" s="209"/>
      <c r="T110" s="209"/>
      <c r="U110" s="209"/>
      <c r="V110" s="209"/>
      <c r="W110" s="209"/>
      <c r="X110" s="209"/>
      <c r="Y110" s="209"/>
      <c r="Z110" s="210"/>
      <c r="AB110" s="626">
        <f ca="1">IF(AND($D110="Serviço",AB$12&lt;&gt;0,$H110&gt;0,OR(AUTOEVENTO&lt;&gt;"manual",$M110&lt;&gt;1)),
IF(Import.TipoArredondamento&lt;&gt;"TransfereGOV",
ROUND(OFFSET($P110,0,AB$13),15-13*ORÇAMENTO!$AF$7)/$H110*OFFSET(ORÇAMENTO!$X$15,ROW(AB110)-ROW(AB$15),0),
ROUND(ROUND(OFFSET($P110,0,AB$13),15-13*ORÇAMENTO!$AF$7)*OFFSET(ORÇAMENTO!$W$15,ROW(AB110)-ROW(AB$15),0),15-13*ORÇAMENTO!$AF$11)),0)</f>
        <v>0</v>
      </c>
      <c r="AC110" s="627">
        <f ca="1">IF(AND($D110="Serviço",AC$12&lt;&gt;0,$H110&gt;0,OR(AUTOEVENTO&lt;&gt;"manual",$M110&lt;&gt;1)),
IF(Import.TipoArredondamento&lt;&gt;"TransfereGOV",
ROUND(OFFSET($P110,0,AC$13),15-13*ORÇAMENTO!$AF$7)/$H110*OFFSET(ORÇAMENTO!$X$15,ROW(AC110)-ROW(AC$15),0),
ROUND(ROUND(OFFSET($P110,0,AC$13),15-13*ORÇAMENTO!$AF$7)*OFFSET(ORÇAMENTO!$W$15,ROW(AC110)-ROW(AC$15),0),15-13*ORÇAMENTO!$AF$11)),0)</f>
        <v>0</v>
      </c>
      <c r="AD110" s="627">
        <f ca="1">IF(AND($D110="Serviço",AD$12&lt;&gt;0,$H110&gt;0,OR(AUTOEVENTO&lt;&gt;"manual",$M110&lt;&gt;1)),
IF(Import.TipoArredondamento&lt;&gt;"TransfereGOV",
ROUND(OFFSET($P110,0,AD$13),15-13*ORÇAMENTO!$AF$7)/$H110*OFFSET(ORÇAMENTO!$X$15,ROW(AD110)-ROW(AD$15),0),
ROUND(ROUND(OFFSET($P110,0,AD$13),15-13*ORÇAMENTO!$AF$7)*OFFSET(ORÇAMENTO!$W$15,ROW(AD110)-ROW(AD$15),0),15-13*ORÇAMENTO!$AF$11)),0)</f>
        <v>0</v>
      </c>
      <c r="AE110" s="627">
        <f ca="1">IF(AND($D110="Serviço",AE$12&lt;&gt;0,$H110&gt;0,OR(AUTOEVENTO&lt;&gt;"manual",$M110&lt;&gt;1)),
IF(Import.TipoArredondamento&lt;&gt;"TransfereGOV",
ROUND(OFFSET($P110,0,AE$13),15-13*ORÇAMENTO!$AF$7)/$H110*OFFSET(ORÇAMENTO!$X$15,ROW(AE110)-ROW(AE$15),0),
ROUND(ROUND(OFFSET($P110,0,AE$13),15-13*ORÇAMENTO!$AF$7)*OFFSET(ORÇAMENTO!$W$15,ROW(AE110)-ROW(AE$15),0),15-13*ORÇAMENTO!$AF$11)),0)</f>
        <v>0</v>
      </c>
      <c r="AF110" s="627">
        <f ca="1">IF(AND($D110="Serviço",AF$12&lt;&gt;0,$H110&gt;0,OR(AUTOEVENTO&lt;&gt;"manual",$M110&lt;&gt;1)),
IF(Import.TipoArredondamento&lt;&gt;"TransfereGOV",
ROUND(OFFSET($P110,0,AF$13),15-13*ORÇAMENTO!$AF$7)/$H110*OFFSET(ORÇAMENTO!$X$15,ROW(AF110)-ROW(AF$15),0),
ROUND(ROUND(OFFSET($P110,0,AF$13),15-13*ORÇAMENTO!$AF$7)*OFFSET(ORÇAMENTO!$W$15,ROW(AF110)-ROW(AF$15),0),15-13*ORÇAMENTO!$AF$11)),0)</f>
        <v>0</v>
      </c>
      <c r="AG110" s="627">
        <f ca="1">IF(AND($D110="Serviço",AG$12&lt;&gt;0,$H110&gt;0,OR(AUTOEVENTO&lt;&gt;"manual",$M110&lt;&gt;1)),
IF(Import.TipoArredondamento&lt;&gt;"TransfereGOV",
ROUND(OFFSET($P110,0,AG$13),15-13*ORÇAMENTO!$AF$7)/$H110*OFFSET(ORÇAMENTO!$X$15,ROW(AG110)-ROW(AG$15),0),
ROUND(ROUND(OFFSET($P110,0,AG$13),15-13*ORÇAMENTO!$AF$7)*OFFSET(ORÇAMENTO!$W$15,ROW(AG110)-ROW(AG$15),0),15-13*ORÇAMENTO!$AF$11)),0)</f>
        <v>0</v>
      </c>
      <c r="AH110" s="627">
        <f ca="1">IF(AND($D110="Serviço",AH$12&lt;&gt;0,$H110&gt;0,OR(AUTOEVENTO&lt;&gt;"manual",$M110&lt;&gt;1)),
IF(Import.TipoArredondamento&lt;&gt;"TransfereGOV",
ROUND(OFFSET($P110,0,AH$13),15-13*ORÇAMENTO!$AF$7)/$H110*OFFSET(ORÇAMENTO!$X$15,ROW(AH110)-ROW(AH$15),0),
ROUND(ROUND(OFFSET($P110,0,AH$13),15-13*ORÇAMENTO!$AF$7)*OFFSET(ORÇAMENTO!$W$15,ROW(AH110)-ROW(AH$15),0),15-13*ORÇAMENTO!$AF$11)),0)</f>
        <v>0</v>
      </c>
      <c r="AI110" s="627">
        <f ca="1">IF(AND($D110="Serviço",AI$12&lt;&gt;0,$H110&gt;0,OR(AUTOEVENTO&lt;&gt;"manual",$M110&lt;&gt;1)),
IF(Import.TipoArredondamento&lt;&gt;"TransfereGOV",
ROUND(OFFSET($P110,0,AI$13),15-13*ORÇAMENTO!$AF$7)/$H110*OFFSET(ORÇAMENTO!$X$15,ROW(AI110)-ROW(AI$15),0),
ROUND(ROUND(OFFSET($P110,0,AI$13),15-13*ORÇAMENTO!$AF$7)*OFFSET(ORÇAMENTO!$W$15,ROW(AI110)-ROW(AI$15),0),15-13*ORÇAMENTO!$AF$11)),0)</f>
        <v>0</v>
      </c>
      <c r="AJ110" s="627">
        <f ca="1">IF(AND($D110="Serviço",AJ$12&lt;&gt;0,$H110&gt;0,OR(AUTOEVENTO&lt;&gt;"manual",$M110&lt;&gt;1)),
IF(Import.TipoArredondamento&lt;&gt;"TransfereGOV",
ROUND(OFFSET($P110,0,AJ$13),15-13*ORÇAMENTO!$AF$7)/$H110*OFFSET(ORÇAMENTO!$X$15,ROW(AJ110)-ROW(AJ$15),0),
ROUND(ROUND(OFFSET($P110,0,AJ$13),15-13*ORÇAMENTO!$AF$7)*OFFSET(ORÇAMENTO!$W$15,ROW(AJ110)-ROW(AJ$15),0),15-13*ORÇAMENTO!$AF$11)),0)</f>
        <v>0</v>
      </c>
      <c r="AK110" s="628">
        <f ca="1">IF(AND($D110="Serviço",AK$12&lt;&gt;0,$H110&gt;0,OR(AUTOEVENTO&lt;&gt;"manual",$M110&lt;&gt;1)),
IF(Import.TipoArredondamento&lt;&gt;"TransfereGOV",
ROUND(OFFSET($P110,0,AK$13),15-13*ORÇAMENTO!$AF$7)/$H110*OFFSET(ORÇAMENTO!$X$15,ROW(AK110)-ROW(AK$15),0),
ROUND(ROUND(OFFSET($P110,0,AK$13),15-13*ORÇAMENTO!$AF$7)*OFFSET(ORÇAMENTO!$W$15,ROW(AK110)-ROW(AK$15),0),15-13*ORÇAMENTO!$AF$11)),0)</f>
        <v>0</v>
      </c>
      <c r="AM110" s="211">
        <f ca="1">IF($D110&lt;&gt;"Serviço",0,IF(AND(AUTOEVENTO="Manual",$M110=1),0,IF(OFFSET(CRONOPLE!$F$14,$M110,AM$13)="",10^12,OFFSET(CRONOPLE!$F$14,$M110,AM$13))))</f>
        <v>2</v>
      </c>
      <c r="AN110" s="211">
        <f ca="1">IF($D110&lt;&gt;"Serviço",0,IF(AND(AUTOEVENTO="Manual",$M110=1),0,IF(OFFSET(CRONOPLE!$F$14,$M110,AN$13)="",10^12,OFFSET(CRONOPLE!$F$14,$M110,AN$13))))</f>
        <v>1</v>
      </c>
      <c r="AO110" s="211">
        <f ca="1">IF($D110&lt;&gt;"Serviço",0,IF(AND(AUTOEVENTO="Manual",$M110=1),0,IF(OFFSET(CRONOPLE!$F$14,$M110,AO$13)="",10^12,OFFSET(CRONOPLE!$F$14,$M110,AO$13))))</f>
        <v>2</v>
      </c>
      <c r="AP110" s="211">
        <f ca="1">IF($D110&lt;&gt;"Serviço",0,IF(AND(AUTOEVENTO="Manual",$M110=1),0,IF(OFFSET(CRONOPLE!$F$14,$M110,AP$13)="",10^12,OFFSET(CRONOPLE!$F$14,$M110,AP$13))))</f>
        <v>2</v>
      </c>
      <c r="AQ110" s="211">
        <f ca="1">IF($D110&lt;&gt;"Serviço",0,IF(AND(AUTOEVENTO="Manual",$M110=1),0,IF(OFFSET(CRONOPLE!$F$14,$M110,AQ$13)="",10^12,OFFSET(CRONOPLE!$F$14,$M110,AQ$13))))</f>
        <v>1000000000000</v>
      </c>
      <c r="AR110" s="211">
        <f ca="1">IF($D110&lt;&gt;"Serviço",0,IF(AND(AUTOEVENTO="Manual",$M110=1),0,IF(OFFSET(CRONOPLE!$F$14,$M110,AR$13)="",10^12,OFFSET(CRONOPLE!$F$14,$M110,AR$13))))</f>
        <v>1000000000000</v>
      </c>
      <c r="AS110" s="211">
        <f ca="1">IF($D110&lt;&gt;"Serviço",0,IF(AND(AUTOEVENTO="Manual",$M110=1),0,IF(OFFSET(CRONOPLE!$F$14,$M110,AS$13)="",10^12,OFFSET(CRONOPLE!$F$14,$M110,AS$13))))</f>
        <v>1000000000000</v>
      </c>
      <c r="AT110" s="211">
        <f ca="1">IF($D110&lt;&gt;"Serviço",0,IF(AND(AUTOEVENTO="Manual",$M110=1),0,IF(OFFSET(CRONOPLE!$F$14,$M110,AT$13)="",10^12,OFFSET(CRONOPLE!$F$14,$M110,AT$13))))</f>
        <v>1000000000000</v>
      </c>
      <c r="AU110" s="211">
        <f ca="1">IF($D110&lt;&gt;"Serviço",0,IF(AND(AUTOEVENTO="Manual",$M110=1),0,IF(OFFSET(CRONOPLE!$F$14,$M110,AU$13)="",10^12,OFFSET(CRONOPLE!$F$14,$M110,AU$13))))</f>
        <v>1000000000000</v>
      </c>
      <c r="AV110" s="211">
        <f ca="1">IF($D110&lt;&gt;"Serviço",0,IF(AND(AUTOEVENTO="Manual",$M110=1),0,IF(OFFSET(CRONOPLE!$F$14,$M110,AV$13)="",10^12,OFFSET(CRONOPLE!$F$14,$M110,AV$13))))</f>
        <v>1000000000000</v>
      </c>
      <c r="AX110" s="212">
        <f ca="1">IF($D110&lt;&gt;"Serviço",0,IF(OR(AND(AUTOEVENTO="Manual",$M110=1),$M110&gt;(ROW(PLE.lastrow)-ROW(PLE.firstrow))),0,IF(OFFSET(PLE!$G$14,$M110,AX$13)="",10^12,OFFSET(PLE!$G$14,$M110,AX$13))))</f>
        <v>1000000000000</v>
      </c>
      <c r="AY110" s="212">
        <f ca="1">IF($D110&lt;&gt;"Serviço",0,IF(OR(AND(AUTOEVENTO="Manual",$M110=1),$M110&gt;(ROW(PLE.lastrow)-ROW(PLE.firstrow))),0,IF(OFFSET(PLE!$G$14,$M110,AY$13)="",10^12,OFFSET(PLE!$G$14,$M110,AY$13))))</f>
        <v>1000000000000</v>
      </c>
      <c r="AZ110" s="212">
        <f ca="1">IF($D110&lt;&gt;"Serviço",0,IF(OR(AND(AUTOEVENTO="Manual",$M110=1),$M110&gt;(ROW(PLE.lastrow)-ROW(PLE.firstrow))),0,IF(OFFSET(PLE!$G$14,$M110,AZ$13)="",10^12,OFFSET(PLE!$G$14,$M110,AZ$13))))</f>
        <v>1000000000000</v>
      </c>
      <c r="BA110" s="212">
        <f ca="1">IF($D110&lt;&gt;"Serviço",0,IF(OR(AND(AUTOEVENTO="Manual",$M110=1),$M110&gt;(ROW(PLE.lastrow)-ROW(PLE.firstrow))),0,IF(OFFSET(PLE!$G$14,$M110,BA$13)="",10^12,OFFSET(PLE!$G$14,$M110,BA$13))))</f>
        <v>1000000000000</v>
      </c>
      <c r="BB110" s="212">
        <f ca="1">IF($D110&lt;&gt;"Serviço",0,IF(OR(AND(AUTOEVENTO="Manual",$M110=1),$M110&gt;(ROW(PLE.lastrow)-ROW(PLE.firstrow))),0,IF(OFFSET(PLE!$G$14,$M110,BB$13)="",10^12,OFFSET(PLE!$G$14,$M110,BB$13))))</f>
        <v>1000000000000</v>
      </c>
      <c r="BC110" s="212">
        <f ca="1">IF($D110&lt;&gt;"Serviço",0,IF(OR(AND(AUTOEVENTO="Manual",$M110=1),$M110&gt;(ROW(PLE.lastrow)-ROW(PLE.firstrow))),0,IF(OFFSET(PLE!$G$14,$M110,BC$13)="",10^12,OFFSET(PLE!$G$14,$M110,BC$13))))</f>
        <v>1000000000000</v>
      </c>
      <c r="BD110" s="212">
        <f ca="1">IF($D110&lt;&gt;"Serviço",0,IF(OR(AND(AUTOEVENTO="Manual",$M110=1),$M110&gt;(ROW(PLE.lastrow)-ROW(PLE.firstrow))),0,IF(OFFSET(PLE!$G$14,$M110,BD$13)="",10^12,OFFSET(PLE!$G$14,$M110,BD$13))))</f>
        <v>1000000000000</v>
      </c>
      <c r="BE110" s="212">
        <f ca="1">IF($D110&lt;&gt;"Serviço",0,IF(OR(AND(AUTOEVENTO="Manual",$M110=1),$M110&gt;(ROW(PLE.lastrow)-ROW(PLE.firstrow))),0,IF(OFFSET(PLE!$G$14,$M110,BE$13)="",10^12,OFFSET(PLE!$G$14,$M110,BE$13))))</f>
        <v>1000000000000</v>
      </c>
      <c r="BF110" s="212">
        <f ca="1">IF($D110&lt;&gt;"Serviço",0,IF(OR(AND(AUTOEVENTO="Manual",$M110=1),$M110&gt;(ROW(PLE.lastrow)-ROW(PLE.firstrow))),0,IF(OFFSET(PLE!$G$14,$M110,BF$13)="",10^12,OFFSET(PLE!$G$14,$M110,BF$13))))</f>
        <v>1000000000000</v>
      </c>
      <c r="BG110" s="212">
        <f ca="1">IF($D110&lt;&gt;"Serviço",0,IF(OR(AND(AUTOEVENTO="Manual",$M110=1),$M110&gt;(ROW(PLE.lastrow)-ROW(PLE.firstrow))),0,IF(OFFSET(PLE!$G$14,$M110,BG$13)="",10^12,OFFSET(PLE!$G$14,$M110,BG$13))))</f>
        <v>1000000000000</v>
      </c>
    </row>
    <row r="111" spans="1:59" ht="13.2">
      <c r="A111" s="9" t="str">
        <f t="shared" ca="1" si="10"/>
        <v>15</v>
      </c>
      <c r="B111" s="9" t="str">
        <f ca="1">OFFSET(ORÇAMENTO!C$15,ROW(B111)-ROW(B$15),0)</f>
        <v>S</v>
      </c>
      <c r="C111" s="9" t="str">
        <f ca="1">OFFSET(ORÇAMENTO!L$15,ROW(C111)-ROW(C$15),0)</f>
        <v/>
      </c>
      <c r="D111" s="141" t="str">
        <f ca="1">OFFSET(ORÇAMENTO!N$15,ROW(D111)-ROW(D$15),0)</f>
        <v>Serviço</v>
      </c>
      <c r="E111" s="201" t="str">
        <f ca="1">OFFSET(ORÇAMENTO!O$15,ROW(E111)-ROW(E$15),0)</f>
        <v>-</v>
      </c>
      <c r="F111" s="202" t="str">
        <f ca="1">OFFSET(ORÇAMENTO!R$15,ROW(F111)-ROW(F$15),0)</f>
        <v>(abra o arquivo 'Referência 11-2024.xlsm)</v>
      </c>
      <c r="G111" s="203" t="str">
        <f ca="1">IF($D111&lt;&gt;"Serviço","",OFFSET(ORÇAMENTO!S$15,ROW(G111)-ROW(G$15),0))</f>
        <v>-</v>
      </c>
      <c r="H111" s="147">
        <f ca="1">IF($D111&lt;&gt;"Serviço",0,IF(ACOMPANHAMENTO="BM",ROUND(OFFSET(ORÇAMENTO!AJ$15,ROW(H111)-ROW(H$15),0),15-13*ORÇAMENTO!$AF$7),SUMPRODUCT(($Q$12:$AA$12&lt;&gt;"")*ROUND($Q111:$AA111,15-13*ORÇAMENTO!$AF$7))))</f>
        <v>0</v>
      </c>
      <c r="I111" s="645"/>
      <c r="K111" s="204"/>
      <c r="L111" s="205" t="s">
        <v>255</v>
      </c>
      <c r="M111" s="206">
        <f ca="1">IF($D111&lt;&gt;"Serviço","",IF(AUTOEVENTO="manual",$A111,IF(ISERROR(MATCH($A111,$A$15:OFFSET($A111,-1,0),0)),MAX($M$15:OFFSET(M111,-1,0))+1,INDEX($M$15:OFFSET(M111,-1,0),MATCH($A111,$A$15:OFFSET($A111,-1,0),0)))))</f>
        <v>6</v>
      </c>
      <c r="N111" s="207" t="str">
        <f ca="1">IF($D111&lt;&gt;"Serviço","",IF(AUTOEVENTO="Manual",IF($A111=0,"&lt;-- defina o número do agrupador",OFFSET(EVENTOS!$D$14,$A111,0)),OFFSET($F$15,$A111,0)))</f>
        <v>DRENAGEM</v>
      </c>
      <c r="O111" s="208"/>
      <c r="Q111" s="208"/>
      <c r="R111" s="209"/>
      <c r="S111" s="209"/>
      <c r="T111" s="209"/>
      <c r="U111" s="209"/>
      <c r="V111" s="209"/>
      <c r="W111" s="209"/>
      <c r="X111" s="209"/>
      <c r="Y111" s="209"/>
      <c r="Z111" s="210"/>
      <c r="AB111" s="626">
        <f ca="1">IF(AND($D111="Serviço",AB$12&lt;&gt;0,$H111&gt;0,OR(AUTOEVENTO&lt;&gt;"manual",$M111&lt;&gt;1)),
IF(Import.TipoArredondamento&lt;&gt;"TransfereGOV",
ROUND(OFFSET($P111,0,AB$13),15-13*ORÇAMENTO!$AF$7)/$H111*OFFSET(ORÇAMENTO!$X$15,ROW(AB111)-ROW(AB$15),0),
ROUND(ROUND(OFFSET($P111,0,AB$13),15-13*ORÇAMENTO!$AF$7)*OFFSET(ORÇAMENTO!$W$15,ROW(AB111)-ROW(AB$15),0),15-13*ORÇAMENTO!$AF$11)),0)</f>
        <v>0</v>
      </c>
      <c r="AC111" s="627">
        <f ca="1">IF(AND($D111="Serviço",AC$12&lt;&gt;0,$H111&gt;0,OR(AUTOEVENTO&lt;&gt;"manual",$M111&lt;&gt;1)),
IF(Import.TipoArredondamento&lt;&gt;"TransfereGOV",
ROUND(OFFSET($P111,0,AC$13),15-13*ORÇAMENTO!$AF$7)/$H111*OFFSET(ORÇAMENTO!$X$15,ROW(AC111)-ROW(AC$15),0),
ROUND(ROUND(OFFSET($P111,0,AC$13),15-13*ORÇAMENTO!$AF$7)*OFFSET(ORÇAMENTO!$W$15,ROW(AC111)-ROW(AC$15),0),15-13*ORÇAMENTO!$AF$11)),0)</f>
        <v>0</v>
      </c>
      <c r="AD111" s="627">
        <f ca="1">IF(AND($D111="Serviço",AD$12&lt;&gt;0,$H111&gt;0,OR(AUTOEVENTO&lt;&gt;"manual",$M111&lt;&gt;1)),
IF(Import.TipoArredondamento&lt;&gt;"TransfereGOV",
ROUND(OFFSET($P111,0,AD$13),15-13*ORÇAMENTO!$AF$7)/$H111*OFFSET(ORÇAMENTO!$X$15,ROW(AD111)-ROW(AD$15),0),
ROUND(ROUND(OFFSET($P111,0,AD$13),15-13*ORÇAMENTO!$AF$7)*OFFSET(ORÇAMENTO!$W$15,ROW(AD111)-ROW(AD$15),0),15-13*ORÇAMENTO!$AF$11)),0)</f>
        <v>0</v>
      </c>
      <c r="AE111" s="627">
        <f ca="1">IF(AND($D111="Serviço",AE$12&lt;&gt;0,$H111&gt;0,OR(AUTOEVENTO&lt;&gt;"manual",$M111&lt;&gt;1)),
IF(Import.TipoArredondamento&lt;&gt;"TransfereGOV",
ROUND(OFFSET($P111,0,AE$13),15-13*ORÇAMENTO!$AF$7)/$H111*OFFSET(ORÇAMENTO!$X$15,ROW(AE111)-ROW(AE$15),0),
ROUND(ROUND(OFFSET($P111,0,AE$13),15-13*ORÇAMENTO!$AF$7)*OFFSET(ORÇAMENTO!$W$15,ROW(AE111)-ROW(AE$15),0),15-13*ORÇAMENTO!$AF$11)),0)</f>
        <v>0</v>
      </c>
      <c r="AF111" s="627">
        <f ca="1">IF(AND($D111="Serviço",AF$12&lt;&gt;0,$H111&gt;0,OR(AUTOEVENTO&lt;&gt;"manual",$M111&lt;&gt;1)),
IF(Import.TipoArredondamento&lt;&gt;"TransfereGOV",
ROUND(OFFSET($P111,0,AF$13),15-13*ORÇAMENTO!$AF$7)/$H111*OFFSET(ORÇAMENTO!$X$15,ROW(AF111)-ROW(AF$15),0),
ROUND(ROUND(OFFSET($P111,0,AF$13),15-13*ORÇAMENTO!$AF$7)*OFFSET(ORÇAMENTO!$W$15,ROW(AF111)-ROW(AF$15),0),15-13*ORÇAMENTO!$AF$11)),0)</f>
        <v>0</v>
      </c>
      <c r="AG111" s="627">
        <f ca="1">IF(AND($D111="Serviço",AG$12&lt;&gt;0,$H111&gt;0,OR(AUTOEVENTO&lt;&gt;"manual",$M111&lt;&gt;1)),
IF(Import.TipoArredondamento&lt;&gt;"TransfereGOV",
ROUND(OFFSET($P111,0,AG$13),15-13*ORÇAMENTO!$AF$7)/$H111*OFFSET(ORÇAMENTO!$X$15,ROW(AG111)-ROW(AG$15),0),
ROUND(ROUND(OFFSET($P111,0,AG$13),15-13*ORÇAMENTO!$AF$7)*OFFSET(ORÇAMENTO!$W$15,ROW(AG111)-ROW(AG$15),0),15-13*ORÇAMENTO!$AF$11)),0)</f>
        <v>0</v>
      </c>
      <c r="AH111" s="627">
        <f ca="1">IF(AND($D111="Serviço",AH$12&lt;&gt;0,$H111&gt;0,OR(AUTOEVENTO&lt;&gt;"manual",$M111&lt;&gt;1)),
IF(Import.TipoArredondamento&lt;&gt;"TransfereGOV",
ROUND(OFFSET($P111,0,AH$13),15-13*ORÇAMENTO!$AF$7)/$H111*OFFSET(ORÇAMENTO!$X$15,ROW(AH111)-ROW(AH$15),0),
ROUND(ROUND(OFFSET($P111,0,AH$13),15-13*ORÇAMENTO!$AF$7)*OFFSET(ORÇAMENTO!$W$15,ROW(AH111)-ROW(AH$15),0),15-13*ORÇAMENTO!$AF$11)),0)</f>
        <v>0</v>
      </c>
      <c r="AI111" s="627">
        <f ca="1">IF(AND($D111="Serviço",AI$12&lt;&gt;0,$H111&gt;0,OR(AUTOEVENTO&lt;&gt;"manual",$M111&lt;&gt;1)),
IF(Import.TipoArredondamento&lt;&gt;"TransfereGOV",
ROUND(OFFSET($P111,0,AI$13),15-13*ORÇAMENTO!$AF$7)/$H111*OFFSET(ORÇAMENTO!$X$15,ROW(AI111)-ROW(AI$15),0),
ROUND(ROUND(OFFSET($P111,0,AI$13),15-13*ORÇAMENTO!$AF$7)*OFFSET(ORÇAMENTO!$W$15,ROW(AI111)-ROW(AI$15),0),15-13*ORÇAMENTO!$AF$11)),0)</f>
        <v>0</v>
      </c>
      <c r="AJ111" s="627">
        <f ca="1">IF(AND($D111="Serviço",AJ$12&lt;&gt;0,$H111&gt;0,OR(AUTOEVENTO&lt;&gt;"manual",$M111&lt;&gt;1)),
IF(Import.TipoArredondamento&lt;&gt;"TransfereGOV",
ROUND(OFFSET($P111,0,AJ$13),15-13*ORÇAMENTO!$AF$7)/$H111*OFFSET(ORÇAMENTO!$X$15,ROW(AJ111)-ROW(AJ$15),0),
ROUND(ROUND(OFFSET($P111,0,AJ$13),15-13*ORÇAMENTO!$AF$7)*OFFSET(ORÇAMENTO!$W$15,ROW(AJ111)-ROW(AJ$15),0),15-13*ORÇAMENTO!$AF$11)),0)</f>
        <v>0</v>
      </c>
      <c r="AK111" s="628">
        <f ca="1">IF(AND($D111="Serviço",AK$12&lt;&gt;0,$H111&gt;0,OR(AUTOEVENTO&lt;&gt;"manual",$M111&lt;&gt;1)),
IF(Import.TipoArredondamento&lt;&gt;"TransfereGOV",
ROUND(OFFSET($P111,0,AK$13),15-13*ORÇAMENTO!$AF$7)/$H111*OFFSET(ORÇAMENTO!$X$15,ROW(AK111)-ROW(AK$15),0),
ROUND(ROUND(OFFSET($P111,0,AK$13),15-13*ORÇAMENTO!$AF$7)*OFFSET(ORÇAMENTO!$W$15,ROW(AK111)-ROW(AK$15),0),15-13*ORÇAMENTO!$AF$11)),0)</f>
        <v>0</v>
      </c>
      <c r="AM111" s="211">
        <f ca="1">IF($D111&lt;&gt;"Serviço",0,IF(AND(AUTOEVENTO="Manual",$M111=1),0,IF(OFFSET(CRONOPLE!$F$14,$M111,AM$13)="",10^12,OFFSET(CRONOPLE!$F$14,$M111,AM$13))))</f>
        <v>2</v>
      </c>
      <c r="AN111" s="211">
        <f ca="1">IF($D111&lt;&gt;"Serviço",0,IF(AND(AUTOEVENTO="Manual",$M111=1),0,IF(OFFSET(CRONOPLE!$F$14,$M111,AN$13)="",10^12,OFFSET(CRONOPLE!$F$14,$M111,AN$13))))</f>
        <v>1</v>
      </c>
      <c r="AO111" s="211">
        <f ca="1">IF($D111&lt;&gt;"Serviço",0,IF(AND(AUTOEVENTO="Manual",$M111=1),0,IF(OFFSET(CRONOPLE!$F$14,$M111,AO$13)="",10^12,OFFSET(CRONOPLE!$F$14,$M111,AO$13))))</f>
        <v>2</v>
      </c>
      <c r="AP111" s="211">
        <f ca="1">IF($D111&lt;&gt;"Serviço",0,IF(AND(AUTOEVENTO="Manual",$M111=1),0,IF(OFFSET(CRONOPLE!$F$14,$M111,AP$13)="",10^12,OFFSET(CRONOPLE!$F$14,$M111,AP$13))))</f>
        <v>2</v>
      </c>
      <c r="AQ111" s="211">
        <f ca="1">IF($D111&lt;&gt;"Serviço",0,IF(AND(AUTOEVENTO="Manual",$M111=1),0,IF(OFFSET(CRONOPLE!$F$14,$M111,AQ$13)="",10^12,OFFSET(CRONOPLE!$F$14,$M111,AQ$13))))</f>
        <v>1000000000000</v>
      </c>
      <c r="AR111" s="211">
        <f ca="1">IF($D111&lt;&gt;"Serviço",0,IF(AND(AUTOEVENTO="Manual",$M111=1),0,IF(OFFSET(CRONOPLE!$F$14,$M111,AR$13)="",10^12,OFFSET(CRONOPLE!$F$14,$M111,AR$13))))</f>
        <v>1000000000000</v>
      </c>
      <c r="AS111" s="211">
        <f ca="1">IF($D111&lt;&gt;"Serviço",0,IF(AND(AUTOEVENTO="Manual",$M111=1),0,IF(OFFSET(CRONOPLE!$F$14,$M111,AS$13)="",10^12,OFFSET(CRONOPLE!$F$14,$M111,AS$13))))</f>
        <v>1000000000000</v>
      </c>
      <c r="AT111" s="211">
        <f ca="1">IF($D111&lt;&gt;"Serviço",0,IF(AND(AUTOEVENTO="Manual",$M111=1),0,IF(OFFSET(CRONOPLE!$F$14,$M111,AT$13)="",10^12,OFFSET(CRONOPLE!$F$14,$M111,AT$13))))</f>
        <v>1000000000000</v>
      </c>
      <c r="AU111" s="211">
        <f ca="1">IF($D111&lt;&gt;"Serviço",0,IF(AND(AUTOEVENTO="Manual",$M111=1),0,IF(OFFSET(CRONOPLE!$F$14,$M111,AU$13)="",10^12,OFFSET(CRONOPLE!$F$14,$M111,AU$13))))</f>
        <v>1000000000000</v>
      </c>
      <c r="AV111" s="211">
        <f ca="1">IF($D111&lt;&gt;"Serviço",0,IF(AND(AUTOEVENTO="Manual",$M111=1),0,IF(OFFSET(CRONOPLE!$F$14,$M111,AV$13)="",10^12,OFFSET(CRONOPLE!$F$14,$M111,AV$13))))</f>
        <v>1000000000000</v>
      </c>
      <c r="AX111" s="212">
        <f ca="1">IF($D111&lt;&gt;"Serviço",0,IF(OR(AND(AUTOEVENTO="Manual",$M111=1),$M111&gt;(ROW(PLE.lastrow)-ROW(PLE.firstrow))),0,IF(OFFSET(PLE!$G$14,$M111,AX$13)="",10^12,OFFSET(PLE!$G$14,$M111,AX$13))))</f>
        <v>1000000000000</v>
      </c>
      <c r="AY111" s="212">
        <f ca="1">IF($D111&lt;&gt;"Serviço",0,IF(OR(AND(AUTOEVENTO="Manual",$M111=1),$M111&gt;(ROW(PLE.lastrow)-ROW(PLE.firstrow))),0,IF(OFFSET(PLE!$G$14,$M111,AY$13)="",10^12,OFFSET(PLE!$G$14,$M111,AY$13))))</f>
        <v>1000000000000</v>
      </c>
      <c r="AZ111" s="212">
        <f ca="1">IF($D111&lt;&gt;"Serviço",0,IF(OR(AND(AUTOEVENTO="Manual",$M111=1),$M111&gt;(ROW(PLE.lastrow)-ROW(PLE.firstrow))),0,IF(OFFSET(PLE!$G$14,$M111,AZ$13)="",10^12,OFFSET(PLE!$G$14,$M111,AZ$13))))</f>
        <v>1000000000000</v>
      </c>
      <c r="BA111" s="212">
        <f ca="1">IF($D111&lt;&gt;"Serviço",0,IF(OR(AND(AUTOEVENTO="Manual",$M111=1),$M111&gt;(ROW(PLE.lastrow)-ROW(PLE.firstrow))),0,IF(OFFSET(PLE!$G$14,$M111,BA$13)="",10^12,OFFSET(PLE!$G$14,$M111,BA$13))))</f>
        <v>1000000000000</v>
      </c>
      <c r="BB111" s="212">
        <f ca="1">IF($D111&lt;&gt;"Serviço",0,IF(OR(AND(AUTOEVENTO="Manual",$M111=1),$M111&gt;(ROW(PLE.lastrow)-ROW(PLE.firstrow))),0,IF(OFFSET(PLE!$G$14,$M111,BB$13)="",10^12,OFFSET(PLE!$G$14,$M111,BB$13))))</f>
        <v>1000000000000</v>
      </c>
      <c r="BC111" s="212">
        <f ca="1">IF($D111&lt;&gt;"Serviço",0,IF(OR(AND(AUTOEVENTO="Manual",$M111=1),$M111&gt;(ROW(PLE.lastrow)-ROW(PLE.firstrow))),0,IF(OFFSET(PLE!$G$14,$M111,BC$13)="",10^12,OFFSET(PLE!$G$14,$M111,BC$13))))</f>
        <v>1000000000000</v>
      </c>
      <c r="BD111" s="212">
        <f ca="1">IF($D111&lt;&gt;"Serviço",0,IF(OR(AND(AUTOEVENTO="Manual",$M111=1),$M111&gt;(ROW(PLE.lastrow)-ROW(PLE.firstrow))),0,IF(OFFSET(PLE!$G$14,$M111,BD$13)="",10^12,OFFSET(PLE!$G$14,$M111,BD$13))))</f>
        <v>1000000000000</v>
      </c>
      <c r="BE111" s="212">
        <f ca="1">IF($D111&lt;&gt;"Serviço",0,IF(OR(AND(AUTOEVENTO="Manual",$M111=1),$M111&gt;(ROW(PLE.lastrow)-ROW(PLE.firstrow))),0,IF(OFFSET(PLE!$G$14,$M111,BE$13)="",10^12,OFFSET(PLE!$G$14,$M111,BE$13))))</f>
        <v>1000000000000</v>
      </c>
      <c r="BF111" s="212">
        <f ca="1">IF($D111&lt;&gt;"Serviço",0,IF(OR(AND(AUTOEVENTO="Manual",$M111=1),$M111&gt;(ROW(PLE.lastrow)-ROW(PLE.firstrow))),0,IF(OFFSET(PLE!$G$14,$M111,BF$13)="",10^12,OFFSET(PLE!$G$14,$M111,BF$13))))</f>
        <v>1000000000000</v>
      </c>
      <c r="BG111" s="212">
        <f ca="1">IF($D111&lt;&gt;"Serviço",0,IF(OR(AND(AUTOEVENTO="Manual",$M111=1),$M111&gt;(ROW(PLE.lastrow)-ROW(PLE.firstrow))),0,IF(OFFSET(PLE!$G$14,$M111,BG$13)="",10^12,OFFSET(PLE!$G$14,$M111,BG$13))))</f>
        <v>1000000000000</v>
      </c>
    </row>
    <row r="112" spans="1:59" ht="13.2">
      <c r="A112" s="9" t="str">
        <f t="shared" ca="1" si="10"/>
        <v>15</v>
      </c>
      <c r="B112" s="9" t="str">
        <f ca="1">OFFSET(ORÇAMENTO!C$15,ROW(B112)-ROW(B$15),0)</f>
        <v>S</v>
      </c>
      <c r="C112" s="9" t="str">
        <f ca="1">OFFSET(ORÇAMENTO!L$15,ROW(C112)-ROW(C$15),0)</f>
        <v/>
      </c>
      <c r="D112" s="141" t="str">
        <f ca="1">OFFSET(ORÇAMENTO!N$15,ROW(D112)-ROW(D$15),0)</f>
        <v>Serviço</v>
      </c>
      <c r="E112" s="201" t="str">
        <f ca="1">OFFSET(ORÇAMENTO!O$15,ROW(E112)-ROW(E$15),0)</f>
        <v>-</v>
      </c>
      <c r="F112" s="202" t="str">
        <f ca="1">OFFSET(ORÇAMENTO!R$15,ROW(F112)-ROW(F$15),0)</f>
        <v>(abra o arquivo 'Referência 11-2024.xlsm)</v>
      </c>
      <c r="G112" s="203" t="str">
        <f ca="1">IF($D112&lt;&gt;"Serviço","",OFFSET(ORÇAMENTO!S$15,ROW(G112)-ROW(G$15),0))</f>
        <v>-</v>
      </c>
      <c r="H112" s="147">
        <f ca="1">IF($D112&lt;&gt;"Serviço",0,IF(ACOMPANHAMENTO="BM",ROUND(OFFSET(ORÇAMENTO!AJ$15,ROW(H112)-ROW(H$15),0),15-13*ORÇAMENTO!$AF$7),SUMPRODUCT(($Q$12:$AA$12&lt;&gt;"")*ROUND($Q112:$AA112,15-13*ORÇAMENTO!$AF$7))))</f>
        <v>0</v>
      </c>
      <c r="I112" s="645"/>
      <c r="K112" s="204"/>
      <c r="L112" s="205" t="s">
        <v>255</v>
      </c>
      <c r="M112" s="206">
        <f ca="1">IF($D112&lt;&gt;"Serviço","",IF(AUTOEVENTO="manual",$A112,IF(ISERROR(MATCH($A112,$A$15:OFFSET($A112,-1,0),0)),MAX($M$15:OFFSET(M112,-1,0))+1,INDEX($M$15:OFFSET(M112,-1,0),MATCH($A112,$A$15:OFFSET($A112,-1,0),0)))))</f>
        <v>6</v>
      </c>
      <c r="N112" s="207" t="str">
        <f ca="1">IF($D112&lt;&gt;"Serviço","",IF(AUTOEVENTO="Manual",IF($A112=0,"&lt;-- defina o número do agrupador",OFFSET(EVENTOS!$D$14,$A112,0)),OFFSET($F$15,$A112,0)))</f>
        <v>DRENAGEM</v>
      </c>
      <c r="O112" s="208"/>
      <c r="Q112" s="208"/>
      <c r="R112" s="209"/>
      <c r="S112" s="209"/>
      <c r="T112" s="209"/>
      <c r="U112" s="209"/>
      <c r="V112" s="209"/>
      <c r="W112" s="209"/>
      <c r="X112" s="209"/>
      <c r="Y112" s="209"/>
      <c r="Z112" s="210"/>
      <c r="AB112" s="626">
        <f ca="1">IF(AND($D112="Serviço",AB$12&lt;&gt;0,$H112&gt;0,OR(AUTOEVENTO&lt;&gt;"manual",$M112&lt;&gt;1)),
IF(Import.TipoArredondamento&lt;&gt;"TransfereGOV",
ROUND(OFFSET($P112,0,AB$13),15-13*ORÇAMENTO!$AF$7)/$H112*OFFSET(ORÇAMENTO!$X$15,ROW(AB112)-ROW(AB$15),0),
ROUND(ROUND(OFFSET($P112,0,AB$13),15-13*ORÇAMENTO!$AF$7)*OFFSET(ORÇAMENTO!$W$15,ROW(AB112)-ROW(AB$15),0),15-13*ORÇAMENTO!$AF$11)),0)</f>
        <v>0</v>
      </c>
      <c r="AC112" s="627">
        <f ca="1">IF(AND($D112="Serviço",AC$12&lt;&gt;0,$H112&gt;0,OR(AUTOEVENTO&lt;&gt;"manual",$M112&lt;&gt;1)),
IF(Import.TipoArredondamento&lt;&gt;"TransfereGOV",
ROUND(OFFSET($P112,0,AC$13),15-13*ORÇAMENTO!$AF$7)/$H112*OFFSET(ORÇAMENTO!$X$15,ROW(AC112)-ROW(AC$15),0),
ROUND(ROUND(OFFSET($P112,0,AC$13),15-13*ORÇAMENTO!$AF$7)*OFFSET(ORÇAMENTO!$W$15,ROW(AC112)-ROW(AC$15),0),15-13*ORÇAMENTO!$AF$11)),0)</f>
        <v>0</v>
      </c>
      <c r="AD112" s="627">
        <f ca="1">IF(AND($D112="Serviço",AD$12&lt;&gt;0,$H112&gt;0,OR(AUTOEVENTO&lt;&gt;"manual",$M112&lt;&gt;1)),
IF(Import.TipoArredondamento&lt;&gt;"TransfereGOV",
ROUND(OFFSET($P112,0,AD$13),15-13*ORÇAMENTO!$AF$7)/$H112*OFFSET(ORÇAMENTO!$X$15,ROW(AD112)-ROW(AD$15),0),
ROUND(ROUND(OFFSET($P112,0,AD$13),15-13*ORÇAMENTO!$AF$7)*OFFSET(ORÇAMENTO!$W$15,ROW(AD112)-ROW(AD$15),0),15-13*ORÇAMENTO!$AF$11)),0)</f>
        <v>0</v>
      </c>
      <c r="AE112" s="627">
        <f ca="1">IF(AND($D112="Serviço",AE$12&lt;&gt;0,$H112&gt;0,OR(AUTOEVENTO&lt;&gt;"manual",$M112&lt;&gt;1)),
IF(Import.TipoArredondamento&lt;&gt;"TransfereGOV",
ROUND(OFFSET($P112,0,AE$13),15-13*ORÇAMENTO!$AF$7)/$H112*OFFSET(ORÇAMENTO!$X$15,ROW(AE112)-ROW(AE$15),0),
ROUND(ROUND(OFFSET($P112,0,AE$13),15-13*ORÇAMENTO!$AF$7)*OFFSET(ORÇAMENTO!$W$15,ROW(AE112)-ROW(AE$15),0),15-13*ORÇAMENTO!$AF$11)),0)</f>
        <v>0</v>
      </c>
      <c r="AF112" s="627">
        <f ca="1">IF(AND($D112="Serviço",AF$12&lt;&gt;0,$H112&gt;0,OR(AUTOEVENTO&lt;&gt;"manual",$M112&lt;&gt;1)),
IF(Import.TipoArredondamento&lt;&gt;"TransfereGOV",
ROUND(OFFSET($P112,0,AF$13),15-13*ORÇAMENTO!$AF$7)/$H112*OFFSET(ORÇAMENTO!$X$15,ROW(AF112)-ROW(AF$15),0),
ROUND(ROUND(OFFSET($P112,0,AF$13),15-13*ORÇAMENTO!$AF$7)*OFFSET(ORÇAMENTO!$W$15,ROW(AF112)-ROW(AF$15),0),15-13*ORÇAMENTO!$AF$11)),0)</f>
        <v>0</v>
      </c>
      <c r="AG112" s="627">
        <f ca="1">IF(AND($D112="Serviço",AG$12&lt;&gt;0,$H112&gt;0,OR(AUTOEVENTO&lt;&gt;"manual",$M112&lt;&gt;1)),
IF(Import.TipoArredondamento&lt;&gt;"TransfereGOV",
ROUND(OFFSET($P112,0,AG$13),15-13*ORÇAMENTO!$AF$7)/$H112*OFFSET(ORÇAMENTO!$X$15,ROW(AG112)-ROW(AG$15),0),
ROUND(ROUND(OFFSET($P112,0,AG$13),15-13*ORÇAMENTO!$AF$7)*OFFSET(ORÇAMENTO!$W$15,ROW(AG112)-ROW(AG$15),0),15-13*ORÇAMENTO!$AF$11)),0)</f>
        <v>0</v>
      </c>
      <c r="AH112" s="627">
        <f ca="1">IF(AND($D112="Serviço",AH$12&lt;&gt;0,$H112&gt;0,OR(AUTOEVENTO&lt;&gt;"manual",$M112&lt;&gt;1)),
IF(Import.TipoArredondamento&lt;&gt;"TransfereGOV",
ROUND(OFFSET($P112,0,AH$13),15-13*ORÇAMENTO!$AF$7)/$H112*OFFSET(ORÇAMENTO!$X$15,ROW(AH112)-ROW(AH$15),0),
ROUND(ROUND(OFFSET($P112,0,AH$13),15-13*ORÇAMENTO!$AF$7)*OFFSET(ORÇAMENTO!$W$15,ROW(AH112)-ROW(AH$15),0),15-13*ORÇAMENTO!$AF$11)),0)</f>
        <v>0</v>
      </c>
      <c r="AI112" s="627">
        <f ca="1">IF(AND($D112="Serviço",AI$12&lt;&gt;0,$H112&gt;0,OR(AUTOEVENTO&lt;&gt;"manual",$M112&lt;&gt;1)),
IF(Import.TipoArredondamento&lt;&gt;"TransfereGOV",
ROUND(OFFSET($P112,0,AI$13),15-13*ORÇAMENTO!$AF$7)/$H112*OFFSET(ORÇAMENTO!$X$15,ROW(AI112)-ROW(AI$15),0),
ROUND(ROUND(OFFSET($P112,0,AI$13),15-13*ORÇAMENTO!$AF$7)*OFFSET(ORÇAMENTO!$W$15,ROW(AI112)-ROW(AI$15),0),15-13*ORÇAMENTO!$AF$11)),0)</f>
        <v>0</v>
      </c>
      <c r="AJ112" s="627">
        <f ca="1">IF(AND($D112="Serviço",AJ$12&lt;&gt;0,$H112&gt;0,OR(AUTOEVENTO&lt;&gt;"manual",$M112&lt;&gt;1)),
IF(Import.TipoArredondamento&lt;&gt;"TransfereGOV",
ROUND(OFFSET($P112,0,AJ$13),15-13*ORÇAMENTO!$AF$7)/$H112*OFFSET(ORÇAMENTO!$X$15,ROW(AJ112)-ROW(AJ$15),0),
ROUND(ROUND(OFFSET($P112,0,AJ$13),15-13*ORÇAMENTO!$AF$7)*OFFSET(ORÇAMENTO!$W$15,ROW(AJ112)-ROW(AJ$15),0),15-13*ORÇAMENTO!$AF$11)),0)</f>
        <v>0</v>
      </c>
      <c r="AK112" s="628">
        <f ca="1">IF(AND($D112="Serviço",AK$12&lt;&gt;0,$H112&gt;0,OR(AUTOEVENTO&lt;&gt;"manual",$M112&lt;&gt;1)),
IF(Import.TipoArredondamento&lt;&gt;"TransfereGOV",
ROUND(OFFSET($P112,0,AK$13),15-13*ORÇAMENTO!$AF$7)/$H112*OFFSET(ORÇAMENTO!$X$15,ROW(AK112)-ROW(AK$15),0),
ROUND(ROUND(OFFSET($P112,0,AK$13),15-13*ORÇAMENTO!$AF$7)*OFFSET(ORÇAMENTO!$W$15,ROW(AK112)-ROW(AK$15),0),15-13*ORÇAMENTO!$AF$11)),0)</f>
        <v>0</v>
      </c>
      <c r="AM112" s="211">
        <f ca="1">IF($D112&lt;&gt;"Serviço",0,IF(AND(AUTOEVENTO="Manual",$M112=1),0,IF(OFFSET(CRONOPLE!$F$14,$M112,AM$13)="",10^12,OFFSET(CRONOPLE!$F$14,$M112,AM$13))))</f>
        <v>2</v>
      </c>
      <c r="AN112" s="211">
        <f ca="1">IF($D112&lt;&gt;"Serviço",0,IF(AND(AUTOEVENTO="Manual",$M112=1),0,IF(OFFSET(CRONOPLE!$F$14,$M112,AN$13)="",10^12,OFFSET(CRONOPLE!$F$14,$M112,AN$13))))</f>
        <v>1</v>
      </c>
      <c r="AO112" s="211">
        <f ca="1">IF($D112&lt;&gt;"Serviço",0,IF(AND(AUTOEVENTO="Manual",$M112=1),0,IF(OFFSET(CRONOPLE!$F$14,$M112,AO$13)="",10^12,OFFSET(CRONOPLE!$F$14,$M112,AO$13))))</f>
        <v>2</v>
      </c>
      <c r="AP112" s="211">
        <f ca="1">IF($D112&lt;&gt;"Serviço",0,IF(AND(AUTOEVENTO="Manual",$M112=1),0,IF(OFFSET(CRONOPLE!$F$14,$M112,AP$13)="",10^12,OFFSET(CRONOPLE!$F$14,$M112,AP$13))))</f>
        <v>2</v>
      </c>
      <c r="AQ112" s="211">
        <f ca="1">IF($D112&lt;&gt;"Serviço",0,IF(AND(AUTOEVENTO="Manual",$M112=1),0,IF(OFFSET(CRONOPLE!$F$14,$M112,AQ$13)="",10^12,OFFSET(CRONOPLE!$F$14,$M112,AQ$13))))</f>
        <v>1000000000000</v>
      </c>
      <c r="AR112" s="211">
        <f ca="1">IF($D112&lt;&gt;"Serviço",0,IF(AND(AUTOEVENTO="Manual",$M112=1),0,IF(OFFSET(CRONOPLE!$F$14,$M112,AR$13)="",10^12,OFFSET(CRONOPLE!$F$14,$M112,AR$13))))</f>
        <v>1000000000000</v>
      </c>
      <c r="AS112" s="211">
        <f ca="1">IF($D112&lt;&gt;"Serviço",0,IF(AND(AUTOEVENTO="Manual",$M112=1),0,IF(OFFSET(CRONOPLE!$F$14,$M112,AS$13)="",10^12,OFFSET(CRONOPLE!$F$14,$M112,AS$13))))</f>
        <v>1000000000000</v>
      </c>
      <c r="AT112" s="211">
        <f ca="1">IF($D112&lt;&gt;"Serviço",0,IF(AND(AUTOEVENTO="Manual",$M112=1),0,IF(OFFSET(CRONOPLE!$F$14,$M112,AT$13)="",10^12,OFFSET(CRONOPLE!$F$14,$M112,AT$13))))</f>
        <v>1000000000000</v>
      </c>
      <c r="AU112" s="211">
        <f ca="1">IF($D112&lt;&gt;"Serviço",0,IF(AND(AUTOEVENTO="Manual",$M112=1),0,IF(OFFSET(CRONOPLE!$F$14,$M112,AU$13)="",10^12,OFFSET(CRONOPLE!$F$14,$M112,AU$13))))</f>
        <v>1000000000000</v>
      </c>
      <c r="AV112" s="211">
        <f ca="1">IF($D112&lt;&gt;"Serviço",0,IF(AND(AUTOEVENTO="Manual",$M112=1),0,IF(OFFSET(CRONOPLE!$F$14,$M112,AV$13)="",10^12,OFFSET(CRONOPLE!$F$14,$M112,AV$13))))</f>
        <v>1000000000000</v>
      </c>
      <c r="AX112" s="212">
        <f ca="1">IF($D112&lt;&gt;"Serviço",0,IF(OR(AND(AUTOEVENTO="Manual",$M112=1),$M112&gt;(ROW(PLE.lastrow)-ROW(PLE.firstrow))),0,IF(OFFSET(PLE!$G$14,$M112,AX$13)="",10^12,OFFSET(PLE!$G$14,$M112,AX$13))))</f>
        <v>1000000000000</v>
      </c>
      <c r="AY112" s="212">
        <f ca="1">IF($D112&lt;&gt;"Serviço",0,IF(OR(AND(AUTOEVENTO="Manual",$M112=1),$M112&gt;(ROW(PLE.lastrow)-ROW(PLE.firstrow))),0,IF(OFFSET(PLE!$G$14,$M112,AY$13)="",10^12,OFFSET(PLE!$G$14,$M112,AY$13))))</f>
        <v>1000000000000</v>
      </c>
      <c r="AZ112" s="212">
        <f ca="1">IF($D112&lt;&gt;"Serviço",0,IF(OR(AND(AUTOEVENTO="Manual",$M112=1),$M112&gt;(ROW(PLE.lastrow)-ROW(PLE.firstrow))),0,IF(OFFSET(PLE!$G$14,$M112,AZ$13)="",10^12,OFFSET(PLE!$G$14,$M112,AZ$13))))</f>
        <v>1000000000000</v>
      </c>
      <c r="BA112" s="212">
        <f ca="1">IF($D112&lt;&gt;"Serviço",0,IF(OR(AND(AUTOEVENTO="Manual",$M112=1),$M112&gt;(ROW(PLE.lastrow)-ROW(PLE.firstrow))),0,IF(OFFSET(PLE!$G$14,$M112,BA$13)="",10^12,OFFSET(PLE!$G$14,$M112,BA$13))))</f>
        <v>1000000000000</v>
      </c>
      <c r="BB112" s="212">
        <f ca="1">IF($D112&lt;&gt;"Serviço",0,IF(OR(AND(AUTOEVENTO="Manual",$M112=1),$M112&gt;(ROW(PLE.lastrow)-ROW(PLE.firstrow))),0,IF(OFFSET(PLE!$G$14,$M112,BB$13)="",10^12,OFFSET(PLE!$G$14,$M112,BB$13))))</f>
        <v>1000000000000</v>
      </c>
      <c r="BC112" s="212">
        <f ca="1">IF($D112&lt;&gt;"Serviço",0,IF(OR(AND(AUTOEVENTO="Manual",$M112=1),$M112&gt;(ROW(PLE.lastrow)-ROW(PLE.firstrow))),0,IF(OFFSET(PLE!$G$14,$M112,BC$13)="",10^12,OFFSET(PLE!$G$14,$M112,BC$13))))</f>
        <v>1000000000000</v>
      </c>
      <c r="BD112" s="212">
        <f ca="1">IF($D112&lt;&gt;"Serviço",0,IF(OR(AND(AUTOEVENTO="Manual",$M112=1),$M112&gt;(ROW(PLE.lastrow)-ROW(PLE.firstrow))),0,IF(OFFSET(PLE!$G$14,$M112,BD$13)="",10^12,OFFSET(PLE!$G$14,$M112,BD$13))))</f>
        <v>1000000000000</v>
      </c>
      <c r="BE112" s="212">
        <f ca="1">IF($D112&lt;&gt;"Serviço",0,IF(OR(AND(AUTOEVENTO="Manual",$M112=1),$M112&gt;(ROW(PLE.lastrow)-ROW(PLE.firstrow))),0,IF(OFFSET(PLE!$G$14,$M112,BE$13)="",10^12,OFFSET(PLE!$G$14,$M112,BE$13))))</f>
        <v>1000000000000</v>
      </c>
      <c r="BF112" s="212">
        <f ca="1">IF($D112&lt;&gt;"Serviço",0,IF(OR(AND(AUTOEVENTO="Manual",$M112=1),$M112&gt;(ROW(PLE.lastrow)-ROW(PLE.firstrow))),0,IF(OFFSET(PLE!$G$14,$M112,BF$13)="",10^12,OFFSET(PLE!$G$14,$M112,BF$13))))</f>
        <v>1000000000000</v>
      </c>
      <c r="BG112" s="212">
        <f ca="1">IF($D112&lt;&gt;"Serviço",0,IF(OR(AND(AUTOEVENTO="Manual",$M112=1),$M112&gt;(ROW(PLE.lastrow)-ROW(PLE.firstrow))),0,IF(OFFSET(PLE!$G$14,$M112,BG$13)="",10^12,OFFSET(PLE!$G$14,$M112,BG$13))))</f>
        <v>1000000000000</v>
      </c>
    </row>
    <row r="113" spans="1:59" ht="13.2">
      <c r="A113" s="9" t="str">
        <f t="shared" ca="1" si="10"/>
        <v>15</v>
      </c>
      <c r="B113" s="9" t="str">
        <f ca="1">OFFSET(ORÇAMENTO!C$15,ROW(B113)-ROW(B$15),0)</f>
        <v>S</v>
      </c>
      <c r="C113" s="9" t="str">
        <f ca="1">OFFSET(ORÇAMENTO!L$15,ROW(C113)-ROW(C$15),0)</f>
        <v/>
      </c>
      <c r="D113" s="141" t="str">
        <f ca="1">OFFSET(ORÇAMENTO!N$15,ROW(D113)-ROW(D$15),0)</f>
        <v>Serviço</v>
      </c>
      <c r="E113" s="201" t="str">
        <f ca="1">OFFSET(ORÇAMENTO!O$15,ROW(E113)-ROW(E$15),0)</f>
        <v>-</v>
      </c>
      <c r="F113" s="202" t="str">
        <f ca="1">OFFSET(ORÇAMENTO!R$15,ROW(F113)-ROW(F$15),0)</f>
        <v>(abra o arquivo 'Referência 11-2024.xlsm)</v>
      </c>
      <c r="G113" s="203" t="str">
        <f ca="1">IF($D113&lt;&gt;"Serviço","",OFFSET(ORÇAMENTO!S$15,ROW(G113)-ROW(G$15),0))</f>
        <v>-</v>
      </c>
      <c r="H113" s="147">
        <f ca="1">IF($D113&lt;&gt;"Serviço",0,IF(ACOMPANHAMENTO="BM",ROUND(OFFSET(ORÇAMENTO!AJ$15,ROW(H113)-ROW(H$15),0),15-13*ORÇAMENTO!$AF$7),SUMPRODUCT(($Q$12:$AA$12&lt;&gt;"")*ROUND($Q113:$AA113,15-13*ORÇAMENTO!$AF$7))))</f>
        <v>0</v>
      </c>
      <c r="I113" s="645"/>
      <c r="K113" s="204"/>
      <c r="L113" s="205" t="s">
        <v>255</v>
      </c>
      <c r="M113" s="206">
        <f ca="1">IF($D113&lt;&gt;"Serviço","",IF(AUTOEVENTO="manual",$A113,IF(ISERROR(MATCH($A113,$A$15:OFFSET($A113,-1,0),0)),MAX($M$15:OFFSET(M113,-1,0))+1,INDEX($M$15:OFFSET(M113,-1,0),MATCH($A113,$A$15:OFFSET($A113,-1,0),0)))))</f>
        <v>6</v>
      </c>
      <c r="N113" s="207" t="str">
        <f ca="1">IF($D113&lt;&gt;"Serviço","",IF(AUTOEVENTO="Manual",IF($A113=0,"&lt;-- defina o número do agrupador",OFFSET(EVENTOS!$D$14,$A113,0)),OFFSET($F$15,$A113,0)))</f>
        <v>DRENAGEM</v>
      </c>
      <c r="O113" s="208"/>
      <c r="Q113" s="208"/>
      <c r="R113" s="209"/>
      <c r="S113" s="209"/>
      <c r="T113" s="209"/>
      <c r="U113" s="209"/>
      <c r="V113" s="209"/>
      <c r="W113" s="209"/>
      <c r="X113" s="209"/>
      <c r="Y113" s="209"/>
      <c r="Z113" s="210"/>
      <c r="AB113" s="626">
        <f ca="1">IF(AND($D113="Serviço",AB$12&lt;&gt;0,$H113&gt;0,OR(AUTOEVENTO&lt;&gt;"manual",$M113&lt;&gt;1)),
IF(Import.TipoArredondamento&lt;&gt;"TransfereGOV",
ROUND(OFFSET($P113,0,AB$13),15-13*ORÇAMENTO!$AF$7)/$H113*OFFSET(ORÇAMENTO!$X$15,ROW(AB113)-ROW(AB$15),0),
ROUND(ROUND(OFFSET($P113,0,AB$13),15-13*ORÇAMENTO!$AF$7)*OFFSET(ORÇAMENTO!$W$15,ROW(AB113)-ROW(AB$15),0),15-13*ORÇAMENTO!$AF$11)),0)</f>
        <v>0</v>
      </c>
      <c r="AC113" s="627">
        <f ca="1">IF(AND($D113="Serviço",AC$12&lt;&gt;0,$H113&gt;0,OR(AUTOEVENTO&lt;&gt;"manual",$M113&lt;&gt;1)),
IF(Import.TipoArredondamento&lt;&gt;"TransfereGOV",
ROUND(OFFSET($P113,0,AC$13),15-13*ORÇAMENTO!$AF$7)/$H113*OFFSET(ORÇAMENTO!$X$15,ROW(AC113)-ROW(AC$15),0),
ROUND(ROUND(OFFSET($P113,0,AC$13),15-13*ORÇAMENTO!$AF$7)*OFFSET(ORÇAMENTO!$W$15,ROW(AC113)-ROW(AC$15),0),15-13*ORÇAMENTO!$AF$11)),0)</f>
        <v>0</v>
      </c>
      <c r="AD113" s="627">
        <f ca="1">IF(AND($D113="Serviço",AD$12&lt;&gt;0,$H113&gt;0,OR(AUTOEVENTO&lt;&gt;"manual",$M113&lt;&gt;1)),
IF(Import.TipoArredondamento&lt;&gt;"TransfereGOV",
ROUND(OFFSET($P113,0,AD$13),15-13*ORÇAMENTO!$AF$7)/$H113*OFFSET(ORÇAMENTO!$X$15,ROW(AD113)-ROW(AD$15),0),
ROUND(ROUND(OFFSET($P113,0,AD$13),15-13*ORÇAMENTO!$AF$7)*OFFSET(ORÇAMENTO!$W$15,ROW(AD113)-ROW(AD$15),0),15-13*ORÇAMENTO!$AF$11)),0)</f>
        <v>0</v>
      </c>
      <c r="AE113" s="627">
        <f ca="1">IF(AND($D113="Serviço",AE$12&lt;&gt;0,$H113&gt;0,OR(AUTOEVENTO&lt;&gt;"manual",$M113&lt;&gt;1)),
IF(Import.TipoArredondamento&lt;&gt;"TransfereGOV",
ROUND(OFFSET($P113,0,AE$13),15-13*ORÇAMENTO!$AF$7)/$H113*OFFSET(ORÇAMENTO!$X$15,ROW(AE113)-ROW(AE$15),0),
ROUND(ROUND(OFFSET($P113,0,AE$13),15-13*ORÇAMENTO!$AF$7)*OFFSET(ORÇAMENTO!$W$15,ROW(AE113)-ROW(AE$15),0),15-13*ORÇAMENTO!$AF$11)),0)</f>
        <v>0</v>
      </c>
      <c r="AF113" s="627">
        <f ca="1">IF(AND($D113="Serviço",AF$12&lt;&gt;0,$H113&gt;0,OR(AUTOEVENTO&lt;&gt;"manual",$M113&lt;&gt;1)),
IF(Import.TipoArredondamento&lt;&gt;"TransfereGOV",
ROUND(OFFSET($P113,0,AF$13),15-13*ORÇAMENTO!$AF$7)/$H113*OFFSET(ORÇAMENTO!$X$15,ROW(AF113)-ROW(AF$15),0),
ROUND(ROUND(OFFSET($P113,0,AF$13),15-13*ORÇAMENTO!$AF$7)*OFFSET(ORÇAMENTO!$W$15,ROW(AF113)-ROW(AF$15),0),15-13*ORÇAMENTO!$AF$11)),0)</f>
        <v>0</v>
      </c>
      <c r="AG113" s="627">
        <f ca="1">IF(AND($D113="Serviço",AG$12&lt;&gt;0,$H113&gt;0,OR(AUTOEVENTO&lt;&gt;"manual",$M113&lt;&gt;1)),
IF(Import.TipoArredondamento&lt;&gt;"TransfereGOV",
ROUND(OFFSET($P113,0,AG$13),15-13*ORÇAMENTO!$AF$7)/$H113*OFFSET(ORÇAMENTO!$X$15,ROW(AG113)-ROW(AG$15),0),
ROUND(ROUND(OFFSET($P113,0,AG$13),15-13*ORÇAMENTO!$AF$7)*OFFSET(ORÇAMENTO!$W$15,ROW(AG113)-ROW(AG$15),0),15-13*ORÇAMENTO!$AF$11)),0)</f>
        <v>0</v>
      </c>
      <c r="AH113" s="627">
        <f ca="1">IF(AND($D113="Serviço",AH$12&lt;&gt;0,$H113&gt;0,OR(AUTOEVENTO&lt;&gt;"manual",$M113&lt;&gt;1)),
IF(Import.TipoArredondamento&lt;&gt;"TransfereGOV",
ROUND(OFFSET($P113,0,AH$13),15-13*ORÇAMENTO!$AF$7)/$H113*OFFSET(ORÇAMENTO!$X$15,ROW(AH113)-ROW(AH$15),0),
ROUND(ROUND(OFFSET($P113,0,AH$13),15-13*ORÇAMENTO!$AF$7)*OFFSET(ORÇAMENTO!$W$15,ROW(AH113)-ROW(AH$15),0),15-13*ORÇAMENTO!$AF$11)),0)</f>
        <v>0</v>
      </c>
      <c r="AI113" s="627">
        <f ca="1">IF(AND($D113="Serviço",AI$12&lt;&gt;0,$H113&gt;0,OR(AUTOEVENTO&lt;&gt;"manual",$M113&lt;&gt;1)),
IF(Import.TipoArredondamento&lt;&gt;"TransfereGOV",
ROUND(OFFSET($P113,0,AI$13),15-13*ORÇAMENTO!$AF$7)/$H113*OFFSET(ORÇAMENTO!$X$15,ROW(AI113)-ROW(AI$15),0),
ROUND(ROUND(OFFSET($P113,0,AI$13),15-13*ORÇAMENTO!$AF$7)*OFFSET(ORÇAMENTO!$W$15,ROW(AI113)-ROW(AI$15),0),15-13*ORÇAMENTO!$AF$11)),0)</f>
        <v>0</v>
      </c>
      <c r="AJ113" s="627">
        <f ca="1">IF(AND($D113="Serviço",AJ$12&lt;&gt;0,$H113&gt;0,OR(AUTOEVENTO&lt;&gt;"manual",$M113&lt;&gt;1)),
IF(Import.TipoArredondamento&lt;&gt;"TransfereGOV",
ROUND(OFFSET($P113,0,AJ$13),15-13*ORÇAMENTO!$AF$7)/$H113*OFFSET(ORÇAMENTO!$X$15,ROW(AJ113)-ROW(AJ$15),0),
ROUND(ROUND(OFFSET($P113,0,AJ$13),15-13*ORÇAMENTO!$AF$7)*OFFSET(ORÇAMENTO!$W$15,ROW(AJ113)-ROW(AJ$15),0),15-13*ORÇAMENTO!$AF$11)),0)</f>
        <v>0</v>
      </c>
      <c r="AK113" s="628">
        <f ca="1">IF(AND($D113="Serviço",AK$12&lt;&gt;0,$H113&gt;0,OR(AUTOEVENTO&lt;&gt;"manual",$M113&lt;&gt;1)),
IF(Import.TipoArredondamento&lt;&gt;"TransfereGOV",
ROUND(OFFSET($P113,0,AK$13),15-13*ORÇAMENTO!$AF$7)/$H113*OFFSET(ORÇAMENTO!$X$15,ROW(AK113)-ROW(AK$15),0),
ROUND(ROUND(OFFSET($P113,0,AK$13),15-13*ORÇAMENTO!$AF$7)*OFFSET(ORÇAMENTO!$W$15,ROW(AK113)-ROW(AK$15),0),15-13*ORÇAMENTO!$AF$11)),0)</f>
        <v>0</v>
      </c>
      <c r="AM113" s="211">
        <f ca="1">IF($D113&lt;&gt;"Serviço",0,IF(AND(AUTOEVENTO="Manual",$M113=1),0,IF(OFFSET(CRONOPLE!$F$14,$M113,AM$13)="",10^12,OFFSET(CRONOPLE!$F$14,$M113,AM$13))))</f>
        <v>2</v>
      </c>
      <c r="AN113" s="211">
        <f ca="1">IF($D113&lt;&gt;"Serviço",0,IF(AND(AUTOEVENTO="Manual",$M113=1),0,IF(OFFSET(CRONOPLE!$F$14,$M113,AN$13)="",10^12,OFFSET(CRONOPLE!$F$14,$M113,AN$13))))</f>
        <v>1</v>
      </c>
      <c r="AO113" s="211">
        <f ca="1">IF($D113&lt;&gt;"Serviço",0,IF(AND(AUTOEVENTO="Manual",$M113=1),0,IF(OFFSET(CRONOPLE!$F$14,$M113,AO$13)="",10^12,OFFSET(CRONOPLE!$F$14,$M113,AO$13))))</f>
        <v>2</v>
      </c>
      <c r="AP113" s="211">
        <f ca="1">IF($D113&lt;&gt;"Serviço",0,IF(AND(AUTOEVENTO="Manual",$M113=1),0,IF(OFFSET(CRONOPLE!$F$14,$M113,AP$13)="",10^12,OFFSET(CRONOPLE!$F$14,$M113,AP$13))))</f>
        <v>2</v>
      </c>
      <c r="AQ113" s="211">
        <f ca="1">IF($D113&lt;&gt;"Serviço",0,IF(AND(AUTOEVENTO="Manual",$M113=1),0,IF(OFFSET(CRONOPLE!$F$14,$M113,AQ$13)="",10^12,OFFSET(CRONOPLE!$F$14,$M113,AQ$13))))</f>
        <v>1000000000000</v>
      </c>
      <c r="AR113" s="211">
        <f ca="1">IF($D113&lt;&gt;"Serviço",0,IF(AND(AUTOEVENTO="Manual",$M113=1),0,IF(OFFSET(CRONOPLE!$F$14,$M113,AR$13)="",10^12,OFFSET(CRONOPLE!$F$14,$M113,AR$13))))</f>
        <v>1000000000000</v>
      </c>
      <c r="AS113" s="211">
        <f ca="1">IF($D113&lt;&gt;"Serviço",0,IF(AND(AUTOEVENTO="Manual",$M113=1),0,IF(OFFSET(CRONOPLE!$F$14,$M113,AS$13)="",10^12,OFFSET(CRONOPLE!$F$14,$M113,AS$13))))</f>
        <v>1000000000000</v>
      </c>
      <c r="AT113" s="211">
        <f ca="1">IF($D113&lt;&gt;"Serviço",0,IF(AND(AUTOEVENTO="Manual",$M113=1),0,IF(OFFSET(CRONOPLE!$F$14,$M113,AT$13)="",10^12,OFFSET(CRONOPLE!$F$14,$M113,AT$13))))</f>
        <v>1000000000000</v>
      </c>
      <c r="AU113" s="211">
        <f ca="1">IF($D113&lt;&gt;"Serviço",0,IF(AND(AUTOEVENTO="Manual",$M113=1),0,IF(OFFSET(CRONOPLE!$F$14,$M113,AU$13)="",10^12,OFFSET(CRONOPLE!$F$14,$M113,AU$13))))</f>
        <v>1000000000000</v>
      </c>
      <c r="AV113" s="211">
        <f ca="1">IF($D113&lt;&gt;"Serviço",0,IF(AND(AUTOEVENTO="Manual",$M113=1),0,IF(OFFSET(CRONOPLE!$F$14,$M113,AV$13)="",10^12,OFFSET(CRONOPLE!$F$14,$M113,AV$13))))</f>
        <v>1000000000000</v>
      </c>
      <c r="AX113" s="212">
        <f ca="1">IF($D113&lt;&gt;"Serviço",0,IF(OR(AND(AUTOEVENTO="Manual",$M113=1),$M113&gt;(ROW(PLE.lastrow)-ROW(PLE.firstrow))),0,IF(OFFSET(PLE!$G$14,$M113,AX$13)="",10^12,OFFSET(PLE!$G$14,$M113,AX$13))))</f>
        <v>1000000000000</v>
      </c>
      <c r="AY113" s="212">
        <f ca="1">IF($D113&lt;&gt;"Serviço",0,IF(OR(AND(AUTOEVENTO="Manual",$M113=1),$M113&gt;(ROW(PLE.lastrow)-ROW(PLE.firstrow))),0,IF(OFFSET(PLE!$G$14,$M113,AY$13)="",10^12,OFFSET(PLE!$G$14,$M113,AY$13))))</f>
        <v>1000000000000</v>
      </c>
      <c r="AZ113" s="212">
        <f ca="1">IF($D113&lt;&gt;"Serviço",0,IF(OR(AND(AUTOEVENTO="Manual",$M113=1),$M113&gt;(ROW(PLE.lastrow)-ROW(PLE.firstrow))),0,IF(OFFSET(PLE!$G$14,$M113,AZ$13)="",10^12,OFFSET(PLE!$G$14,$M113,AZ$13))))</f>
        <v>1000000000000</v>
      </c>
      <c r="BA113" s="212">
        <f ca="1">IF($D113&lt;&gt;"Serviço",0,IF(OR(AND(AUTOEVENTO="Manual",$M113=1),$M113&gt;(ROW(PLE.lastrow)-ROW(PLE.firstrow))),0,IF(OFFSET(PLE!$G$14,$M113,BA$13)="",10^12,OFFSET(PLE!$G$14,$M113,BA$13))))</f>
        <v>1000000000000</v>
      </c>
      <c r="BB113" s="212">
        <f ca="1">IF($D113&lt;&gt;"Serviço",0,IF(OR(AND(AUTOEVENTO="Manual",$M113=1),$M113&gt;(ROW(PLE.lastrow)-ROW(PLE.firstrow))),0,IF(OFFSET(PLE!$G$14,$M113,BB$13)="",10^12,OFFSET(PLE!$G$14,$M113,BB$13))))</f>
        <v>1000000000000</v>
      </c>
      <c r="BC113" s="212">
        <f ca="1">IF($D113&lt;&gt;"Serviço",0,IF(OR(AND(AUTOEVENTO="Manual",$M113=1),$M113&gt;(ROW(PLE.lastrow)-ROW(PLE.firstrow))),0,IF(OFFSET(PLE!$G$14,$M113,BC$13)="",10^12,OFFSET(PLE!$G$14,$M113,BC$13))))</f>
        <v>1000000000000</v>
      </c>
      <c r="BD113" s="212">
        <f ca="1">IF($D113&lt;&gt;"Serviço",0,IF(OR(AND(AUTOEVENTO="Manual",$M113=1),$M113&gt;(ROW(PLE.lastrow)-ROW(PLE.firstrow))),0,IF(OFFSET(PLE!$G$14,$M113,BD$13)="",10^12,OFFSET(PLE!$G$14,$M113,BD$13))))</f>
        <v>1000000000000</v>
      </c>
      <c r="BE113" s="212">
        <f ca="1">IF($D113&lt;&gt;"Serviço",0,IF(OR(AND(AUTOEVENTO="Manual",$M113=1),$M113&gt;(ROW(PLE.lastrow)-ROW(PLE.firstrow))),0,IF(OFFSET(PLE!$G$14,$M113,BE$13)="",10^12,OFFSET(PLE!$G$14,$M113,BE$13))))</f>
        <v>1000000000000</v>
      </c>
      <c r="BF113" s="212">
        <f ca="1">IF($D113&lt;&gt;"Serviço",0,IF(OR(AND(AUTOEVENTO="Manual",$M113=1),$M113&gt;(ROW(PLE.lastrow)-ROW(PLE.firstrow))),0,IF(OFFSET(PLE!$G$14,$M113,BF$13)="",10^12,OFFSET(PLE!$G$14,$M113,BF$13))))</f>
        <v>1000000000000</v>
      </c>
      <c r="BG113" s="212">
        <f ca="1">IF($D113&lt;&gt;"Serviço",0,IF(OR(AND(AUTOEVENTO="Manual",$M113=1),$M113&gt;(ROW(PLE.lastrow)-ROW(PLE.firstrow))),0,IF(OFFSET(PLE!$G$14,$M113,BG$13)="",10^12,OFFSET(PLE!$G$14,$M113,BG$13))))</f>
        <v>1000000000000</v>
      </c>
    </row>
    <row r="114" spans="1:59" ht="13.2">
      <c r="A114" s="9" t="str">
        <f t="shared" ca="1" si="10"/>
        <v>15</v>
      </c>
      <c r="B114" s="9" t="str">
        <f ca="1">OFFSET(ORÇAMENTO!C$15,ROW(B114)-ROW(B$15),0)</f>
        <v>S</v>
      </c>
      <c r="C114" s="9" t="str">
        <f ca="1">OFFSET(ORÇAMENTO!L$15,ROW(C114)-ROW(C$15),0)</f>
        <v/>
      </c>
      <c r="D114" s="141" t="str">
        <f ca="1">OFFSET(ORÇAMENTO!N$15,ROW(D114)-ROW(D$15),0)</f>
        <v>Serviço</v>
      </c>
      <c r="E114" s="201" t="str">
        <f ca="1">OFFSET(ORÇAMENTO!O$15,ROW(E114)-ROW(E$15),0)</f>
        <v>-</v>
      </c>
      <c r="F114" s="202" t="str">
        <f ca="1">OFFSET(ORÇAMENTO!R$15,ROW(F114)-ROW(F$15),0)</f>
        <v>(abra o arquivo 'Referência 11-2024.xlsm)</v>
      </c>
      <c r="G114" s="203" t="str">
        <f ca="1">IF($D114&lt;&gt;"Serviço","",OFFSET(ORÇAMENTO!S$15,ROW(G114)-ROW(G$15),0))</f>
        <v>-</v>
      </c>
      <c r="H114" s="147">
        <f ca="1">IF($D114&lt;&gt;"Serviço",0,IF(ACOMPANHAMENTO="BM",ROUND(OFFSET(ORÇAMENTO!AJ$15,ROW(H114)-ROW(H$15),0),15-13*ORÇAMENTO!$AF$7),SUMPRODUCT(($Q$12:$AA$12&lt;&gt;"")*ROUND($Q114:$AA114,15-13*ORÇAMENTO!$AF$7))))</f>
        <v>0</v>
      </c>
      <c r="I114" s="645"/>
      <c r="K114" s="204"/>
      <c r="L114" s="205" t="s">
        <v>255</v>
      </c>
      <c r="M114" s="206">
        <f ca="1">IF($D114&lt;&gt;"Serviço","",IF(AUTOEVENTO="manual",$A114,IF(ISERROR(MATCH($A114,$A$15:OFFSET($A114,-1,0),0)),MAX($M$15:OFFSET(M114,-1,0))+1,INDEX($M$15:OFFSET(M114,-1,0),MATCH($A114,$A$15:OFFSET($A114,-1,0),0)))))</f>
        <v>6</v>
      </c>
      <c r="N114" s="207" t="str">
        <f ca="1">IF($D114&lt;&gt;"Serviço","",IF(AUTOEVENTO="Manual",IF($A114=0,"&lt;-- defina o número do agrupador",OFFSET(EVENTOS!$D$14,$A114,0)),OFFSET($F$15,$A114,0)))</f>
        <v>DRENAGEM</v>
      </c>
      <c r="O114" s="208"/>
      <c r="Q114" s="208"/>
      <c r="R114" s="209"/>
      <c r="S114" s="209"/>
      <c r="T114" s="209"/>
      <c r="U114" s="209"/>
      <c r="V114" s="209"/>
      <c r="W114" s="209"/>
      <c r="X114" s="209"/>
      <c r="Y114" s="209"/>
      <c r="Z114" s="210"/>
      <c r="AB114" s="626">
        <f ca="1">IF(AND($D114="Serviço",AB$12&lt;&gt;0,$H114&gt;0,OR(AUTOEVENTO&lt;&gt;"manual",$M114&lt;&gt;1)),
IF(Import.TipoArredondamento&lt;&gt;"TransfereGOV",
ROUND(OFFSET($P114,0,AB$13),15-13*ORÇAMENTO!$AF$7)/$H114*OFFSET(ORÇAMENTO!$X$15,ROW(AB114)-ROW(AB$15),0),
ROUND(ROUND(OFFSET($P114,0,AB$13),15-13*ORÇAMENTO!$AF$7)*OFFSET(ORÇAMENTO!$W$15,ROW(AB114)-ROW(AB$15),0),15-13*ORÇAMENTO!$AF$11)),0)</f>
        <v>0</v>
      </c>
      <c r="AC114" s="627">
        <f ca="1">IF(AND($D114="Serviço",AC$12&lt;&gt;0,$H114&gt;0,OR(AUTOEVENTO&lt;&gt;"manual",$M114&lt;&gt;1)),
IF(Import.TipoArredondamento&lt;&gt;"TransfereGOV",
ROUND(OFFSET($P114,0,AC$13),15-13*ORÇAMENTO!$AF$7)/$H114*OFFSET(ORÇAMENTO!$X$15,ROW(AC114)-ROW(AC$15),0),
ROUND(ROUND(OFFSET($P114,0,AC$13),15-13*ORÇAMENTO!$AF$7)*OFFSET(ORÇAMENTO!$W$15,ROW(AC114)-ROW(AC$15),0),15-13*ORÇAMENTO!$AF$11)),0)</f>
        <v>0</v>
      </c>
      <c r="AD114" s="627">
        <f ca="1">IF(AND($D114="Serviço",AD$12&lt;&gt;0,$H114&gt;0,OR(AUTOEVENTO&lt;&gt;"manual",$M114&lt;&gt;1)),
IF(Import.TipoArredondamento&lt;&gt;"TransfereGOV",
ROUND(OFFSET($P114,0,AD$13),15-13*ORÇAMENTO!$AF$7)/$H114*OFFSET(ORÇAMENTO!$X$15,ROW(AD114)-ROW(AD$15),0),
ROUND(ROUND(OFFSET($P114,0,AD$13),15-13*ORÇAMENTO!$AF$7)*OFFSET(ORÇAMENTO!$W$15,ROW(AD114)-ROW(AD$15),0),15-13*ORÇAMENTO!$AF$11)),0)</f>
        <v>0</v>
      </c>
      <c r="AE114" s="627">
        <f ca="1">IF(AND($D114="Serviço",AE$12&lt;&gt;0,$H114&gt;0,OR(AUTOEVENTO&lt;&gt;"manual",$M114&lt;&gt;1)),
IF(Import.TipoArredondamento&lt;&gt;"TransfereGOV",
ROUND(OFFSET($P114,0,AE$13),15-13*ORÇAMENTO!$AF$7)/$H114*OFFSET(ORÇAMENTO!$X$15,ROW(AE114)-ROW(AE$15),0),
ROUND(ROUND(OFFSET($P114,0,AE$13),15-13*ORÇAMENTO!$AF$7)*OFFSET(ORÇAMENTO!$W$15,ROW(AE114)-ROW(AE$15),0),15-13*ORÇAMENTO!$AF$11)),0)</f>
        <v>0</v>
      </c>
      <c r="AF114" s="627">
        <f ca="1">IF(AND($D114="Serviço",AF$12&lt;&gt;0,$H114&gt;0,OR(AUTOEVENTO&lt;&gt;"manual",$M114&lt;&gt;1)),
IF(Import.TipoArredondamento&lt;&gt;"TransfereGOV",
ROUND(OFFSET($P114,0,AF$13),15-13*ORÇAMENTO!$AF$7)/$H114*OFFSET(ORÇAMENTO!$X$15,ROW(AF114)-ROW(AF$15),0),
ROUND(ROUND(OFFSET($P114,0,AF$13),15-13*ORÇAMENTO!$AF$7)*OFFSET(ORÇAMENTO!$W$15,ROW(AF114)-ROW(AF$15),0),15-13*ORÇAMENTO!$AF$11)),0)</f>
        <v>0</v>
      </c>
      <c r="AG114" s="627">
        <f ca="1">IF(AND($D114="Serviço",AG$12&lt;&gt;0,$H114&gt;0,OR(AUTOEVENTO&lt;&gt;"manual",$M114&lt;&gt;1)),
IF(Import.TipoArredondamento&lt;&gt;"TransfereGOV",
ROUND(OFFSET($P114,0,AG$13),15-13*ORÇAMENTO!$AF$7)/$H114*OFFSET(ORÇAMENTO!$X$15,ROW(AG114)-ROW(AG$15),0),
ROUND(ROUND(OFFSET($P114,0,AG$13),15-13*ORÇAMENTO!$AF$7)*OFFSET(ORÇAMENTO!$W$15,ROW(AG114)-ROW(AG$15),0),15-13*ORÇAMENTO!$AF$11)),0)</f>
        <v>0</v>
      </c>
      <c r="AH114" s="627">
        <f ca="1">IF(AND($D114="Serviço",AH$12&lt;&gt;0,$H114&gt;0,OR(AUTOEVENTO&lt;&gt;"manual",$M114&lt;&gt;1)),
IF(Import.TipoArredondamento&lt;&gt;"TransfereGOV",
ROUND(OFFSET($P114,0,AH$13),15-13*ORÇAMENTO!$AF$7)/$H114*OFFSET(ORÇAMENTO!$X$15,ROW(AH114)-ROW(AH$15),0),
ROUND(ROUND(OFFSET($P114,0,AH$13),15-13*ORÇAMENTO!$AF$7)*OFFSET(ORÇAMENTO!$W$15,ROW(AH114)-ROW(AH$15),0),15-13*ORÇAMENTO!$AF$11)),0)</f>
        <v>0</v>
      </c>
      <c r="AI114" s="627">
        <f ca="1">IF(AND($D114="Serviço",AI$12&lt;&gt;0,$H114&gt;0,OR(AUTOEVENTO&lt;&gt;"manual",$M114&lt;&gt;1)),
IF(Import.TipoArredondamento&lt;&gt;"TransfereGOV",
ROUND(OFFSET($P114,0,AI$13),15-13*ORÇAMENTO!$AF$7)/$H114*OFFSET(ORÇAMENTO!$X$15,ROW(AI114)-ROW(AI$15),0),
ROUND(ROUND(OFFSET($P114,0,AI$13),15-13*ORÇAMENTO!$AF$7)*OFFSET(ORÇAMENTO!$W$15,ROW(AI114)-ROW(AI$15),0),15-13*ORÇAMENTO!$AF$11)),0)</f>
        <v>0</v>
      </c>
      <c r="AJ114" s="627">
        <f ca="1">IF(AND($D114="Serviço",AJ$12&lt;&gt;0,$H114&gt;0,OR(AUTOEVENTO&lt;&gt;"manual",$M114&lt;&gt;1)),
IF(Import.TipoArredondamento&lt;&gt;"TransfereGOV",
ROUND(OFFSET($P114,0,AJ$13),15-13*ORÇAMENTO!$AF$7)/$H114*OFFSET(ORÇAMENTO!$X$15,ROW(AJ114)-ROW(AJ$15),0),
ROUND(ROUND(OFFSET($P114,0,AJ$13),15-13*ORÇAMENTO!$AF$7)*OFFSET(ORÇAMENTO!$W$15,ROW(AJ114)-ROW(AJ$15),0),15-13*ORÇAMENTO!$AF$11)),0)</f>
        <v>0</v>
      </c>
      <c r="AK114" s="628">
        <f ca="1">IF(AND($D114="Serviço",AK$12&lt;&gt;0,$H114&gt;0,OR(AUTOEVENTO&lt;&gt;"manual",$M114&lt;&gt;1)),
IF(Import.TipoArredondamento&lt;&gt;"TransfereGOV",
ROUND(OFFSET($P114,0,AK$13),15-13*ORÇAMENTO!$AF$7)/$H114*OFFSET(ORÇAMENTO!$X$15,ROW(AK114)-ROW(AK$15),0),
ROUND(ROUND(OFFSET($P114,0,AK$13),15-13*ORÇAMENTO!$AF$7)*OFFSET(ORÇAMENTO!$W$15,ROW(AK114)-ROW(AK$15),0),15-13*ORÇAMENTO!$AF$11)),0)</f>
        <v>0</v>
      </c>
      <c r="AM114" s="211">
        <f ca="1">IF($D114&lt;&gt;"Serviço",0,IF(AND(AUTOEVENTO="Manual",$M114=1),0,IF(OFFSET(CRONOPLE!$F$14,$M114,AM$13)="",10^12,OFFSET(CRONOPLE!$F$14,$M114,AM$13))))</f>
        <v>2</v>
      </c>
      <c r="AN114" s="211">
        <f ca="1">IF($D114&lt;&gt;"Serviço",0,IF(AND(AUTOEVENTO="Manual",$M114=1),0,IF(OFFSET(CRONOPLE!$F$14,$M114,AN$13)="",10^12,OFFSET(CRONOPLE!$F$14,$M114,AN$13))))</f>
        <v>1</v>
      </c>
      <c r="AO114" s="211">
        <f ca="1">IF($D114&lt;&gt;"Serviço",0,IF(AND(AUTOEVENTO="Manual",$M114=1),0,IF(OFFSET(CRONOPLE!$F$14,$M114,AO$13)="",10^12,OFFSET(CRONOPLE!$F$14,$M114,AO$13))))</f>
        <v>2</v>
      </c>
      <c r="AP114" s="211">
        <f ca="1">IF($D114&lt;&gt;"Serviço",0,IF(AND(AUTOEVENTO="Manual",$M114=1),0,IF(OFFSET(CRONOPLE!$F$14,$M114,AP$13)="",10^12,OFFSET(CRONOPLE!$F$14,$M114,AP$13))))</f>
        <v>2</v>
      </c>
      <c r="AQ114" s="211">
        <f ca="1">IF($D114&lt;&gt;"Serviço",0,IF(AND(AUTOEVENTO="Manual",$M114=1),0,IF(OFFSET(CRONOPLE!$F$14,$M114,AQ$13)="",10^12,OFFSET(CRONOPLE!$F$14,$M114,AQ$13))))</f>
        <v>1000000000000</v>
      </c>
      <c r="AR114" s="211">
        <f ca="1">IF($D114&lt;&gt;"Serviço",0,IF(AND(AUTOEVENTO="Manual",$M114=1),0,IF(OFFSET(CRONOPLE!$F$14,$M114,AR$13)="",10^12,OFFSET(CRONOPLE!$F$14,$M114,AR$13))))</f>
        <v>1000000000000</v>
      </c>
      <c r="AS114" s="211">
        <f ca="1">IF($D114&lt;&gt;"Serviço",0,IF(AND(AUTOEVENTO="Manual",$M114=1),0,IF(OFFSET(CRONOPLE!$F$14,$M114,AS$13)="",10^12,OFFSET(CRONOPLE!$F$14,$M114,AS$13))))</f>
        <v>1000000000000</v>
      </c>
      <c r="AT114" s="211">
        <f ca="1">IF($D114&lt;&gt;"Serviço",0,IF(AND(AUTOEVENTO="Manual",$M114=1),0,IF(OFFSET(CRONOPLE!$F$14,$M114,AT$13)="",10^12,OFFSET(CRONOPLE!$F$14,$M114,AT$13))))</f>
        <v>1000000000000</v>
      </c>
      <c r="AU114" s="211">
        <f ca="1">IF($D114&lt;&gt;"Serviço",0,IF(AND(AUTOEVENTO="Manual",$M114=1),0,IF(OFFSET(CRONOPLE!$F$14,$M114,AU$13)="",10^12,OFFSET(CRONOPLE!$F$14,$M114,AU$13))))</f>
        <v>1000000000000</v>
      </c>
      <c r="AV114" s="211">
        <f ca="1">IF($D114&lt;&gt;"Serviço",0,IF(AND(AUTOEVENTO="Manual",$M114=1),0,IF(OFFSET(CRONOPLE!$F$14,$M114,AV$13)="",10^12,OFFSET(CRONOPLE!$F$14,$M114,AV$13))))</f>
        <v>1000000000000</v>
      </c>
      <c r="AX114" s="212">
        <f ca="1">IF($D114&lt;&gt;"Serviço",0,IF(OR(AND(AUTOEVENTO="Manual",$M114=1),$M114&gt;(ROW(PLE.lastrow)-ROW(PLE.firstrow))),0,IF(OFFSET(PLE!$G$14,$M114,AX$13)="",10^12,OFFSET(PLE!$G$14,$M114,AX$13))))</f>
        <v>1000000000000</v>
      </c>
      <c r="AY114" s="212">
        <f ca="1">IF($D114&lt;&gt;"Serviço",0,IF(OR(AND(AUTOEVENTO="Manual",$M114=1),$M114&gt;(ROW(PLE.lastrow)-ROW(PLE.firstrow))),0,IF(OFFSET(PLE!$G$14,$M114,AY$13)="",10^12,OFFSET(PLE!$G$14,$M114,AY$13))))</f>
        <v>1000000000000</v>
      </c>
      <c r="AZ114" s="212">
        <f ca="1">IF($D114&lt;&gt;"Serviço",0,IF(OR(AND(AUTOEVENTO="Manual",$M114=1),$M114&gt;(ROW(PLE.lastrow)-ROW(PLE.firstrow))),0,IF(OFFSET(PLE!$G$14,$M114,AZ$13)="",10^12,OFFSET(PLE!$G$14,$M114,AZ$13))))</f>
        <v>1000000000000</v>
      </c>
      <c r="BA114" s="212">
        <f ca="1">IF($D114&lt;&gt;"Serviço",0,IF(OR(AND(AUTOEVENTO="Manual",$M114=1),$M114&gt;(ROW(PLE.lastrow)-ROW(PLE.firstrow))),0,IF(OFFSET(PLE!$G$14,$M114,BA$13)="",10^12,OFFSET(PLE!$G$14,$M114,BA$13))))</f>
        <v>1000000000000</v>
      </c>
      <c r="BB114" s="212">
        <f ca="1">IF($D114&lt;&gt;"Serviço",0,IF(OR(AND(AUTOEVENTO="Manual",$M114=1),$M114&gt;(ROW(PLE.lastrow)-ROW(PLE.firstrow))),0,IF(OFFSET(PLE!$G$14,$M114,BB$13)="",10^12,OFFSET(PLE!$G$14,$M114,BB$13))))</f>
        <v>1000000000000</v>
      </c>
      <c r="BC114" s="212">
        <f ca="1">IF($D114&lt;&gt;"Serviço",0,IF(OR(AND(AUTOEVENTO="Manual",$M114=1),$M114&gt;(ROW(PLE.lastrow)-ROW(PLE.firstrow))),0,IF(OFFSET(PLE!$G$14,$M114,BC$13)="",10^12,OFFSET(PLE!$G$14,$M114,BC$13))))</f>
        <v>1000000000000</v>
      </c>
      <c r="BD114" s="212">
        <f ca="1">IF($D114&lt;&gt;"Serviço",0,IF(OR(AND(AUTOEVENTO="Manual",$M114=1),$M114&gt;(ROW(PLE.lastrow)-ROW(PLE.firstrow))),0,IF(OFFSET(PLE!$G$14,$M114,BD$13)="",10^12,OFFSET(PLE!$G$14,$M114,BD$13))))</f>
        <v>1000000000000</v>
      </c>
      <c r="BE114" s="212">
        <f ca="1">IF($D114&lt;&gt;"Serviço",0,IF(OR(AND(AUTOEVENTO="Manual",$M114=1),$M114&gt;(ROW(PLE.lastrow)-ROW(PLE.firstrow))),0,IF(OFFSET(PLE!$G$14,$M114,BE$13)="",10^12,OFFSET(PLE!$G$14,$M114,BE$13))))</f>
        <v>1000000000000</v>
      </c>
      <c r="BF114" s="212">
        <f ca="1">IF($D114&lt;&gt;"Serviço",0,IF(OR(AND(AUTOEVENTO="Manual",$M114=1),$M114&gt;(ROW(PLE.lastrow)-ROW(PLE.firstrow))),0,IF(OFFSET(PLE!$G$14,$M114,BF$13)="",10^12,OFFSET(PLE!$G$14,$M114,BF$13))))</f>
        <v>1000000000000</v>
      </c>
      <c r="BG114" s="212">
        <f ca="1">IF($D114&lt;&gt;"Serviço",0,IF(OR(AND(AUTOEVENTO="Manual",$M114=1),$M114&gt;(ROW(PLE.lastrow)-ROW(PLE.firstrow))),0,IF(OFFSET(PLE!$G$14,$M114,BG$13)="",10^12,OFFSET(PLE!$G$14,$M114,BG$13))))</f>
        <v>1000000000000</v>
      </c>
    </row>
    <row r="115" spans="1:59" ht="13.2">
      <c r="A115" s="9" t="str">
        <f t="shared" ca="1" si="10"/>
        <v>15</v>
      </c>
      <c r="B115" s="9" t="str">
        <f ca="1">OFFSET(ORÇAMENTO!C$15,ROW(B115)-ROW(B$15),0)</f>
        <v>S</v>
      </c>
      <c r="C115" s="9" t="str">
        <f ca="1">OFFSET(ORÇAMENTO!L$15,ROW(C115)-ROW(C$15),0)</f>
        <v/>
      </c>
      <c r="D115" s="141" t="str">
        <f ca="1">OFFSET(ORÇAMENTO!N$15,ROW(D115)-ROW(D$15),0)</f>
        <v>Serviço</v>
      </c>
      <c r="E115" s="201" t="str">
        <f ca="1">OFFSET(ORÇAMENTO!O$15,ROW(E115)-ROW(E$15),0)</f>
        <v>-</v>
      </c>
      <c r="F115" s="202" t="str">
        <f ca="1">OFFSET(ORÇAMENTO!R$15,ROW(F115)-ROW(F$15),0)</f>
        <v>(abra o arquivo 'Referência 11-2024.xlsm)</v>
      </c>
      <c r="G115" s="203" t="str">
        <f ca="1">IF($D115&lt;&gt;"Serviço","",OFFSET(ORÇAMENTO!S$15,ROW(G115)-ROW(G$15),0))</f>
        <v>-</v>
      </c>
      <c r="H115" s="147">
        <f ca="1">IF($D115&lt;&gt;"Serviço",0,IF(ACOMPANHAMENTO="BM",ROUND(OFFSET(ORÇAMENTO!AJ$15,ROW(H115)-ROW(H$15),0),15-13*ORÇAMENTO!$AF$7),SUMPRODUCT(($Q$12:$AA$12&lt;&gt;"")*ROUND($Q115:$AA115,15-13*ORÇAMENTO!$AF$7))))</f>
        <v>0</v>
      </c>
      <c r="I115" s="645"/>
      <c r="K115" s="204"/>
      <c r="L115" s="205" t="s">
        <v>255</v>
      </c>
      <c r="M115" s="206">
        <f ca="1">IF($D115&lt;&gt;"Serviço","",IF(AUTOEVENTO="manual",$A115,IF(ISERROR(MATCH($A115,$A$15:OFFSET($A115,-1,0),0)),MAX($M$15:OFFSET(M115,-1,0))+1,INDEX($M$15:OFFSET(M115,-1,0),MATCH($A115,$A$15:OFFSET($A115,-1,0),0)))))</f>
        <v>6</v>
      </c>
      <c r="N115" s="207" t="str">
        <f ca="1">IF($D115&lt;&gt;"Serviço","",IF(AUTOEVENTO="Manual",IF($A115=0,"&lt;-- defina o número do agrupador",OFFSET(EVENTOS!$D$14,$A115,0)),OFFSET($F$15,$A115,0)))</f>
        <v>DRENAGEM</v>
      </c>
      <c r="O115" s="208"/>
      <c r="Q115" s="208"/>
      <c r="R115" s="209"/>
      <c r="S115" s="209"/>
      <c r="T115" s="209"/>
      <c r="U115" s="209"/>
      <c r="V115" s="209"/>
      <c r="W115" s="209"/>
      <c r="X115" s="209"/>
      <c r="Y115" s="209"/>
      <c r="Z115" s="210"/>
      <c r="AB115" s="626">
        <f ca="1">IF(AND($D115="Serviço",AB$12&lt;&gt;0,$H115&gt;0,OR(AUTOEVENTO&lt;&gt;"manual",$M115&lt;&gt;1)),
IF(Import.TipoArredondamento&lt;&gt;"TransfereGOV",
ROUND(OFFSET($P115,0,AB$13),15-13*ORÇAMENTO!$AF$7)/$H115*OFFSET(ORÇAMENTO!$X$15,ROW(AB115)-ROW(AB$15),0),
ROUND(ROUND(OFFSET($P115,0,AB$13),15-13*ORÇAMENTO!$AF$7)*OFFSET(ORÇAMENTO!$W$15,ROW(AB115)-ROW(AB$15),0),15-13*ORÇAMENTO!$AF$11)),0)</f>
        <v>0</v>
      </c>
      <c r="AC115" s="627">
        <f ca="1">IF(AND($D115="Serviço",AC$12&lt;&gt;0,$H115&gt;0,OR(AUTOEVENTO&lt;&gt;"manual",$M115&lt;&gt;1)),
IF(Import.TipoArredondamento&lt;&gt;"TransfereGOV",
ROUND(OFFSET($P115,0,AC$13),15-13*ORÇAMENTO!$AF$7)/$H115*OFFSET(ORÇAMENTO!$X$15,ROW(AC115)-ROW(AC$15),0),
ROUND(ROUND(OFFSET($P115,0,AC$13),15-13*ORÇAMENTO!$AF$7)*OFFSET(ORÇAMENTO!$W$15,ROW(AC115)-ROW(AC$15),0),15-13*ORÇAMENTO!$AF$11)),0)</f>
        <v>0</v>
      </c>
      <c r="AD115" s="627">
        <f ca="1">IF(AND($D115="Serviço",AD$12&lt;&gt;0,$H115&gt;0,OR(AUTOEVENTO&lt;&gt;"manual",$M115&lt;&gt;1)),
IF(Import.TipoArredondamento&lt;&gt;"TransfereGOV",
ROUND(OFFSET($P115,0,AD$13),15-13*ORÇAMENTO!$AF$7)/$H115*OFFSET(ORÇAMENTO!$X$15,ROW(AD115)-ROW(AD$15),0),
ROUND(ROUND(OFFSET($P115,0,AD$13),15-13*ORÇAMENTO!$AF$7)*OFFSET(ORÇAMENTO!$W$15,ROW(AD115)-ROW(AD$15),0),15-13*ORÇAMENTO!$AF$11)),0)</f>
        <v>0</v>
      </c>
      <c r="AE115" s="627">
        <f ca="1">IF(AND($D115="Serviço",AE$12&lt;&gt;0,$H115&gt;0,OR(AUTOEVENTO&lt;&gt;"manual",$M115&lt;&gt;1)),
IF(Import.TipoArredondamento&lt;&gt;"TransfereGOV",
ROUND(OFFSET($P115,0,AE$13),15-13*ORÇAMENTO!$AF$7)/$H115*OFFSET(ORÇAMENTO!$X$15,ROW(AE115)-ROW(AE$15),0),
ROUND(ROUND(OFFSET($P115,0,AE$13),15-13*ORÇAMENTO!$AF$7)*OFFSET(ORÇAMENTO!$W$15,ROW(AE115)-ROW(AE$15),0),15-13*ORÇAMENTO!$AF$11)),0)</f>
        <v>0</v>
      </c>
      <c r="AF115" s="627">
        <f ca="1">IF(AND($D115="Serviço",AF$12&lt;&gt;0,$H115&gt;0,OR(AUTOEVENTO&lt;&gt;"manual",$M115&lt;&gt;1)),
IF(Import.TipoArredondamento&lt;&gt;"TransfereGOV",
ROUND(OFFSET($P115,0,AF$13),15-13*ORÇAMENTO!$AF$7)/$H115*OFFSET(ORÇAMENTO!$X$15,ROW(AF115)-ROW(AF$15),0),
ROUND(ROUND(OFFSET($P115,0,AF$13),15-13*ORÇAMENTO!$AF$7)*OFFSET(ORÇAMENTO!$W$15,ROW(AF115)-ROW(AF$15),0),15-13*ORÇAMENTO!$AF$11)),0)</f>
        <v>0</v>
      </c>
      <c r="AG115" s="627">
        <f ca="1">IF(AND($D115="Serviço",AG$12&lt;&gt;0,$H115&gt;0,OR(AUTOEVENTO&lt;&gt;"manual",$M115&lt;&gt;1)),
IF(Import.TipoArredondamento&lt;&gt;"TransfereGOV",
ROUND(OFFSET($P115,0,AG$13),15-13*ORÇAMENTO!$AF$7)/$H115*OFFSET(ORÇAMENTO!$X$15,ROW(AG115)-ROW(AG$15),0),
ROUND(ROUND(OFFSET($P115,0,AG$13),15-13*ORÇAMENTO!$AF$7)*OFFSET(ORÇAMENTO!$W$15,ROW(AG115)-ROW(AG$15),0),15-13*ORÇAMENTO!$AF$11)),0)</f>
        <v>0</v>
      </c>
      <c r="AH115" s="627">
        <f ca="1">IF(AND($D115="Serviço",AH$12&lt;&gt;0,$H115&gt;0,OR(AUTOEVENTO&lt;&gt;"manual",$M115&lt;&gt;1)),
IF(Import.TipoArredondamento&lt;&gt;"TransfereGOV",
ROUND(OFFSET($P115,0,AH$13),15-13*ORÇAMENTO!$AF$7)/$H115*OFFSET(ORÇAMENTO!$X$15,ROW(AH115)-ROW(AH$15),0),
ROUND(ROUND(OFFSET($P115,0,AH$13),15-13*ORÇAMENTO!$AF$7)*OFFSET(ORÇAMENTO!$W$15,ROW(AH115)-ROW(AH$15),0),15-13*ORÇAMENTO!$AF$11)),0)</f>
        <v>0</v>
      </c>
      <c r="AI115" s="627">
        <f ca="1">IF(AND($D115="Serviço",AI$12&lt;&gt;0,$H115&gt;0,OR(AUTOEVENTO&lt;&gt;"manual",$M115&lt;&gt;1)),
IF(Import.TipoArredondamento&lt;&gt;"TransfereGOV",
ROUND(OFFSET($P115,0,AI$13),15-13*ORÇAMENTO!$AF$7)/$H115*OFFSET(ORÇAMENTO!$X$15,ROW(AI115)-ROW(AI$15),0),
ROUND(ROUND(OFFSET($P115,0,AI$13),15-13*ORÇAMENTO!$AF$7)*OFFSET(ORÇAMENTO!$W$15,ROW(AI115)-ROW(AI$15),0),15-13*ORÇAMENTO!$AF$11)),0)</f>
        <v>0</v>
      </c>
      <c r="AJ115" s="627">
        <f ca="1">IF(AND($D115="Serviço",AJ$12&lt;&gt;0,$H115&gt;0,OR(AUTOEVENTO&lt;&gt;"manual",$M115&lt;&gt;1)),
IF(Import.TipoArredondamento&lt;&gt;"TransfereGOV",
ROUND(OFFSET($P115,0,AJ$13),15-13*ORÇAMENTO!$AF$7)/$H115*OFFSET(ORÇAMENTO!$X$15,ROW(AJ115)-ROW(AJ$15),0),
ROUND(ROUND(OFFSET($P115,0,AJ$13),15-13*ORÇAMENTO!$AF$7)*OFFSET(ORÇAMENTO!$W$15,ROW(AJ115)-ROW(AJ$15),0),15-13*ORÇAMENTO!$AF$11)),0)</f>
        <v>0</v>
      </c>
      <c r="AK115" s="628">
        <f ca="1">IF(AND($D115="Serviço",AK$12&lt;&gt;0,$H115&gt;0,OR(AUTOEVENTO&lt;&gt;"manual",$M115&lt;&gt;1)),
IF(Import.TipoArredondamento&lt;&gt;"TransfereGOV",
ROUND(OFFSET($P115,0,AK$13),15-13*ORÇAMENTO!$AF$7)/$H115*OFFSET(ORÇAMENTO!$X$15,ROW(AK115)-ROW(AK$15),0),
ROUND(ROUND(OFFSET($P115,0,AK$13),15-13*ORÇAMENTO!$AF$7)*OFFSET(ORÇAMENTO!$W$15,ROW(AK115)-ROW(AK$15),0),15-13*ORÇAMENTO!$AF$11)),0)</f>
        <v>0</v>
      </c>
      <c r="AM115" s="211">
        <f ca="1">IF($D115&lt;&gt;"Serviço",0,IF(AND(AUTOEVENTO="Manual",$M115=1),0,IF(OFFSET(CRONOPLE!$F$14,$M115,AM$13)="",10^12,OFFSET(CRONOPLE!$F$14,$M115,AM$13))))</f>
        <v>2</v>
      </c>
      <c r="AN115" s="211">
        <f ca="1">IF($D115&lt;&gt;"Serviço",0,IF(AND(AUTOEVENTO="Manual",$M115=1),0,IF(OFFSET(CRONOPLE!$F$14,$M115,AN$13)="",10^12,OFFSET(CRONOPLE!$F$14,$M115,AN$13))))</f>
        <v>1</v>
      </c>
      <c r="AO115" s="211">
        <f ca="1">IF($D115&lt;&gt;"Serviço",0,IF(AND(AUTOEVENTO="Manual",$M115=1),0,IF(OFFSET(CRONOPLE!$F$14,$M115,AO$13)="",10^12,OFFSET(CRONOPLE!$F$14,$M115,AO$13))))</f>
        <v>2</v>
      </c>
      <c r="AP115" s="211">
        <f ca="1">IF($D115&lt;&gt;"Serviço",0,IF(AND(AUTOEVENTO="Manual",$M115=1),0,IF(OFFSET(CRONOPLE!$F$14,$M115,AP$13)="",10^12,OFFSET(CRONOPLE!$F$14,$M115,AP$13))))</f>
        <v>2</v>
      </c>
      <c r="AQ115" s="211">
        <f ca="1">IF($D115&lt;&gt;"Serviço",0,IF(AND(AUTOEVENTO="Manual",$M115=1),0,IF(OFFSET(CRONOPLE!$F$14,$M115,AQ$13)="",10^12,OFFSET(CRONOPLE!$F$14,$M115,AQ$13))))</f>
        <v>1000000000000</v>
      </c>
      <c r="AR115" s="211">
        <f ca="1">IF($D115&lt;&gt;"Serviço",0,IF(AND(AUTOEVENTO="Manual",$M115=1),0,IF(OFFSET(CRONOPLE!$F$14,$M115,AR$13)="",10^12,OFFSET(CRONOPLE!$F$14,$M115,AR$13))))</f>
        <v>1000000000000</v>
      </c>
      <c r="AS115" s="211">
        <f ca="1">IF($D115&lt;&gt;"Serviço",0,IF(AND(AUTOEVENTO="Manual",$M115=1),0,IF(OFFSET(CRONOPLE!$F$14,$M115,AS$13)="",10^12,OFFSET(CRONOPLE!$F$14,$M115,AS$13))))</f>
        <v>1000000000000</v>
      </c>
      <c r="AT115" s="211">
        <f ca="1">IF($D115&lt;&gt;"Serviço",0,IF(AND(AUTOEVENTO="Manual",$M115=1),0,IF(OFFSET(CRONOPLE!$F$14,$M115,AT$13)="",10^12,OFFSET(CRONOPLE!$F$14,$M115,AT$13))))</f>
        <v>1000000000000</v>
      </c>
      <c r="AU115" s="211">
        <f ca="1">IF($D115&lt;&gt;"Serviço",0,IF(AND(AUTOEVENTO="Manual",$M115=1),0,IF(OFFSET(CRONOPLE!$F$14,$M115,AU$13)="",10^12,OFFSET(CRONOPLE!$F$14,$M115,AU$13))))</f>
        <v>1000000000000</v>
      </c>
      <c r="AV115" s="211">
        <f ca="1">IF($D115&lt;&gt;"Serviço",0,IF(AND(AUTOEVENTO="Manual",$M115=1),0,IF(OFFSET(CRONOPLE!$F$14,$M115,AV$13)="",10^12,OFFSET(CRONOPLE!$F$14,$M115,AV$13))))</f>
        <v>1000000000000</v>
      </c>
      <c r="AX115" s="212">
        <f ca="1">IF($D115&lt;&gt;"Serviço",0,IF(OR(AND(AUTOEVENTO="Manual",$M115=1),$M115&gt;(ROW(PLE.lastrow)-ROW(PLE.firstrow))),0,IF(OFFSET(PLE!$G$14,$M115,AX$13)="",10^12,OFFSET(PLE!$G$14,$M115,AX$13))))</f>
        <v>1000000000000</v>
      </c>
      <c r="AY115" s="212">
        <f ca="1">IF($D115&lt;&gt;"Serviço",0,IF(OR(AND(AUTOEVENTO="Manual",$M115=1),$M115&gt;(ROW(PLE.lastrow)-ROW(PLE.firstrow))),0,IF(OFFSET(PLE!$G$14,$M115,AY$13)="",10^12,OFFSET(PLE!$G$14,$M115,AY$13))))</f>
        <v>1000000000000</v>
      </c>
      <c r="AZ115" s="212">
        <f ca="1">IF($D115&lt;&gt;"Serviço",0,IF(OR(AND(AUTOEVENTO="Manual",$M115=1),$M115&gt;(ROW(PLE.lastrow)-ROW(PLE.firstrow))),0,IF(OFFSET(PLE!$G$14,$M115,AZ$13)="",10^12,OFFSET(PLE!$G$14,$M115,AZ$13))))</f>
        <v>1000000000000</v>
      </c>
      <c r="BA115" s="212">
        <f ca="1">IF($D115&lt;&gt;"Serviço",0,IF(OR(AND(AUTOEVENTO="Manual",$M115=1),$M115&gt;(ROW(PLE.lastrow)-ROW(PLE.firstrow))),0,IF(OFFSET(PLE!$G$14,$M115,BA$13)="",10^12,OFFSET(PLE!$G$14,$M115,BA$13))))</f>
        <v>1000000000000</v>
      </c>
      <c r="BB115" s="212">
        <f ca="1">IF($D115&lt;&gt;"Serviço",0,IF(OR(AND(AUTOEVENTO="Manual",$M115=1),$M115&gt;(ROW(PLE.lastrow)-ROW(PLE.firstrow))),0,IF(OFFSET(PLE!$G$14,$M115,BB$13)="",10^12,OFFSET(PLE!$G$14,$M115,BB$13))))</f>
        <v>1000000000000</v>
      </c>
      <c r="BC115" s="212">
        <f ca="1">IF($D115&lt;&gt;"Serviço",0,IF(OR(AND(AUTOEVENTO="Manual",$M115=1),$M115&gt;(ROW(PLE.lastrow)-ROW(PLE.firstrow))),0,IF(OFFSET(PLE!$G$14,$M115,BC$13)="",10^12,OFFSET(PLE!$G$14,$M115,BC$13))))</f>
        <v>1000000000000</v>
      </c>
      <c r="BD115" s="212">
        <f ca="1">IF($D115&lt;&gt;"Serviço",0,IF(OR(AND(AUTOEVENTO="Manual",$M115=1),$M115&gt;(ROW(PLE.lastrow)-ROW(PLE.firstrow))),0,IF(OFFSET(PLE!$G$14,$M115,BD$13)="",10^12,OFFSET(PLE!$G$14,$M115,BD$13))))</f>
        <v>1000000000000</v>
      </c>
      <c r="BE115" s="212">
        <f ca="1">IF($D115&lt;&gt;"Serviço",0,IF(OR(AND(AUTOEVENTO="Manual",$M115=1),$M115&gt;(ROW(PLE.lastrow)-ROW(PLE.firstrow))),0,IF(OFFSET(PLE!$G$14,$M115,BE$13)="",10^12,OFFSET(PLE!$G$14,$M115,BE$13))))</f>
        <v>1000000000000</v>
      </c>
      <c r="BF115" s="212">
        <f ca="1">IF($D115&lt;&gt;"Serviço",0,IF(OR(AND(AUTOEVENTO="Manual",$M115=1),$M115&gt;(ROW(PLE.lastrow)-ROW(PLE.firstrow))),0,IF(OFFSET(PLE!$G$14,$M115,BF$13)="",10^12,OFFSET(PLE!$G$14,$M115,BF$13))))</f>
        <v>1000000000000</v>
      </c>
      <c r="BG115" s="212">
        <f ca="1">IF($D115&lt;&gt;"Serviço",0,IF(OR(AND(AUTOEVENTO="Manual",$M115=1),$M115&gt;(ROW(PLE.lastrow)-ROW(PLE.firstrow))),0,IF(OFFSET(PLE!$G$14,$M115,BG$13)="",10^12,OFFSET(PLE!$G$14,$M115,BG$13))))</f>
        <v>1000000000000</v>
      </c>
    </row>
    <row r="116" spans="1:59" ht="13.2">
      <c r="A116" s="9" t="str">
        <f t="shared" ca="1" si="10"/>
        <v>15</v>
      </c>
      <c r="B116" s="9" t="str">
        <f ca="1">OFFSET(ORÇAMENTO!C$15,ROW(B116)-ROW(B$15),0)</f>
        <v>S</v>
      </c>
      <c r="C116" s="9" t="str">
        <f ca="1">OFFSET(ORÇAMENTO!L$15,ROW(C116)-ROW(C$15),0)</f>
        <v/>
      </c>
      <c r="D116" s="141" t="str">
        <f ca="1">OFFSET(ORÇAMENTO!N$15,ROW(D116)-ROW(D$15),0)</f>
        <v>Serviço</v>
      </c>
      <c r="E116" s="201" t="str">
        <f ca="1">OFFSET(ORÇAMENTO!O$15,ROW(E116)-ROW(E$15),0)</f>
        <v>-</v>
      </c>
      <c r="F116" s="202" t="str">
        <f ca="1">OFFSET(ORÇAMENTO!R$15,ROW(F116)-ROW(F$15),0)</f>
        <v>(abra o arquivo 'Referência 11-2024.xlsm)</v>
      </c>
      <c r="G116" s="203" t="str">
        <f ca="1">IF($D116&lt;&gt;"Serviço","",OFFSET(ORÇAMENTO!S$15,ROW(G116)-ROW(G$15),0))</f>
        <v>-</v>
      </c>
      <c r="H116" s="147">
        <f ca="1">IF($D116&lt;&gt;"Serviço",0,IF(ACOMPANHAMENTO="BM",ROUND(OFFSET(ORÇAMENTO!AJ$15,ROW(H116)-ROW(H$15),0),15-13*ORÇAMENTO!$AF$7),SUMPRODUCT(($Q$12:$AA$12&lt;&gt;"")*ROUND($Q116:$AA116,15-13*ORÇAMENTO!$AF$7))))</f>
        <v>0</v>
      </c>
      <c r="I116" s="645"/>
      <c r="K116" s="204"/>
      <c r="L116" s="205" t="s">
        <v>255</v>
      </c>
      <c r="M116" s="206">
        <f ca="1">IF($D116&lt;&gt;"Serviço","",IF(AUTOEVENTO="manual",$A116,IF(ISERROR(MATCH($A116,$A$15:OFFSET($A116,-1,0),0)),MAX($M$15:OFFSET(M116,-1,0))+1,INDEX($M$15:OFFSET(M116,-1,0),MATCH($A116,$A$15:OFFSET($A116,-1,0),0)))))</f>
        <v>6</v>
      </c>
      <c r="N116" s="207" t="str">
        <f ca="1">IF($D116&lt;&gt;"Serviço","",IF(AUTOEVENTO="Manual",IF($A116=0,"&lt;-- defina o número do agrupador",OFFSET(EVENTOS!$D$14,$A116,0)),OFFSET($F$15,$A116,0)))</f>
        <v>DRENAGEM</v>
      </c>
      <c r="O116" s="208"/>
      <c r="Q116" s="208"/>
      <c r="R116" s="209"/>
      <c r="S116" s="209"/>
      <c r="T116" s="209"/>
      <c r="U116" s="209"/>
      <c r="V116" s="209"/>
      <c r="W116" s="209"/>
      <c r="X116" s="209"/>
      <c r="Y116" s="209"/>
      <c r="Z116" s="210"/>
      <c r="AB116" s="626">
        <f ca="1">IF(AND($D116="Serviço",AB$12&lt;&gt;0,$H116&gt;0,OR(AUTOEVENTO&lt;&gt;"manual",$M116&lt;&gt;1)),
IF(Import.TipoArredondamento&lt;&gt;"TransfereGOV",
ROUND(OFFSET($P116,0,AB$13),15-13*ORÇAMENTO!$AF$7)/$H116*OFFSET(ORÇAMENTO!$X$15,ROW(AB116)-ROW(AB$15),0),
ROUND(ROUND(OFFSET($P116,0,AB$13),15-13*ORÇAMENTO!$AF$7)*OFFSET(ORÇAMENTO!$W$15,ROW(AB116)-ROW(AB$15),0),15-13*ORÇAMENTO!$AF$11)),0)</f>
        <v>0</v>
      </c>
      <c r="AC116" s="627">
        <f ca="1">IF(AND($D116="Serviço",AC$12&lt;&gt;0,$H116&gt;0,OR(AUTOEVENTO&lt;&gt;"manual",$M116&lt;&gt;1)),
IF(Import.TipoArredondamento&lt;&gt;"TransfereGOV",
ROUND(OFFSET($P116,0,AC$13),15-13*ORÇAMENTO!$AF$7)/$H116*OFFSET(ORÇAMENTO!$X$15,ROW(AC116)-ROW(AC$15),0),
ROUND(ROUND(OFFSET($P116,0,AC$13),15-13*ORÇAMENTO!$AF$7)*OFFSET(ORÇAMENTO!$W$15,ROW(AC116)-ROW(AC$15),0),15-13*ORÇAMENTO!$AF$11)),0)</f>
        <v>0</v>
      </c>
      <c r="AD116" s="627">
        <f ca="1">IF(AND($D116="Serviço",AD$12&lt;&gt;0,$H116&gt;0,OR(AUTOEVENTO&lt;&gt;"manual",$M116&lt;&gt;1)),
IF(Import.TipoArredondamento&lt;&gt;"TransfereGOV",
ROUND(OFFSET($P116,0,AD$13),15-13*ORÇAMENTO!$AF$7)/$H116*OFFSET(ORÇAMENTO!$X$15,ROW(AD116)-ROW(AD$15),0),
ROUND(ROUND(OFFSET($P116,0,AD$13),15-13*ORÇAMENTO!$AF$7)*OFFSET(ORÇAMENTO!$W$15,ROW(AD116)-ROW(AD$15),0),15-13*ORÇAMENTO!$AF$11)),0)</f>
        <v>0</v>
      </c>
      <c r="AE116" s="627">
        <f ca="1">IF(AND($D116="Serviço",AE$12&lt;&gt;0,$H116&gt;0,OR(AUTOEVENTO&lt;&gt;"manual",$M116&lt;&gt;1)),
IF(Import.TipoArredondamento&lt;&gt;"TransfereGOV",
ROUND(OFFSET($P116,0,AE$13),15-13*ORÇAMENTO!$AF$7)/$H116*OFFSET(ORÇAMENTO!$X$15,ROW(AE116)-ROW(AE$15),0),
ROUND(ROUND(OFFSET($P116,0,AE$13),15-13*ORÇAMENTO!$AF$7)*OFFSET(ORÇAMENTO!$W$15,ROW(AE116)-ROW(AE$15),0),15-13*ORÇAMENTO!$AF$11)),0)</f>
        <v>0</v>
      </c>
      <c r="AF116" s="627">
        <f ca="1">IF(AND($D116="Serviço",AF$12&lt;&gt;0,$H116&gt;0,OR(AUTOEVENTO&lt;&gt;"manual",$M116&lt;&gt;1)),
IF(Import.TipoArredondamento&lt;&gt;"TransfereGOV",
ROUND(OFFSET($P116,0,AF$13),15-13*ORÇAMENTO!$AF$7)/$H116*OFFSET(ORÇAMENTO!$X$15,ROW(AF116)-ROW(AF$15),0),
ROUND(ROUND(OFFSET($P116,0,AF$13),15-13*ORÇAMENTO!$AF$7)*OFFSET(ORÇAMENTO!$W$15,ROW(AF116)-ROW(AF$15),0),15-13*ORÇAMENTO!$AF$11)),0)</f>
        <v>0</v>
      </c>
      <c r="AG116" s="627">
        <f ca="1">IF(AND($D116="Serviço",AG$12&lt;&gt;0,$H116&gt;0,OR(AUTOEVENTO&lt;&gt;"manual",$M116&lt;&gt;1)),
IF(Import.TipoArredondamento&lt;&gt;"TransfereGOV",
ROUND(OFFSET($P116,0,AG$13),15-13*ORÇAMENTO!$AF$7)/$H116*OFFSET(ORÇAMENTO!$X$15,ROW(AG116)-ROW(AG$15),0),
ROUND(ROUND(OFFSET($P116,0,AG$13),15-13*ORÇAMENTO!$AF$7)*OFFSET(ORÇAMENTO!$W$15,ROW(AG116)-ROW(AG$15),0),15-13*ORÇAMENTO!$AF$11)),0)</f>
        <v>0</v>
      </c>
      <c r="AH116" s="627">
        <f ca="1">IF(AND($D116="Serviço",AH$12&lt;&gt;0,$H116&gt;0,OR(AUTOEVENTO&lt;&gt;"manual",$M116&lt;&gt;1)),
IF(Import.TipoArredondamento&lt;&gt;"TransfereGOV",
ROUND(OFFSET($P116,0,AH$13),15-13*ORÇAMENTO!$AF$7)/$H116*OFFSET(ORÇAMENTO!$X$15,ROW(AH116)-ROW(AH$15),0),
ROUND(ROUND(OFFSET($P116,0,AH$13),15-13*ORÇAMENTO!$AF$7)*OFFSET(ORÇAMENTO!$W$15,ROW(AH116)-ROW(AH$15),0),15-13*ORÇAMENTO!$AF$11)),0)</f>
        <v>0</v>
      </c>
      <c r="AI116" s="627">
        <f ca="1">IF(AND($D116="Serviço",AI$12&lt;&gt;0,$H116&gt;0,OR(AUTOEVENTO&lt;&gt;"manual",$M116&lt;&gt;1)),
IF(Import.TipoArredondamento&lt;&gt;"TransfereGOV",
ROUND(OFFSET($P116,0,AI$13),15-13*ORÇAMENTO!$AF$7)/$H116*OFFSET(ORÇAMENTO!$X$15,ROW(AI116)-ROW(AI$15),0),
ROUND(ROUND(OFFSET($P116,0,AI$13),15-13*ORÇAMENTO!$AF$7)*OFFSET(ORÇAMENTO!$W$15,ROW(AI116)-ROW(AI$15),0),15-13*ORÇAMENTO!$AF$11)),0)</f>
        <v>0</v>
      </c>
      <c r="AJ116" s="627">
        <f ca="1">IF(AND($D116="Serviço",AJ$12&lt;&gt;0,$H116&gt;0,OR(AUTOEVENTO&lt;&gt;"manual",$M116&lt;&gt;1)),
IF(Import.TipoArredondamento&lt;&gt;"TransfereGOV",
ROUND(OFFSET($P116,0,AJ$13),15-13*ORÇAMENTO!$AF$7)/$H116*OFFSET(ORÇAMENTO!$X$15,ROW(AJ116)-ROW(AJ$15),0),
ROUND(ROUND(OFFSET($P116,0,AJ$13),15-13*ORÇAMENTO!$AF$7)*OFFSET(ORÇAMENTO!$W$15,ROW(AJ116)-ROW(AJ$15),0),15-13*ORÇAMENTO!$AF$11)),0)</f>
        <v>0</v>
      </c>
      <c r="AK116" s="628">
        <f ca="1">IF(AND($D116="Serviço",AK$12&lt;&gt;0,$H116&gt;0,OR(AUTOEVENTO&lt;&gt;"manual",$M116&lt;&gt;1)),
IF(Import.TipoArredondamento&lt;&gt;"TransfereGOV",
ROUND(OFFSET($P116,0,AK$13),15-13*ORÇAMENTO!$AF$7)/$H116*OFFSET(ORÇAMENTO!$X$15,ROW(AK116)-ROW(AK$15),0),
ROUND(ROUND(OFFSET($P116,0,AK$13),15-13*ORÇAMENTO!$AF$7)*OFFSET(ORÇAMENTO!$W$15,ROW(AK116)-ROW(AK$15),0),15-13*ORÇAMENTO!$AF$11)),0)</f>
        <v>0</v>
      </c>
      <c r="AM116" s="211">
        <f ca="1">IF($D116&lt;&gt;"Serviço",0,IF(AND(AUTOEVENTO="Manual",$M116=1),0,IF(OFFSET(CRONOPLE!$F$14,$M116,AM$13)="",10^12,OFFSET(CRONOPLE!$F$14,$M116,AM$13))))</f>
        <v>2</v>
      </c>
      <c r="AN116" s="211">
        <f ca="1">IF($D116&lt;&gt;"Serviço",0,IF(AND(AUTOEVENTO="Manual",$M116=1),0,IF(OFFSET(CRONOPLE!$F$14,$M116,AN$13)="",10^12,OFFSET(CRONOPLE!$F$14,$M116,AN$13))))</f>
        <v>1</v>
      </c>
      <c r="AO116" s="211">
        <f ca="1">IF($D116&lt;&gt;"Serviço",0,IF(AND(AUTOEVENTO="Manual",$M116=1),0,IF(OFFSET(CRONOPLE!$F$14,$M116,AO$13)="",10^12,OFFSET(CRONOPLE!$F$14,$M116,AO$13))))</f>
        <v>2</v>
      </c>
      <c r="AP116" s="211">
        <f ca="1">IF($D116&lt;&gt;"Serviço",0,IF(AND(AUTOEVENTO="Manual",$M116=1),0,IF(OFFSET(CRONOPLE!$F$14,$M116,AP$13)="",10^12,OFFSET(CRONOPLE!$F$14,$M116,AP$13))))</f>
        <v>2</v>
      </c>
      <c r="AQ116" s="211">
        <f ca="1">IF($D116&lt;&gt;"Serviço",0,IF(AND(AUTOEVENTO="Manual",$M116=1),0,IF(OFFSET(CRONOPLE!$F$14,$M116,AQ$13)="",10^12,OFFSET(CRONOPLE!$F$14,$M116,AQ$13))))</f>
        <v>1000000000000</v>
      </c>
      <c r="AR116" s="211">
        <f ca="1">IF($D116&lt;&gt;"Serviço",0,IF(AND(AUTOEVENTO="Manual",$M116=1),0,IF(OFFSET(CRONOPLE!$F$14,$M116,AR$13)="",10^12,OFFSET(CRONOPLE!$F$14,$M116,AR$13))))</f>
        <v>1000000000000</v>
      </c>
      <c r="AS116" s="211">
        <f ca="1">IF($D116&lt;&gt;"Serviço",0,IF(AND(AUTOEVENTO="Manual",$M116=1),0,IF(OFFSET(CRONOPLE!$F$14,$M116,AS$13)="",10^12,OFFSET(CRONOPLE!$F$14,$M116,AS$13))))</f>
        <v>1000000000000</v>
      </c>
      <c r="AT116" s="211">
        <f ca="1">IF($D116&lt;&gt;"Serviço",0,IF(AND(AUTOEVENTO="Manual",$M116=1),0,IF(OFFSET(CRONOPLE!$F$14,$M116,AT$13)="",10^12,OFFSET(CRONOPLE!$F$14,$M116,AT$13))))</f>
        <v>1000000000000</v>
      </c>
      <c r="AU116" s="211">
        <f ca="1">IF($D116&lt;&gt;"Serviço",0,IF(AND(AUTOEVENTO="Manual",$M116=1),0,IF(OFFSET(CRONOPLE!$F$14,$M116,AU$13)="",10^12,OFFSET(CRONOPLE!$F$14,$M116,AU$13))))</f>
        <v>1000000000000</v>
      </c>
      <c r="AV116" s="211">
        <f ca="1">IF($D116&lt;&gt;"Serviço",0,IF(AND(AUTOEVENTO="Manual",$M116=1),0,IF(OFFSET(CRONOPLE!$F$14,$M116,AV$13)="",10^12,OFFSET(CRONOPLE!$F$14,$M116,AV$13))))</f>
        <v>1000000000000</v>
      </c>
      <c r="AX116" s="212">
        <f ca="1">IF($D116&lt;&gt;"Serviço",0,IF(OR(AND(AUTOEVENTO="Manual",$M116=1),$M116&gt;(ROW(PLE.lastrow)-ROW(PLE.firstrow))),0,IF(OFFSET(PLE!$G$14,$M116,AX$13)="",10^12,OFFSET(PLE!$G$14,$M116,AX$13))))</f>
        <v>1000000000000</v>
      </c>
      <c r="AY116" s="212">
        <f ca="1">IF($D116&lt;&gt;"Serviço",0,IF(OR(AND(AUTOEVENTO="Manual",$M116=1),$M116&gt;(ROW(PLE.lastrow)-ROW(PLE.firstrow))),0,IF(OFFSET(PLE!$G$14,$M116,AY$13)="",10^12,OFFSET(PLE!$G$14,$M116,AY$13))))</f>
        <v>1000000000000</v>
      </c>
      <c r="AZ116" s="212">
        <f ca="1">IF($D116&lt;&gt;"Serviço",0,IF(OR(AND(AUTOEVENTO="Manual",$M116=1),$M116&gt;(ROW(PLE.lastrow)-ROW(PLE.firstrow))),0,IF(OFFSET(PLE!$G$14,$M116,AZ$13)="",10^12,OFFSET(PLE!$G$14,$M116,AZ$13))))</f>
        <v>1000000000000</v>
      </c>
      <c r="BA116" s="212">
        <f ca="1">IF($D116&lt;&gt;"Serviço",0,IF(OR(AND(AUTOEVENTO="Manual",$M116=1),$M116&gt;(ROW(PLE.lastrow)-ROW(PLE.firstrow))),0,IF(OFFSET(PLE!$G$14,$M116,BA$13)="",10^12,OFFSET(PLE!$G$14,$M116,BA$13))))</f>
        <v>1000000000000</v>
      </c>
      <c r="BB116" s="212">
        <f ca="1">IF($D116&lt;&gt;"Serviço",0,IF(OR(AND(AUTOEVENTO="Manual",$M116=1),$M116&gt;(ROW(PLE.lastrow)-ROW(PLE.firstrow))),0,IF(OFFSET(PLE!$G$14,$M116,BB$13)="",10^12,OFFSET(PLE!$G$14,$M116,BB$13))))</f>
        <v>1000000000000</v>
      </c>
      <c r="BC116" s="212">
        <f ca="1">IF($D116&lt;&gt;"Serviço",0,IF(OR(AND(AUTOEVENTO="Manual",$M116=1),$M116&gt;(ROW(PLE.lastrow)-ROW(PLE.firstrow))),0,IF(OFFSET(PLE!$G$14,$M116,BC$13)="",10^12,OFFSET(PLE!$G$14,$M116,BC$13))))</f>
        <v>1000000000000</v>
      </c>
      <c r="BD116" s="212">
        <f ca="1">IF($D116&lt;&gt;"Serviço",0,IF(OR(AND(AUTOEVENTO="Manual",$M116=1),$M116&gt;(ROW(PLE.lastrow)-ROW(PLE.firstrow))),0,IF(OFFSET(PLE!$G$14,$M116,BD$13)="",10^12,OFFSET(PLE!$G$14,$M116,BD$13))))</f>
        <v>1000000000000</v>
      </c>
      <c r="BE116" s="212">
        <f ca="1">IF($D116&lt;&gt;"Serviço",0,IF(OR(AND(AUTOEVENTO="Manual",$M116=1),$M116&gt;(ROW(PLE.lastrow)-ROW(PLE.firstrow))),0,IF(OFFSET(PLE!$G$14,$M116,BE$13)="",10^12,OFFSET(PLE!$G$14,$M116,BE$13))))</f>
        <v>1000000000000</v>
      </c>
      <c r="BF116" s="212">
        <f ca="1">IF($D116&lt;&gt;"Serviço",0,IF(OR(AND(AUTOEVENTO="Manual",$M116=1),$M116&gt;(ROW(PLE.lastrow)-ROW(PLE.firstrow))),0,IF(OFFSET(PLE!$G$14,$M116,BF$13)="",10^12,OFFSET(PLE!$G$14,$M116,BF$13))))</f>
        <v>1000000000000</v>
      </c>
      <c r="BG116" s="212">
        <f ca="1">IF($D116&lt;&gt;"Serviço",0,IF(OR(AND(AUTOEVENTO="Manual",$M116=1),$M116&gt;(ROW(PLE.lastrow)-ROW(PLE.firstrow))),0,IF(OFFSET(PLE!$G$14,$M116,BG$13)="",10^12,OFFSET(PLE!$G$14,$M116,BG$13))))</f>
        <v>1000000000000</v>
      </c>
    </row>
    <row r="117" spans="1:59" ht="13.2">
      <c r="A117" s="9" t="str">
        <f t="shared" ca="1" si="10"/>
        <v>15</v>
      </c>
      <c r="B117" s="9" t="str">
        <f ca="1">OFFSET(ORÇAMENTO!C$15,ROW(B117)-ROW(B$15),0)</f>
        <v>S</v>
      </c>
      <c r="C117" s="9" t="str">
        <f ca="1">OFFSET(ORÇAMENTO!L$15,ROW(C117)-ROW(C$15),0)</f>
        <v/>
      </c>
      <c r="D117" s="141" t="str">
        <f ca="1">OFFSET(ORÇAMENTO!N$15,ROW(D117)-ROW(D$15),0)</f>
        <v>Serviço</v>
      </c>
      <c r="E117" s="201" t="str">
        <f ca="1">OFFSET(ORÇAMENTO!O$15,ROW(E117)-ROW(E$15),0)</f>
        <v>-</v>
      </c>
      <c r="F117" s="202" t="str">
        <f ca="1">OFFSET(ORÇAMENTO!R$15,ROW(F117)-ROW(F$15),0)</f>
        <v>(abra o arquivo 'Referência 11-2024.xlsm)</v>
      </c>
      <c r="G117" s="203" t="str">
        <f ca="1">IF($D117&lt;&gt;"Serviço","",OFFSET(ORÇAMENTO!S$15,ROW(G117)-ROW(G$15),0))</f>
        <v>-</v>
      </c>
      <c r="H117" s="147">
        <f ca="1">IF($D117&lt;&gt;"Serviço",0,IF(ACOMPANHAMENTO="BM",ROUND(OFFSET(ORÇAMENTO!AJ$15,ROW(H117)-ROW(H$15),0),15-13*ORÇAMENTO!$AF$7),SUMPRODUCT(($Q$12:$AA$12&lt;&gt;"")*ROUND($Q117:$AA117,15-13*ORÇAMENTO!$AF$7))))</f>
        <v>0</v>
      </c>
      <c r="I117" s="645"/>
      <c r="K117" s="204"/>
      <c r="L117" s="205" t="s">
        <v>255</v>
      </c>
      <c r="M117" s="206">
        <f ca="1">IF($D117&lt;&gt;"Serviço","",IF(AUTOEVENTO="manual",$A117,IF(ISERROR(MATCH($A117,$A$15:OFFSET($A117,-1,0),0)),MAX($M$15:OFFSET(M117,-1,0))+1,INDEX($M$15:OFFSET(M117,-1,0),MATCH($A117,$A$15:OFFSET($A117,-1,0),0)))))</f>
        <v>6</v>
      </c>
      <c r="N117" s="207" t="str">
        <f ca="1">IF($D117&lt;&gt;"Serviço","",IF(AUTOEVENTO="Manual",IF($A117=0,"&lt;-- defina o número do agrupador",OFFSET(EVENTOS!$D$14,$A117,0)),OFFSET($F$15,$A117,0)))</f>
        <v>DRENAGEM</v>
      </c>
      <c r="O117" s="208"/>
      <c r="Q117" s="208"/>
      <c r="R117" s="209"/>
      <c r="S117" s="209"/>
      <c r="T117" s="209"/>
      <c r="U117" s="209"/>
      <c r="V117" s="209"/>
      <c r="W117" s="209"/>
      <c r="X117" s="209"/>
      <c r="Y117" s="209"/>
      <c r="Z117" s="210"/>
      <c r="AB117" s="626">
        <f ca="1">IF(AND($D117="Serviço",AB$12&lt;&gt;0,$H117&gt;0,OR(AUTOEVENTO&lt;&gt;"manual",$M117&lt;&gt;1)),
IF(Import.TipoArredondamento&lt;&gt;"TransfereGOV",
ROUND(OFFSET($P117,0,AB$13),15-13*ORÇAMENTO!$AF$7)/$H117*OFFSET(ORÇAMENTO!$X$15,ROW(AB117)-ROW(AB$15),0),
ROUND(ROUND(OFFSET($P117,0,AB$13),15-13*ORÇAMENTO!$AF$7)*OFFSET(ORÇAMENTO!$W$15,ROW(AB117)-ROW(AB$15),0),15-13*ORÇAMENTO!$AF$11)),0)</f>
        <v>0</v>
      </c>
      <c r="AC117" s="627">
        <f ca="1">IF(AND($D117="Serviço",AC$12&lt;&gt;0,$H117&gt;0,OR(AUTOEVENTO&lt;&gt;"manual",$M117&lt;&gt;1)),
IF(Import.TipoArredondamento&lt;&gt;"TransfereGOV",
ROUND(OFFSET($P117,0,AC$13),15-13*ORÇAMENTO!$AF$7)/$H117*OFFSET(ORÇAMENTO!$X$15,ROW(AC117)-ROW(AC$15),0),
ROUND(ROUND(OFFSET($P117,0,AC$13),15-13*ORÇAMENTO!$AF$7)*OFFSET(ORÇAMENTO!$W$15,ROW(AC117)-ROW(AC$15),0),15-13*ORÇAMENTO!$AF$11)),0)</f>
        <v>0</v>
      </c>
      <c r="AD117" s="627">
        <f ca="1">IF(AND($D117="Serviço",AD$12&lt;&gt;0,$H117&gt;0,OR(AUTOEVENTO&lt;&gt;"manual",$M117&lt;&gt;1)),
IF(Import.TipoArredondamento&lt;&gt;"TransfereGOV",
ROUND(OFFSET($P117,0,AD$13),15-13*ORÇAMENTO!$AF$7)/$H117*OFFSET(ORÇAMENTO!$X$15,ROW(AD117)-ROW(AD$15),0),
ROUND(ROUND(OFFSET($P117,0,AD$13),15-13*ORÇAMENTO!$AF$7)*OFFSET(ORÇAMENTO!$W$15,ROW(AD117)-ROW(AD$15),0),15-13*ORÇAMENTO!$AF$11)),0)</f>
        <v>0</v>
      </c>
      <c r="AE117" s="627">
        <f ca="1">IF(AND($D117="Serviço",AE$12&lt;&gt;0,$H117&gt;0,OR(AUTOEVENTO&lt;&gt;"manual",$M117&lt;&gt;1)),
IF(Import.TipoArredondamento&lt;&gt;"TransfereGOV",
ROUND(OFFSET($P117,0,AE$13),15-13*ORÇAMENTO!$AF$7)/$H117*OFFSET(ORÇAMENTO!$X$15,ROW(AE117)-ROW(AE$15),0),
ROUND(ROUND(OFFSET($P117,0,AE$13),15-13*ORÇAMENTO!$AF$7)*OFFSET(ORÇAMENTO!$W$15,ROW(AE117)-ROW(AE$15),0),15-13*ORÇAMENTO!$AF$11)),0)</f>
        <v>0</v>
      </c>
      <c r="AF117" s="627">
        <f ca="1">IF(AND($D117="Serviço",AF$12&lt;&gt;0,$H117&gt;0,OR(AUTOEVENTO&lt;&gt;"manual",$M117&lt;&gt;1)),
IF(Import.TipoArredondamento&lt;&gt;"TransfereGOV",
ROUND(OFFSET($P117,0,AF$13),15-13*ORÇAMENTO!$AF$7)/$H117*OFFSET(ORÇAMENTO!$X$15,ROW(AF117)-ROW(AF$15),0),
ROUND(ROUND(OFFSET($P117,0,AF$13),15-13*ORÇAMENTO!$AF$7)*OFFSET(ORÇAMENTO!$W$15,ROW(AF117)-ROW(AF$15),0),15-13*ORÇAMENTO!$AF$11)),0)</f>
        <v>0</v>
      </c>
      <c r="AG117" s="627">
        <f ca="1">IF(AND($D117="Serviço",AG$12&lt;&gt;0,$H117&gt;0,OR(AUTOEVENTO&lt;&gt;"manual",$M117&lt;&gt;1)),
IF(Import.TipoArredondamento&lt;&gt;"TransfereGOV",
ROUND(OFFSET($P117,0,AG$13),15-13*ORÇAMENTO!$AF$7)/$H117*OFFSET(ORÇAMENTO!$X$15,ROW(AG117)-ROW(AG$15),0),
ROUND(ROUND(OFFSET($P117,0,AG$13),15-13*ORÇAMENTO!$AF$7)*OFFSET(ORÇAMENTO!$W$15,ROW(AG117)-ROW(AG$15),0),15-13*ORÇAMENTO!$AF$11)),0)</f>
        <v>0</v>
      </c>
      <c r="AH117" s="627">
        <f ca="1">IF(AND($D117="Serviço",AH$12&lt;&gt;0,$H117&gt;0,OR(AUTOEVENTO&lt;&gt;"manual",$M117&lt;&gt;1)),
IF(Import.TipoArredondamento&lt;&gt;"TransfereGOV",
ROUND(OFFSET($P117,0,AH$13),15-13*ORÇAMENTO!$AF$7)/$H117*OFFSET(ORÇAMENTO!$X$15,ROW(AH117)-ROW(AH$15),0),
ROUND(ROUND(OFFSET($P117,0,AH$13),15-13*ORÇAMENTO!$AF$7)*OFFSET(ORÇAMENTO!$W$15,ROW(AH117)-ROW(AH$15),0),15-13*ORÇAMENTO!$AF$11)),0)</f>
        <v>0</v>
      </c>
      <c r="AI117" s="627">
        <f ca="1">IF(AND($D117="Serviço",AI$12&lt;&gt;0,$H117&gt;0,OR(AUTOEVENTO&lt;&gt;"manual",$M117&lt;&gt;1)),
IF(Import.TipoArredondamento&lt;&gt;"TransfereGOV",
ROUND(OFFSET($P117,0,AI$13),15-13*ORÇAMENTO!$AF$7)/$H117*OFFSET(ORÇAMENTO!$X$15,ROW(AI117)-ROW(AI$15),0),
ROUND(ROUND(OFFSET($P117,0,AI$13),15-13*ORÇAMENTO!$AF$7)*OFFSET(ORÇAMENTO!$W$15,ROW(AI117)-ROW(AI$15),0),15-13*ORÇAMENTO!$AF$11)),0)</f>
        <v>0</v>
      </c>
      <c r="AJ117" s="627">
        <f ca="1">IF(AND($D117="Serviço",AJ$12&lt;&gt;0,$H117&gt;0,OR(AUTOEVENTO&lt;&gt;"manual",$M117&lt;&gt;1)),
IF(Import.TipoArredondamento&lt;&gt;"TransfereGOV",
ROUND(OFFSET($P117,0,AJ$13),15-13*ORÇAMENTO!$AF$7)/$H117*OFFSET(ORÇAMENTO!$X$15,ROW(AJ117)-ROW(AJ$15),0),
ROUND(ROUND(OFFSET($P117,0,AJ$13),15-13*ORÇAMENTO!$AF$7)*OFFSET(ORÇAMENTO!$W$15,ROW(AJ117)-ROW(AJ$15),0),15-13*ORÇAMENTO!$AF$11)),0)</f>
        <v>0</v>
      </c>
      <c r="AK117" s="628">
        <f ca="1">IF(AND($D117="Serviço",AK$12&lt;&gt;0,$H117&gt;0,OR(AUTOEVENTO&lt;&gt;"manual",$M117&lt;&gt;1)),
IF(Import.TipoArredondamento&lt;&gt;"TransfereGOV",
ROUND(OFFSET($P117,0,AK$13),15-13*ORÇAMENTO!$AF$7)/$H117*OFFSET(ORÇAMENTO!$X$15,ROW(AK117)-ROW(AK$15),0),
ROUND(ROUND(OFFSET($P117,0,AK$13),15-13*ORÇAMENTO!$AF$7)*OFFSET(ORÇAMENTO!$W$15,ROW(AK117)-ROW(AK$15),0),15-13*ORÇAMENTO!$AF$11)),0)</f>
        <v>0</v>
      </c>
      <c r="AM117" s="211">
        <f ca="1">IF($D117&lt;&gt;"Serviço",0,IF(AND(AUTOEVENTO="Manual",$M117=1),0,IF(OFFSET(CRONOPLE!$F$14,$M117,AM$13)="",10^12,OFFSET(CRONOPLE!$F$14,$M117,AM$13))))</f>
        <v>2</v>
      </c>
      <c r="AN117" s="211">
        <f ca="1">IF($D117&lt;&gt;"Serviço",0,IF(AND(AUTOEVENTO="Manual",$M117=1),0,IF(OFFSET(CRONOPLE!$F$14,$M117,AN$13)="",10^12,OFFSET(CRONOPLE!$F$14,$M117,AN$13))))</f>
        <v>1</v>
      </c>
      <c r="AO117" s="211">
        <f ca="1">IF($D117&lt;&gt;"Serviço",0,IF(AND(AUTOEVENTO="Manual",$M117=1),0,IF(OFFSET(CRONOPLE!$F$14,$M117,AO$13)="",10^12,OFFSET(CRONOPLE!$F$14,$M117,AO$13))))</f>
        <v>2</v>
      </c>
      <c r="AP117" s="211">
        <f ca="1">IF($D117&lt;&gt;"Serviço",0,IF(AND(AUTOEVENTO="Manual",$M117=1),0,IF(OFFSET(CRONOPLE!$F$14,$M117,AP$13)="",10^12,OFFSET(CRONOPLE!$F$14,$M117,AP$13))))</f>
        <v>2</v>
      </c>
      <c r="AQ117" s="211">
        <f ca="1">IF($D117&lt;&gt;"Serviço",0,IF(AND(AUTOEVENTO="Manual",$M117=1),0,IF(OFFSET(CRONOPLE!$F$14,$M117,AQ$13)="",10^12,OFFSET(CRONOPLE!$F$14,$M117,AQ$13))))</f>
        <v>1000000000000</v>
      </c>
      <c r="AR117" s="211">
        <f ca="1">IF($D117&lt;&gt;"Serviço",0,IF(AND(AUTOEVENTO="Manual",$M117=1),0,IF(OFFSET(CRONOPLE!$F$14,$M117,AR$13)="",10^12,OFFSET(CRONOPLE!$F$14,$M117,AR$13))))</f>
        <v>1000000000000</v>
      </c>
      <c r="AS117" s="211">
        <f ca="1">IF($D117&lt;&gt;"Serviço",0,IF(AND(AUTOEVENTO="Manual",$M117=1),0,IF(OFFSET(CRONOPLE!$F$14,$M117,AS$13)="",10^12,OFFSET(CRONOPLE!$F$14,$M117,AS$13))))</f>
        <v>1000000000000</v>
      </c>
      <c r="AT117" s="211">
        <f ca="1">IF($D117&lt;&gt;"Serviço",0,IF(AND(AUTOEVENTO="Manual",$M117=1),0,IF(OFFSET(CRONOPLE!$F$14,$M117,AT$13)="",10^12,OFFSET(CRONOPLE!$F$14,$M117,AT$13))))</f>
        <v>1000000000000</v>
      </c>
      <c r="AU117" s="211">
        <f ca="1">IF($D117&lt;&gt;"Serviço",0,IF(AND(AUTOEVENTO="Manual",$M117=1),0,IF(OFFSET(CRONOPLE!$F$14,$M117,AU$13)="",10^12,OFFSET(CRONOPLE!$F$14,$M117,AU$13))))</f>
        <v>1000000000000</v>
      </c>
      <c r="AV117" s="211">
        <f ca="1">IF($D117&lt;&gt;"Serviço",0,IF(AND(AUTOEVENTO="Manual",$M117=1),0,IF(OFFSET(CRONOPLE!$F$14,$M117,AV$13)="",10^12,OFFSET(CRONOPLE!$F$14,$M117,AV$13))))</f>
        <v>1000000000000</v>
      </c>
      <c r="AX117" s="212">
        <f ca="1">IF($D117&lt;&gt;"Serviço",0,IF(OR(AND(AUTOEVENTO="Manual",$M117=1),$M117&gt;(ROW(PLE.lastrow)-ROW(PLE.firstrow))),0,IF(OFFSET(PLE!$G$14,$M117,AX$13)="",10^12,OFFSET(PLE!$G$14,$M117,AX$13))))</f>
        <v>1000000000000</v>
      </c>
      <c r="AY117" s="212">
        <f ca="1">IF($D117&lt;&gt;"Serviço",0,IF(OR(AND(AUTOEVENTO="Manual",$M117=1),$M117&gt;(ROW(PLE.lastrow)-ROW(PLE.firstrow))),0,IF(OFFSET(PLE!$G$14,$M117,AY$13)="",10^12,OFFSET(PLE!$G$14,$M117,AY$13))))</f>
        <v>1000000000000</v>
      </c>
      <c r="AZ117" s="212">
        <f ca="1">IF($D117&lt;&gt;"Serviço",0,IF(OR(AND(AUTOEVENTO="Manual",$M117=1),$M117&gt;(ROW(PLE.lastrow)-ROW(PLE.firstrow))),0,IF(OFFSET(PLE!$G$14,$M117,AZ$13)="",10^12,OFFSET(PLE!$G$14,$M117,AZ$13))))</f>
        <v>1000000000000</v>
      </c>
      <c r="BA117" s="212">
        <f ca="1">IF($D117&lt;&gt;"Serviço",0,IF(OR(AND(AUTOEVENTO="Manual",$M117=1),$M117&gt;(ROW(PLE.lastrow)-ROW(PLE.firstrow))),0,IF(OFFSET(PLE!$G$14,$M117,BA$13)="",10^12,OFFSET(PLE!$G$14,$M117,BA$13))))</f>
        <v>1000000000000</v>
      </c>
      <c r="BB117" s="212">
        <f ca="1">IF($D117&lt;&gt;"Serviço",0,IF(OR(AND(AUTOEVENTO="Manual",$M117=1),$M117&gt;(ROW(PLE.lastrow)-ROW(PLE.firstrow))),0,IF(OFFSET(PLE!$G$14,$M117,BB$13)="",10^12,OFFSET(PLE!$G$14,$M117,BB$13))))</f>
        <v>1000000000000</v>
      </c>
      <c r="BC117" s="212">
        <f ca="1">IF($D117&lt;&gt;"Serviço",0,IF(OR(AND(AUTOEVENTO="Manual",$M117=1),$M117&gt;(ROW(PLE.lastrow)-ROW(PLE.firstrow))),0,IF(OFFSET(PLE!$G$14,$M117,BC$13)="",10^12,OFFSET(PLE!$G$14,$M117,BC$13))))</f>
        <v>1000000000000</v>
      </c>
      <c r="BD117" s="212">
        <f ca="1">IF($D117&lt;&gt;"Serviço",0,IF(OR(AND(AUTOEVENTO="Manual",$M117=1),$M117&gt;(ROW(PLE.lastrow)-ROW(PLE.firstrow))),0,IF(OFFSET(PLE!$G$14,$M117,BD$13)="",10^12,OFFSET(PLE!$G$14,$M117,BD$13))))</f>
        <v>1000000000000</v>
      </c>
      <c r="BE117" s="212">
        <f ca="1">IF($D117&lt;&gt;"Serviço",0,IF(OR(AND(AUTOEVENTO="Manual",$M117=1),$M117&gt;(ROW(PLE.lastrow)-ROW(PLE.firstrow))),0,IF(OFFSET(PLE!$G$14,$M117,BE$13)="",10^12,OFFSET(PLE!$G$14,$M117,BE$13))))</f>
        <v>1000000000000</v>
      </c>
      <c r="BF117" s="212">
        <f ca="1">IF($D117&lt;&gt;"Serviço",0,IF(OR(AND(AUTOEVENTO="Manual",$M117=1),$M117&gt;(ROW(PLE.lastrow)-ROW(PLE.firstrow))),0,IF(OFFSET(PLE!$G$14,$M117,BF$13)="",10^12,OFFSET(PLE!$G$14,$M117,BF$13))))</f>
        <v>1000000000000</v>
      </c>
      <c r="BG117" s="212">
        <f ca="1">IF($D117&lt;&gt;"Serviço",0,IF(OR(AND(AUTOEVENTO="Manual",$M117=1),$M117&gt;(ROW(PLE.lastrow)-ROW(PLE.firstrow))),0,IF(OFFSET(PLE!$G$14,$M117,BG$13)="",10^12,OFFSET(PLE!$G$14,$M117,BG$13))))</f>
        <v>1000000000000</v>
      </c>
    </row>
    <row r="118" spans="1:59" ht="13.2">
      <c r="A118" s="9" t="str">
        <f t="shared" ca="1" si="10"/>
        <v>15</v>
      </c>
      <c r="B118" s="9" t="str">
        <f ca="1">OFFSET(ORÇAMENTO!C$15,ROW(B118)-ROW(B$15),0)</f>
        <v>S</v>
      </c>
      <c r="C118" s="9" t="str">
        <f ca="1">OFFSET(ORÇAMENTO!L$15,ROW(C118)-ROW(C$15),0)</f>
        <v/>
      </c>
      <c r="D118" s="141" t="str">
        <f ca="1">OFFSET(ORÇAMENTO!N$15,ROW(D118)-ROW(D$15),0)</f>
        <v>Serviço</v>
      </c>
      <c r="E118" s="201" t="str">
        <f ca="1">OFFSET(ORÇAMENTO!O$15,ROW(E118)-ROW(E$15),0)</f>
        <v>-</v>
      </c>
      <c r="F118" s="202" t="str">
        <f ca="1">OFFSET(ORÇAMENTO!R$15,ROW(F118)-ROW(F$15),0)</f>
        <v>(abra o arquivo 'Referência 11-2024.xlsm)</v>
      </c>
      <c r="G118" s="203" t="str">
        <f ca="1">IF($D118&lt;&gt;"Serviço","",OFFSET(ORÇAMENTO!S$15,ROW(G118)-ROW(G$15),0))</f>
        <v>-</v>
      </c>
      <c r="H118" s="147">
        <f ca="1">IF($D118&lt;&gt;"Serviço",0,IF(ACOMPANHAMENTO="BM",ROUND(OFFSET(ORÇAMENTO!AJ$15,ROW(H118)-ROW(H$15),0),15-13*ORÇAMENTO!$AF$7),SUMPRODUCT(($Q$12:$AA$12&lt;&gt;"")*ROUND($Q118:$AA118,15-13*ORÇAMENTO!$AF$7))))</f>
        <v>0</v>
      </c>
      <c r="I118" s="645"/>
      <c r="K118" s="204"/>
      <c r="L118" s="205" t="s">
        <v>255</v>
      </c>
      <c r="M118" s="206">
        <f ca="1">IF($D118&lt;&gt;"Serviço","",IF(AUTOEVENTO="manual",$A118,IF(ISERROR(MATCH($A118,$A$15:OFFSET($A118,-1,0),0)),MAX($M$15:OFFSET(M118,-1,0))+1,INDEX($M$15:OFFSET(M118,-1,0),MATCH($A118,$A$15:OFFSET($A118,-1,0),0)))))</f>
        <v>6</v>
      </c>
      <c r="N118" s="207" t="str">
        <f ca="1">IF($D118&lt;&gt;"Serviço","",IF(AUTOEVENTO="Manual",IF($A118=0,"&lt;-- defina o número do agrupador",OFFSET(EVENTOS!$D$14,$A118,0)),OFFSET($F$15,$A118,0)))</f>
        <v>DRENAGEM</v>
      </c>
      <c r="O118" s="208"/>
      <c r="Q118" s="208"/>
      <c r="R118" s="209"/>
      <c r="S118" s="209"/>
      <c r="T118" s="209"/>
      <c r="U118" s="209"/>
      <c r="V118" s="209"/>
      <c r="W118" s="209"/>
      <c r="X118" s="209"/>
      <c r="Y118" s="209"/>
      <c r="Z118" s="210"/>
      <c r="AB118" s="626">
        <f ca="1">IF(AND($D118="Serviço",AB$12&lt;&gt;0,$H118&gt;0,OR(AUTOEVENTO&lt;&gt;"manual",$M118&lt;&gt;1)),
IF(Import.TipoArredondamento&lt;&gt;"TransfereGOV",
ROUND(OFFSET($P118,0,AB$13),15-13*ORÇAMENTO!$AF$7)/$H118*OFFSET(ORÇAMENTO!$X$15,ROW(AB118)-ROW(AB$15),0),
ROUND(ROUND(OFFSET($P118,0,AB$13),15-13*ORÇAMENTO!$AF$7)*OFFSET(ORÇAMENTO!$W$15,ROW(AB118)-ROW(AB$15),0),15-13*ORÇAMENTO!$AF$11)),0)</f>
        <v>0</v>
      </c>
      <c r="AC118" s="627">
        <f ca="1">IF(AND($D118="Serviço",AC$12&lt;&gt;0,$H118&gt;0,OR(AUTOEVENTO&lt;&gt;"manual",$M118&lt;&gt;1)),
IF(Import.TipoArredondamento&lt;&gt;"TransfereGOV",
ROUND(OFFSET($P118,0,AC$13),15-13*ORÇAMENTO!$AF$7)/$H118*OFFSET(ORÇAMENTO!$X$15,ROW(AC118)-ROW(AC$15),0),
ROUND(ROUND(OFFSET($P118,0,AC$13),15-13*ORÇAMENTO!$AF$7)*OFFSET(ORÇAMENTO!$W$15,ROW(AC118)-ROW(AC$15),0),15-13*ORÇAMENTO!$AF$11)),0)</f>
        <v>0</v>
      </c>
      <c r="AD118" s="627">
        <f ca="1">IF(AND($D118="Serviço",AD$12&lt;&gt;0,$H118&gt;0,OR(AUTOEVENTO&lt;&gt;"manual",$M118&lt;&gt;1)),
IF(Import.TipoArredondamento&lt;&gt;"TransfereGOV",
ROUND(OFFSET($P118,0,AD$13),15-13*ORÇAMENTO!$AF$7)/$H118*OFFSET(ORÇAMENTO!$X$15,ROW(AD118)-ROW(AD$15),0),
ROUND(ROUND(OFFSET($P118,0,AD$13),15-13*ORÇAMENTO!$AF$7)*OFFSET(ORÇAMENTO!$W$15,ROW(AD118)-ROW(AD$15),0),15-13*ORÇAMENTO!$AF$11)),0)</f>
        <v>0</v>
      </c>
      <c r="AE118" s="627">
        <f ca="1">IF(AND($D118="Serviço",AE$12&lt;&gt;0,$H118&gt;0,OR(AUTOEVENTO&lt;&gt;"manual",$M118&lt;&gt;1)),
IF(Import.TipoArredondamento&lt;&gt;"TransfereGOV",
ROUND(OFFSET($P118,0,AE$13),15-13*ORÇAMENTO!$AF$7)/$H118*OFFSET(ORÇAMENTO!$X$15,ROW(AE118)-ROW(AE$15),0),
ROUND(ROUND(OFFSET($P118,0,AE$13),15-13*ORÇAMENTO!$AF$7)*OFFSET(ORÇAMENTO!$W$15,ROW(AE118)-ROW(AE$15),0),15-13*ORÇAMENTO!$AF$11)),0)</f>
        <v>0</v>
      </c>
      <c r="AF118" s="627">
        <f ca="1">IF(AND($D118="Serviço",AF$12&lt;&gt;0,$H118&gt;0,OR(AUTOEVENTO&lt;&gt;"manual",$M118&lt;&gt;1)),
IF(Import.TipoArredondamento&lt;&gt;"TransfereGOV",
ROUND(OFFSET($P118,0,AF$13),15-13*ORÇAMENTO!$AF$7)/$H118*OFFSET(ORÇAMENTO!$X$15,ROW(AF118)-ROW(AF$15),0),
ROUND(ROUND(OFFSET($P118,0,AF$13),15-13*ORÇAMENTO!$AF$7)*OFFSET(ORÇAMENTO!$W$15,ROW(AF118)-ROW(AF$15),0),15-13*ORÇAMENTO!$AF$11)),0)</f>
        <v>0</v>
      </c>
      <c r="AG118" s="627">
        <f ca="1">IF(AND($D118="Serviço",AG$12&lt;&gt;0,$H118&gt;0,OR(AUTOEVENTO&lt;&gt;"manual",$M118&lt;&gt;1)),
IF(Import.TipoArredondamento&lt;&gt;"TransfereGOV",
ROUND(OFFSET($P118,0,AG$13),15-13*ORÇAMENTO!$AF$7)/$H118*OFFSET(ORÇAMENTO!$X$15,ROW(AG118)-ROW(AG$15),0),
ROUND(ROUND(OFFSET($P118,0,AG$13),15-13*ORÇAMENTO!$AF$7)*OFFSET(ORÇAMENTO!$W$15,ROW(AG118)-ROW(AG$15),0),15-13*ORÇAMENTO!$AF$11)),0)</f>
        <v>0</v>
      </c>
      <c r="AH118" s="627">
        <f ca="1">IF(AND($D118="Serviço",AH$12&lt;&gt;0,$H118&gt;0,OR(AUTOEVENTO&lt;&gt;"manual",$M118&lt;&gt;1)),
IF(Import.TipoArredondamento&lt;&gt;"TransfereGOV",
ROUND(OFFSET($P118,0,AH$13),15-13*ORÇAMENTO!$AF$7)/$H118*OFFSET(ORÇAMENTO!$X$15,ROW(AH118)-ROW(AH$15),0),
ROUND(ROUND(OFFSET($P118,0,AH$13),15-13*ORÇAMENTO!$AF$7)*OFFSET(ORÇAMENTO!$W$15,ROW(AH118)-ROW(AH$15),0),15-13*ORÇAMENTO!$AF$11)),0)</f>
        <v>0</v>
      </c>
      <c r="AI118" s="627">
        <f ca="1">IF(AND($D118="Serviço",AI$12&lt;&gt;0,$H118&gt;0,OR(AUTOEVENTO&lt;&gt;"manual",$M118&lt;&gt;1)),
IF(Import.TipoArredondamento&lt;&gt;"TransfereGOV",
ROUND(OFFSET($P118,0,AI$13),15-13*ORÇAMENTO!$AF$7)/$H118*OFFSET(ORÇAMENTO!$X$15,ROW(AI118)-ROW(AI$15),0),
ROUND(ROUND(OFFSET($P118,0,AI$13),15-13*ORÇAMENTO!$AF$7)*OFFSET(ORÇAMENTO!$W$15,ROW(AI118)-ROW(AI$15),0),15-13*ORÇAMENTO!$AF$11)),0)</f>
        <v>0</v>
      </c>
      <c r="AJ118" s="627">
        <f ca="1">IF(AND($D118="Serviço",AJ$12&lt;&gt;0,$H118&gt;0,OR(AUTOEVENTO&lt;&gt;"manual",$M118&lt;&gt;1)),
IF(Import.TipoArredondamento&lt;&gt;"TransfereGOV",
ROUND(OFFSET($P118,0,AJ$13),15-13*ORÇAMENTO!$AF$7)/$H118*OFFSET(ORÇAMENTO!$X$15,ROW(AJ118)-ROW(AJ$15),0),
ROUND(ROUND(OFFSET($P118,0,AJ$13),15-13*ORÇAMENTO!$AF$7)*OFFSET(ORÇAMENTO!$W$15,ROW(AJ118)-ROW(AJ$15),0),15-13*ORÇAMENTO!$AF$11)),0)</f>
        <v>0</v>
      </c>
      <c r="AK118" s="628">
        <f ca="1">IF(AND($D118="Serviço",AK$12&lt;&gt;0,$H118&gt;0,OR(AUTOEVENTO&lt;&gt;"manual",$M118&lt;&gt;1)),
IF(Import.TipoArredondamento&lt;&gt;"TransfereGOV",
ROUND(OFFSET($P118,0,AK$13),15-13*ORÇAMENTO!$AF$7)/$H118*OFFSET(ORÇAMENTO!$X$15,ROW(AK118)-ROW(AK$15),0),
ROUND(ROUND(OFFSET($P118,0,AK$13),15-13*ORÇAMENTO!$AF$7)*OFFSET(ORÇAMENTO!$W$15,ROW(AK118)-ROW(AK$15),0),15-13*ORÇAMENTO!$AF$11)),0)</f>
        <v>0</v>
      </c>
      <c r="AM118" s="211">
        <f ca="1">IF($D118&lt;&gt;"Serviço",0,IF(AND(AUTOEVENTO="Manual",$M118=1),0,IF(OFFSET(CRONOPLE!$F$14,$M118,AM$13)="",10^12,OFFSET(CRONOPLE!$F$14,$M118,AM$13))))</f>
        <v>2</v>
      </c>
      <c r="AN118" s="211">
        <f ca="1">IF($D118&lt;&gt;"Serviço",0,IF(AND(AUTOEVENTO="Manual",$M118=1),0,IF(OFFSET(CRONOPLE!$F$14,$M118,AN$13)="",10^12,OFFSET(CRONOPLE!$F$14,$M118,AN$13))))</f>
        <v>1</v>
      </c>
      <c r="AO118" s="211">
        <f ca="1">IF($D118&lt;&gt;"Serviço",0,IF(AND(AUTOEVENTO="Manual",$M118=1),0,IF(OFFSET(CRONOPLE!$F$14,$M118,AO$13)="",10^12,OFFSET(CRONOPLE!$F$14,$M118,AO$13))))</f>
        <v>2</v>
      </c>
      <c r="AP118" s="211">
        <f ca="1">IF($D118&lt;&gt;"Serviço",0,IF(AND(AUTOEVENTO="Manual",$M118=1),0,IF(OFFSET(CRONOPLE!$F$14,$M118,AP$13)="",10^12,OFFSET(CRONOPLE!$F$14,$M118,AP$13))))</f>
        <v>2</v>
      </c>
      <c r="AQ118" s="211">
        <f ca="1">IF($D118&lt;&gt;"Serviço",0,IF(AND(AUTOEVENTO="Manual",$M118=1),0,IF(OFFSET(CRONOPLE!$F$14,$M118,AQ$13)="",10^12,OFFSET(CRONOPLE!$F$14,$M118,AQ$13))))</f>
        <v>1000000000000</v>
      </c>
      <c r="AR118" s="211">
        <f ca="1">IF($D118&lt;&gt;"Serviço",0,IF(AND(AUTOEVENTO="Manual",$M118=1),0,IF(OFFSET(CRONOPLE!$F$14,$M118,AR$13)="",10^12,OFFSET(CRONOPLE!$F$14,$M118,AR$13))))</f>
        <v>1000000000000</v>
      </c>
      <c r="AS118" s="211">
        <f ca="1">IF($D118&lt;&gt;"Serviço",0,IF(AND(AUTOEVENTO="Manual",$M118=1),0,IF(OFFSET(CRONOPLE!$F$14,$M118,AS$13)="",10^12,OFFSET(CRONOPLE!$F$14,$M118,AS$13))))</f>
        <v>1000000000000</v>
      </c>
      <c r="AT118" s="211">
        <f ca="1">IF($D118&lt;&gt;"Serviço",0,IF(AND(AUTOEVENTO="Manual",$M118=1),0,IF(OFFSET(CRONOPLE!$F$14,$M118,AT$13)="",10^12,OFFSET(CRONOPLE!$F$14,$M118,AT$13))))</f>
        <v>1000000000000</v>
      </c>
      <c r="AU118" s="211">
        <f ca="1">IF($D118&lt;&gt;"Serviço",0,IF(AND(AUTOEVENTO="Manual",$M118=1),0,IF(OFFSET(CRONOPLE!$F$14,$M118,AU$13)="",10^12,OFFSET(CRONOPLE!$F$14,$M118,AU$13))))</f>
        <v>1000000000000</v>
      </c>
      <c r="AV118" s="211">
        <f ca="1">IF($D118&lt;&gt;"Serviço",0,IF(AND(AUTOEVENTO="Manual",$M118=1),0,IF(OFFSET(CRONOPLE!$F$14,$M118,AV$13)="",10^12,OFFSET(CRONOPLE!$F$14,$M118,AV$13))))</f>
        <v>1000000000000</v>
      </c>
      <c r="AX118" s="212">
        <f ca="1">IF($D118&lt;&gt;"Serviço",0,IF(OR(AND(AUTOEVENTO="Manual",$M118=1),$M118&gt;(ROW(PLE.lastrow)-ROW(PLE.firstrow))),0,IF(OFFSET(PLE!$G$14,$M118,AX$13)="",10^12,OFFSET(PLE!$G$14,$M118,AX$13))))</f>
        <v>1000000000000</v>
      </c>
      <c r="AY118" s="212">
        <f ca="1">IF($D118&lt;&gt;"Serviço",0,IF(OR(AND(AUTOEVENTO="Manual",$M118=1),$M118&gt;(ROW(PLE.lastrow)-ROW(PLE.firstrow))),0,IF(OFFSET(PLE!$G$14,$M118,AY$13)="",10^12,OFFSET(PLE!$G$14,$M118,AY$13))))</f>
        <v>1000000000000</v>
      </c>
      <c r="AZ118" s="212">
        <f ca="1">IF($D118&lt;&gt;"Serviço",0,IF(OR(AND(AUTOEVENTO="Manual",$M118=1),$M118&gt;(ROW(PLE.lastrow)-ROW(PLE.firstrow))),0,IF(OFFSET(PLE!$G$14,$M118,AZ$13)="",10^12,OFFSET(PLE!$G$14,$M118,AZ$13))))</f>
        <v>1000000000000</v>
      </c>
      <c r="BA118" s="212">
        <f ca="1">IF($D118&lt;&gt;"Serviço",0,IF(OR(AND(AUTOEVENTO="Manual",$M118=1),$M118&gt;(ROW(PLE.lastrow)-ROW(PLE.firstrow))),0,IF(OFFSET(PLE!$G$14,$M118,BA$13)="",10^12,OFFSET(PLE!$G$14,$M118,BA$13))))</f>
        <v>1000000000000</v>
      </c>
      <c r="BB118" s="212">
        <f ca="1">IF($D118&lt;&gt;"Serviço",0,IF(OR(AND(AUTOEVENTO="Manual",$M118=1),$M118&gt;(ROW(PLE.lastrow)-ROW(PLE.firstrow))),0,IF(OFFSET(PLE!$G$14,$M118,BB$13)="",10^12,OFFSET(PLE!$G$14,$M118,BB$13))))</f>
        <v>1000000000000</v>
      </c>
      <c r="BC118" s="212">
        <f ca="1">IF($D118&lt;&gt;"Serviço",0,IF(OR(AND(AUTOEVENTO="Manual",$M118=1),$M118&gt;(ROW(PLE.lastrow)-ROW(PLE.firstrow))),0,IF(OFFSET(PLE!$G$14,$M118,BC$13)="",10^12,OFFSET(PLE!$G$14,$M118,BC$13))))</f>
        <v>1000000000000</v>
      </c>
      <c r="BD118" s="212">
        <f ca="1">IF($D118&lt;&gt;"Serviço",0,IF(OR(AND(AUTOEVENTO="Manual",$M118=1),$M118&gt;(ROW(PLE.lastrow)-ROW(PLE.firstrow))),0,IF(OFFSET(PLE!$G$14,$M118,BD$13)="",10^12,OFFSET(PLE!$G$14,$M118,BD$13))))</f>
        <v>1000000000000</v>
      </c>
      <c r="BE118" s="212">
        <f ca="1">IF($D118&lt;&gt;"Serviço",0,IF(OR(AND(AUTOEVENTO="Manual",$M118=1),$M118&gt;(ROW(PLE.lastrow)-ROW(PLE.firstrow))),0,IF(OFFSET(PLE!$G$14,$M118,BE$13)="",10^12,OFFSET(PLE!$G$14,$M118,BE$13))))</f>
        <v>1000000000000</v>
      </c>
      <c r="BF118" s="212">
        <f ca="1">IF($D118&lt;&gt;"Serviço",0,IF(OR(AND(AUTOEVENTO="Manual",$M118=1),$M118&gt;(ROW(PLE.lastrow)-ROW(PLE.firstrow))),0,IF(OFFSET(PLE!$G$14,$M118,BF$13)="",10^12,OFFSET(PLE!$G$14,$M118,BF$13))))</f>
        <v>1000000000000</v>
      </c>
      <c r="BG118" s="212">
        <f ca="1">IF($D118&lt;&gt;"Serviço",0,IF(OR(AND(AUTOEVENTO="Manual",$M118=1),$M118&gt;(ROW(PLE.lastrow)-ROW(PLE.firstrow))),0,IF(OFFSET(PLE!$G$14,$M118,BG$13)="",10^12,OFFSET(PLE!$G$14,$M118,BG$13))))</f>
        <v>1000000000000</v>
      </c>
    </row>
    <row r="119" spans="1:59" ht="13.2">
      <c r="A119" s="9" t="str">
        <f t="shared" ca="1" si="10"/>
        <v>15</v>
      </c>
      <c r="B119" s="9" t="str">
        <f ca="1">OFFSET(ORÇAMENTO!C$15,ROW(B119)-ROW(B$15),0)</f>
        <v>S</v>
      </c>
      <c r="C119" s="9" t="str">
        <f ca="1">OFFSET(ORÇAMENTO!L$15,ROW(C119)-ROW(C$15),0)</f>
        <v/>
      </c>
      <c r="D119" s="141" t="str">
        <f ca="1">OFFSET(ORÇAMENTO!N$15,ROW(D119)-ROW(D$15),0)</f>
        <v>Serviço</v>
      </c>
      <c r="E119" s="201" t="str">
        <f ca="1">OFFSET(ORÇAMENTO!O$15,ROW(E119)-ROW(E$15),0)</f>
        <v>-</v>
      </c>
      <c r="F119" s="202" t="str">
        <f ca="1">OFFSET(ORÇAMENTO!R$15,ROW(F119)-ROW(F$15),0)</f>
        <v>(abra o arquivo 'Referência 11-2024.xlsm)</v>
      </c>
      <c r="G119" s="203" t="str">
        <f ca="1">IF($D119&lt;&gt;"Serviço","",OFFSET(ORÇAMENTO!S$15,ROW(G119)-ROW(G$15),0))</f>
        <v>-</v>
      </c>
      <c r="H119" s="147">
        <f ca="1">IF($D119&lt;&gt;"Serviço",0,IF(ACOMPANHAMENTO="BM",ROUND(OFFSET(ORÇAMENTO!AJ$15,ROW(H119)-ROW(H$15),0),15-13*ORÇAMENTO!$AF$7),SUMPRODUCT(($Q$12:$AA$12&lt;&gt;"")*ROUND($Q119:$AA119,15-13*ORÇAMENTO!$AF$7))))</f>
        <v>0</v>
      </c>
      <c r="I119" s="645"/>
      <c r="K119" s="204"/>
      <c r="L119" s="205" t="s">
        <v>255</v>
      </c>
      <c r="M119" s="206">
        <f ca="1">IF($D119&lt;&gt;"Serviço","",IF(AUTOEVENTO="manual",$A119,IF(ISERROR(MATCH($A119,$A$15:OFFSET($A119,-1,0),0)),MAX($M$15:OFFSET(M119,-1,0))+1,INDEX($M$15:OFFSET(M119,-1,0),MATCH($A119,$A$15:OFFSET($A119,-1,0),0)))))</f>
        <v>6</v>
      </c>
      <c r="N119" s="207" t="str">
        <f ca="1">IF($D119&lt;&gt;"Serviço","",IF(AUTOEVENTO="Manual",IF($A119=0,"&lt;-- defina o número do agrupador",OFFSET(EVENTOS!$D$14,$A119,0)),OFFSET($F$15,$A119,0)))</f>
        <v>DRENAGEM</v>
      </c>
      <c r="O119" s="208"/>
      <c r="Q119" s="208"/>
      <c r="R119" s="209"/>
      <c r="S119" s="209"/>
      <c r="T119" s="209"/>
      <c r="U119" s="209"/>
      <c r="V119" s="209"/>
      <c r="W119" s="209"/>
      <c r="X119" s="209"/>
      <c r="Y119" s="209"/>
      <c r="Z119" s="210"/>
      <c r="AB119" s="626">
        <f ca="1">IF(AND($D119="Serviço",AB$12&lt;&gt;0,$H119&gt;0,OR(AUTOEVENTO&lt;&gt;"manual",$M119&lt;&gt;1)),
IF(Import.TipoArredondamento&lt;&gt;"TransfereGOV",
ROUND(OFFSET($P119,0,AB$13),15-13*ORÇAMENTO!$AF$7)/$H119*OFFSET(ORÇAMENTO!$X$15,ROW(AB119)-ROW(AB$15),0),
ROUND(ROUND(OFFSET($P119,0,AB$13),15-13*ORÇAMENTO!$AF$7)*OFFSET(ORÇAMENTO!$W$15,ROW(AB119)-ROW(AB$15),0),15-13*ORÇAMENTO!$AF$11)),0)</f>
        <v>0</v>
      </c>
      <c r="AC119" s="627">
        <f ca="1">IF(AND($D119="Serviço",AC$12&lt;&gt;0,$H119&gt;0,OR(AUTOEVENTO&lt;&gt;"manual",$M119&lt;&gt;1)),
IF(Import.TipoArredondamento&lt;&gt;"TransfereGOV",
ROUND(OFFSET($P119,0,AC$13),15-13*ORÇAMENTO!$AF$7)/$H119*OFFSET(ORÇAMENTO!$X$15,ROW(AC119)-ROW(AC$15),0),
ROUND(ROUND(OFFSET($P119,0,AC$13),15-13*ORÇAMENTO!$AF$7)*OFFSET(ORÇAMENTO!$W$15,ROW(AC119)-ROW(AC$15),0),15-13*ORÇAMENTO!$AF$11)),0)</f>
        <v>0</v>
      </c>
      <c r="AD119" s="627">
        <f ca="1">IF(AND($D119="Serviço",AD$12&lt;&gt;0,$H119&gt;0,OR(AUTOEVENTO&lt;&gt;"manual",$M119&lt;&gt;1)),
IF(Import.TipoArredondamento&lt;&gt;"TransfereGOV",
ROUND(OFFSET($P119,0,AD$13),15-13*ORÇAMENTO!$AF$7)/$H119*OFFSET(ORÇAMENTO!$X$15,ROW(AD119)-ROW(AD$15),0),
ROUND(ROUND(OFFSET($P119,0,AD$13),15-13*ORÇAMENTO!$AF$7)*OFFSET(ORÇAMENTO!$W$15,ROW(AD119)-ROW(AD$15),0),15-13*ORÇAMENTO!$AF$11)),0)</f>
        <v>0</v>
      </c>
      <c r="AE119" s="627">
        <f ca="1">IF(AND($D119="Serviço",AE$12&lt;&gt;0,$H119&gt;0,OR(AUTOEVENTO&lt;&gt;"manual",$M119&lt;&gt;1)),
IF(Import.TipoArredondamento&lt;&gt;"TransfereGOV",
ROUND(OFFSET($P119,0,AE$13),15-13*ORÇAMENTO!$AF$7)/$H119*OFFSET(ORÇAMENTO!$X$15,ROW(AE119)-ROW(AE$15),0),
ROUND(ROUND(OFFSET($P119,0,AE$13),15-13*ORÇAMENTO!$AF$7)*OFFSET(ORÇAMENTO!$W$15,ROW(AE119)-ROW(AE$15),0),15-13*ORÇAMENTO!$AF$11)),0)</f>
        <v>0</v>
      </c>
      <c r="AF119" s="627">
        <f ca="1">IF(AND($D119="Serviço",AF$12&lt;&gt;0,$H119&gt;0,OR(AUTOEVENTO&lt;&gt;"manual",$M119&lt;&gt;1)),
IF(Import.TipoArredondamento&lt;&gt;"TransfereGOV",
ROUND(OFFSET($P119,0,AF$13),15-13*ORÇAMENTO!$AF$7)/$H119*OFFSET(ORÇAMENTO!$X$15,ROW(AF119)-ROW(AF$15),0),
ROUND(ROUND(OFFSET($P119,0,AF$13),15-13*ORÇAMENTO!$AF$7)*OFFSET(ORÇAMENTO!$W$15,ROW(AF119)-ROW(AF$15),0),15-13*ORÇAMENTO!$AF$11)),0)</f>
        <v>0</v>
      </c>
      <c r="AG119" s="627">
        <f ca="1">IF(AND($D119="Serviço",AG$12&lt;&gt;0,$H119&gt;0,OR(AUTOEVENTO&lt;&gt;"manual",$M119&lt;&gt;1)),
IF(Import.TipoArredondamento&lt;&gt;"TransfereGOV",
ROUND(OFFSET($P119,0,AG$13),15-13*ORÇAMENTO!$AF$7)/$H119*OFFSET(ORÇAMENTO!$X$15,ROW(AG119)-ROW(AG$15),0),
ROUND(ROUND(OFFSET($P119,0,AG$13),15-13*ORÇAMENTO!$AF$7)*OFFSET(ORÇAMENTO!$W$15,ROW(AG119)-ROW(AG$15),0),15-13*ORÇAMENTO!$AF$11)),0)</f>
        <v>0</v>
      </c>
      <c r="AH119" s="627">
        <f ca="1">IF(AND($D119="Serviço",AH$12&lt;&gt;0,$H119&gt;0,OR(AUTOEVENTO&lt;&gt;"manual",$M119&lt;&gt;1)),
IF(Import.TipoArredondamento&lt;&gt;"TransfereGOV",
ROUND(OFFSET($P119,0,AH$13),15-13*ORÇAMENTO!$AF$7)/$H119*OFFSET(ORÇAMENTO!$X$15,ROW(AH119)-ROW(AH$15),0),
ROUND(ROUND(OFFSET($P119,0,AH$13),15-13*ORÇAMENTO!$AF$7)*OFFSET(ORÇAMENTO!$W$15,ROW(AH119)-ROW(AH$15),0),15-13*ORÇAMENTO!$AF$11)),0)</f>
        <v>0</v>
      </c>
      <c r="AI119" s="627">
        <f ca="1">IF(AND($D119="Serviço",AI$12&lt;&gt;0,$H119&gt;0,OR(AUTOEVENTO&lt;&gt;"manual",$M119&lt;&gt;1)),
IF(Import.TipoArredondamento&lt;&gt;"TransfereGOV",
ROUND(OFFSET($P119,0,AI$13),15-13*ORÇAMENTO!$AF$7)/$H119*OFFSET(ORÇAMENTO!$X$15,ROW(AI119)-ROW(AI$15),0),
ROUND(ROUND(OFFSET($P119,0,AI$13),15-13*ORÇAMENTO!$AF$7)*OFFSET(ORÇAMENTO!$W$15,ROW(AI119)-ROW(AI$15),0),15-13*ORÇAMENTO!$AF$11)),0)</f>
        <v>0</v>
      </c>
      <c r="AJ119" s="627">
        <f ca="1">IF(AND($D119="Serviço",AJ$12&lt;&gt;0,$H119&gt;0,OR(AUTOEVENTO&lt;&gt;"manual",$M119&lt;&gt;1)),
IF(Import.TipoArredondamento&lt;&gt;"TransfereGOV",
ROUND(OFFSET($P119,0,AJ$13),15-13*ORÇAMENTO!$AF$7)/$H119*OFFSET(ORÇAMENTO!$X$15,ROW(AJ119)-ROW(AJ$15),0),
ROUND(ROUND(OFFSET($P119,0,AJ$13),15-13*ORÇAMENTO!$AF$7)*OFFSET(ORÇAMENTO!$W$15,ROW(AJ119)-ROW(AJ$15),0),15-13*ORÇAMENTO!$AF$11)),0)</f>
        <v>0</v>
      </c>
      <c r="AK119" s="628">
        <f ca="1">IF(AND($D119="Serviço",AK$12&lt;&gt;0,$H119&gt;0,OR(AUTOEVENTO&lt;&gt;"manual",$M119&lt;&gt;1)),
IF(Import.TipoArredondamento&lt;&gt;"TransfereGOV",
ROUND(OFFSET($P119,0,AK$13),15-13*ORÇAMENTO!$AF$7)/$H119*OFFSET(ORÇAMENTO!$X$15,ROW(AK119)-ROW(AK$15),0),
ROUND(ROUND(OFFSET($P119,0,AK$13),15-13*ORÇAMENTO!$AF$7)*OFFSET(ORÇAMENTO!$W$15,ROW(AK119)-ROW(AK$15),0),15-13*ORÇAMENTO!$AF$11)),0)</f>
        <v>0</v>
      </c>
      <c r="AM119" s="211">
        <f ca="1">IF($D119&lt;&gt;"Serviço",0,IF(AND(AUTOEVENTO="Manual",$M119=1),0,IF(OFFSET(CRONOPLE!$F$14,$M119,AM$13)="",10^12,OFFSET(CRONOPLE!$F$14,$M119,AM$13))))</f>
        <v>2</v>
      </c>
      <c r="AN119" s="211">
        <f ca="1">IF($D119&lt;&gt;"Serviço",0,IF(AND(AUTOEVENTO="Manual",$M119=1),0,IF(OFFSET(CRONOPLE!$F$14,$M119,AN$13)="",10^12,OFFSET(CRONOPLE!$F$14,$M119,AN$13))))</f>
        <v>1</v>
      </c>
      <c r="AO119" s="211">
        <f ca="1">IF($D119&lt;&gt;"Serviço",0,IF(AND(AUTOEVENTO="Manual",$M119=1),0,IF(OFFSET(CRONOPLE!$F$14,$M119,AO$13)="",10^12,OFFSET(CRONOPLE!$F$14,$M119,AO$13))))</f>
        <v>2</v>
      </c>
      <c r="AP119" s="211">
        <f ca="1">IF($D119&lt;&gt;"Serviço",0,IF(AND(AUTOEVENTO="Manual",$M119=1),0,IF(OFFSET(CRONOPLE!$F$14,$M119,AP$13)="",10^12,OFFSET(CRONOPLE!$F$14,$M119,AP$13))))</f>
        <v>2</v>
      </c>
      <c r="AQ119" s="211">
        <f ca="1">IF($D119&lt;&gt;"Serviço",0,IF(AND(AUTOEVENTO="Manual",$M119=1),0,IF(OFFSET(CRONOPLE!$F$14,$M119,AQ$13)="",10^12,OFFSET(CRONOPLE!$F$14,$M119,AQ$13))))</f>
        <v>1000000000000</v>
      </c>
      <c r="AR119" s="211">
        <f ca="1">IF($D119&lt;&gt;"Serviço",0,IF(AND(AUTOEVENTO="Manual",$M119=1),0,IF(OFFSET(CRONOPLE!$F$14,$M119,AR$13)="",10^12,OFFSET(CRONOPLE!$F$14,$M119,AR$13))))</f>
        <v>1000000000000</v>
      </c>
      <c r="AS119" s="211">
        <f ca="1">IF($D119&lt;&gt;"Serviço",0,IF(AND(AUTOEVENTO="Manual",$M119=1),0,IF(OFFSET(CRONOPLE!$F$14,$M119,AS$13)="",10^12,OFFSET(CRONOPLE!$F$14,$M119,AS$13))))</f>
        <v>1000000000000</v>
      </c>
      <c r="AT119" s="211">
        <f ca="1">IF($D119&lt;&gt;"Serviço",0,IF(AND(AUTOEVENTO="Manual",$M119=1),0,IF(OFFSET(CRONOPLE!$F$14,$M119,AT$13)="",10^12,OFFSET(CRONOPLE!$F$14,$M119,AT$13))))</f>
        <v>1000000000000</v>
      </c>
      <c r="AU119" s="211">
        <f ca="1">IF($D119&lt;&gt;"Serviço",0,IF(AND(AUTOEVENTO="Manual",$M119=1),0,IF(OFFSET(CRONOPLE!$F$14,$M119,AU$13)="",10^12,OFFSET(CRONOPLE!$F$14,$M119,AU$13))))</f>
        <v>1000000000000</v>
      </c>
      <c r="AV119" s="211">
        <f ca="1">IF($D119&lt;&gt;"Serviço",0,IF(AND(AUTOEVENTO="Manual",$M119=1),0,IF(OFFSET(CRONOPLE!$F$14,$M119,AV$13)="",10^12,OFFSET(CRONOPLE!$F$14,$M119,AV$13))))</f>
        <v>1000000000000</v>
      </c>
      <c r="AX119" s="212">
        <f ca="1">IF($D119&lt;&gt;"Serviço",0,IF(OR(AND(AUTOEVENTO="Manual",$M119=1),$M119&gt;(ROW(PLE.lastrow)-ROW(PLE.firstrow))),0,IF(OFFSET(PLE!$G$14,$M119,AX$13)="",10^12,OFFSET(PLE!$G$14,$M119,AX$13))))</f>
        <v>1000000000000</v>
      </c>
      <c r="AY119" s="212">
        <f ca="1">IF($D119&lt;&gt;"Serviço",0,IF(OR(AND(AUTOEVENTO="Manual",$M119=1),$M119&gt;(ROW(PLE.lastrow)-ROW(PLE.firstrow))),0,IF(OFFSET(PLE!$G$14,$M119,AY$13)="",10^12,OFFSET(PLE!$G$14,$M119,AY$13))))</f>
        <v>1000000000000</v>
      </c>
      <c r="AZ119" s="212">
        <f ca="1">IF($D119&lt;&gt;"Serviço",0,IF(OR(AND(AUTOEVENTO="Manual",$M119=1),$M119&gt;(ROW(PLE.lastrow)-ROW(PLE.firstrow))),0,IF(OFFSET(PLE!$G$14,$M119,AZ$13)="",10^12,OFFSET(PLE!$G$14,$M119,AZ$13))))</f>
        <v>1000000000000</v>
      </c>
      <c r="BA119" s="212">
        <f ca="1">IF($D119&lt;&gt;"Serviço",0,IF(OR(AND(AUTOEVENTO="Manual",$M119=1),$M119&gt;(ROW(PLE.lastrow)-ROW(PLE.firstrow))),0,IF(OFFSET(PLE!$G$14,$M119,BA$13)="",10^12,OFFSET(PLE!$G$14,$M119,BA$13))))</f>
        <v>1000000000000</v>
      </c>
      <c r="BB119" s="212">
        <f ca="1">IF($D119&lt;&gt;"Serviço",0,IF(OR(AND(AUTOEVENTO="Manual",$M119=1),$M119&gt;(ROW(PLE.lastrow)-ROW(PLE.firstrow))),0,IF(OFFSET(PLE!$G$14,$M119,BB$13)="",10^12,OFFSET(PLE!$G$14,$M119,BB$13))))</f>
        <v>1000000000000</v>
      </c>
      <c r="BC119" s="212">
        <f ca="1">IF($D119&lt;&gt;"Serviço",0,IF(OR(AND(AUTOEVENTO="Manual",$M119=1),$M119&gt;(ROW(PLE.lastrow)-ROW(PLE.firstrow))),0,IF(OFFSET(PLE!$G$14,$M119,BC$13)="",10^12,OFFSET(PLE!$G$14,$M119,BC$13))))</f>
        <v>1000000000000</v>
      </c>
      <c r="BD119" s="212">
        <f ca="1">IF($D119&lt;&gt;"Serviço",0,IF(OR(AND(AUTOEVENTO="Manual",$M119=1),$M119&gt;(ROW(PLE.lastrow)-ROW(PLE.firstrow))),0,IF(OFFSET(PLE!$G$14,$M119,BD$13)="",10^12,OFFSET(PLE!$G$14,$M119,BD$13))))</f>
        <v>1000000000000</v>
      </c>
      <c r="BE119" s="212">
        <f ca="1">IF($D119&lt;&gt;"Serviço",0,IF(OR(AND(AUTOEVENTO="Manual",$M119=1),$M119&gt;(ROW(PLE.lastrow)-ROW(PLE.firstrow))),0,IF(OFFSET(PLE!$G$14,$M119,BE$13)="",10^12,OFFSET(PLE!$G$14,$M119,BE$13))))</f>
        <v>1000000000000</v>
      </c>
      <c r="BF119" s="212">
        <f ca="1">IF($D119&lt;&gt;"Serviço",0,IF(OR(AND(AUTOEVENTO="Manual",$M119=1),$M119&gt;(ROW(PLE.lastrow)-ROW(PLE.firstrow))),0,IF(OFFSET(PLE!$G$14,$M119,BF$13)="",10^12,OFFSET(PLE!$G$14,$M119,BF$13))))</f>
        <v>1000000000000</v>
      </c>
      <c r="BG119" s="212">
        <f ca="1">IF($D119&lt;&gt;"Serviço",0,IF(OR(AND(AUTOEVENTO="Manual",$M119=1),$M119&gt;(ROW(PLE.lastrow)-ROW(PLE.firstrow))),0,IF(OFFSET(PLE!$G$14,$M119,BG$13)="",10^12,OFFSET(PLE!$G$14,$M119,BG$13))))</f>
        <v>1000000000000</v>
      </c>
    </row>
    <row r="120" spans="1:59" ht="13.2">
      <c r="A120" s="9" t="str">
        <f t="shared" ca="1" si="10"/>
        <v>15</v>
      </c>
      <c r="B120" s="9" t="str">
        <f ca="1">OFFSET(ORÇAMENTO!C$15,ROW(B120)-ROW(B$15),0)</f>
        <v>S</v>
      </c>
      <c r="C120" s="9" t="str">
        <f ca="1">OFFSET(ORÇAMENTO!L$15,ROW(C120)-ROW(C$15),0)</f>
        <v/>
      </c>
      <c r="D120" s="141" t="str">
        <f ca="1">OFFSET(ORÇAMENTO!N$15,ROW(D120)-ROW(D$15),0)</f>
        <v>Serviço</v>
      </c>
      <c r="E120" s="201" t="str">
        <f ca="1">OFFSET(ORÇAMENTO!O$15,ROW(E120)-ROW(E$15),0)</f>
        <v>-</v>
      </c>
      <c r="F120" s="202" t="str">
        <f ca="1">OFFSET(ORÇAMENTO!R$15,ROW(F120)-ROW(F$15),0)</f>
        <v>(abra o arquivo 'Referência 11-2024.xlsm)</v>
      </c>
      <c r="G120" s="203" t="str">
        <f ca="1">IF($D120&lt;&gt;"Serviço","",OFFSET(ORÇAMENTO!S$15,ROW(G120)-ROW(G$15),0))</f>
        <v>-</v>
      </c>
      <c r="H120" s="147">
        <f ca="1">IF($D120&lt;&gt;"Serviço",0,IF(ACOMPANHAMENTO="BM",ROUND(OFFSET(ORÇAMENTO!AJ$15,ROW(H120)-ROW(H$15),0),15-13*ORÇAMENTO!$AF$7),SUMPRODUCT(($Q$12:$AA$12&lt;&gt;"")*ROUND($Q120:$AA120,15-13*ORÇAMENTO!$AF$7))))</f>
        <v>0</v>
      </c>
      <c r="I120" s="645"/>
      <c r="K120" s="204"/>
      <c r="L120" s="205" t="s">
        <v>255</v>
      </c>
      <c r="M120" s="206">
        <f ca="1">IF($D120&lt;&gt;"Serviço","",IF(AUTOEVENTO="manual",$A120,IF(ISERROR(MATCH($A120,$A$15:OFFSET($A120,-1,0),0)),MAX($M$15:OFFSET(M120,-1,0))+1,INDEX($M$15:OFFSET(M120,-1,0),MATCH($A120,$A$15:OFFSET($A120,-1,0),0)))))</f>
        <v>6</v>
      </c>
      <c r="N120" s="207" t="str">
        <f ca="1">IF($D120&lt;&gt;"Serviço","",IF(AUTOEVENTO="Manual",IF($A120=0,"&lt;-- defina o número do agrupador",OFFSET(EVENTOS!$D$14,$A120,0)),OFFSET($F$15,$A120,0)))</f>
        <v>DRENAGEM</v>
      </c>
      <c r="O120" s="208"/>
      <c r="Q120" s="208"/>
      <c r="R120" s="209"/>
      <c r="S120" s="209"/>
      <c r="T120" s="209"/>
      <c r="U120" s="209"/>
      <c r="V120" s="209"/>
      <c r="W120" s="209"/>
      <c r="X120" s="209"/>
      <c r="Y120" s="209"/>
      <c r="Z120" s="210"/>
      <c r="AB120" s="626">
        <f ca="1">IF(AND($D120="Serviço",AB$12&lt;&gt;0,$H120&gt;0,OR(AUTOEVENTO&lt;&gt;"manual",$M120&lt;&gt;1)),
IF(Import.TipoArredondamento&lt;&gt;"TransfereGOV",
ROUND(OFFSET($P120,0,AB$13),15-13*ORÇAMENTO!$AF$7)/$H120*OFFSET(ORÇAMENTO!$X$15,ROW(AB120)-ROW(AB$15),0),
ROUND(ROUND(OFFSET($P120,0,AB$13),15-13*ORÇAMENTO!$AF$7)*OFFSET(ORÇAMENTO!$W$15,ROW(AB120)-ROW(AB$15),0),15-13*ORÇAMENTO!$AF$11)),0)</f>
        <v>0</v>
      </c>
      <c r="AC120" s="627">
        <f ca="1">IF(AND($D120="Serviço",AC$12&lt;&gt;0,$H120&gt;0,OR(AUTOEVENTO&lt;&gt;"manual",$M120&lt;&gt;1)),
IF(Import.TipoArredondamento&lt;&gt;"TransfereGOV",
ROUND(OFFSET($P120,0,AC$13),15-13*ORÇAMENTO!$AF$7)/$H120*OFFSET(ORÇAMENTO!$X$15,ROW(AC120)-ROW(AC$15),0),
ROUND(ROUND(OFFSET($P120,0,AC$13),15-13*ORÇAMENTO!$AF$7)*OFFSET(ORÇAMENTO!$W$15,ROW(AC120)-ROW(AC$15),0),15-13*ORÇAMENTO!$AF$11)),0)</f>
        <v>0</v>
      </c>
      <c r="AD120" s="627">
        <f ca="1">IF(AND($D120="Serviço",AD$12&lt;&gt;0,$H120&gt;0,OR(AUTOEVENTO&lt;&gt;"manual",$M120&lt;&gt;1)),
IF(Import.TipoArredondamento&lt;&gt;"TransfereGOV",
ROUND(OFFSET($P120,0,AD$13),15-13*ORÇAMENTO!$AF$7)/$H120*OFFSET(ORÇAMENTO!$X$15,ROW(AD120)-ROW(AD$15),0),
ROUND(ROUND(OFFSET($P120,0,AD$13),15-13*ORÇAMENTO!$AF$7)*OFFSET(ORÇAMENTO!$W$15,ROW(AD120)-ROW(AD$15),0),15-13*ORÇAMENTO!$AF$11)),0)</f>
        <v>0</v>
      </c>
      <c r="AE120" s="627">
        <f ca="1">IF(AND($D120="Serviço",AE$12&lt;&gt;0,$H120&gt;0,OR(AUTOEVENTO&lt;&gt;"manual",$M120&lt;&gt;1)),
IF(Import.TipoArredondamento&lt;&gt;"TransfereGOV",
ROUND(OFFSET($P120,0,AE$13),15-13*ORÇAMENTO!$AF$7)/$H120*OFFSET(ORÇAMENTO!$X$15,ROW(AE120)-ROW(AE$15),0),
ROUND(ROUND(OFFSET($P120,0,AE$13),15-13*ORÇAMENTO!$AF$7)*OFFSET(ORÇAMENTO!$W$15,ROW(AE120)-ROW(AE$15),0),15-13*ORÇAMENTO!$AF$11)),0)</f>
        <v>0</v>
      </c>
      <c r="AF120" s="627">
        <f ca="1">IF(AND($D120="Serviço",AF$12&lt;&gt;0,$H120&gt;0,OR(AUTOEVENTO&lt;&gt;"manual",$M120&lt;&gt;1)),
IF(Import.TipoArredondamento&lt;&gt;"TransfereGOV",
ROUND(OFFSET($P120,0,AF$13),15-13*ORÇAMENTO!$AF$7)/$H120*OFFSET(ORÇAMENTO!$X$15,ROW(AF120)-ROW(AF$15),0),
ROUND(ROUND(OFFSET($P120,0,AF$13),15-13*ORÇAMENTO!$AF$7)*OFFSET(ORÇAMENTO!$W$15,ROW(AF120)-ROW(AF$15),0),15-13*ORÇAMENTO!$AF$11)),0)</f>
        <v>0</v>
      </c>
      <c r="AG120" s="627">
        <f ca="1">IF(AND($D120="Serviço",AG$12&lt;&gt;0,$H120&gt;0,OR(AUTOEVENTO&lt;&gt;"manual",$M120&lt;&gt;1)),
IF(Import.TipoArredondamento&lt;&gt;"TransfereGOV",
ROUND(OFFSET($P120,0,AG$13),15-13*ORÇAMENTO!$AF$7)/$H120*OFFSET(ORÇAMENTO!$X$15,ROW(AG120)-ROW(AG$15),0),
ROUND(ROUND(OFFSET($P120,0,AG$13),15-13*ORÇAMENTO!$AF$7)*OFFSET(ORÇAMENTO!$W$15,ROW(AG120)-ROW(AG$15),0),15-13*ORÇAMENTO!$AF$11)),0)</f>
        <v>0</v>
      </c>
      <c r="AH120" s="627">
        <f ca="1">IF(AND($D120="Serviço",AH$12&lt;&gt;0,$H120&gt;0,OR(AUTOEVENTO&lt;&gt;"manual",$M120&lt;&gt;1)),
IF(Import.TipoArredondamento&lt;&gt;"TransfereGOV",
ROUND(OFFSET($P120,0,AH$13),15-13*ORÇAMENTO!$AF$7)/$H120*OFFSET(ORÇAMENTO!$X$15,ROW(AH120)-ROW(AH$15),0),
ROUND(ROUND(OFFSET($P120,0,AH$13),15-13*ORÇAMENTO!$AF$7)*OFFSET(ORÇAMENTO!$W$15,ROW(AH120)-ROW(AH$15),0),15-13*ORÇAMENTO!$AF$11)),0)</f>
        <v>0</v>
      </c>
      <c r="AI120" s="627">
        <f ca="1">IF(AND($D120="Serviço",AI$12&lt;&gt;0,$H120&gt;0,OR(AUTOEVENTO&lt;&gt;"manual",$M120&lt;&gt;1)),
IF(Import.TipoArredondamento&lt;&gt;"TransfereGOV",
ROUND(OFFSET($P120,0,AI$13),15-13*ORÇAMENTO!$AF$7)/$H120*OFFSET(ORÇAMENTO!$X$15,ROW(AI120)-ROW(AI$15),0),
ROUND(ROUND(OFFSET($P120,0,AI$13),15-13*ORÇAMENTO!$AF$7)*OFFSET(ORÇAMENTO!$W$15,ROW(AI120)-ROW(AI$15),0),15-13*ORÇAMENTO!$AF$11)),0)</f>
        <v>0</v>
      </c>
      <c r="AJ120" s="627">
        <f ca="1">IF(AND($D120="Serviço",AJ$12&lt;&gt;0,$H120&gt;0,OR(AUTOEVENTO&lt;&gt;"manual",$M120&lt;&gt;1)),
IF(Import.TipoArredondamento&lt;&gt;"TransfereGOV",
ROUND(OFFSET($P120,0,AJ$13),15-13*ORÇAMENTO!$AF$7)/$H120*OFFSET(ORÇAMENTO!$X$15,ROW(AJ120)-ROW(AJ$15),0),
ROUND(ROUND(OFFSET($P120,0,AJ$13),15-13*ORÇAMENTO!$AF$7)*OFFSET(ORÇAMENTO!$W$15,ROW(AJ120)-ROW(AJ$15),0),15-13*ORÇAMENTO!$AF$11)),0)</f>
        <v>0</v>
      </c>
      <c r="AK120" s="628">
        <f ca="1">IF(AND($D120="Serviço",AK$12&lt;&gt;0,$H120&gt;0,OR(AUTOEVENTO&lt;&gt;"manual",$M120&lt;&gt;1)),
IF(Import.TipoArredondamento&lt;&gt;"TransfereGOV",
ROUND(OFFSET($P120,0,AK$13),15-13*ORÇAMENTO!$AF$7)/$H120*OFFSET(ORÇAMENTO!$X$15,ROW(AK120)-ROW(AK$15),0),
ROUND(ROUND(OFFSET($P120,0,AK$13),15-13*ORÇAMENTO!$AF$7)*OFFSET(ORÇAMENTO!$W$15,ROW(AK120)-ROW(AK$15),0),15-13*ORÇAMENTO!$AF$11)),0)</f>
        <v>0</v>
      </c>
      <c r="AM120" s="211">
        <f ca="1">IF($D120&lt;&gt;"Serviço",0,IF(AND(AUTOEVENTO="Manual",$M120=1),0,IF(OFFSET(CRONOPLE!$F$14,$M120,AM$13)="",10^12,OFFSET(CRONOPLE!$F$14,$M120,AM$13))))</f>
        <v>2</v>
      </c>
      <c r="AN120" s="211">
        <f ca="1">IF($D120&lt;&gt;"Serviço",0,IF(AND(AUTOEVENTO="Manual",$M120=1),0,IF(OFFSET(CRONOPLE!$F$14,$M120,AN$13)="",10^12,OFFSET(CRONOPLE!$F$14,$M120,AN$13))))</f>
        <v>1</v>
      </c>
      <c r="AO120" s="211">
        <f ca="1">IF($D120&lt;&gt;"Serviço",0,IF(AND(AUTOEVENTO="Manual",$M120=1),0,IF(OFFSET(CRONOPLE!$F$14,$M120,AO$13)="",10^12,OFFSET(CRONOPLE!$F$14,$M120,AO$13))))</f>
        <v>2</v>
      </c>
      <c r="AP120" s="211">
        <f ca="1">IF($D120&lt;&gt;"Serviço",0,IF(AND(AUTOEVENTO="Manual",$M120=1),0,IF(OFFSET(CRONOPLE!$F$14,$M120,AP$13)="",10^12,OFFSET(CRONOPLE!$F$14,$M120,AP$13))))</f>
        <v>2</v>
      </c>
      <c r="AQ120" s="211">
        <f ca="1">IF($D120&lt;&gt;"Serviço",0,IF(AND(AUTOEVENTO="Manual",$M120=1),0,IF(OFFSET(CRONOPLE!$F$14,$M120,AQ$13)="",10^12,OFFSET(CRONOPLE!$F$14,$M120,AQ$13))))</f>
        <v>1000000000000</v>
      </c>
      <c r="AR120" s="211">
        <f ca="1">IF($D120&lt;&gt;"Serviço",0,IF(AND(AUTOEVENTO="Manual",$M120=1),0,IF(OFFSET(CRONOPLE!$F$14,$M120,AR$13)="",10^12,OFFSET(CRONOPLE!$F$14,$M120,AR$13))))</f>
        <v>1000000000000</v>
      </c>
      <c r="AS120" s="211">
        <f ca="1">IF($D120&lt;&gt;"Serviço",0,IF(AND(AUTOEVENTO="Manual",$M120=1),0,IF(OFFSET(CRONOPLE!$F$14,$M120,AS$13)="",10^12,OFFSET(CRONOPLE!$F$14,$M120,AS$13))))</f>
        <v>1000000000000</v>
      </c>
      <c r="AT120" s="211">
        <f ca="1">IF($D120&lt;&gt;"Serviço",0,IF(AND(AUTOEVENTO="Manual",$M120=1),0,IF(OFFSET(CRONOPLE!$F$14,$M120,AT$13)="",10^12,OFFSET(CRONOPLE!$F$14,$M120,AT$13))))</f>
        <v>1000000000000</v>
      </c>
      <c r="AU120" s="211">
        <f ca="1">IF($D120&lt;&gt;"Serviço",0,IF(AND(AUTOEVENTO="Manual",$M120=1),0,IF(OFFSET(CRONOPLE!$F$14,$M120,AU$13)="",10^12,OFFSET(CRONOPLE!$F$14,$M120,AU$13))))</f>
        <v>1000000000000</v>
      </c>
      <c r="AV120" s="211">
        <f ca="1">IF($D120&lt;&gt;"Serviço",0,IF(AND(AUTOEVENTO="Manual",$M120=1),0,IF(OFFSET(CRONOPLE!$F$14,$M120,AV$13)="",10^12,OFFSET(CRONOPLE!$F$14,$M120,AV$13))))</f>
        <v>1000000000000</v>
      </c>
      <c r="AX120" s="212">
        <f ca="1">IF($D120&lt;&gt;"Serviço",0,IF(OR(AND(AUTOEVENTO="Manual",$M120=1),$M120&gt;(ROW(PLE.lastrow)-ROW(PLE.firstrow))),0,IF(OFFSET(PLE!$G$14,$M120,AX$13)="",10^12,OFFSET(PLE!$G$14,$M120,AX$13))))</f>
        <v>1000000000000</v>
      </c>
      <c r="AY120" s="212">
        <f ca="1">IF($D120&lt;&gt;"Serviço",0,IF(OR(AND(AUTOEVENTO="Manual",$M120=1),$M120&gt;(ROW(PLE.lastrow)-ROW(PLE.firstrow))),0,IF(OFFSET(PLE!$G$14,$M120,AY$13)="",10^12,OFFSET(PLE!$G$14,$M120,AY$13))))</f>
        <v>1000000000000</v>
      </c>
      <c r="AZ120" s="212">
        <f ca="1">IF($D120&lt;&gt;"Serviço",0,IF(OR(AND(AUTOEVENTO="Manual",$M120=1),$M120&gt;(ROW(PLE.lastrow)-ROW(PLE.firstrow))),0,IF(OFFSET(PLE!$G$14,$M120,AZ$13)="",10^12,OFFSET(PLE!$G$14,$M120,AZ$13))))</f>
        <v>1000000000000</v>
      </c>
      <c r="BA120" s="212">
        <f ca="1">IF($D120&lt;&gt;"Serviço",0,IF(OR(AND(AUTOEVENTO="Manual",$M120=1),$M120&gt;(ROW(PLE.lastrow)-ROW(PLE.firstrow))),0,IF(OFFSET(PLE!$G$14,$M120,BA$13)="",10^12,OFFSET(PLE!$G$14,$M120,BA$13))))</f>
        <v>1000000000000</v>
      </c>
      <c r="BB120" s="212">
        <f ca="1">IF($D120&lt;&gt;"Serviço",0,IF(OR(AND(AUTOEVENTO="Manual",$M120=1),$M120&gt;(ROW(PLE.lastrow)-ROW(PLE.firstrow))),0,IF(OFFSET(PLE!$G$14,$M120,BB$13)="",10^12,OFFSET(PLE!$G$14,$M120,BB$13))))</f>
        <v>1000000000000</v>
      </c>
      <c r="BC120" s="212">
        <f ca="1">IF($D120&lt;&gt;"Serviço",0,IF(OR(AND(AUTOEVENTO="Manual",$M120=1),$M120&gt;(ROW(PLE.lastrow)-ROW(PLE.firstrow))),0,IF(OFFSET(PLE!$G$14,$M120,BC$13)="",10^12,OFFSET(PLE!$G$14,$M120,BC$13))))</f>
        <v>1000000000000</v>
      </c>
      <c r="BD120" s="212">
        <f ca="1">IF($D120&lt;&gt;"Serviço",0,IF(OR(AND(AUTOEVENTO="Manual",$M120=1),$M120&gt;(ROW(PLE.lastrow)-ROW(PLE.firstrow))),0,IF(OFFSET(PLE!$G$14,$M120,BD$13)="",10^12,OFFSET(PLE!$G$14,$M120,BD$13))))</f>
        <v>1000000000000</v>
      </c>
      <c r="BE120" s="212">
        <f ca="1">IF($D120&lt;&gt;"Serviço",0,IF(OR(AND(AUTOEVENTO="Manual",$M120=1),$M120&gt;(ROW(PLE.lastrow)-ROW(PLE.firstrow))),0,IF(OFFSET(PLE!$G$14,$M120,BE$13)="",10^12,OFFSET(PLE!$G$14,$M120,BE$13))))</f>
        <v>1000000000000</v>
      </c>
      <c r="BF120" s="212">
        <f ca="1">IF($D120&lt;&gt;"Serviço",0,IF(OR(AND(AUTOEVENTO="Manual",$M120=1),$M120&gt;(ROW(PLE.lastrow)-ROW(PLE.firstrow))),0,IF(OFFSET(PLE!$G$14,$M120,BF$13)="",10^12,OFFSET(PLE!$G$14,$M120,BF$13))))</f>
        <v>1000000000000</v>
      </c>
      <c r="BG120" s="212">
        <f ca="1">IF($D120&lt;&gt;"Serviço",0,IF(OR(AND(AUTOEVENTO="Manual",$M120=1),$M120&gt;(ROW(PLE.lastrow)-ROW(PLE.firstrow))),0,IF(OFFSET(PLE!$G$14,$M120,BG$13)="",10^12,OFFSET(PLE!$G$14,$M120,BG$13))))</f>
        <v>1000000000000</v>
      </c>
    </row>
    <row r="121" spans="1:59" ht="13.2">
      <c r="A121" s="9" t="str">
        <f t="shared" ca="1" si="10"/>
        <v>15</v>
      </c>
      <c r="B121" s="9" t="str">
        <f ca="1">OFFSET(ORÇAMENTO!C$15,ROW(B121)-ROW(B$15),0)</f>
        <v>S</v>
      </c>
      <c r="C121" s="9" t="str">
        <f ca="1">OFFSET(ORÇAMENTO!L$15,ROW(C121)-ROW(C$15),0)</f>
        <v/>
      </c>
      <c r="D121" s="141" t="str">
        <f ca="1">OFFSET(ORÇAMENTO!N$15,ROW(D121)-ROW(D$15),0)</f>
        <v>Serviço</v>
      </c>
      <c r="E121" s="201" t="str">
        <f ca="1">OFFSET(ORÇAMENTO!O$15,ROW(E121)-ROW(E$15),0)</f>
        <v>-</v>
      </c>
      <c r="F121" s="202" t="str">
        <f ca="1">OFFSET(ORÇAMENTO!R$15,ROW(F121)-ROW(F$15),0)</f>
        <v>(abra o arquivo 'Referência 11-2024.xlsm)</v>
      </c>
      <c r="G121" s="203" t="str">
        <f ca="1">IF($D121&lt;&gt;"Serviço","",OFFSET(ORÇAMENTO!S$15,ROW(G121)-ROW(G$15),0))</f>
        <v>-</v>
      </c>
      <c r="H121" s="147">
        <f ca="1">IF($D121&lt;&gt;"Serviço",0,IF(ACOMPANHAMENTO="BM",ROUND(OFFSET(ORÇAMENTO!AJ$15,ROW(H121)-ROW(H$15),0),15-13*ORÇAMENTO!$AF$7),SUMPRODUCT(($Q$12:$AA$12&lt;&gt;"")*ROUND($Q121:$AA121,15-13*ORÇAMENTO!$AF$7))))</f>
        <v>0</v>
      </c>
      <c r="I121" s="645"/>
      <c r="K121" s="204"/>
      <c r="L121" s="205" t="s">
        <v>255</v>
      </c>
      <c r="M121" s="206">
        <f ca="1">IF($D121&lt;&gt;"Serviço","",IF(AUTOEVENTO="manual",$A121,IF(ISERROR(MATCH($A121,$A$15:OFFSET($A121,-1,0),0)),MAX($M$15:OFFSET(M121,-1,0))+1,INDEX($M$15:OFFSET(M121,-1,0),MATCH($A121,$A$15:OFFSET($A121,-1,0),0)))))</f>
        <v>6</v>
      </c>
      <c r="N121" s="207" t="str">
        <f ca="1">IF($D121&lt;&gt;"Serviço","",IF(AUTOEVENTO="Manual",IF($A121=0,"&lt;-- defina o número do agrupador",OFFSET(EVENTOS!$D$14,$A121,0)),OFFSET($F$15,$A121,0)))</f>
        <v>DRENAGEM</v>
      </c>
      <c r="O121" s="208"/>
      <c r="Q121" s="208"/>
      <c r="R121" s="209"/>
      <c r="S121" s="209"/>
      <c r="T121" s="209"/>
      <c r="U121" s="209"/>
      <c r="V121" s="209"/>
      <c r="W121" s="209"/>
      <c r="X121" s="209"/>
      <c r="Y121" s="209"/>
      <c r="Z121" s="210"/>
      <c r="AB121" s="626">
        <f ca="1">IF(AND($D121="Serviço",AB$12&lt;&gt;0,$H121&gt;0,OR(AUTOEVENTO&lt;&gt;"manual",$M121&lt;&gt;1)),
IF(Import.TipoArredondamento&lt;&gt;"TransfereGOV",
ROUND(OFFSET($P121,0,AB$13),15-13*ORÇAMENTO!$AF$7)/$H121*OFFSET(ORÇAMENTO!$X$15,ROW(AB121)-ROW(AB$15),0),
ROUND(ROUND(OFFSET($P121,0,AB$13),15-13*ORÇAMENTO!$AF$7)*OFFSET(ORÇAMENTO!$W$15,ROW(AB121)-ROW(AB$15),0),15-13*ORÇAMENTO!$AF$11)),0)</f>
        <v>0</v>
      </c>
      <c r="AC121" s="627">
        <f ca="1">IF(AND($D121="Serviço",AC$12&lt;&gt;0,$H121&gt;0,OR(AUTOEVENTO&lt;&gt;"manual",$M121&lt;&gt;1)),
IF(Import.TipoArredondamento&lt;&gt;"TransfereGOV",
ROUND(OFFSET($P121,0,AC$13),15-13*ORÇAMENTO!$AF$7)/$H121*OFFSET(ORÇAMENTO!$X$15,ROW(AC121)-ROW(AC$15),0),
ROUND(ROUND(OFFSET($P121,0,AC$13),15-13*ORÇAMENTO!$AF$7)*OFFSET(ORÇAMENTO!$W$15,ROW(AC121)-ROW(AC$15),0),15-13*ORÇAMENTO!$AF$11)),0)</f>
        <v>0</v>
      </c>
      <c r="AD121" s="627">
        <f ca="1">IF(AND($D121="Serviço",AD$12&lt;&gt;0,$H121&gt;0,OR(AUTOEVENTO&lt;&gt;"manual",$M121&lt;&gt;1)),
IF(Import.TipoArredondamento&lt;&gt;"TransfereGOV",
ROUND(OFFSET($P121,0,AD$13),15-13*ORÇAMENTO!$AF$7)/$H121*OFFSET(ORÇAMENTO!$X$15,ROW(AD121)-ROW(AD$15),0),
ROUND(ROUND(OFFSET($P121,0,AD$13),15-13*ORÇAMENTO!$AF$7)*OFFSET(ORÇAMENTO!$W$15,ROW(AD121)-ROW(AD$15),0),15-13*ORÇAMENTO!$AF$11)),0)</f>
        <v>0</v>
      </c>
      <c r="AE121" s="627">
        <f ca="1">IF(AND($D121="Serviço",AE$12&lt;&gt;0,$H121&gt;0,OR(AUTOEVENTO&lt;&gt;"manual",$M121&lt;&gt;1)),
IF(Import.TipoArredondamento&lt;&gt;"TransfereGOV",
ROUND(OFFSET($P121,0,AE$13),15-13*ORÇAMENTO!$AF$7)/$H121*OFFSET(ORÇAMENTO!$X$15,ROW(AE121)-ROW(AE$15),0),
ROUND(ROUND(OFFSET($P121,0,AE$13),15-13*ORÇAMENTO!$AF$7)*OFFSET(ORÇAMENTO!$W$15,ROW(AE121)-ROW(AE$15),0),15-13*ORÇAMENTO!$AF$11)),0)</f>
        <v>0</v>
      </c>
      <c r="AF121" s="627">
        <f ca="1">IF(AND($D121="Serviço",AF$12&lt;&gt;0,$H121&gt;0,OR(AUTOEVENTO&lt;&gt;"manual",$M121&lt;&gt;1)),
IF(Import.TipoArredondamento&lt;&gt;"TransfereGOV",
ROUND(OFFSET($P121,0,AF$13),15-13*ORÇAMENTO!$AF$7)/$H121*OFFSET(ORÇAMENTO!$X$15,ROW(AF121)-ROW(AF$15),0),
ROUND(ROUND(OFFSET($P121,0,AF$13),15-13*ORÇAMENTO!$AF$7)*OFFSET(ORÇAMENTO!$W$15,ROW(AF121)-ROW(AF$15),0),15-13*ORÇAMENTO!$AF$11)),0)</f>
        <v>0</v>
      </c>
      <c r="AG121" s="627">
        <f ca="1">IF(AND($D121="Serviço",AG$12&lt;&gt;0,$H121&gt;0,OR(AUTOEVENTO&lt;&gt;"manual",$M121&lt;&gt;1)),
IF(Import.TipoArredondamento&lt;&gt;"TransfereGOV",
ROUND(OFFSET($P121,0,AG$13),15-13*ORÇAMENTO!$AF$7)/$H121*OFFSET(ORÇAMENTO!$X$15,ROW(AG121)-ROW(AG$15),0),
ROUND(ROUND(OFFSET($P121,0,AG$13),15-13*ORÇAMENTO!$AF$7)*OFFSET(ORÇAMENTO!$W$15,ROW(AG121)-ROW(AG$15),0),15-13*ORÇAMENTO!$AF$11)),0)</f>
        <v>0</v>
      </c>
      <c r="AH121" s="627">
        <f ca="1">IF(AND($D121="Serviço",AH$12&lt;&gt;0,$H121&gt;0,OR(AUTOEVENTO&lt;&gt;"manual",$M121&lt;&gt;1)),
IF(Import.TipoArredondamento&lt;&gt;"TransfereGOV",
ROUND(OFFSET($P121,0,AH$13),15-13*ORÇAMENTO!$AF$7)/$H121*OFFSET(ORÇAMENTO!$X$15,ROW(AH121)-ROW(AH$15),0),
ROUND(ROUND(OFFSET($P121,0,AH$13),15-13*ORÇAMENTO!$AF$7)*OFFSET(ORÇAMENTO!$W$15,ROW(AH121)-ROW(AH$15),0),15-13*ORÇAMENTO!$AF$11)),0)</f>
        <v>0</v>
      </c>
      <c r="AI121" s="627">
        <f ca="1">IF(AND($D121="Serviço",AI$12&lt;&gt;0,$H121&gt;0,OR(AUTOEVENTO&lt;&gt;"manual",$M121&lt;&gt;1)),
IF(Import.TipoArredondamento&lt;&gt;"TransfereGOV",
ROUND(OFFSET($P121,0,AI$13),15-13*ORÇAMENTO!$AF$7)/$H121*OFFSET(ORÇAMENTO!$X$15,ROW(AI121)-ROW(AI$15),0),
ROUND(ROUND(OFFSET($P121,0,AI$13),15-13*ORÇAMENTO!$AF$7)*OFFSET(ORÇAMENTO!$W$15,ROW(AI121)-ROW(AI$15),0),15-13*ORÇAMENTO!$AF$11)),0)</f>
        <v>0</v>
      </c>
      <c r="AJ121" s="627">
        <f ca="1">IF(AND($D121="Serviço",AJ$12&lt;&gt;0,$H121&gt;0,OR(AUTOEVENTO&lt;&gt;"manual",$M121&lt;&gt;1)),
IF(Import.TipoArredondamento&lt;&gt;"TransfereGOV",
ROUND(OFFSET($P121,0,AJ$13),15-13*ORÇAMENTO!$AF$7)/$H121*OFFSET(ORÇAMENTO!$X$15,ROW(AJ121)-ROW(AJ$15),0),
ROUND(ROUND(OFFSET($P121,0,AJ$13),15-13*ORÇAMENTO!$AF$7)*OFFSET(ORÇAMENTO!$W$15,ROW(AJ121)-ROW(AJ$15),0),15-13*ORÇAMENTO!$AF$11)),0)</f>
        <v>0</v>
      </c>
      <c r="AK121" s="628">
        <f ca="1">IF(AND($D121="Serviço",AK$12&lt;&gt;0,$H121&gt;0,OR(AUTOEVENTO&lt;&gt;"manual",$M121&lt;&gt;1)),
IF(Import.TipoArredondamento&lt;&gt;"TransfereGOV",
ROUND(OFFSET($P121,0,AK$13),15-13*ORÇAMENTO!$AF$7)/$H121*OFFSET(ORÇAMENTO!$X$15,ROW(AK121)-ROW(AK$15),0),
ROUND(ROUND(OFFSET($P121,0,AK$13),15-13*ORÇAMENTO!$AF$7)*OFFSET(ORÇAMENTO!$W$15,ROW(AK121)-ROW(AK$15),0),15-13*ORÇAMENTO!$AF$11)),0)</f>
        <v>0</v>
      </c>
      <c r="AM121" s="211">
        <f ca="1">IF($D121&lt;&gt;"Serviço",0,IF(AND(AUTOEVENTO="Manual",$M121=1),0,IF(OFFSET(CRONOPLE!$F$14,$M121,AM$13)="",10^12,OFFSET(CRONOPLE!$F$14,$M121,AM$13))))</f>
        <v>2</v>
      </c>
      <c r="AN121" s="211">
        <f ca="1">IF($D121&lt;&gt;"Serviço",0,IF(AND(AUTOEVENTO="Manual",$M121=1),0,IF(OFFSET(CRONOPLE!$F$14,$M121,AN$13)="",10^12,OFFSET(CRONOPLE!$F$14,$M121,AN$13))))</f>
        <v>1</v>
      </c>
      <c r="AO121" s="211">
        <f ca="1">IF($D121&lt;&gt;"Serviço",0,IF(AND(AUTOEVENTO="Manual",$M121=1),0,IF(OFFSET(CRONOPLE!$F$14,$M121,AO$13)="",10^12,OFFSET(CRONOPLE!$F$14,$M121,AO$13))))</f>
        <v>2</v>
      </c>
      <c r="AP121" s="211">
        <f ca="1">IF($D121&lt;&gt;"Serviço",0,IF(AND(AUTOEVENTO="Manual",$M121=1),0,IF(OFFSET(CRONOPLE!$F$14,$M121,AP$13)="",10^12,OFFSET(CRONOPLE!$F$14,$M121,AP$13))))</f>
        <v>2</v>
      </c>
      <c r="AQ121" s="211">
        <f ca="1">IF($D121&lt;&gt;"Serviço",0,IF(AND(AUTOEVENTO="Manual",$M121=1),0,IF(OFFSET(CRONOPLE!$F$14,$M121,AQ$13)="",10^12,OFFSET(CRONOPLE!$F$14,$M121,AQ$13))))</f>
        <v>1000000000000</v>
      </c>
      <c r="AR121" s="211">
        <f ca="1">IF($D121&lt;&gt;"Serviço",0,IF(AND(AUTOEVENTO="Manual",$M121=1),0,IF(OFFSET(CRONOPLE!$F$14,$M121,AR$13)="",10^12,OFFSET(CRONOPLE!$F$14,$M121,AR$13))))</f>
        <v>1000000000000</v>
      </c>
      <c r="AS121" s="211">
        <f ca="1">IF($D121&lt;&gt;"Serviço",0,IF(AND(AUTOEVENTO="Manual",$M121=1),0,IF(OFFSET(CRONOPLE!$F$14,$M121,AS$13)="",10^12,OFFSET(CRONOPLE!$F$14,$M121,AS$13))))</f>
        <v>1000000000000</v>
      </c>
      <c r="AT121" s="211">
        <f ca="1">IF($D121&lt;&gt;"Serviço",0,IF(AND(AUTOEVENTO="Manual",$M121=1),0,IF(OFFSET(CRONOPLE!$F$14,$M121,AT$13)="",10^12,OFFSET(CRONOPLE!$F$14,$M121,AT$13))))</f>
        <v>1000000000000</v>
      </c>
      <c r="AU121" s="211">
        <f ca="1">IF($D121&lt;&gt;"Serviço",0,IF(AND(AUTOEVENTO="Manual",$M121=1),0,IF(OFFSET(CRONOPLE!$F$14,$M121,AU$13)="",10^12,OFFSET(CRONOPLE!$F$14,$M121,AU$13))))</f>
        <v>1000000000000</v>
      </c>
      <c r="AV121" s="211">
        <f ca="1">IF($D121&lt;&gt;"Serviço",0,IF(AND(AUTOEVENTO="Manual",$M121=1),0,IF(OFFSET(CRONOPLE!$F$14,$M121,AV$13)="",10^12,OFFSET(CRONOPLE!$F$14,$M121,AV$13))))</f>
        <v>1000000000000</v>
      </c>
      <c r="AX121" s="212">
        <f ca="1">IF($D121&lt;&gt;"Serviço",0,IF(OR(AND(AUTOEVENTO="Manual",$M121=1),$M121&gt;(ROW(PLE.lastrow)-ROW(PLE.firstrow))),0,IF(OFFSET(PLE!$G$14,$M121,AX$13)="",10^12,OFFSET(PLE!$G$14,$M121,AX$13))))</f>
        <v>1000000000000</v>
      </c>
      <c r="AY121" s="212">
        <f ca="1">IF($D121&lt;&gt;"Serviço",0,IF(OR(AND(AUTOEVENTO="Manual",$M121=1),$M121&gt;(ROW(PLE.lastrow)-ROW(PLE.firstrow))),0,IF(OFFSET(PLE!$G$14,$M121,AY$13)="",10^12,OFFSET(PLE!$G$14,$M121,AY$13))))</f>
        <v>1000000000000</v>
      </c>
      <c r="AZ121" s="212">
        <f ca="1">IF($D121&lt;&gt;"Serviço",0,IF(OR(AND(AUTOEVENTO="Manual",$M121=1),$M121&gt;(ROW(PLE.lastrow)-ROW(PLE.firstrow))),0,IF(OFFSET(PLE!$G$14,$M121,AZ$13)="",10^12,OFFSET(PLE!$G$14,$M121,AZ$13))))</f>
        <v>1000000000000</v>
      </c>
      <c r="BA121" s="212">
        <f ca="1">IF($D121&lt;&gt;"Serviço",0,IF(OR(AND(AUTOEVENTO="Manual",$M121=1),$M121&gt;(ROW(PLE.lastrow)-ROW(PLE.firstrow))),0,IF(OFFSET(PLE!$G$14,$M121,BA$13)="",10^12,OFFSET(PLE!$G$14,$M121,BA$13))))</f>
        <v>1000000000000</v>
      </c>
      <c r="BB121" s="212">
        <f ca="1">IF($D121&lt;&gt;"Serviço",0,IF(OR(AND(AUTOEVENTO="Manual",$M121=1),$M121&gt;(ROW(PLE.lastrow)-ROW(PLE.firstrow))),0,IF(OFFSET(PLE!$G$14,$M121,BB$13)="",10^12,OFFSET(PLE!$G$14,$M121,BB$13))))</f>
        <v>1000000000000</v>
      </c>
      <c r="BC121" s="212">
        <f ca="1">IF($D121&lt;&gt;"Serviço",0,IF(OR(AND(AUTOEVENTO="Manual",$M121=1),$M121&gt;(ROW(PLE.lastrow)-ROW(PLE.firstrow))),0,IF(OFFSET(PLE!$G$14,$M121,BC$13)="",10^12,OFFSET(PLE!$G$14,$M121,BC$13))))</f>
        <v>1000000000000</v>
      </c>
      <c r="BD121" s="212">
        <f ca="1">IF($D121&lt;&gt;"Serviço",0,IF(OR(AND(AUTOEVENTO="Manual",$M121=1),$M121&gt;(ROW(PLE.lastrow)-ROW(PLE.firstrow))),0,IF(OFFSET(PLE!$G$14,$M121,BD$13)="",10^12,OFFSET(PLE!$G$14,$M121,BD$13))))</f>
        <v>1000000000000</v>
      </c>
      <c r="BE121" s="212">
        <f ca="1">IF($D121&lt;&gt;"Serviço",0,IF(OR(AND(AUTOEVENTO="Manual",$M121=1),$M121&gt;(ROW(PLE.lastrow)-ROW(PLE.firstrow))),0,IF(OFFSET(PLE!$G$14,$M121,BE$13)="",10^12,OFFSET(PLE!$G$14,$M121,BE$13))))</f>
        <v>1000000000000</v>
      </c>
      <c r="BF121" s="212">
        <f ca="1">IF($D121&lt;&gt;"Serviço",0,IF(OR(AND(AUTOEVENTO="Manual",$M121=1),$M121&gt;(ROW(PLE.lastrow)-ROW(PLE.firstrow))),0,IF(OFFSET(PLE!$G$14,$M121,BF$13)="",10^12,OFFSET(PLE!$G$14,$M121,BF$13))))</f>
        <v>1000000000000</v>
      </c>
      <c r="BG121" s="212">
        <f ca="1">IF($D121&lt;&gt;"Serviço",0,IF(OR(AND(AUTOEVENTO="Manual",$M121=1),$M121&gt;(ROW(PLE.lastrow)-ROW(PLE.firstrow))),0,IF(OFFSET(PLE!$G$14,$M121,BG$13)="",10^12,OFFSET(PLE!$G$14,$M121,BG$13))))</f>
        <v>1000000000000</v>
      </c>
    </row>
    <row r="122" spans="1:59" ht="13.2">
      <c r="A122" s="9" t="str">
        <f t="shared" ca="1" si="10"/>
        <v>15</v>
      </c>
      <c r="B122" s="9" t="str">
        <f ca="1">OFFSET(ORÇAMENTO!C$15,ROW(B122)-ROW(B$15),0)</f>
        <v>S</v>
      </c>
      <c r="C122" s="9" t="str">
        <f ca="1">OFFSET(ORÇAMENTO!L$15,ROW(C122)-ROW(C$15),0)</f>
        <v/>
      </c>
      <c r="D122" s="141" t="str">
        <f ca="1">OFFSET(ORÇAMENTO!N$15,ROW(D122)-ROW(D$15),0)</f>
        <v>Serviço</v>
      </c>
      <c r="E122" s="201" t="str">
        <f ca="1">OFFSET(ORÇAMENTO!O$15,ROW(E122)-ROW(E$15),0)</f>
        <v>-</v>
      </c>
      <c r="F122" s="202" t="str">
        <f ca="1">OFFSET(ORÇAMENTO!R$15,ROW(F122)-ROW(F$15),0)</f>
        <v>(abra o arquivo 'Referência 11-2024.xlsm)</v>
      </c>
      <c r="G122" s="203" t="str">
        <f ca="1">IF($D122&lt;&gt;"Serviço","",OFFSET(ORÇAMENTO!S$15,ROW(G122)-ROW(G$15),0))</f>
        <v>-</v>
      </c>
      <c r="H122" s="147">
        <f ca="1">IF($D122&lt;&gt;"Serviço",0,IF(ACOMPANHAMENTO="BM",ROUND(OFFSET(ORÇAMENTO!AJ$15,ROW(H122)-ROW(H$15),0),15-13*ORÇAMENTO!$AF$7),SUMPRODUCT(($Q$12:$AA$12&lt;&gt;"")*ROUND($Q122:$AA122,15-13*ORÇAMENTO!$AF$7))))</f>
        <v>0</v>
      </c>
      <c r="I122" s="645"/>
      <c r="K122" s="204"/>
      <c r="L122" s="205" t="s">
        <v>255</v>
      </c>
      <c r="M122" s="206">
        <f ca="1">IF($D122&lt;&gt;"Serviço","",IF(AUTOEVENTO="manual",$A122,IF(ISERROR(MATCH($A122,$A$15:OFFSET($A122,-1,0),0)),MAX($M$15:OFFSET(M122,-1,0))+1,INDEX($M$15:OFFSET(M122,-1,0),MATCH($A122,$A$15:OFFSET($A122,-1,0),0)))))</f>
        <v>6</v>
      </c>
      <c r="N122" s="207" t="str">
        <f ca="1">IF($D122&lt;&gt;"Serviço","",IF(AUTOEVENTO="Manual",IF($A122=0,"&lt;-- defina o número do agrupador",OFFSET(EVENTOS!$D$14,$A122,0)),OFFSET($F$15,$A122,0)))</f>
        <v>DRENAGEM</v>
      </c>
      <c r="O122" s="208"/>
      <c r="Q122" s="208"/>
      <c r="R122" s="209"/>
      <c r="S122" s="209"/>
      <c r="T122" s="209"/>
      <c r="U122" s="209"/>
      <c r="V122" s="209"/>
      <c r="W122" s="209"/>
      <c r="X122" s="209"/>
      <c r="Y122" s="209"/>
      <c r="Z122" s="210"/>
      <c r="AB122" s="626">
        <f ca="1">IF(AND($D122="Serviço",AB$12&lt;&gt;0,$H122&gt;0,OR(AUTOEVENTO&lt;&gt;"manual",$M122&lt;&gt;1)),
IF(Import.TipoArredondamento&lt;&gt;"TransfereGOV",
ROUND(OFFSET($P122,0,AB$13),15-13*ORÇAMENTO!$AF$7)/$H122*OFFSET(ORÇAMENTO!$X$15,ROW(AB122)-ROW(AB$15),0),
ROUND(ROUND(OFFSET($P122,0,AB$13),15-13*ORÇAMENTO!$AF$7)*OFFSET(ORÇAMENTO!$W$15,ROW(AB122)-ROW(AB$15),0),15-13*ORÇAMENTO!$AF$11)),0)</f>
        <v>0</v>
      </c>
      <c r="AC122" s="627">
        <f ca="1">IF(AND($D122="Serviço",AC$12&lt;&gt;0,$H122&gt;0,OR(AUTOEVENTO&lt;&gt;"manual",$M122&lt;&gt;1)),
IF(Import.TipoArredondamento&lt;&gt;"TransfereGOV",
ROUND(OFFSET($P122,0,AC$13),15-13*ORÇAMENTO!$AF$7)/$H122*OFFSET(ORÇAMENTO!$X$15,ROW(AC122)-ROW(AC$15),0),
ROUND(ROUND(OFFSET($P122,0,AC$13),15-13*ORÇAMENTO!$AF$7)*OFFSET(ORÇAMENTO!$W$15,ROW(AC122)-ROW(AC$15),0),15-13*ORÇAMENTO!$AF$11)),0)</f>
        <v>0</v>
      </c>
      <c r="AD122" s="627">
        <f ca="1">IF(AND($D122="Serviço",AD$12&lt;&gt;0,$H122&gt;0,OR(AUTOEVENTO&lt;&gt;"manual",$M122&lt;&gt;1)),
IF(Import.TipoArredondamento&lt;&gt;"TransfereGOV",
ROUND(OFFSET($P122,0,AD$13),15-13*ORÇAMENTO!$AF$7)/$H122*OFFSET(ORÇAMENTO!$X$15,ROW(AD122)-ROW(AD$15),0),
ROUND(ROUND(OFFSET($P122,0,AD$13),15-13*ORÇAMENTO!$AF$7)*OFFSET(ORÇAMENTO!$W$15,ROW(AD122)-ROW(AD$15),0),15-13*ORÇAMENTO!$AF$11)),0)</f>
        <v>0</v>
      </c>
      <c r="AE122" s="627">
        <f ca="1">IF(AND($D122="Serviço",AE$12&lt;&gt;0,$H122&gt;0,OR(AUTOEVENTO&lt;&gt;"manual",$M122&lt;&gt;1)),
IF(Import.TipoArredondamento&lt;&gt;"TransfereGOV",
ROUND(OFFSET($P122,0,AE$13),15-13*ORÇAMENTO!$AF$7)/$H122*OFFSET(ORÇAMENTO!$X$15,ROW(AE122)-ROW(AE$15),0),
ROUND(ROUND(OFFSET($P122,0,AE$13),15-13*ORÇAMENTO!$AF$7)*OFFSET(ORÇAMENTO!$W$15,ROW(AE122)-ROW(AE$15),0),15-13*ORÇAMENTO!$AF$11)),0)</f>
        <v>0</v>
      </c>
      <c r="AF122" s="627">
        <f ca="1">IF(AND($D122="Serviço",AF$12&lt;&gt;0,$H122&gt;0,OR(AUTOEVENTO&lt;&gt;"manual",$M122&lt;&gt;1)),
IF(Import.TipoArredondamento&lt;&gt;"TransfereGOV",
ROUND(OFFSET($P122,0,AF$13),15-13*ORÇAMENTO!$AF$7)/$H122*OFFSET(ORÇAMENTO!$X$15,ROW(AF122)-ROW(AF$15),0),
ROUND(ROUND(OFFSET($P122,0,AF$13),15-13*ORÇAMENTO!$AF$7)*OFFSET(ORÇAMENTO!$W$15,ROW(AF122)-ROW(AF$15),0),15-13*ORÇAMENTO!$AF$11)),0)</f>
        <v>0</v>
      </c>
      <c r="AG122" s="627">
        <f ca="1">IF(AND($D122="Serviço",AG$12&lt;&gt;0,$H122&gt;0,OR(AUTOEVENTO&lt;&gt;"manual",$M122&lt;&gt;1)),
IF(Import.TipoArredondamento&lt;&gt;"TransfereGOV",
ROUND(OFFSET($P122,0,AG$13),15-13*ORÇAMENTO!$AF$7)/$H122*OFFSET(ORÇAMENTO!$X$15,ROW(AG122)-ROW(AG$15),0),
ROUND(ROUND(OFFSET($P122,0,AG$13),15-13*ORÇAMENTO!$AF$7)*OFFSET(ORÇAMENTO!$W$15,ROW(AG122)-ROW(AG$15),0),15-13*ORÇAMENTO!$AF$11)),0)</f>
        <v>0</v>
      </c>
      <c r="AH122" s="627">
        <f ca="1">IF(AND($D122="Serviço",AH$12&lt;&gt;0,$H122&gt;0,OR(AUTOEVENTO&lt;&gt;"manual",$M122&lt;&gt;1)),
IF(Import.TipoArredondamento&lt;&gt;"TransfereGOV",
ROUND(OFFSET($P122,0,AH$13),15-13*ORÇAMENTO!$AF$7)/$H122*OFFSET(ORÇAMENTO!$X$15,ROW(AH122)-ROW(AH$15),0),
ROUND(ROUND(OFFSET($P122,0,AH$13),15-13*ORÇAMENTO!$AF$7)*OFFSET(ORÇAMENTO!$W$15,ROW(AH122)-ROW(AH$15),0),15-13*ORÇAMENTO!$AF$11)),0)</f>
        <v>0</v>
      </c>
      <c r="AI122" s="627">
        <f ca="1">IF(AND($D122="Serviço",AI$12&lt;&gt;0,$H122&gt;0,OR(AUTOEVENTO&lt;&gt;"manual",$M122&lt;&gt;1)),
IF(Import.TipoArredondamento&lt;&gt;"TransfereGOV",
ROUND(OFFSET($P122,0,AI$13),15-13*ORÇAMENTO!$AF$7)/$H122*OFFSET(ORÇAMENTO!$X$15,ROW(AI122)-ROW(AI$15),0),
ROUND(ROUND(OFFSET($P122,0,AI$13),15-13*ORÇAMENTO!$AF$7)*OFFSET(ORÇAMENTO!$W$15,ROW(AI122)-ROW(AI$15),0),15-13*ORÇAMENTO!$AF$11)),0)</f>
        <v>0</v>
      </c>
      <c r="AJ122" s="627">
        <f ca="1">IF(AND($D122="Serviço",AJ$12&lt;&gt;0,$H122&gt;0,OR(AUTOEVENTO&lt;&gt;"manual",$M122&lt;&gt;1)),
IF(Import.TipoArredondamento&lt;&gt;"TransfereGOV",
ROUND(OFFSET($P122,0,AJ$13),15-13*ORÇAMENTO!$AF$7)/$H122*OFFSET(ORÇAMENTO!$X$15,ROW(AJ122)-ROW(AJ$15),0),
ROUND(ROUND(OFFSET($P122,0,AJ$13),15-13*ORÇAMENTO!$AF$7)*OFFSET(ORÇAMENTO!$W$15,ROW(AJ122)-ROW(AJ$15),0),15-13*ORÇAMENTO!$AF$11)),0)</f>
        <v>0</v>
      </c>
      <c r="AK122" s="628">
        <f ca="1">IF(AND($D122="Serviço",AK$12&lt;&gt;0,$H122&gt;0,OR(AUTOEVENTO&lt;&gt;"manual",$M122&lt;&gt;1)),
IF(Import.TipoArredondamento&lt;&gt;"TransfereGOV",
ROUND(OFFSET($P122,0,AK$13),15-13*ORÇAMENTO!$AF$7)/$H122*OFFSET(ORÇAMENTO!$X$15,ROW(AK122)-ROW(AK$15),0),
ROUND(ROUND(OFFSET($P122,0,AK$13),15-13*ORÇAMENTO!$AF$7)*OFFSET(ORÇAMENTO!$W$15,ROW(AK122)-ROW(AK$15),0),15-13*ORÇAMENTO!$AF$11)),0)</f>
        <v>0</v>
      </c>
      <c r="AM122" s="211">
        <f ca="1">IF($D122&lt;&gt;"Serviço",0,IF(AND(AUTOEVENTO="Manual",$M122=1),0,IF(OFFSET(CRONOPLE!$F$14,$M122,AM$13)="",10^12,OFFSET(CRONOPLE!$F$14,$M122,AM$13))))</f>
        <v>2</v>
      </c>
      <c r="AN122" s="211">
        <f ca="1">IF($D122&lt;&gt;"Serviço",0,IF(AND(AUTOEVENTO="Manual",$M122=1),0,IF(OFFSET(CRONOPLE!$F$14,$M122,AN$13)="",10^12,OFFSET(CRONOPLE!$F$14,$M122,AN$13))))</f>
        <v>1</v>
      </c>
      <c r="AO122" s="211">
        <f ca="1">IF($D122&lt;&gt;"Serviço",0,IF(AND(AUTOEVENTO="Manual",$M122=1),0,IF(OFFSET(CRONOPLE!$F$14,$M122,AO$13)="",10^12,OFFSET(CRONOPLE!$F$14,$M122,AO$13))))</f>
        <v>2</v>
      </c>
      <c r="AP122" s="211">
        <f ca="1">IF($D122&lt;&gt;"Serviço",0,IF(AND(AUTOEVENTO="Manual",$M122=1),0,IF(OFFSET(CRONOPLE!$F$14,$M122,AP$13)="",10^12,OFFSET(CRONOPLE!$F$14,$M122,AP$13))))</f>
        <v>2</v>
      </c>
      <c r="AQ122" s="211">
        <f ca="1">IF($D122&lt;&gt;"Serviço",0,IF(AND(AUTOEVENTO="Manual",$M122=1),0,IF(OFFSET(CRONOPLE!$F$14,$M122,AQ$13)="",10^12,OFFSET(CRONOPLE!$F$14,$M122,AQ$13))))</f>
        <v>1000000000000</v>
      </c>
      <c r="AR122" s="211">
        <f ca="1">IF($D122&lt;&gt;"Serviço",0,IF(AND(AUTOEVENTO="Manual",$M122=1),0,IF(OFFSET(CRONOPLE!$F$14,$M122,AR$13)="",10^12,OFFSET(CRONOPLE!$F$14,$M122,AR$13))))</f>
        <v>1000000000000</v>
      </c>
      <c r="AS122" s="211">
        <f ca="1">IF($D122&lt;&gt;"Serviço",0,IF(AND(AUTOEVENTO="Manual",$M122=1),0,IF(OFFSET(CRONOPLE!$F$14,$M122,AS$13)="",10^12,OFFSET(CRONOPLE!$F$14,$M122,AS$13))))</f>
        <v>1000000000000</v>
      </c>
      <c r="AT122" s="211">
        <f ca="1">IF($D122&lt;&gt;"Serviço",0,IF(AND(AUTOEVENTO="Manual",$M122=1),0,IF(OFFSET(CRONOPLE!$F$14,$M122,AT$13)="",10^12,OFFSET(CRONOPLE!$F$14,$M122,AT$13))))</f>
        <v>1000000000000</v>
      </c>
      <c r="AU122" s="211">
        <f ca="1">IF($D122&lt;&gt;"Serviço",0,IF(AND(AUTOEVENTO="Manual",$M122=1),0,IF(OFFSET(CRONOPLE!$F$14,$M122,AU$13)="",10^12,OFFSET(CRONOPLE!$F$14,$M122,AU$13))))</f>
        <v>1000000000000</v>
      </c>
      <c r="AV122" s="211">
        <f ca="1">IF($D122&lt;&gt;"Serviço",0,IF(AND(AUTOEVENTO="Manual",$M122=1),0,IF(OFFSET(CRONOPLE!$F$14,$M122,AV$13)="",10^12,OFFSET(CRONOPLE!$F$14,$M122,AV$13))))</f>
        <v>1000000000000</v>
      </c>
      <c r="AX122" s="212">
        <f ca="1">IF($D122&lt;&gt;"Serviço",0,IF(OR(AND(AUTOEVENTO="Manual",$M122=1),$M122&gt;(ROW(PLE.lastrow)-ROW(PLE.firstrow))),0,IF(OFFSET(PLE!$G$14,$M122,AX$13)="",10^12,OFFSET(PLE!$G$14,$M122,AX$13))))</f>
        <v>1000000000000</v>
      </c>
      <c r="AY122" s="212">
        <f ca="1">IF($D122&lt;&gt;"Serviço",0,IF(OR(AND(AUTOEVENTO="Manual",$M122=1),$M122&gt;(ROW(PLE.lastrow)-ROW(PLE.firstrow))),0,IF(OFFSET(PLE!$G$14,$M122,AY$13)="",10^12,OFFSET(PLE!$G$14,$M122,AY$13))))</f>
        <v>1000000000000</v>
      </c>
      <c r="AZ122" s="212">
        <f ca="1">IF($D122&lt;&gt;"Serviço",0,IF(OR(AND(AUTOEVENTO="Manual",$M122=1),$M122&gt;(ROW(PLE.lastrow)-ROW(PLE.firstrow))),0,IF(OFFSET(PLE!$G$14,$M122,AZ$13)="",10^12,OFFSET(PLE!$G$14,$M122,AZ$13))))</f>
        <v>1000000000000</v>
      </c>
      <c r="BA122" s="212">
        <f ca="1">IF($D122&lt;&gt;"Serviço",0,IF(OR(AND(AUTOEVENTO="Manual",$M122=1),$M122&gt;(ROW(PLE.lastrow)-ROW(PLE.firstrow))),0,IF(OFFSET(PLE!$G$14,$M122,BA$13)="",10^12,OFFSET(PLE!$G$14,$M122,BA$13))))</f>
        <v>1000000000000</v>
      </c>
      <c r="BB122" s="212">
        <f ca="1">IF($D122&lt;&gt;"Serviço",0,IF(OR(AND(AUTOEVENTO="Manual",$M122=1),$M122&gt;(ROW(PLE.lastrow)-ROW(PLE.firstrow))),0,IF(OFFSET(PLE!$G$14,$M122,BB$13)="",10^12,OFFSET(PLE!$G$14,$M122,BB$13))))</f>
        <v>1000000000000</v>
      </c>
      <c r="BC122" s="212">
        <f ca="1">IF($D122&lt;&gt;"Serviço",0,IF(OR(AND(AUTOEVENTO="Manual",$M122=1),$M122&gt;(ROW(PLE.lastrow)-ROW(PLE.firstrow))),0,IF(OFFSET(PLE!$G$14,$M122,BC$13)="",10^12,OFFSET(PLE!$G$14,$M122,BC$13))))</f>
        <v>1000000000000</v>
      </c>
      <c r="BD122" s="212">
        <f ca="1">IF($D122&lt;&gt;"Serviço",0,IF(OR(AND(AUTOEVENTO="Manual",$M122=1),$M122&gt;(ROW(PLE.lastrow)-ROW(PLE.firstrow))),0,IF(OFFSET(PLE!$G$14,$M122,BD$13)="",10^12,OFFSET(PLE!$G$14,$M122,BD$13))))</f>
        <v>1000000000000</v>
      </c>
      <c r="BE122" s="212">
        <f ca="1">IF($D122&lt;&gt;"Serviço",0,IF(OR(AND(AUTOEVENTO="Manual",$M122=1),$M122&gt;(ROW(PLE.lastrow)-ROW(PLE.firstrow))),0,IF(OFFSET(PLE!$G$14,$M122,BE$13)="",10^12,OFFSET(PLE!$G$14,$M122,BE$13))))</f>
        <v>1000000000000</v>
      </c>
      <c r="BF122" s="212">
        <f ca="1">IF($D122&lt;&gt;"Serviço",0,IF(OR(AND(AUTOEVENTO="Manual",$M122=1),$M122&gt;(ROW(PLE.lastrow)-ROW(PLE.firstrow))),0,IF(OFFSET(PLE!$G$14,$M122,BF$13)="",10^12,OFFSET(PLE!$G$14,$M122,BF$13))))</f>
        <v>1000000000000</v>
      </c>
      <c r="BG122" s="212">
        <f ca="1">IF($D122&lt;&gt;"Serviço",0,IF(OR(AND(AUTOEVENTO="Manual",$M122=1),$M122&gt;(ROW(PLE.lastrow)-ROW(PLE.firstrow))),0,IF(OFFSET(PLE!$G$14,$M122,BG$13)="",10^12,OFFSET(PLE!$G$14,$M122,BG$13))))</f>
        <v>1000000000000</v>
      </c>
    </row>
    <row r="123" spans="1:59" ht="13.2">
      <c r="A123" s="9" t="str">
        <f t="shared" ca="1" si="10"/>
        <v>15</v>
      </c>
      <c r="B123" s="9" t="str">
        <f ca="1">OFFSET(ORÇAMENTO!C$15,ROW(B123)-ROW(B$15),0)</f>
        <v>S</v>
      </c>
      <c r="C123" s="9" t="str">
        <f ca="1">OFFSET(ORÇAMENTO!L$15,ROW(C123)-ROW(C$15),0)</f>
        <v/>
      </c>
      <c r="D123" s="141" t="str">
        <f ca="1">OFFSET(ORÇAMENTO!N$15,ROW(D123)-ROW(D$15),0)</f>
        <v>Serviço</v>
      </c>
      <c r="E123" s="201" t="str">
        <f ca="1">OFFSET(ORÇAMENTO!O$15,ROW(E123)-ROW(E$15),0)</f>
        <v>-</v>
      </c>
      <c r="F123" s="202" t="str">
        <f ca="1">OFFSET(ORÇAMENTO!R$15,ROW(F123)-ROW(F$15),0)</f>
        <v>(abra o arquivo 'Referência 11-2024.xlsm)</v>
      </c>
      <c r="G123" s="203" t="str">
        <f ca="1">IF($D123&lt;&gt;"Serviço","",OFFSET(ORÇAMENTO!S$15,ROW(G123)-ROW(G$15),0))</f>
        <v>-</v>
      </c>
      <c r="H123" s="147">
        <f ca="1">IF($D123&lt;&gt;"Serviço",0,IF(ACOMPANHAMENTO="BM",ROUND(OFFSET(ORÇAMENTO!AJ$15,ROW(H123)-ROW(H$15),0),15-13*ORÇAMENTO!$AF$7),SUMPRODUCT(($Q$12:$AA$12&lt;&gt;"")*ROUND($Q123:$AA123,15-13*ORÇAMENTO!$AF$7))))</f>
        <v>0</v>
      </c>
      <c r="I123" s="645"/>
      <c r="K123" s="204"/>
      <c r="L123" s="205" t="s">
        <v>255</v>
      </c>
      <c r="M123" s="206">
        <f ca="1">IF($D123&lt;&gt;"Serviço","",IF(AUTOEVENTO="manual",$A123,IF(ISERROR(MATCH($A123,$A$15:OFFSET($A123,-1,0),0)),MAX($M$15:OFFSET(M123,-1,0))+1,INDEX($M$15:OFFSET(M123,-1,0),MATCH($A123,$A$15:OFFSET($A123,-1,0),0)))))</f>
        <v>6</v>
      </c>
      <c r="N123" s="207" t="str">
        <f ca="1">IF($D123&lt;&gt;"Serviço","",IF(AUTOEVENTO="Manual",IF($A123=0,"&lt;-- defina o número do agrupador",OFFSET(EVENTOS!$D$14,$A123,0)),OFFSET($F$15,$A123,0)))</f>
        <v>DRENAGEM</v>
      </c>
      <c r="O123" s="208"/>
      <c r="Q123" s="208"/>
      <c r="R123" s="209"/>
      <c r="S123" s="209"/>
      <c r="T123" s="209"/>
      <c r="U123" s="209"/>
      <c r="V123" s="209"/>
      <c r="W123" s="209"/>
      <c r="X123" s="209"/>
      <c r="Y123" s="209"/>
      <c r="Z123" s="210"/>
      <c r="AB123" s="626">
        <f ca="1">IF(AND($D123="Serviço",AB$12&lt;&gt;0,$H123&gt;0,OR(AUTOEVENTO&lt;&gt;"manual",$M123&lt;&gt;1)),
IF(Import.TipoArredondamento&lt;&gt;"TransfereGOV",
ROUND(OFFSET($P123,0,AB$13),15-13*ORÇAMENTO!$AF$7)/$H123*OFFSET(ORÇAMENTO!$X$15,ROW(AB123)-ROW(AB$15),0),
ROUND(ROUND(OFFSET($P123,0,AB$13),15-13*ORÇAMENTO!$AF$7)*OFFSET(ORÇAMENTO!$W$15,ROW(AB123)-ROW(AB$15),0),15-13*ORÇAMENTO!$AF$11)),0)</f>
        <v>0</v>
      </c>
      <c r="AC123" s="627">
        <f ca="1">IF(AND($D123="Serviço",AC$12&lt;&gt;0,$H123&gt;0,OR(AUTOEVENTO&lt;&gt;"manual",$M123&lt;&gt;1)),
IF(Import.TipoArredondamento&lt;&gt;"TransfereGOV",
ROUND(OFFSET($P123,0,AC$13),15-13*ORÇAMENTO!$AF$7)/$H123*OFFSET(ORÇAMENTO!$X$15,ROW(AC123)-ROW(AC$15),0),
ROUND(ROUND(OFFSET($P123,0,AC$13),15-13*ORÇAMENTO!$AF$7)*OFFSET(ORÇAMENTO!$W$15,ROW(AC123)-ROW(AC$15),0),15-13*ORÇAMENTO!$AF$11)),0)</f>
        <v>0</v>
      </c>
      <c r="AD123" s="627">
        <f ca="1">IF(AND($D123="Serviço",AD$12&lt;&gt;0,$H123&gt;0,OR(AUTOEVENTO&lt;&gt;"manual",$M123&lt;&gt;1)),
IF(Import.TipoArredondamento&lt;&gt;"TransfereGOV",
ROUND(OFFSET($P123,0,AD$13),15-13*ORÇAMENTO!$AF$7)/$H123*OFFSET(ORÇAMENTO!$X$15,ROW(AD123)-ROW(AD$15),0),
ROUND(ROUND(OFFSET($P123,0,AD$13),15-13*ORÇAMENTO!$AF$7)*OFFSET(ORÇAMENTO!$W$15,ROW(AD123)-ROW(AD$15),0),15-13*ORÇAMENTO!$AF$11)),0)</f>
        <v>0</v>
      </c>
      <c r="AE123" s="627">
        <f ca="1">IF(AND($D123="Serviço",AE$12&lt;&gt;0,$H123&gt;0,OR(AUTOEVENTO&lt;&gt;"manual",$M123&lt;&gt;1)),
IF(Import.TipoArredondamento&lt;&gt;"TransfereGOV",
ROUND(OFFSET($P123,0,AE$13),15-13*ORÇAMENTO!$AF$7)/$H123*OFFSET(ORÇAMENTO!$X$15,ROW(AE123)-ROW(AE$15),0),
ROUND(ROUND(OFFSET($P123,0,AE$13),15-13*ORÇAMENTO!$AF$7)*OFFSET(ORÇAMENTO!$W$15,ROW(AE123)-ROW(AE$15),0),15-13*ORÇAMENTO!$AF$11)),0)</f>
        <v>0</v>
      </c>
      <c r="AF123" s="627">
        <f ca="1">IF(AND($D123="Serviço",AF$12&lt;&gt;0,$H123&gt;0,OR(AUTOEVENTO&lt;&gt;"manual",$M123&lt;&gt;1)),
IF(Import.TipoArredondamento&lt;&gt;"TransfereGOV",
ROUND(OFFSET($P123,0,AF$13),15-13*ORÇAMENTO!$AF$7)/$H123*OFFSET(ORÇAMENTO!$X$15,ROW(AF123)-ROW(AF$15),0),
ROUND(ROUND(OFFSET($P123,0,AF$13),15-13*ORÇAMENTO!$AF$7)*OFFSET(ORÇAMENTO!$W$15,ROW(AF123)-ROW(AF$15),0),15-13*ORÇAMENTO!$AF$11)),0)</f>
        <v>0</v>
      </c>
      <c r="AG123" s="627">
        <f ca="1">IF(AND($D123="Serviço",AG$12&lt;&gt;0,$H123&gt;0,OR(AUTOEVENTO&lt;&gt;"manual",$M123&lt;&gt;1)),
IF(Import.TipoArredondamento&lt;&gt;"TransfereGOV",
ROUND(OFFSET($P123,0,AG$13),15-13*ORÇAMENTO!$AF$7)/$H123*OFFSET(ORÇAMENTO!$X$15,ROW(AG123)-ROW(AG$15),0),
ROUND(ROUND(OFFSET($P123,0,AG$13),15-13*ORÇAMENTO!$AF$7)*OFFSET(ORÇAMENTO!$W$15,ROW(AG123)-ROW(AG$15),0),15-13*ORÇAMENTO!$AF$11)),0)</f>
        <v>0</v>
      </c>
      <c r="AH123" s="627">
        <f ca="1">IF(AND($D123="Serviço",AH$12&lt;&gt;0,$H123&gt;0,OR(AUTOEVENTO&lt;&gt;"manual",$M123&lt;&gt;1)),
IF(Import.TipoArredondamento&lt;&gt;"TransfereGOV",
ROUND(OFFSET($P123,0,AH$13),15-13*ORÇAMENTO!$AF$7)/$H123*OFFSET(ORÇAMENTO!$X$15,ROW(AH123)-ROW(AH$15),0),
ROUND(ROUND(OFFSET($P123,0,AH$13),15-13*ORÇAMENTO!$AF$7)*OFFSET(ORÇAMENTO!$W$15,ROW(AH123)-ROW(AH$15),0),15-13*ORÇAMENTO!$AF$11)),0)</f>
        <v>0</v>
      </c>
      <c r="AI123" s="627">
        <f ca="1">IF(AND($D123="Serviço",AI$12&lt;&gt;0,$H123&gt;0,OR(AUTOEVENTO&lt;&gt;"manual",$M123&lt;&gt;1)),
IF(Import.TipoArredondamento&lt;&gt;"TransfereGOV",
ROUND(OFFSET($P123,0,AI$13),15-13*ORÇAMENTO!$AF$7)/$H123*OFFSET(ORÇAMENTO!$X$15,ROW(AI123)-ROW(AI$15),0),
ROUND(ROUND(OFFSET($P123,0,AI$13),15-13*ORÇAMENTO!$AF$7)*OFFSET(ORÇAMENTO!$W$15,ROW(AI123)-ROW(AI$15),0),15-13*ORÇAMENTO!$AF$11)),0)</f>
        <v>0</v>
      </c>
      <c r="AJ123" s="627">
        <f ca="1">IF(AND($D123="Serviço",AJ$12&lt;&gt;0,$H123&gt;0,OR(AUTOEVENTO&lt;&gt;"manual",$M123&lt;&gt;1)),
IF(Import.TipoArredondamento&lt;&gt;"TransfereGOV",
ROUND(OFFSET($P123,0,AJ$13),15-13*ORÇAMENTO!$AF$7)/$H123*OFFSET(ORÇAMENTO!$X$15,ROW(AJ123)-ROW(AJ$15),0),
ROUND(ROUND(OFFSET($P123,0,AJ$13),15-13*ORÇAMENTO!$AF$7)*OFFSET(ORÇAMENTO!$W$15,ROW(AJ123)-ROW(AJ$15),0),15-13*ORÇAMENTO!$AF$11)),0)</f>
        <v>0</v>
      </c>
      <c r="AK123" s="628">
        <f ca="1">IF(AND($D123="Serviço",AK$12&lt;&gt;0,$H123&gt;0,OR(AUTOEVENTO&lt;&gt;"manual",$M123&lt;&gt;1)),
IF(Import.TipoArredondamento&lt;&gt;"TransfereGOV",
ROUND(OFFSET($P123,0,AK$13),15-13*ORÇAMENTO!$AF$7)/$H123*OFFSET(ORÇAMENTO!$X$15,ROW(AK123)-ROW(AK$15),0),
ROUND(ROUND(OFFSET($P123,0,AK$13),15-13*ORÇAMENTO!$AF$7)*OFFSET(ORÇAMENTO!$W$15,ROW(AK123)-ROW(AK$15),0),15-13*ORÇAMENTO!$AF$11)),0)</f>
        <v>0</v>
      </c>
      <c r="AM123" s="211">
        <f ca="1">IF($D123&lt;&gt;"Serviço",0,IF(AND(AUTOEVENTO="Manual",$M123=1),0,IF(OFFSET(CRONOPLE!$F$14,$M123,AM$13)="",10^12,OFFSET(CRONOPLE!$F$14,$M123,AM$13))))</f>
        <v>2</v>
      </c>
      <c r="AN123" s="211">
        <f ca="1">IF($D123&lt;&gt;"Serviço",0,IF(AND(AUTOEVENTO="Manual",$M123=1),0,IF(OFFSET(CRONOPLE!$F$14,$M123,AN$13)="",10^12,OFFSET(CRONOPLE!$F$14,$M123,AN$13))))</f>
        <v>1</v>
      </c>
      <c r="AO123" s="211">
        <f ca="1">IF($D123&lt;&gt;"Serviço",0,IF(AND(AUTOEVENTO="Manual",$M123=1),0,IF(OFFSET(CRONOPLE!$F$14,$M123,AO$13)="",10^12,OFFSET(CRONOPLE!$F$14,$M123,AO$13))))</f>
        <v>2</v>
      </c>
      <c r="AP123" s="211">
        <f ca="1">IF($D123&lt;&gt;"Serviço",0,IF(AND(AUTOEVENTO="Manual",$M123=1),0,IF(OFFSET(CRONOPLE!$F$14,$M123,AP$13)="",10^12,OFFSET(CRONOPLE!$F$14,$M123,AP$13))))</f>
        <v>2</v>
      </c>
      <c r="AQ123" s="211">
        <f ca="1">IF($D123&lt;&gt;"Serviço",0,IF(AND(AUTOEVENTO="Manual",$M123=1),0,IF(OFFSET(CRONOPLE!$F$14,$M123,AQ$13)="",10^12,OFFSET(CRONOPLE!$F$14,$M123,AQ$13))))</f>
        <v>1000000000000</v>
      </c>
      <c r="AR123" s="211">
        <f ca="1">IF($D123&lt;&gt;"Serviço",0,IF(AND(AUTOEVENTO="Manual",$M123=1),0,IF(OFFSET(CRONOPLE!$F$14,$M123,AR$13)="",10^12,OFFSET(CRONOPLE!$F$14,$M123,AR$13))))</f>
        <v>1000000000000</v>
      </c>
      <c r="AS123" s="211">
        <f ca="1">IF($D123&lt;&gt;"Serviço",0,IF(AND(AUTOEVENTO="Manual",$M123=1),0,IF(OFFSET(CRONOPLE!$F$14,$M123,AS$13)="",10^12,OFFSET(CRONOPLE!$F$14,$M123,AS$13))))</f>
        <v>1000000000000</v>
      </c>
      <c r="AT123" s="211">
        <f ca="1">IF($D123&lt;&gt;"Serviço",0,IF(AND(AUTOEVENTO="Manual",$M123=1),0,IF(OFFSET(CRONOPLE!$F$14,$M123,AT$13)="",10^12,OFFSET(CRONOPLE!$F$14,$M123,AT$13))))</f>
        <v>1000000000000</v>
      </c>
      <c r="AU123" s="211">
        <f ca="1">IF($D123&lt;&gt;"Serviço",0,IF(AND(AUTOEVENTO="Manual",$M123=1),0,IF(OFFSET(CRONOPLE!$F$14,$M123,AU$13)="",10^12,OFFSET(CRONOPLE!$F$14,$M123,AU$13))))</f>
        <v>1000000000000</v>
      </c>
      <c r="AV123" s="211">
        <f ca="1">IF($D123&lt;&gt;"Serviço",0,IF(AND(AUTOEVENTO="Manual",$M123=1),0,IF(OFFSET(CRONOPLE!$F$14,$M123,AV$13)="",10^12,OFFSET(CRONOPLE!$F$14,$M123,AV$13))))</f>
        <v>1000000000000</v>
      </c>
      <c r="AX123" s="212">
        <f ca="1">IF($D123&lt;&gt;"Serviço",0,IF(OR(AND(AUTOEVENTO="Manual",$M123=1),$M123&gt;(ROW(PLE.lastrow)-ROW(PLE.firstrow))),0,IF(OFFSET(PLE!$G$14,$M123,AX$13)="",10^12,OFFSET(PLE!$G$14,$M123,AX$13))))</f>
        <v>1000000000000</v>
      </c>
      <c r="AY123" s="212">
        <f ca="1">IF($D123&lt;&gt;"Serviço",0,IF(OR(AND(AUTOEVENTO="Manual",$M123=1),$M123&gt;(ROW(PLE.lastrow)-ROW(PLE.firstrow))),0,IF(OFFSET(PLE!$G$14,$M123,AY$13)="",10^12,OFFSET(PLE!$G$14,$M123,AY$13))))</f>
        <v>1000000000000</v>
      </c>
      <c r="AZ123" s="212">
        <f ca="1">IF($D123&lt;&gt;"Serviço",0,IF(OR(AND(AUTOEVENTO="Manual",$M123=1),$M123&gt;(ROW(PLE.lastrow)-ROW(PLE.firstrow))),0,IF(OFFSET(PLE!$G$14,$M123,AZ$13)="",10^12,OFFSET(PLE!$G$14,$M123,AZ$13))))</f>
        <v>1000000000000</v>
      </c>
      <c r="BA123" s="212">
        <f ca="1">IF($D123&lt;&gt;"Serviço",0,IF(OR(AND(AUTOEVENTO="Manual",$M123=1),$M123&gt;(ROW(PLE.lastrow)-ROW(PLE.firstrow))),0,IF(OFFSET(PLE!$G$14,$M123,BA$13)="",10^12,OFFSET(PLE!$G$14,$M123,BA$13))))</f>
        <v>1000000000000</v>
      </c>
      <c r="BB123" s="212">
        <f ca="1">IF($D123&lt;&gt;"Serviço",0,IF(OR(AND(AUTOEVENTO="Manual",$M123=1),$M123&gt;(ROW(PLE.lastrow)-ROW(PLE.firstrow))),0,IF(OFFSET(PLE!$G$14,$M123,BB$13)="",10^12,OFFSET(PLE!$G$14,$M123,BB$13))))</f>
        <v>1000000000000</v>
      </c>
      <c r="BC123" s="212">
        <f ca="1">IF($D123&lt;&gt;"Serviço",0,IF(OR(AND(AUTOEVENTO="Manual",$M123=1),$M123&gt;(ROW(PLE.lastrow)-ROW(PLE.firstrow))),0,IF(OFFSET(PLE!$G$14,$M123,BC$13)="",10^12,OFFSET(PLE!$G$14,$M123,BC$13))))</f>
        <v>1000000000000</v>
      </c>
      <c r="BD123" s="212">
        <f ca="1">IF($D123&lt;&gt;"Serviço",0,IF(OR(AND(AUTOEVENTO="Manual",$M123=1),$M123&gt;(ROW(PLE.lastrow)-ROW(PLE.firstrow))),0,IF(OFFSET(PLE!$G$14,$M123,BD$13)="",10^12,OFFSET(PLE!$G$14,$M123,BD$13))))</f>
        <v>1000000000000</v>
      </c>
      <c r="BE123" s="212">
        <f ca="1">IF($D123&lt;&gt;"Serviço",0,IF(OR(AND(AUTOEVENTO="Manual",$M123=1),$M123&gt;(ROW(PLE.lastrow)-ROW(PLE.firstrow))),0,IF(OFFSET(PLE!$G$14,$M123,BE$13)="",10^12,OFFSET(PLE!$G$14,$M123,BE$13))))</f>
        <v>1000000000000</v>
      </c>
      <c r="BF123" s="212">
        <f ca="1">IF($D123&lt;&gt;"Serviço",0,IF(OR(AND(AUTOEVENTO="Manual",$M123=1),$M123&gt;(ROW(PLE.lastrow)-ROW(PLE.firstrow))),0,IF(OFFSET(PLE!$G$14,$M123,BF$13)="",10^12,OFFSET(PLE!$G$14,$M123,BF$13))))</f>
        <v>1000000000000</v>
      </c>
      <c r="BG123" s="212">
        <f ca="1">IF($D123&lt;&gt;"Serviço",0,IF(OR(AND(AUTOEVENTO="Manual",$M123=1),$M123&gt;(ROW(PLE.lastrow)-ROW(PLE.firstrow))),0,IF(OFFSET(PLE!$G$14,$M123,BG$13)="",10^12,OFFSET(PLE!$G$14,$M123,BG$13))))</f>
        <v>1000000000000</v>
      </c>
    </row>
    <row r="124" spans="1:59" ht="13.2">
      <c r="A124" s="9" t="str">
        <f t="shared" ca="1" si="10"/>
        <v>15</v>
      </c>
      <c r="B124" s="9" t="str">
        <f ca="1">OFFSET(ORÇAMENTO!C$15,ROW(B124)-ROW(B$15),0)</f>
        <v>S</v>
      </c>
      <c r="C124" s="9" t="str">
        <f ca="1">OFFSET(ORÇAMENTO!L$15,ROW(C124)-ROW(C$15),0)</f>
        <v/>
      </c>
      <c r="D124" s="141" t="str">
        <f ca="1">OFFSET(ORÇAMENTO!N$15,ROW(D124)-ROW(D$15),0)</f>
        <v>Serviço</v>
      </c>
      <c r="E124" s="201" t="str">
        <f ca="1">OFFSET(ORÇAMENTO!O$15,ROW(E124)-ROW(E$15),0)</f>
        <v>-</v>
      </c>
      <c r="F124" s="202" t="str">
        <f ca="1">OFFSET(ORÇAMENTO!R$15,ROW(F124)-ROW(F$15),0)</f>
        <v>(abra o arquivo 'Referência 11-2024.xlsm)</v>
      </c>
      <c r="G124" s="203" t="str">
        <f ca="1">IF($D124&lt;&gt;"Serviço","",OFFSET(ORÇAMENTO!S$15,ROW(G124)-ROW(G$15),0))</f>
        <v>-</v>
      </c>
      <c r="H124" s="147">
        <f ca="1">IF($D124&lt;&gt;"Serviço",0,IF(ACOMPANHAMENTO="BM",ROUND(OFFSET(ORÇAMENTO!AJ$15,ROW(H124)-ROW(H$15),0),15-13*ORÇAMENTO!$AF$7),SUMPRODUCT(($Q$12:$AA$12&lt;&gt;"")*ROUND($Q124:$AA124,15-13*ORÇAMENTO!$AF$7))))</f>
        <v>0</v>
      </c>
      <c r="I124" s="645"/>
      <c r="K124" s="204"/>
      <c r="L124" s="205" t="s">
        <v>255</v>
      </c>
      <c r="M124" s="206">
        <f ca="1">IF($D124&lt;&gt;"Serviço","",IF(AUTOEVENTO="manual",$A124,IF(ISERROR(MATCH($A124,$A$15:OFFSET($A124,-1,0),0)),MAX($M$15:OFFSET(M124,-1,0))+1,INDEX($M$15:OFFSET(M124,-1,0),MATCH($A124,$A$15:OFFSET($A124,-1,0),0)))))</f>
        <v>6</v>
      </c>
      <c r="N124" s="207" t="str">
        <f ca="1">IF($D124&lt;&gt;"Serviço","",IF(AUTOEVENTO="Manual",IF($A124=0,"&lt;-- defina o número do agrupador",OFFSET(EVENTOS!$D$14,$A124,0)),OFFSET($F$15,$A124,0)))</f>
        <v>DRENAGEM</v>
      </c>
      <c r="O124" s="208"/>
      <c r="Q124" s="208"/>
      <c r="R124" s="209"/>
      <c r="S124" s="209"/>
      <c r="T124" s="209"/>
      <c r="U124" s="209"/>
      <c r="V124" s="209"/>
      <c r="W124" s="209"/>
      <c r="X124" s="209"/>
      <c r="Y124" s="209"/>
      <c r="Z124" s="210"/>
      <c r="AB124" s="626">
        <f ca="1">IF(AND($D124="Serviço",AB$12&lt;&gt;0,$H124&gt;0,OR(AUTOEVENTO&lt;&gt;"manual",$M124&lt;&gt;1)),
IF(Import.TipoArredondamento&lt;&gt;"TransfereGOV",
ROUND(OFFSET($P124,0,AB$13),15-13*ORÇAMENTO!$AF$7)/$H124*OFFSET(ORÇAMENTO!$X$15,ROW(AB124)-ROW(AB$15),0),
ROUND(ROUND(OFFSET($P124,0,AB$13),15-13*ORÇAMENTO!$AF$7)*OFFSET(ORÇAMENTO!$W$15,ROW(AB124)-ROW(AB$15),0),15-13*ORÇAMENTO!$AF$11)),0)</f>
        <v>0</v>
      </c>
      <c r="AC124" s="627">
        <f ca="1">IF(AND($D124="Serviço",AC$12&lt;&gt;0,$H124&gt;0,OR(AUTOEVENTO&lt;&gt;"manual",$M124&lt;&gt;1)),
IF(Import.TipoArredondamento&lt;&gt;"TransfereGOV",
ROUND(OFFSET($P124,0,AC$13),15-13*ORÇAMENTO!$AF$7)/$H124*OFFSET(ORÇAMENTO!$X$15,ROW(AC124)-ROW(AC$15),0),
ROUND(ROUND(OFFSET($P124,0,AC$13),15-13*ORÇAMENTO!$AF$7)*OFFSET(ORÇAMENTO!$W$15,ROW(AC124)-ROW(AC$15),0),15-13*ORÇAMENTO!$AF$11)),0)</f>
        <v>0</v>
      </c>
      <c r="AD124" s="627">
        <f ca="1">IF(AND($D124="Serviço",AD$12&lt;&gt;0,$H124&gt;0,OR(AUTOEVENTO&lt;&gt;"manual",$M124&lt;&gt;1)),
IF(Import.TipoArredondamento&lt;&gt;"TransfereGOV",
ROUND(OFFSET($P124,0,AD$13),15-13*ORÇAMENTO!$AF$7)/$H124*OFFSET(ORÇAMENTO!$X$15,ROW(AD124)-ROW(AD$15),0),
ROUND(ROUND(OFFSET($P124,0,AD$13),15-13*ORÇAMENTO!$AF$7)*OFFSET(ORÇAMENTO!$W$15,ROW(AD124)-ROW(AD$15),0),15-13*ORÇAMENTO!$AF$11)),0)</f>
        <v>0</v>
      </c>
      <c r="AE124" s="627">
        <f ca="1">IF(AND($D124="Serviço",AE$12&lt;&gt;0,$H124&gt;0,OR(AUTOEVENTO&lt;&gt;"manual",$M124&lt;&gt;1)),
IF(Import.TipoArredondamento&lt;&gt;"TransfereGOV",
ROUND(OFFSET($P124,0,AE$13),15-13*ORÇAMENTO!$AF$7)/$H124*OFFSET(ORÇAMENTO!$X$15,ROW(AE124)-ROW(AE$15),0),
ROUND(ROUND(OFFSET($P124,0,AE$13),15-13*ORÇAMENTO!$AF$7)*OFFSET(ORÇAMENTO!$W$15,ROW(AE124)-ROW(AE$15),0),15-13*ORÇAMENTO!$AF$11)),0)</f>
        <v>0</v>
      </c>
      <c r="AF124" s="627">
        <f ca="1">IF(AND($D124="Serviço",AF$12&lt;&gt;0,$H124&gt;0,OR(AUTOEVENTO&lt;&gt;"manual",$M124&lt;&gt;1)),
IF(Import.TipoArredondamento&lt;&gt;"TransfereGOV",
ROUND(OFFSET($P124,0,AF$13),15-13*ORÇAMENTO!$AF$7)/$H124*OFFSET(ORÇAMENTO!$X$15,ROW(AF124)-ROW(AF$15),0),
ROUND(ROUND(OFFSET($P124,0,AF$13),15-13*ORÇAMENTO!$AF$7)*OFFSET(ORÇAMENTO!$W$15,ROW(AF124)-ROW(AF$15),0),15-13*ORÇAMENTO!$AF$11)),0)</f>
        <v>0</v>
      </c>
      <c r="AG124" s="627">
        <f ca="1">IF(AND($D124="Serviço",AG$12&lt;&gt;0,$H124&gt;0,OR(AUTOEVENTO&lt;&gt;"manual",$M124&lt;&gt;1)),
IF(Import.TipoArredondamento&lt;&gt;"TransfereGOV",
ROUND(OFFSET($P124,0,AG$13),15-13*ORÇAMENTO!$AF$7)/$H124*OFFSET(ORÇAMENTO!$X$15,ROW(AG124)-ROW(AG$15),0),
ROUND(ROUND(OFFSET($P124,0,AG$13),15-13*ORÇAMENTO!$AF$7)*OFFSET(ORÇAMENTO!$W$15,ROW(AG124)-ROW(AG$15),0),15-13*ORÇAMENTO!$AF$11)),0)</f>
        <v>0</v>
      </c>
      <c r="AH124" s="627">
        <f ca="1">IF(AND($D124="Serviço",AH$12&lt;&gt;0,$H124&gt;0,OR(AUTOEVENTO&lt;&gt;"manual",$M124&lt;&gt;1)),
IF(Import.TipoArredondamento&lt;&gt;"TransfereGOV",
ROUND(OFFSET($P124,0,AH$13),15-13*ORÇAMENTO!$AF$7)/$H124*OFFSET(ORÇAMENTO!$X$15,ROW(AH124)-ROW(AH$15),0),
ROUND(ROUND(OFFSET($P124,0,AH$13),15-13*ORÇAMENTO!$AF$7)*OFFSET(ORÇAMENTO!$W$15,ROW(AH124)-ROW(AH$15),0),15-13*ORÇAMENTO!$AF$11)),0)</f>
        <v>0</v>
      </c>
      <c r="AI124" s="627">
        <f ca="1">IF(AND($D124="Serviço",AI$12&lt;&gt;0,$H124&gt;0,OR(AUTOEVENTO&lt;&gt;"manual",$M124&lt;&gt;1)),
IF(Import.TipoArredondamento&lt;&gt;"TransfereGOV",
ROUND(OFFSET($P124,0,AI$13),15-13*ORÇAMENTO!$AF$7)/$H124*OFFSET(ORÇAMENTO!$X$15,ROW(AI124)-ROW(AI$15),0),
ROUND(ROUND(OFFSET($P124,0,AI$13),15-13*ORÇAMENTO!$AF$7)*OFFSET(ORÇAMENTO!$W$15,ROW(AI124)-ROW(AI$15),0),15-13*ORÇAMENTO!$AF$11)),0)</f>
        <v>0</v>
      </c>
      <c r="AJ124" s="627">
        <f ca="1">IF(AND($D124="Serviço",AJ$12&lt;&gt;0,$H124&gt;0,OR(AUTOEVENTO&lt;&gt;"manual",$M124&lt;&gt;1)),
IF(Import.TipoArredondamento&lt;&gt;"TransfereGOV",
ROUND(OFFSET($P124,0,AJ$13),15-13*ORÇAMENTO!$AF$7)/$H124*OFFSET(ORÇAMENTO!$X$15,ROW(AJ124)-ROW(AJ$15),0),
ROUND(ROUND(OFFSET($P124,0,AJ$13),15-13*ORÇAMENTO!$AF$7)*OFFSET(ORÇAMENTO!$W$15,ROW(AJ124)-ROW(AJ$15),0),15-13*ORÇAMENTO!$AF$11)),0)</f>
        <v>0</v>
      </c>
      <c r="AK124" s="628">
        <f ca="1">IF(AND($D124="Serviço",AK$12&lt;&gt;0,$H124&gt;0,OR(AUTOEVENTO&lt;&gt;"manual",$M124&lt;&gt;1)),
IF(Import.TipoArredondamento&lt;&gt;"TransfereGOV",
ROUND(OFFSET($P124,0,AK$13),15-13*ORÇAMENTO!$AF$7)/$H124*OFFSET(ORÇAMENTO!$X$15,ROW(AK124)-ROW(AK$15),0),
ROUND(ROUND(OFFSET($P124,0,AK$13),15-13*ORÇAMENTO!$AF$7)*OFFSET(ORÇAMENTO!$W$15,ROW(AK124)-ROW(AK$15),0),15-13*ORÇAMENTO!$AF$11)),0)</f>
        <v>0</v>
      </c>
      <c r="AM124" s="211">
        <f ca="1">IF($D124&lt;&gt;"Serviço",0,IF(AND(AUTOEVENTO="Manual",$M124=1),0,IF(OFFSET(CRONOPLE!$F$14,$M124,AM$13)="",10^12,OFFSET(CRONOPLE!$F$14,$M124,AM$13))))</f>
        <v>2</v>
      </c>
      <c r="AN124" s="211">
        <f ca="1">IF($D124&lt;&gt;"Serviço",0,IF(AND(AUTOEVENTO="Manual",$M124=1),0,IF(OFFSET(CRONOPLE!$F$14,$M124,AN$13)="",10^12,OFFSET(CRONOPLE!$F$14,$M124,AN$13))))</f>
        <v>1</v>
      </c>
      <c r="AO124" s="211">
        <f ca="1">IF($D124&lt;&gt;"Serviço",0,IF(AND(AUTOEVENTO="Manual",$M124=1),0,IF(OFFSET(CRONOPLE!$F$14,$M124,AO$13)="",10^12,OFFSET(CRONOPLE!$F$14,$M124,AO$13))))</f>
        <v>2</v>
      </c>
      <c r="AP124" s="211">
        <f ca="1">IF($D124&lt;&gt;"Serviço",0,IF(AND(AUTOEVENTO="Manual",$M124=1),0,IF(OFFSET(CRONOPLE!$F$14,$M124,AP$13)="",10^12,OFFSET(CRONOPLE!$F$14,$M124,AP$13))))</f>
        <v>2</v>
      </c>
      <c r="AQ124" s="211">
        <f ca="1">IF($D124&lt;&gt;"Serviço",0,IF(AND(AUTOEVENTO="Manual",$M124=1),0,IF(OFFSET(CRONOPLE!$F$14,$M124,AQ$13)="",10^12,OFFSET(CRONOPLE!$F$14,$M124,AQ$13))))</f>
        <v>1000000000000</v>
      </c>
      <c r="AR124" s="211">
        <f ca="1">IF($D124&lt;&gt;"Serviço",0,IF(AND(AUTOEVENTO="Manual",$M124=1),0,IF(OFFSET(CRONOPLE!$F$14,$M124,AR$13)="",10^12,OFFSET(CRONOPLE!$F$14,$M124,AR$13))))</f>
        <v>1000000000000</v>
      </c>
      <c r="AS124" s="211">
        <f ca="1">IF($D124&lt;&gt;"Serviço",0,IF(AND(AUTOEVENTO="Manual",$M124=1),0,IF(OFFSET(CRONOPLE!$F$14,$M124,AS$13)="",10^12,OFFSET(CRONOPLE!$F$14,$M124,AS$13))))</f>
        <v>1000000000000</v>
      </c>
      <c r="AT124" s="211">
        <f ca="1">IF($D124&lt;&gt;"Serviço",0,IF(AND(AUTOEVENTO="Manual",$M124=1),0,IF(OFFSET(CRONOPLE!$F$14,$M124,AT$13)="",10^12,OFFSET(CRONOPLE!$F$14,$M124,AT$13))))</f>
        <v>1000000000000</v>
      </c>
      <c r="AU124" s="211">
        <f ca="1">IF($D124&lt;&gt;"Serviço",0,IF(AND(AUTOEVENTO="Manual",$M124=1),0,IF(OFFSET(CRONOPLE!$F$14,$M124,AU$13)="",10^12,OFFSET(CRONOPLE!$F$14,$M124,AU$13))))</f>
        <v>1000000000000</v>
      </c>
      <c r="AV124" s="211">
        <f ca="1">IF($D124&lt;&gt;"Serviço",0,IF(AND(AUTOEVENTO="Manual",$M124=1),0,IF(OFFSET(CRONOPLE!$F$14,$M124,AV$13)="",10^12,OFFSET(CRONOPLE!$F$14,$M124,AV$13))))</f>
        <v>1000000000000</v>
      </c>
      <c r="AX124" s="212">
        <f ca="1">IF($D124&lt;&gt;"Serviço",0,IF(OR(AND(AUTOEVENTO="Manual",$M124=1),$M124&gt;(ROW(PLE.lastrow)-ROW(PLE.firstrow))),0,IF(OFFSET(PLE!$G$14,$M124,AX$13)="",10^12,OFFSET(PLE!$G$14,$M124,AX$13))))</f>
        <v>1000000000000</v>
      </c>
      <c r="AY124" s="212">
        <f ca="1">IF($D124&lt;&gt;"Serviço",0,IF(OR(AND(AUTOEVENTO="Manual",$M124=1),$M124&gt;(ROW(PLE.lastrow)-ROW(PLE.firstrow))),0,IF(OFFSET(PLE!$G$14,$M124,AY$13)="",10^12,OFFSET(PLE!$G$14,$M124,AY$13))))</f>
        <v>1000000000000</v>
      </c>
      <c r="AZ124" s="212">
        <f ca="1">IF($D124&lt;&gt;"Serviço",0,IF(OR(AND(AUTOEVENTO="Manual",$M124=1),$M124&gt;(ROW(PLE.lastrow)-ROW(PLE.firstrow))),0,IF(OFFSET(PLE!$G$14,$M124,AZ$13)="",10^12,OFFSET(PLE!$G$14,$M124,AZ$13))))</f>
        <v>1000000000000</v>
      </c>
      <c r="BA124" s="212">
        <f ca="1">IF($D124&lt;&gt;"Serviço",0,IF(OR(AND(AUTOEVENTO="Manual",$M124=1),$M124&gt;(ROW(PLE.lastrow)-ROW(PLE.firstrow))),0,IF(OFFSET(PLE!$G$14,$M124,BA$13)="",10^12,OFFSET(PLE!$G$14,$M124,BA$13))))</f>
        <v>1000000000000</v>
      </c>
      <c r="BB124" s="212">
        <f ca="1">IF($D124&lt;&gt;"Serviço",0,IF(OR(AND(AUTOEVENTO="Manual",$M124=1),$M124&gt;(ROW(PLE.lastrow)-ROW(PLE.firstrow))),0,IF(OFFSET(PLE!$G$14,$M124,BB$13)="",10^12,OFFSET(PLE!$G$14,$M124,BB$13))))</f>
        <v>1000000000000</v>
      </c>
      <c r="BC124" s="212">
        <f ca="1">IF($D124&lt;&gt;"Serviço",0,IF(OR(AND(AUTOEVENTO="Manual",$M124=1),$M124&gt;(ROW(PLE.lastrow)-ROW(PLE.firstrow))),0,IF(OFFSET(PLE!$G$14,$M124,BC$13)="",10^12,OFFSET(PLE!$G$14,$M124,BC$13))))</f>
        <v>1000000000000</v>
      </c>
      <c r="BD124" s="212">
        <f ca="1">IF($D124&lt;&gt;"Serviço",0,IF(OR(AND(AUTOEVENTO="Manual",$M124=1),$M124&gt;(ROW(PLE.lastrow)-ROW(PLE.firstrow))),0,IF(OFFSET(PLE!$G$14,$M124,BD$13)="",10^12,OFFSET(PLE!$G$14,$M124,BD$13))))</f>
        <v>1000000000000</v>
      </c>
      <c r="BE124" s="212">
        <f ca="1">IF($D124&lt;&gt;"Serviço",0,IF(OR(AND(AUTOEVENTO="Manual",$M124=1),$M124&gt;(ROW(PLE.lastrow)-ROW(PLE.firstrow))),0,IF(OFFSET(PLE!$G$14,$M124,BE$13)="",10^12,OFFSET(PLE!$G$14,$M124,BE$13))))</f>
        <v>1000000000000</v>
      </c>
      <c r="BF124" s="212">
        <f ca="1">IF($D124&lt;&gt;"Serviço",0,IF(OR(AND(AUTOEVENTO="Manual",$M124=1),$M124&gt;(ROW(PLE.lastrow)-ROW(PLE.firstrow))),0,IF(OFFSET(PLE!$G$14,$M124,BF$13)="",10^12,OFFSET(PLE!$G$14,$M124,BF$13))))</f>
        <v>1000000000000</v>
      </c>
      <c r="BG124" s="212">
        <f ca="1">IF($D124&lt;&gt;"Serviço",0,IF(OR(AND(AUTOEVENTO="Manual",$M124=1),$M124&gt;(ROW(PLE.lastrow)-ROW(PLE.firstrow))),0,IF(OFFSET(PLE!$G$14,$M124,BG$13)="",10^12,OFFSET(PLE!$G$14,$M124,BG$13))))</f>
        <v>1000000000000</v>
      </c>
    </row>
    <row r="125" spans="1:59" ht="13.2">
      <c r="A125" s="9" t="str">
        <f t="shared" ca="1" si="10"/>
        <v>15</v>
      </c>
      <c r="B125" s="9" t="str">
        <f ca="1">OFFSET(ORÇAMENTO!C$15,ROW(B125)-ROW(B$15),0)</f>
        <v>S</v>
      </c>
      <c r="C125" s="9" t="str">
        <f ca="1">OFFSET(ORÇAMENTO!L$15,ROW(C125)-ROW(C$15),0)</f>
        <v/>
      </c>
      <c r="D125" s="141" t="str">
        <f ca="1">OFFSET(ORÇAMENTO!N$15,ROW(D125)-ROW(D$15),0)</f>
        <v>Serviço</v>
      </c>
      <c r="E125" s="201" t="str">
        <f ca="1">OFFSET(ORÇAMENTO!O$15,ROW(E125)-ROW(E$15),0)</f>
        <v>-</v>
      </c>
      <c r="F125" s="202" t="str">
        <f ca="1">OFFSET(ORÇAMENTO!R$15,ROW(F125)-ROW(F$15),0)</f>
        <v>(abra o arquivo 'Referência 11-2024.xlsm)</v>
      </c>
      <c r="G125" s="203" t="str">
        <f ca="1">IF($D125&lt;&gt;"Serviço","",OFFSET(ORÇAMENTO!S$15,ROW(G125)-ROW(G$15),0))</f>
        <v>-</v>
      </c>
      <c r="H125" s="147">
        <f ca="1">IF($D125&lt;&gt;"Serviço",0,IF(ACOMPANHAMENTO="BM",ROUND(OFFSET(ORÇAMENTO!AJ$15,ROW(H125)-ROW(H$15),0),15-13*ORÇAMENTO!$AF$7),SUMPRODUCT(($Q$12:$AA$12&lt;&gt;"")*ROUND($Q125:$AA125,15-13*ORÇAMENTO!$AF$7))))</f>
        <v>0</v>
      </c>
      <c r="I125" s="645"/>
      <c r="K125" s="204"/>
      <c r="L125" s="205" t="s">
        <v>255</v>
      </c>
      <c r="M125" s="206">
        <f ca="1">IF($D125&lt;&gt;"Serviço","",IF(AUTOEVENTO="manual",$A125,IF(ISERROR(MATCH($A125,$A$15:OFFSET($A125,-1,0),0)),MAX($M$15:OFFSET(M125,-1,0))+1,INDEX($M$15:OFFSET(M125,-1,0),MATCH($A125,$A$15:OFFSET($A125,-1,0),0)))))</f>
        <v>6</v>
      </c>
      <c r="N125" s="207" t="str">
        <f ca="1">IF($D125&lt;&gt;"Serviço","",IF(AUTOEVENTO="Manual",IF($A125=0,"&lt;-- defina o número do agrupador",OFFSET(EVENTOS!$D$14,$A125,0)),OFFSET($F$15,$A125,0)))</f>
        <v>DRENAGEM</v>
      </c>
      <c r="O125" s="208"/>
      <c r="Q125" s="208"/>
      <c r="R125" s="209"/>
      <c r="S125" s="209"/>
      <c r="T125" s="209"/>
      <c r="U125" s="209"/>
      <c r="V125" s="209"/>
      <c r="W125" s="209"/>
      <c r="X125" s="209"/>
      <c r="Y125" s="209"/>
      <c r="Z125" s="210"/>
      <c r="AB125" s="626">
        <f ca="1">IF(AND($D125="Serviço",AB$12&lt;&gt;0,$H125&gt;0,OR(AUTOEVENTO&lt;&gt;"manual",$M125&lt;&gt;1)),
IF(Import.TipoArredondamento&lt;&gt;"TransfereGOV",
ROUND(OFFSET($P125,0,AB$13),15-13*ORÇAMENTO!$AF$7)/$H125*OFFSET(ORÇAMENTO!$X$15,ROW(AB125)-ROW(AB$15),0),
ROUND(ROUND(OFFSET($P125,0,AB$13),15-13*ORÇAMENTO!$AF$7)*OFFSET(ORÇAMENTO!$W$15,ROW(AB125)-ROW(AB$15),0),15-13*ORÇAMENTO!$AF$11)),0)</f>
        <v>0</v>
      </c>
      <c r="AC125" s="627">
        <f ca="1">IF(AND($D125="Serviço",AC$12&lt;&gt;0,$H125&gt;0,OR(AUTOEVENTO&lt;&gt;"manual",$M125&lt;&gt;1)),
IF(Import.TipoArredondamento&lt;&gt;"TransfereGOV",
ROUND(OFFSET($P125,0,AC$13),15-13*ORÇAMENTO!$AF$7)/$H125*OFFSET(ORÇAMENTO!$X$15,ROW(AC125)-ROW(AC$15),0),
ROUND(ROUND(OFFSET($P125,0,AC$13),15-13*ORÇAMENTO!$AF$7)*OFFSET(ORÇAMENTO!$W$15,ROW(AC125)-ROW(AC$15),0),15-13*ORÇAMENTO!$AF$11)),0)</f>
        <v>0</v>
      </c>
      <c r="AD125" s="627">
        <f ca="1">IF(AND($D125="Serviço",AD$12&lt;&gt;0,$H125&gt;0,OR(AUTOEVENTO&lt;&gt;"manual",$M125&lt;&gt;1)),
IF(Import.TipoArredondamento&lt;&gt;"TransfereGOV",
ROUND(OFFSET($P125,0,AD$13),15-13*ORÇAMENTO!$AF$7)/$H125*OFFSET(ORÇAMENTO!$X$15,ROW(AD125)-ROW(AD$15),0),
ROUND(ROUND(OFFSET($P125,0,AD$13),15-13*ORÇAMENTO!$AF$7)*OFFSET(ORÇAMENTO!$W$15,ROW(AD125)-ROW(AD$15),0),15-13*ORÇAMENTO!$AF$11)),0)</f>
        <v>0</v>
      </c>
      <c r="AE125" s="627">
        <f ca="1">IF(AND($D125="Serviço",AE$12&lt;&gt;0,$H125&gt;0,OR(AUTOEVENTO&lt;&gt;"manual",$M125&lt;&gt;1)),
IF(Import.TipoArredondamento&lt;&gt;"TransfereGOV",
ROUND(OFFSET($P125,0,AE$13),15-13*ORÇAMENTO!$AF$7)/$H125*OFFSET(ORÇAMENTO!$X$15,ROW(AE125)-ROW(AE$15),0),
ROUND(ROUND(OFFSET($P125,0,AE$13),15-13*ORÇAMENTO!$AF$7)*OFFSET(ORÇAMENTO!$W$15,ROW(AE125)-ROW(AE$15),0),15-13*ORÇAMENTO!$AF$11)),0)</f>
        <v>0</v>
      </c>
      <c r="AF125" s="627">
        <f ca="1">IF(AND($D125="Serviço",AF$12&lt;&gt;0,$H125&gt;0,OR(AUTOEVENTO&lt;&gt;"manual",$M125&lt;&gt;1)),
IF(Import.TipoArredondamento&lt;&gt;"TransfereGOV",
ROUND(OFFSET($P125,0,AF$13),15-13*ORÇAMENTO!$AF$7)/$H125*OFFSET(ORÇAMENTO!$X$15,ROW(AF125)-ROW(AF$15),0),
ROUND(ROUND(OFFSET($P125,0,AF$13),15-13*ORÇAMENTO!$AF$7)*OFFSET(ORÇAMENTO!$W$15,ROW(AF125)-ROW(AF$15),0),15-13*ORÇAMENTO!$AF$11)),0)</f>
        <v>0</v>
      </c>
      <c r="AG125" s="627">
        <f ca="1">IF(AND($D125="Serviço",AG$12&lt;&gt;0,$H125&gt;0,OR(AUTOEVENTO&lt;&gt;"manual",$M125&lt;&gt;1)),
IF(Import.TipoArredondamento&lt;&gt;"TransfereGOV",
ROUND(OFFSET($P125,0,AG$13),15-13*ORÇAMENTO!$AF$7)/$H125*OFFSET(ORÇAMENTO!$X$15,ROW(AG125)-ROW(AG$15),0),
ROUND(ROUND(OFFSET($P125,0,AG$13),15-13*ORÇAMENTO!$AF$7)*OFFSET(ORÇAMENTO!$W$15,ROW(AG125)-ROW(AG$15),0),15-13*ORÇAMENTO!$AF$11)),0)</f>
        <v>0</v>
      </c>
      <c r="AH125" s="627">
        <f ca="1">IF(AND($D125="Serviço",AH$12&lt;&gt;0,$H125&gt;0,OR(AUTOEVENTO&lt;&gt;"manual",$M125&lt;&gt;1)),
IF(Import.TipoArredondamento&lt;&gt;"TransfereGOV",
ROUND(OFFSET($P125,0,AH$13),15-13*ORÇAMENTO!$AF$7)/$H125*OFFSET(ORÇAMENTO!$X$15,ROW(AH125)-ROW(AH$15),0),
ROUND(ROUND(OFFSET($P125,0,AH$13),15-13*ORÇAMENTO!$AF$7)*OFFSET(ORÇAMENTO!$W$15,ROW(AH125)-ROW(AH$15),0),15-13*ORÇAMENTO!$AF$11)),0)</f>
        <v>0</v>
      </c>
      <c r="AI125" s="627">
        <f ca="1">IF(AND($D125="Serviço",AI$12&lt;&gt;0,$H125&gt;0,OR(AUTOEVENTO&lt;&gt;"manual",$M125&lt;&gt;1)),
IF(Import.TipoArredondamento&lt;&gt;"TransfereGOV",
ROUND(OFFSET($P125,0,AI$13),15-13*ORÇAMENTO!$AF$7)/$H125*OFFSET(ORÇAMENTO!$X$15,ROW(AI125)-ROW(AI$15),0),
ROUND(ROUND(OFFSET($P125,0,AI$13),15-13*ORÇAMENTO!$AF$7)*OFFSET(ORÇAMENTO!$W$15,ROW(AI125)-ROW(AI$15),0),15-13*ORÇAMENTO!$AF$11)),0)</f>
        <v>0</v>
      </c>
      <c r="AJ125" s="627">
        <f ca="1">IF(AND($D125="Serviço",AJ$12&lt;&gt;0,$H125&gt;0,OR(AUTOEVENTO&lt;&gt;"manual",$M125&lt;&gt;1)),
IF(Import.TipoArredondamento&lt;&gt;"TransfereGOV",
ROUND(OFFSET($P125,0,AJ$13),15-13*ORÇAMENTO!$AF$7)/$H125*OFFSET(ORÇAMENTO!$X$15,ROW(AJ125)-ROW(AJ$15),0),
ROUND(ROUND(OFFSET($P125,0,AJ$13),15-13*ORÇAMENTO!$AF$7)*OFFSET(ORÇAMENTO!$W$15,ROW(AJ125)-ROW(AJ$15),0),15-13*ORÇAMENTO!$AF$11)),0)</f>
        <v>0</v>
      </c>
      <c r="AK125" s="628">
        <f ca="1">IF(AND($D125="Serviço",AK$12&lt;&gt;0,$H125&gt;0,OR(AUTOEVENTO&lt;&gt;"manual",$M125&lt;&gt;1)),
IF(Import.TipoArredondamento&lt;&gt;"TransfereGOV",
ROUND(OFFSET($P125,0,AK$13),15-13*ORÇAMENTO!$AF$7)/$H125*OFFSET(ORÇAMENTO!$X$15,ROW(AK125)-ROW(AK$15),0),
ROUND(ROUND(OFFSET($P125,0,AK$13),15-13*ORÇAMENTO!$AF$7)*OFFSET(ORÇAMENTO!$W$15,ROW(AK125)-ROW(AK$15),0),15-13*ORÇAMENTO!$AF$11)),0)</f>
        <v>0</v>
      </c>
      <c r="AM125" s="211">
        <f ca="1">IF($D125&lt;&gt;"Serviço",0,IF(AND(AUTOEVENTO="Manual",$M125=1),0,IF(OFFSET(CRONOPLE!$F$14,$M125,AM$13)="",10^12,OFFSET(CRONOPLE!$F$14,$M125,AM$13))))</f>
        <v>2</v>
      </c>
      <c r="AN125" s="211">
        <f ca="1">IF($D125&lt;&gt;"Serviço",0,IF(AND(AUTOEVENTO="Manual",$M125=1),0,IF(OFFSET(CRONOPLE!$F$14,$M125,AN$13)="",10^12,OFFSET(CRONOPLE!$F$14,$M125,AN$13))))</f>
        <v>1</v>
      </c>
      <c r="AO125" s="211">
        <f ca="1">IF($D125&lt;&gt;"Serviço",0,IF(AND(AUTOEVENTO="Manual",$M125=1),0,IF(OFFSET(CRONOPLE!$F$14,$M125,AO$13)="",10^12,OFFSET(CRONOPLE!$F$14,$M125,AO$13))))</f>
        <v>2</v>
      </c>
      <c r="AP125" s="211">
        <f ca="1">IF($D125&lt;&gt;"Serviço",0,IF(AND(AUTOEVENTO="Manual",$M125=1),0,IF(OFFSET(CRONOPLE!$F$14,$M125,AP$13)="",10^12,OFFSET(CRONOPLE!$F$14,$M125,AP$13))))</f>
        <v>2</v>
      </c>
      <c r="AQ125" s="211">
        <f ca="1">IF($D125&lt;&gt;"Serviço",0,IF(AND(AUTOEVENTO="Manual",$M125=1),0,IF(OFFSET(CRONOPLE!$F$14,$M125,AQ$13)="",10^12,OFFSET(CRONOPLE!$F$14,$M125,AQ$13))))</f>
        <v>1000000000000</v>
      </c>
      <c r="AR125" s="211">
        <f ca="1">IF($D125&lt;&gt;"Serviço",0,IF(AND(AUTOEVENTO="Manual",$M125=1),0,IF(OFFSET(CRONOPLE!$F$14,$M125,AR$13)="",10^12,OFFSET(CRONOPLE!$F$14,$M125,AR$13))))</f>
        <v>1000000000000</v>
      </c>
      <c r="AS125" s="211">
        <f ca="1">IF($D125&lt;&gt;"Serviço",0,IF(AND(AUTOEVENTO="Manual",$M125=1),0,IF(OFFSET(CRONOPLE!$F$14,$M125,AS$13)="",10^12,OFFSET(CRONOPLE!$F$14,$M125,AS$13))))</f>
        <v>1000000000000</v>
      </c>
      <c r="AT125" s="211">
        <f ca="1">IF($D125&lt;&gt;"Serviço",0,IF(AND(AUTOEVENTO="Manual",$M125=1),0,IF(OFFSET(CRONOPLE!$F$14,$M125,AT$13)="",10^12,OFFSET(CRONOPLE!$F$14,$M125,AT$13))))</f>
        <v>1000000000000</v>
      </c>
      <c r="AU125" s="211">
        <f ca="1">IF($D125&lt;&gt;"Serviço",0,IF(AND(AUTOEVENTO="Manual",$M125=1),0,IF(OFFSET(CRONOPLE!$F$14,$M125,AU$13)="",10^12,OFFSET(CRONOPLE!$F$14,$M125,AU$13))))</f>
        <v>1000000000000</v>
      </c>
      <c r="AV125" s="211">
        <f ca="1">IF($D125&lt;&gt;"Serviço",0,IF(AND(AUTOEVENTO="Manual",$M125=1),0,IF(OFFSET(CRONOPLE!$F$14,$M125,AV$13)="",10^12,OFFSET(CRONOPLE!$F$14,$M125,AV$13))))</f>
        <v>1000000000000</v>
      </c>
      <c r="AX125" s="212">
        <f ca="1">IF($D125&lt;&gt;"Serviço",0,IF(OR(AND(AUTOEVENTO="Manual",$M125=1),$M125&gt;(ROW(PLE.lastrow)-ROW(PLE.firstrow))),0,IF(OFFSET(PLE!$G$14,$M125,AX$13)="",10^12,OFFSET(PLE!$G$14,$M125,AX$13))))</f>
        <v>1000000000000</v>
      </c>
      <c r="AY125" s="212">
        <f ca="1">IF($D125&lt;&gt;"Serviço",0,IF(OR(AND(AUTOEVENTO="Manual",$M125=1),$M125&gt;(ROW(PLE.lastrow)-ROW(PLE.firstrow))),0,IF(OFFSET(PLE!$G$14,$M125,AY$13)="",10^12,OFFSET(PLE!$G$14,$M125,AY$13))))</f>
        <v>1000000000000</v>
      </c>
      <c r="AZ125" s="212">
        <f ca="1">IF($D125&lt;&gt;"Serviço",0,IF(OR(AND(AUTOEVENTO="Manual",$M125=1),$M125&gt;(ROW(PLE.lastrow)-ROW(PLE.firstrow))),0,IF(OFFSET(PLE!$G$14,$M125,AZ$13)="",10^12,OFFSET(PLE!$G$14,$M125,AZ$13))))</f>
        <v>1000000000000</v>
      </c>
      <c r="BA125" s="212">
        <f ca="1">IF($D125&lt;&gt;"Serviço",0,IF(OR(AND(AUTOEVENTO="Manual",$M125=1),$M125&gt;(ROW(PLE.lastrow)-ROW(PLE.firstrow))),0,IF(OFFSET(PLE!$G$14,$M125,BA$13)="",10^12,OFFSET(PLE!$G$14,$M125,BA$13))))</f>
        <v>1000000000000</v>
      </c>
      <c r="BB125" s="212">
        <f ca="1">IF($D125&lt;&gt;"Serviço",0,IF(OR(AND(AUTOEVENTO="Manual",$M125=1),$M125&gt;(ROW(PLE.lastrow)-ROW(PLE.firstrow))),0,IF(OFFSET(PLE!$G$14,$M125,BB$13)="",10^12,OFFSET(PLE!$G$14,$M125,BB$13))))</f>
        <v>1000000000000</v>
      </c>
      <c r="BC125" s="212">
        <f ca="1">IF($D125&lt;&gt;"Serviço",0,IF(OR(AND(AUTOEVENTO="Manual",$M125=1),$M125&gt;(ROW(PLE.lastrow)-ROW(PLE.firstrow))),0,IF(OFFSET(PLE!$G$14,$M125,BC$13)="",10^12,OFFSET(PLE!$G$14,$M125,BC$13))))</f>
        <v>1000000000000</v>
      </c>
      <c r="BD125" s="212">
        <f ca="1">IF($D125&lt;&gt;"Serviço",0,IF(OR(AND(AUTOEVENTO="Manual",$M125=1),$M125&gt;(ROW(PLE.lastrow)-ROW(PLE.firstrow))),0,IF(OFFSET(PLE!$G$14,$M125,BD$13)="",10^12,OFFSET(PLE!$G$14,$M125,BD$13))))</f>
        <v>1000000000000</v>
      </c>
      <c r="BE125" s="212">
        <f ca="1">IF($D125&lt;&gt;"Serviço",0,IF(OR(AND(AUTOEVENTO="Manual",$M125=1),$M125&gt;(ROW(PLE.lastrow)-ROW(PLE.firstrow))),0,IF(OFFSET(PLE!$G$14,$M125,BE$13)="",10^12,OFFSET(PLE!$G$14,$M125,BE$13))))</f>
        <v>1000000000000</v>
      </c>
      <c r="BF125" s="212">
        <f ca="1">IF($D125&lt;&gt;"Serviço",0,IF(OR(AND(AUTOEVENTO="Manual",$M125=1),$M125&gt;(ROW(PLE.lastrow)-ROW(PLE.firstrow))),0,IF(OFFSET(PLE!$G$14,$M125,BF$13)="",10^12,OFFSET(PLE!$G$14,$M125,BF$13))))</f>
        <v>1000000000000</v>
      </c>
      <c r="BG125" s="212">
        <f ca="1">IF($D125&lt;&gt;"Serviço",0,IF(OR(AND(AUTOEVENTO="Manual",$M125=1),$M125&gt;(ROW(PLE.lastrow)-ROW(PLE.firstrow))),0,IF(OFFSET(PLE!$G$14,$M125,BG$13)="",10^12,OFFSET(PLE!$G$14,$M125,BG$13))))</f>
        <v>1000000000000</v>
      </c>
    </row>
    <row r="126" spans="1:59" ht="13.2">
      <c r="A126" s="9" t="str">
        <f t="shared" ca="1" si="10"/>
        <v>15</v>
      </c>
      <c r="B126" s="9" t="str">
        <f ca="1">OFFSET(ORÇAMENTO!C$15,ROW(B126)-ROW(B$15),0)</f>
        <v>S</v>
      </c>
      <c r="C126" s="9" t="str">
        <f ca="1">OFFSET(ORÇAMENTO!L$15,ROW(C126)-ROW(C$15),0)</f>
        <v/>
      </c>
      <c r="D126" s="141" t="str">
        <f ca="1">OFFSET(ORÇAMENTO!N$15,ROW(D126)-ROW(D$15),0)</f>
        <v>Serviço</v>
      </c>
      <c r="E126" s="201" t="str">
        <f ca="1">OFFSET(ORÇAMENTO!O$15,ROW(E126)-ROW(E$15),0)</f>
        <v>-</v>
      </c>
      <c r="F126" s="202" t="str">
        <f ca="1">OFFSET(ORÇAMENTO!R$15,ROW(F126)-ROW(F$15),0)</f>
        <v>(abra o arquivo 'Referência 11-2024.xlsm)</v>
      </c>
      <c r="G126" s="203" t="str">
        <f ca="1">IF($D126&lt;&gt;"Serviço","",OFFSET(ORÇAMENTO!S$15,ROW(G126)-ROW(G$15),0))</f>
        <v>-</v>
      </c>
      <c r="H126" s="147">
        <f ca="1">IF($D126&lt;&gt;"Serviço",0,IF(ACOMPANHAMENTO="BM",ROUND(OFFSET(ORÇAMENTO!AJ$15,ROW(H126)-ROW(H$15),0),15-13*ORÇAMENTO!$AF$7),SUMPRODUCT(($Q$12:$AA$12&lt;&gt;"")*ROUND($Q126:$AA126,15-13*ORÇAMENTO!$AF$7))))</f>
        <v>0</v>
      </c>
      <c r="I126" s="645"/>
      <c r="K126" s="204"/>
      <c r="L126" s="205" t="s">
        <v>255</v>
      </c>
      <c r="M126" s="206">
        <f ca="1">IF($D126&lt;&gt;"Serviço","",IF(AUTOEVENTO="manual",$A126,IF(ISERROR(MATCH($A126,$A$15:OFFSET($A126,-1,0),0)),MAX($M$15:OFFSET(M126,-1,0))+1,INDEX($M$15:OFFSET(M126,-1,0),MATCH($A126,$A$15:OFFSET($A126,-1,0),0)))))</f>
        <v>6</v>
      </c>
      <c r="N126" s="207" t="str">
        <f ca="1">IF($D126&lt;&gt;"Serviço","",IF(AUTOEVENTO="Manual",IF($A126=0,"&lt;-- defina o número do agrupador",OFFSET(EVENTOS!$D$14,$A126,0)),OFFSET($F$15,$A126,0)))</f>
        <v>DRENAGEM</v>
      </c>
      <c r="O126" s="208"/>
      <c r="Q126" s="208"/>
      <c r="R126" s="209"/>
      <c r="S126" s="209"/>
      <c r="T126" s="209"/>
      <c r="U126" s="209"/>
      <c r="V126" s="209"/>
      <c r="W126" s="209"/>
      <c r="X126" s="209"/>
      <c r="Y126" s="209"/>
      <c r="Z126" s="210"/>
      <c r="AB126" s="626">
        <f ca="1">IF(AND($D126="Serviço",AB$12&lt;&gt;0,$H126&gt;0,OR(AUTOEVENTO&lt;&gt;"manual",$M126&lt;&gt;1)),
IF(Import.TipoArredondamento&lt;&gt;"TransfereGOV",
ROUND(OFFSET($P126,0,AB$13),15-13*ORÇAMENTO!$AF$7)/$H126*OFFSET(ORÇAMENTO!$X$15,ROW(AB126)-ROW(AB$15),0),
ROUND(ROUND(OFFSET($P126,0,AB$13),15-13*ORÇAMENTO!$AF$7)*OFFSET(ORÇAMENTO!$W$15,ROW(AB126)-ROW(AB$15),0),15-13*ORÇAMENTO!$AF$11)),0)</f>
        <v>0</v>
      </c>
      <c r="AC126" s="627">
        <f ca="1">IF(AND($D126="Serviço",AC$12&lt;&gt;0,$H126&gt;0,OR(AUTOEVENTO&lt;&gt;"manual",$M126&lt;&gt;1)),
IF(Import.TipoArredondamento&lt;&gt;"TransfereGOV",
ROUND(OFFSET($P126,0,AC$13),15-13*ORÇAMENTO!$AF$7)/$H126*OFFSET(ORÇAMENTO!$X$15,ROW(AC126)-ROW(AC$15),0),
ROUND(ROUND(OFFSET($P126,0,AC$13),15-13*ORÇAMENTO!$AF$7)*OFFSET(ORÇAMENTO!$W$15,ROW(AC126)-ROW(AC$15),0),15-13*ORÇAMENTO!$AF$11)),0)</f>
        <v>0</v>
      </c>
      <c r="AD126" s="627">
        <f ca="1">IF(AND($D126="Serviço",AD$12&lt;&gt;0,$H126&gt;0,OR(AUTOEVENTO&lt;&gt;"manual",$M126&lt;&gt;1)),
IF(Import.TipoArredondamento&lt;&gt;"TransfereGOV",
ROUND(OFFSET($P126,0,AD$13),15-13*ORÇAMENTO!$AF$7)/$H126*OFFSET(ORÇAMENTO!$X$15,ROW(AD126)-ROW(AD$15),0),
ROUND(ROUND(OFFSET($P126,0,AD$13),15-13*ORÇAMENTO!$AF$7)*OFFSET(ORÇAMENTO!$W$15,ROW(AD126)-ROW(AD$15),0),15-13*ORÇAMENTO!$AF$11)),0)</f>
        <v>0</v>
      </c>
      <c r="AE126" s="627">
        <f ca="1">IF(AND($D126="Serviço",AE$12&lt;&gt;0,$H126&gt;0,OR(AUTOEVENTO&lt;&gt;"manual",$M126&lt;&gt;1)),
IF(Import.TipoArredondamento&lt;&gt;"TransfereGOV",
ROUND(OFFSET($P126,0,AE$13),15-13*ORÇAMENTO!$AF$7)/$H126*OFFSET(ORÇAMENTO!$X$15,ROW(AE126)-ROW(AE$15),0),
ROUND(ROUND(OFFSET($P126,0,AE$13),15-13*ORÇAMENTO!$AF$7)*OFFSET(ORÇAMENTO!$W$15,ROW(AE126)-ROW(AE$15),0),15-13*ORÇAMENTO!$AF$11)),0)</f>
        <v>0</v>
      </c>
      <c r="AF126" s="627">
        <f ca="1">IF(AND($D126="Serviço",AF$12&lt;&gt;0,$H126&gt;0,OR(AUTOEVENTO&lt;&gt;"manual",$M126&lt;&gt;1)),
IF(Import.TipoArredondamento&lt;&gt;"TransfereGOV",
ROUND(OFFSET($P126,0,AF$13),15-13*ORÇAMENTO!$AF$7)/$H126*OFFSET(ORÇAMENTO!$X$15,ROW(AF126)-ROW(AF$15),0),
ROUND(ROUND(OFFSET($P126,0,AF$13),15-13*ORÇAMENTO!$AF$7)*OFFSET(ORÇAMENTO!$W$15,ROW(AF126)-ROW(AF$15),0),15-13*ORÇAMENTO!$AF$11)),0)</f>
        <v>0</v>
      </c>
      <c r="AG126" s="627">
        <f ca="1">IF(AND($D126="Serviço",AG$12&lt;&gt;0,$H126&gt;0,OR(AUTOEVENTO&lt;&gt;"manual",$M126&lt;&gt;1)),
IF(Import.TipoArredondamento&lt;&gt;"TransfereGOV",
ROUND(OFFSET($P126,0,AG$13),15-13*ORÇAMENTO!$AF$7)/$H126*OFFSET(ORÇAMENTO!$X$15,ROW(AG126)-ROW(AG$15),0),
ROUND(ROUND(OFFSET($P126,0,AG$13),15-13*ORÇAMENTO!$AF$7)*OFFSET(ORÇAMENTO!$W$15,ROW(AG126)-ROW(AG$15),0),15-13*ORÇAMENTO!$AF$11)),0)</f>
        <v>0</v>
      </c>
      <c r="AH126" s="627">
        <f ca="1">IF(AND($D126="Serviço",AH$12&lt;&gt;0,$H126&gt;0,OR(AUTOEVENTO&lt;&gt;"manual",$M126&lt;&gt;1)),
IF(Import.TipoArredondamento&lt;&gt;"TransfereGOV",
ROUND(OFFSET($P126,0,AH$13),15-13*ORÇAMENTO!$AF$7)/$H126*OFFSET(ORÇAMENTO!$X$15,ROW(AH126)-ROW(AH$15),0),
ROUND(ROUND(OFFSET($P126,0,AH$13),15-13*ORÇAMENTO!$AF$7)*OFFSET(ORÇAMENTO!$W$15,ROW(AH126)-ROW(AH$15),0),15-13*ORÇAMENTO!$AF$11)),0)</f>
        <v>0</v>
      </c>
      <c r="AI126" s="627">
        <f ca="1">IF(AND($D126="Serviço",AI$12&lt;&gt;0,$H126&gt;0,OR(AUTOEVENTO&lt;&gt;"manual",$M126&lt;&gt;1)),
IF(Import.TipoArredondamento&lt;&gt;"TransfereGOV",
ROUND(OFFSET($P126,0,AI$13),15-13*ORÇAMENTO!$AF$7)/$H126*OFFSET(ORÇAMENTO!$X$15,ROW(AI126)-ROW(AI$15),0),
ROUND(ROUND(OFFSET($P126,0,AI$13),15-13*ORÇAMENTO!$AF$7)*OFFSET(ORÇAMENTO!$W$15,ROW(AI126)-ROW(AI$15),0),15-13*ORÇAMENTO!$AF$11)),0)</f>
        <v>0</v>
      </c>
      <c r="AJ126" s="627">
        <f ca="1">IF(AND($D126="Serviço",AJ$12&lt;&gt;0,$H126&gt;0,OR(AUTOEVENTO&lt;&gt;"manual",$M126&lt;&gt;1)),
IF(Import.TipoArredondamento&lt;&gt;"TransfereGOV",
ROUND(OFFSET($P126,0,AJ$13),15-13*ORÇAMENTO!$AF$7)/$H126*OFFSET(ORÇAMENTO!$X$15,ROW(AJ126)-ROW(AJ$15),0),
ROUND(ROUND(OFFSET($P126,0,AJ$13),15-13*ORÇAMENTO!$AF$7)*OFFSET(ORÇAMENTO!$W$15,ROW(AJ126)-ROW(AJ$15),0),15-13*ORÇAMENTO!$AF$11)),0)</f>
        <v>0</v>
      </c>
      <c r="AK126" s="628">
        <f ca="1">IF(AND($D126="Serviço",AK$12&lt;&gt;0,$H126&gt;0,OR(AUTOEVENTO&lt;&gt;"manual",$M126&lt;&gt;1)),
IF(Import.TipoArredondamento&lt;&gt;"TransfereGOV",
ROUND(OFFSET($P126,0,AK$13),15-13*ORÇAMENTO!$AF$7)/$H126*OFFSET(ORÇAMENTO!$X$15,ROW(AK126)-ROW(AK$15),0),
ROUND(ROUND(OFFSET($P126,0,AK$13),15-13*ORÇAMENTO!$AF$7)*OFFSET(ORÇAMENTO!$W$15,ROW(AK126)-ROW(AK$15),0),15-13*ORÇAMENTO!$AF$11)),0)</f>
        <v>0</v>
      </c>
      <c r="AM126" s="211">
        <f ca="1">IF($D126&lt;&gt;"Serviço",0,IF(AND(AUTOEVENTO="Manual",$M126=1),0,IF(OFFSET(CRONOPLE!$F$14,$M126,AM$13)="",10^12,OFFSET(CRONOPLE!$F$14,$M126,AM$13))))</f>
        <v>2</v>
      </c>
      <c r="AN126" s="211">
        <f ca="1">IF($D126&lt;&gt;"Serviço",0,IF(AND(AUTOEVENTO="Manual",$M126=1),0,IF(OFFSET(CRONOPLE!$F$14,$M126,AN$13)="",10^12,OFFSET(CRONOPLE!$F$14,$M126,AN$13))))</f>
        <v>1</v>
      </c>
      <c r="AO126" s="211">
        <f ca="1">IF($D126&lt;&gt;"Serviço",0,IF(AND(AUTOEVENTO="Manual",$M126=1),0,IF(OFFSET(CRONOPLE!$F$14,$M126,AO$13)="",10^12,OFFSET(CRONOPLE!$F$14,$M126,AO$13))))</f>
        <v>2</v>
      </c>
      <c r="AP126" s="211">
        <f ca="1">IF($D126&lt;&gt;"Serviço",0,IF(AND(AUTOEVENTO="Manual",$M126=1),0,IF(OFFSET(CRONOPLE!$F$14,$M126,AP$13)="",10^12,OFFSET(CRONOPLE!$F$14,$M126,AP$13))))</f>
        <v>2</v>
      </c>
      <c r="AQ126" s="211">
        <f ca="1">IF($D126&lt;&gt;"Serviço",0,IF(AND(AUTOEVENTO="Manual",$M126=1),0,IF(OFFSET(CRONOPLE!$F$14,$M126,AQ$13)="",10^12,OFFSET(CRONOPLE!$F$14,$M126,AQ$13))))</f>
        <v>1000000000000</v>
      </c>
      <c r="AR126" s="211">
        <f ca="1">IF($D126&lt;&gt;"Serviço",0,IF(AND(AUTOEVENTO="Manual",$M126=1),0,IF(OFFSET(CRONOPLE!$F$14,$M126,AR$13)="",10^12,OFFSET(CRONOPLE!$F$14,$M126,AR$13))))</f>
        <v>1000000000000</v>
      </c>
      <c r="AS126" s="211">
        <f ca="1">IF($D126&lt;&gt;"Serviço",0,IF(AND(AUTOEVENTO="Manual",$M126=1),0,IF(OFFSET(CRONOPLE!$F$14,$M126,AS$13)="",10^12,OFFSET(CRONOPLE!$F$14,$M126,AS$13))))</f>
        <v>1000000000000</v>
      </c>
      <c r="AT126" s="211">
        <f ca="1">IF($D126&lt;&gt;"Serviço",0,IF(AND(AUTOEVENTO="Manual",$M126=1),0,IF(OFFSET(CRONOPLE!$F$14,$M126,AT$13)="",10^12,OFFSET(CRONOPLE!$F$14,$M126,AT$13))))</f>
        <v>1000000000000</v>
      </c>
      <c r="AU126" s="211">
        <f ca="1">IF($D126&lt;&gt;"Serviço",0,IF(AND(AUTOEVENTO="Manual",$M126=1),0,IF(OFFSET(CRONOPLE!$F$14,$M126,AU$13)="",10^12,OFFSET(CRONOPLE!$F$14,$M126,AU$13))))</f>
        <v>1000000000000</v>
      </c>
      <c r="AV126" s="211">
        <f ca="1">IF($D126&lt;&gt;"Serviço",0,IF(AND(AUTOEVENTO="Manual",$M126=1),0,IF(OFFSET(CRONOPLE!$F$14,$M126,AV$13)="",10^12,OFFSET(CRONOPLE!$F$14,$M126,AV$13))))</f>
        <v>1000000000000</v>
      </c>
      <c r="AX126" s="212">
        <f ca="1">IF($D126&lt;&gt;"Serviço",0,IF(OR(AND(AUTOEVENTO="Manual",$M126=1),$M126&gt;(ROW(PLE.lastrow)-ROW(PLE.firstrow))),0,IF(OFFSET(PLE!$G$14,$M126,AX$13)="",10^12,OFFSET(PLE!$G$14,$M126,AX$13))))</f>
        <v>1000000000000</v>
      </c>
      <c r="AY126" s="212">
        <f ca="1">IF($D126&lt;&gt;"Serviço",0,IF(OR(AND(AUTOEVENTO="Manual",$M126=1),$M126&gt;(ROW(PLE.lastrow)-ROW(PLE.firstrow))),0,IF(OFFSET(PLE!$G$14,$M126,AY$13)="",10^12,OFFSET(PLE!$G$14,$M126,AY$13))))</f>
        <v>1000000000000</v>
      </c>
      <c r="AZ126" s="212">
        <f ca="1">IF($D126&lt;&gt;"Serviço",0,IF(OR(AND(AUTOEVENTO="Manual",$M126=1),$M126&gt;(ROW(PLE.lastrow)-ROW(PLE.firstrow))),0,IF(OFFSET(PLE!$G$14,$M126,AZ$13)="",10^12,OFFSET(PLE!$G$14,$M126,AZ$13))))</f>
        <v>1000000000000</v>
      </c>
      <c r="BA126" s="212">
        <f ca="1">IF($D126&lt;&gt;"Serviço",0,IF(OR(AND(AUTOEVENTO="Manual",$M126=1),$M126&gt;(ROW(PLE.lastrow)-ROW(PLE.firstrow))),0,IF(OFFSET(PLE!$G$14,$M126,BA$13)="",10^12,OFFSET(PLE!$G$14,$M126,BA$13))))</f>
        <v>1000000000000</v>
      </c>
      <c r="BB126" s="212">
        <f ca="1">IF($D126&lt;&gt;"Serviço",0,IF(OR(AND(AUTOEVENTO="Manual",$M126=1),$M126&gt;(ROW(PLE.lastrow)-ROW(PLE.firstrow))),0,IF(OFFSET(PLE!$G$14,$M126,BB$13)="",10^12,OFFSET(PLE!$G$14,$M126,BB$13))))</f>
        <v>1000000000000</v>
      </c>
      <c r="BC126" s="212">
        <f ca="1">IF($D126&lt;&gt;"Serviço",0,IF(OR(AND(AUTOEVENTO="Manual",$M126=1),$M126&gt;(ROW(PLE.lastrow)-ROW(PLE.firstrow))),0,IF(OFFSET(PLE!$G$14,$M126,BC$13)="",10^12,OFFSET(PLE!$G$14,$M126,BC$13))))</f>
        <v>1000000000000</v>
      </c>
      <c r="BD126" s="212">
        <f ca="1">IF($D126&lt;&gt;"Serviço",0,IF(OR(AND(AUTOEVENTO="Manual",$M126=1),$M126&gt;(ROW(PLE.lastrow)-ROW(PLE.firstrow))),0,IF(OFFSET(PLE!$G$14,$M126,BD$13)="",10^12,OFFSET(PLE!$G$14,$M126,BD$13))))</f>
        <v>1000000000000</v>
      </c>
      <c r="BE126" s="212">
        <f ca="1">IF($D126&lt;&gt;"Serviço",0,IF(OR(AND(AUTOEVENTO="Manual",$M126=1),$M126&gt;(ROW(PLE.lastrow)-ROW(PLE.firstrow))),0,IF(OFFSET(PLE!$G$14,$M126,BE$13)="",10^12,OFFSET(PLE!$G$14,$M126,BE$13))))</f>
        <v>1000000000000</v>
      </c>
      <c r="BF126" s="212">
        <f ca="1">IF($D126&lt;&gt;"Serviço",0,IF(OR(AND(AUTOEVENTO="Manual",$M126=1),$M126&gt;(ROW(PLE.lastrow)-ROW(PLE.firstrow))),0,IF(OFFSET(PLE!$G$14,$M126,BF$13)="",10^12,OFFSET(PLE!$G$14,$M126,BF$13))))</f>
        <v>1000000000000</v>
      </c>
      <c r="BG126" s="212">
        <f ca="1">IF($D126&lt;&gt;"Serviço",0,IF(OR(AND(AUTOEVENTO="Manual",$M126=1),$M126&gt;(ROW(PLE.lastrow)-ROW(PLE.firstrow))),0,IF(OFFSET(PLE!$G$14,$M126,BG$13)="",10^12,OFFSET(PLE!$G$14,$M126,BG$13))))</f>
        <v>1000000000000</v>
      </c>
    </row>
    <row r="127" spans="1:59" ht="13.2">
      <c r="A127" s="9" t="str">
        <f t="shared" ca="1" si="10"/>
        <v>15</v>
      </c>
      <c r="B127" s="9" t="str">
        <f ca="1">OFFSET(ORÇAMENTO!C$15,ROW(B127)-ROW(B$15),0)</f>
        <v>S</v>
      </c>
      <c r="C127" s="9" t="str">
        <f ca="1">OFFSET(ORÇAMENTO!L$15,ROW(C127)-ROW(C$15),0)</f>
        <v/>
      </c>
      <c r="D127" s="141" t="str">
        <f ca="1">OFFSET(ORÇAMENTO!N$15,ROW(D127)-ROW(D$15),0)</f>
        <v>Serviço</v>
      </c>
      <c r="E127" s="201" t="str">
        <f ca="1">OFFSET(ORÇAMENTO!O$15,ROW(E127)-ROW(E$15),0)</f>
        <v>-</v>
      </c>
      <c r="F127" s="202" t="str">
        <f ca="1">OFFSET(ORÇAMENTO!R$15,ROW(F127)-ROW(F$15),0)</f>
        <v>(abra o arquivo 'Referência 11-2024.xlsm)</v>
      </c>
      <c r="G127" s="203" t="str">
        <f ca="1">IF($D127&lt;&gt;"Serviço","",OFFSET(ORÇAMENTO!S$15,ROW(G127)-ROW(G$15),0))</f>
        <v>-</v>
      </c>
      <c r="H127" s="147">
        <f ca="1">IF($D127&lt;&gt;"Serviço",0,IF(ACOMPANHAMENTO="BM",ROUND(OFFSET(ORÇAMENTO!AJ$15,ROW(H127)-ROW(H$15),0),15-13*ORÇAMENTO!$AF$7),SUMPRODUCT(($Q$12:$AA$12&lt;&gt;"")*ROUND($Q127:$AA127,15-13*ORÇAMENTO!$AF$7))))</f>
        <v>0</v>
      </c>
      <c r="I127" s="645"/>
      <c r="K127" s="204"/>
      <c r="L127" s="205" t="s">
        <v>255</v>
      </c>
      <c r="M127" s="206">
        <f ca="1">IF($D127&lt;&gt;"Serviço","",IF(AUTOEVENTO="manual",$A127,IF(ISERROR(MATCH($A127,$A$15:OFFSET($A127,-1,0),0)),MAX($M$15:OFFSET(M127,-1,0))+1,INDEX($M$15:OFFSET(M127,-1,0),MATCH($A127,$A$15:OFFSET($A127,-1,0),0)))))</f>
        <v>6</v>
      </c>
      <c r="N127" s="207" t="str">
        <f ca="1">IF($D127&lt;&gt;"Serviço","",IF(AUTOEVENTO="Manual",IF($A127=0,"&lt;-- defina o número do agrupador",OFFSET(EVENTOS!$D$14,$A127,0)),OFFSET($F$15,$A127,0)))</f>
        <v>DRENAGEM</v>
      </c>
      <c r="O127" s="208"/>
      <c r="Q127" s="208"/>
      <c r="R127" s="209"/>
      <c r="S127" s="209"/>
      <c r="T127" s="209"/>
      <c r="U127" s="209"/>
      <c r="V127" s="209"/>
      <c r="W127" s="209"/>
      <c r="X127" s="209"/>
      <c r="Y127" s="209"/>
      <c r="Z127" s="210"/>
      <c r="AB127" s="626">
        <f ca="1">IF(AND($D127="Serviço",AB$12&lt;&gt;0,$H127&gt;0,OR(AUTOEVENTO&lt;&gt;"manual",$M127&lt;&gt;1)),
IF(Import.TipoArredondamento&lt;&gt;"TransfereGOV",
ROUND(OFFSET($P127,0,AB$13),15-13*ORÇAMENTO!$AF$7)/$H127*OFFSET(ORÇAMENTO!$X$15,ROW(AB127)-ROW(AB$15),0),
ROUND(ROUND(OFFSET($P127,0,AB$13),15-13*ORÇAMENTO!$AF$7)*OFFSET(ORÇAMENTO!$W$15,ROW(AB127)-ROW(AB$15),0),15-13*ORÇAMENTO!$AF$11)),0)</f>
        <v>0</v>
      </c>
      <c r="AC127" s="627">
        <f ca="1">IF(AND($D127="Serviço",AC$12&lt;&gt;0,$H127&gt;0,OR(AUTOEVENTO&lt;&gt;"manual",$M127&lt;&gt;1)),
IF(Import.TipoArredondamento&lt;&gt;"TransfereGOV",
ROUND(OFFSET($P127,0,AC$13),15-13*ORÇAMENTO!$AF$7)/$H127*OFFSET(ORÇAMENTO!$X$15,ROW(AC127)-ROW(AC$15),0),
ROUND(ROUND(OFFSET($P127,0,AC$13),15-13*ORÇAMENTO!$AF$7)*OFFSET(ORÇAMENTO!$W$15,ROW(AC127)-ROW(AC$15),0),15-13*ORÇAMENTO!$AF$11)),0)</f>
        <v>0</v>
      </c>
      <c r="AD127" s="627">
        <f ca="1">IF(AND($D127="Serviço",AD$12&lt;&gt;0,$H127&gt;0,OR(AUTOEVENTO&lt;&gt;"manual",$M127&lt;&gt;1)),
IF(Import.TipoArredondamento&lt;&gt;"TransfereGOV",
ROUND(OFFSET($P127,0,AD$13),15-13*ORÇAMENTO!$AF$7)/$H127*OFFSET(ORÇAMENTO!$X$15,ROW(AD127)-ROW(AD$15),0),
ROUND(ROUND(OFFSET($P127,0,AD$13),15-13*ORÇAMENTO!$AF$7)*OFFSET(ORÇAMENTO!$W$15,ROW(AD127)-ROW(AD$15),0),15-13*ORÇAMENTO!$AF$11)),0)</f>
        <v>0</v>
      </c>
      <c r="AE127" s="627">
        <f ca="1">IF(AND($D127="Serviço",AE$12&lt;&gt;0,$H127&gt;0,OR(AUTOEVENTO&lt;&gt;"manual",$M127&lt;&gt;1)),
IF(Import.TipoArredondamento&lt;&gt;"TransfereGOV",
ROUND(OFFSET($P127,0,AE$13),15-13*ORÇAMENTO!$AF$7)/$H127*OFFSET(ORÇAMENTO!$X$15,ROW(AE127)-ROW(AE$15),0),
ROUND(ROUND(OFFSET($P127,0,AE$13),15-13*ORÇAMENTO!$AF$7)*OFFSET(ORÇAMENTO!$W$15,ROW(AE127)-ROW(AE$15),0),15-13*ORÇAMENTO!$AF$11)),0)</f>
        <v>0</v>
      </c>
      <c r="AF127" s="627">
        <f ca="1">IF(AND($D127="Serviço",AF$12&lt;&gt;0,$H127&gt;0,OR(AUTOEVENTO&lt;&gt;"manual",$M127&lt;&gt;1)),
IF(Import.TipoArredondamento&lt;&gt;"TransfereGOV",
ROUND(OFFSET($P127,0,AF$13),15-13*ORÇAMENTO!$AF$7)/$H127*OFFSET(ORÇAMENTO!$X$15,ROW(AF127)-ROW(AF$15),0),
ROUND(ROUND(OFFSET($P127,0,AF$13),15-13*ORÇAMENTO!$AF$7)*OFFSET(ORÇAMENTO!$W$15,ROW(AF127)-ROW(AF$15),0),15-13*ORÇAMENTO!$AF$11)),0)</f>
        <v>0</v>
      </c>
      <c r="AG127" s="627">
        <f ca="1">IF(AND($D127="Serviço",AG$12&lt;&gt;0,$H127&gt;0,OR(AUTOEVENTO&lt;&gt;"manual",$M127&lt;&gt;1)),
IF(Import.TipoArredondamento&lt;&gt;"TransfereGOV",
ROUND(OFFSET($P127,0,AG$13),15-13*ORÇAMENTO!$AF$7)/$H127*OFFSET(ORÇAMENTO!$X$15,ROW(AG127)-ROW(AG$15),0),
ROUND(ROUND(OFFSET($P127,0,AG$13),15-13*ORÇAMENTO!$AF$7)*OFFSET(ORÇAMENTO!$W$15,ROW(AG127)-ROW(AG$15),0),15-13*ORÇAMENTO!$AF$11)),0)</f>
        <v>0</v>
      </c>
      <c r="AH127" s="627">
        <f ca="1">IF(AND($D127="Serviço",AH$12&lt;&gt;0,$H127&gt;0,OR(AUTOEVENTO&lt;&gt;"manual",$M127&lt;&gt;1)),
IF(Import.TipoArredondamento&lt;&gt;"TransfereGOV",
ROUND(OFFSET($P127,0,AH$13),15-13*ORÇAMENTO!$AF$7)/$H127*OFFSET(ORÇAMENTO!$X$15,ROW(AH127)-ROW(AH$15),0),
ROUND(ROUND(OFFSET($P127,0,AH$13),15-13*ORÇAMENTO!$AF$7)*OFFSET(ORÇAMENTO!$W$15,ROW(AH127)-ROW(AH$15),0),15-13*ORÇAMENTO!$AF$11)),0)</f>
        <v>0</v>
      </c>
      <c r="AI127" s="627">
        <f ca="1">IF(AND($D127="Serviço",AI$12&lt;&gt;0,$H127&gt;0,OR(AUTOEVENTO&lt;&gt;"manual",$M127&lt;&gt;1)),
IF(Import.TipoArredondamento&lt;&gt;"TransfereGOV",
ROUND(OFFSET($P127,0,AI$13),15-13*ORÇAMENTO!$AF$7)/$H127*OFFSET(ORÇAMENTO!$X$15,ROW(AI127)-ROW(AI$15),0),
ROUND(ROUND(OFFSET($P127,0,AI$13),15-13*ORÇAMENTO!$AF$7)*OFFSET(ORÇAMENTO!$W$15,ROW(AI127)-ROW(AI$15),0),15-13*ORÇAMENTO!$AF$11)),0)</f>
        <v>0</v>
      </c>
      <c r="AJ127" s="627">
        <f ca="1">IF(AND($D127="Serviço",AJ$12&lt;&gt;0,$H127&gt;0,OR(AUTOEVENTO&lt;&gt;"manual",$M127&lt;&gt;1)),
IF(Import.TipoArredondamento&lt;&gt;"TransfereGOV",
ROUND(OFFSET($P127,0,AJ$13),15-13*ORÇAMENTO!$AF$7)/$H127*OFFSET(ORÇAMENTO!$X$15,ROW(AJ127)-ROW(AJ$15),0),
ROUND(ROUND(OFFSET($P127,0,AJ$13),15-13*ORÇAMENTO!$AF$7)*OFFSET(ORÇAMENTO!$W$15,ROW(AJ127)-ROW(AJ$15),0),15-13*ORÇAMENTO!$AF$11)),0)</f>
        <v>0</v>
      </c>
      <c r="AK127" s="628">
        <f ca="1">IF(AND($D127="Serviço",AK$12&lt;&gt;0,$H127&gt;0,OR(AUTOEVENTO&lt;&gt;"manual",$M127&lt;&gt;1)),
IF(Import.TipoArredondamento&lt;&gt;"TransfereGOV",
ROUND(OFFSET($P127,0,AK$13),15-13*ORÇAMENTO!$AF$7)/$H127*OFFSET(ORÇAMENTO!$X$15,ROW(AK127)-ROW(AK$15),0),
ROUND(ROUND(OFFSET($P127,0,AK$13),15-13*ORÇAMENTO!$AF$7)*OFFSET(ORÇAMENTO!$W$15,ROW(AK127)-ROW(AK$15),0),15-13*ORÇAMENTO!$AF$11)),0)</f>
        <v>0</v>
      </c>
      <c r="AM127" s="211">
        <f ca="1">IF($D127&lt;&gt;"Serviço",0,IF(AND(AUTOEVENTO="Manual",$M127=1),0,IF(OFFSET(CRONOPLE!$F$14,$M127,AM$13)="",10^12,OFFSET(CRONOPLE!$F$14,$M127,AM$13))))</f>
        <v>2</v>
      </c>
      <c r="AN127" s="211">
        <f ca="1">IF($D127&lt;&gt;"Serviço",0,IF(AND(AUTOEVENTO="Manual",$M127=1),0,IF(OFFSET(CRONOPLE!$F$14,$M127,AN$13)="",10^12,OFFSET(CRONOPLE!$F$14,$M127,AN$13))))</f>
        <v>1</v>
      </c>
      <c r="AO127" s="211">
        <f ca="1">IF($D127&lt;&gt;"Serviço",0,IF(AND(AUTOEVENTO="Manual",$M127=1),0,IF(OFFSET(CRONOPLE!$F$14,$M127,AO$13)="",10^12,OFFSET(CRONOPLE!$F$14,$M127,AO$13))))</f>
        <v>2</v>
      </c>
      <c r="AP127" s="211">
        <f ca="1">IF($D127&lt;&gt;"Serviço",0,IF(AND(AUTOEVENTO="Manual",$M127=1),0,IF(OFFSET(CRONOPLE!$F$14,$M127,AP$13)="",10^12,OFFSET(CRONOPLE!$F$14,$M127,AP$13))))</f>
        <v>2</v>
      </c>
      <c r="AQ127" s="211">
        <f ca="1">IF($D127&lt;&gt;"Serviço",0,IF(AND(AUTOEVENTO="Manual",$M127=1),0,IF(OFFSET(CRONOPLE!$F$14,$M127,AQ$13)="",10^12,OFFSET(CRONOPLE!$F$14,$M127,AQ$13))))</f>
        <v>1000000000000</v>
      </c>
      <c r="AR127" s="211">
        <f ca="1">IF($D127&lt;&gt;"Serviço",0,IF(AND(AUTOEVENTO="Manual",$M127=1),0,IF(OFFSET(CRONOPLE!$F$14,$M127,AR$13)="",10^12,OFFSET(CRONOPLE!$F$14,$M127,AR$13))))</f>
        <v>1000000000000</v>
      </c>
      <c r="AS127" s="211">
        <f ca="1">IF($D127&lt;&gt;"Serviço",0,IF(AND(AUTOEVENTO="Manual",$M127=1),0,IF(OFFSET(CRONOPLE!$F$14,$M127,AS$13)="",10^12,OFFSET(CRONOPLE!$F$14,$M127,AS$13))))</f>
        <v>1000000000000</v>
      </c>
      <c r="AT127" s="211">
        <f ca="1">IF($D127&lt;&gt;"Serviço",0,IF(AND(AUTOEVENTO="Manual",$M127=1),0,IF(OFFSET(CRONOPLE!$F$14,$M127,AT$13)="",10^12,OFFSET(CRONOPLE!$F$14,$M127,AT$13))))</f>
        <v>1000000000000</v>
      </c>
      <c r="AU127" s="211">
        <f ca="1">IF($D127&lt;&gt;"Serviço",0,IF(AND(AUTOEVENTO="Manual",$M127=1),0,IF(OFFSET(CRONOPLE!$F$14,$M127,AU$13)="",10^12,OFFSET(CRONOPLE!$F$14,$M127,AU$13))))</f>
        <v>1000000000000</v>
      </c>
      <c r="AV127" s="211">
        <f ca="1">IF($D127&lt;&gt;"Serviço",0,IF(AND(AUTOEVENTO="Manual",$M127=1),0,IF(OFFSET(CRONOPLE!$F$14,$M127,AV$13)="",10^12,OFFSET(CRONOPLE!$F$14,$M127,AV$13))))</f>
        <v>1000000000000</v>
      </c>
      <c r="AX127" s="212">
        <f ca="1">IF($D127&lt;&gt;"Serviço",0,IF(OR(AND(AUTOEVENTO="Manual",$M127=1),$M127&gt;(ROW(PLE.lastrow)-ROW(PLE.firstrow))),0,IF(OFFSET(PLE!$G$14,$M127,AX$13)="",10^12,OFFSET(PLE!$G$14,$M127,AX$13))))</f>
        <v>1000000000000</v>
      </c>
      <c r="AY127" s="212">
        <f ca="1">IF($D127&lt;&gt;"Serviço",0,IF(OR(AND(AUTOEVENTO="Manual",$M127=1),$M127&gt;(ROW(PLE.lastrow)-ROW(PLE.firstrow))),0,IF(OFFSET(PLE!$G$14,$M127,AY$13)="",10^12,OFFSET(PLE!$G$14,$M127,AY$13))))</f>
        <v>1000000000000</v>
      </c>
      <c r="AZ127" s="212">
        <f ca="1">IF($D127&lt;&gt;"Serviço",0,IF(OR(AND(AUTOEVENTO="Manual",$M127=1),$M127&gt;(ROW(PLE.lastrow)-ROW(PLE.firstrow))),0,IF(OFFSET(PLE!$G$14,$M127,AZ$13)="",10^12,OFFSET(PLE!$G$14,$M127,AZ$13))))</f>
        <v>1000000000000</v>
      </c>
      <c r="BA127" s="212">
        <f ca="1">IF($D127&lt;&gt;"Serviço",0,IF(OR(AND(AUTOEVENTO="Manual",$M127=1),$M127&gt;(ROW(PLE.lastrow)-ROW(PLE.firstrow))),0,IF(OFFSET(PLE!$G$14,$M127,BA$13)="",10^12,OFFSET(PLE!$G$14,$M127,BA$13))))</f>
        <v>1000000000000</v>
      </c>
      <c r="BB127" s="212">
        <f ca="1">IF($D127&lt;&gt;"Serviço",0,IF(OR(AND(AUTOEVENTO="Manual",$M127=1),$M127&gt;(ROW(PLE.lastrow)-ROW(PLE.firstrow))),0,IF(OFFSET(PLE!$G$14,$M127,BB$13)="",10^12,OFFSET(PLE!$G$14,$M127,BB$13))))</f>
        <v>1000000000000</v>
      </c>
      <c r="BC127" s="212">
        <f ca="1">IF($D127&lt;&gt;"Serviço",0,IF(OR(AND(AUTOEVENTO="Manual",$M127=1),$M127&gt;(ROW(PLE.lastrow)-ROW(PLE.firstrow))),0,IF(OFFSET(PLE!$G$14,$M127,BC$13)="",10^12,OFFSET(PLE!$G$14,$M127,BC$13))))</f>
        <v>1000000000000</v>
      </c>
      <c r="BD127" s="212">
        <f ca="1">IF($D127&lt;&gt;"Serviço",0,IF(OR(AND(AUTOEVENTO="Manual",$M127=1),$M127&gt;(ROW(PLE.lastrow)-ROW(PLE.firstrow))),0,IF(OFFSET(PLE!$G$14,$M127,BD$13)="",10^12,OFFSET(PLE!$G$14,$M127,BD$13))))</f>
        <v>1000000000000</v>
      </c>
      <c r="BE127" s="212">
        <f ca="1">IF($D127&lt;&gt;"Serviço",0,IF(OR(AND(AUTOEVENTO="Manual",$M127=1),$M127&gt;(ROW(PLE.lastrow)-ROW(PLE.firstrow))),0,IF(OFFSET(PLE!$G$14,$M127,BE$13)="",10^12,OFFSET(PLE!$G$14,$M127,BE$13))))</f>
        <v>1000000000000</v>
      </c>
      <c r="BF127" s="212">
        <f ca="1">IF($D127&lt;&gt;"Serviço",0,IF(OR(AND(AUTOEVENTO="Manual",$M127=1),$M127&gt;(ROW(PLE.lastrow)-ROW(PLE.firstrow))),0,IF(OFFSET(PLE!$G$14,$M127,BF$13)="",10^12,OFFSET(PLE!$G$14,$M127,BF$13))))</f>
        <v>1000000000000</v>
      </c>
      <c r="BG127" s="212">
        <f ca="1">IF($D127&lt;&gt;"Serviço",0,IF(OR(AND(AUTOEVENTO="Manual",$M127=1),$M127&gt;(ROW(PLE.lastrow)-ROW(PLE.firstrow))),0,IF(OFFSET(PLE!$G$14,$M127,BG$13)="",10^12,OFFSET(PLE!$G$14,$M127,BG$13))))</f>
        <v>1000000000000</v>
      </c>
    </row>
    <row r="128" spans="1:59" ht="13.2">
      <c r="A128" s="9" t="str">
        <f t="shared" ca="1" si="10"/>
        <v>15</v>
      </c>
      <c r="B128" s="9" t="str">
        <f ca="1">OFFSET(ORÇAMENTO!C$15,ROW(B128)-ROW(B$15),0)</f>
        <v>S</v>
      </c>
      <c r="C128" s="9" t="str">
        <f ca="1">OFFSET(ORÇAMENTO!L$15,ROW(C128)-ROW(C$15),0)</f>
        <v/>
      </c>
      <c r="D128" s="141" t="str">
        <f ca="1">OFFSET(ORÇAMENTO!N$15,ROW(D128)-ROW(D$15),0)</f>
        <v>Serviço</v>
      </c>
      <c r="E128" s="201" t="str">
        <f ca="1">OFFSET(ORÇAMENTO!O$15,ROW(E128)-ROW(E$15),0)</f>
        <v>-</v>
      </c>
      <c r="F128" s="202" t="str">
        <f ca="1">OFFSET(ORÇAMENTO!R$15,ROW(F128)-ROW(F$15),0)</f>
        <v>(abra o arquivo 'Referência 11-2024.xlsm)</v>
      </c>
      <c r="G128" s="203" t="str">
        <f ca="1">IF($D128&lt;&gt;"Serviço","",OFFSET(ORÇAMENTO!S$15,ROW(G128)-ROW(G$15),0))</f>
        <v>-</v>
      </c>
      <c r="H128" s="147">
        <f ca="1">IF($D128&lt;&gt;"Serviço",0,IF(ACOMPANHAMENTO="BM",ROUND(OFFSET(ORÇAMENTO!AJ$15,ROW(H128)-ROW(H$15),0),15-13*ORÇAMENTO!$AF$7),SUMPRODUCT(($Q$12:$AA$12&lt;&gt;"")*ROUND($Q128:$AA128,15-13*ORÇAMENTO!$AF$7))))</f>
        <v>0</v>
      </c>
      <c r="I128" s="645"/>
      <c r="K128" s="204"/>
      <c r="L128" s="205" t="s">
        <v>255</v>
      </c>
      <c r="M128" s="206">
        <f ca="1">IF($D128&lt;&gt;"Serviço","",IF(AUTOEVENTO="manual",$A128,IF(ISERROR(MATCH($A128,$A$15:OFFSET($A128,-1,0),0)),MAX($M$15:OFFSET(M128,-1,0))+1,INDEX($M$15:OFFSET(M128,-1,0),MATCH($A128,$A$15:OFFSET($A128,-1,0),0)))))</f>
        <v>6</v>
      </c>
      <c r="N128" s="207" t="str">
        <f ca="1">IF($D128&lt;&gt;"Serviço","",IF(AUTOEVENTO="Manual",IF($A128=0,"&lt;-- defina o número do agrupador",OFFSET(EVENTOS!$D$14,$A128,0)),OFFSET($F$15,$A128,0)))</f>
        <v>DRENAGEM</v>
      </c>
      <c r="O128" s="208"/>
      <c r="Q128" s="208"/>
      <c r="R128" s="209"/>
      <c r="S128" s="209"/>
      <c r="T128" s="209"/>
      <c r="U128" s="209"/>
      <c r="V128" s="209"/>
      <c r="W128" s="209"/>
      <c r="X128" s="209"/>
      <c r="Y128" s="209"/>
      <c r="Z128" s="210"/>
      <c r="AB128" s="626">
        <f ca="1">IF(AND($D128="Serviço",AB$12&lt;&gt;0,$H128&gt;0,OR(AUTOEVENTO&lt;&gt;"manual",$M128&lt;&gt;1)),
IF(Import.TipoArredondamento&lt;&gt;"TransfereGOV",
ROUND(OFFSET($P128,0,AB$13),15-13*ORÇAMENTO!$AF$7)/$H128*OFFSET(ORÇAMENTO!$X$15,ROW(AB128)-ROW(AB$15),0),
ROUND(ROUND(OFFSET($P128,0,AB$13),15-13*ORÇAMENTO!$AF$7)*OFFSET(ORÇAMENTO!$W$15,ROW(AB128)-ROW(AB$15),0),15-13*ORÇAMENTO!$AF$11)),0)</f>
        <v>0</v>
      </c>
      <c r="AC128" s="627">
        <f ca="1">IF(AND($D128="Serviço",AC$12&lt;&gt;0,$H128&gt;0,OR(AUTOEVENTO&lt;&gt;"manual",$M128&lt;&gt;1)),
IF(Import.TipoArredondamento&lt;&gt;"TransfereGOV",
ROUND(OFFSET($P128,0,AC$13),15-13*ORÇAMENTO!$AF$7)/$H128*OFFSET(ORÇAMENTO!$X$15,ROW(AC128)-ROW(AC$15),0),
ROUND(ROUND(OFFSET($P128,0,AC$13),15-13*ORÇAMENTO!$AF$7)*OFFSET(ORÇAMENTO!$W$15,ROW(AC128)-ROW(AC$15),0),15-13*ORÇAMENTO!$AF$11)),0)</f>
        <v>0</v>
      </c>
      <c r="AD128" s="627">
        <f ca="1">IF(AND($D128="Serviço",AD$12&lt;&gt;0,$H128&gt;0,OR(AUTOEVENTO&lt;&gt;"manual",$M128&lt;&gt;1)),
IF(Import.TipoArredondamento&lt;&gt;"TransfereGOV",
ROUND(OFFSET($P128,0,AD$13),15-13*ORÇAMENTO!$AF$7)/$H128*OFFSET(ORÇAMENTO!$X$15,ROW(AD128)-ROW(AD$15),0),
ROUND(ROUND(OFFSET($P128,0,AD$13),15-13*ORÇAMENTO!$AF$7)*OFFSET(ORÇAMENTO!$W$15,ROW(AD128)-ROW(AD$15),0),15-13*ORÇAMENTO!$AF$11)),0)</f>
        <v>0</v>
      </c>
      <c r="AE128" s="627">
        <f ca="1">IF(AND($D128="Serviço",AE$12&lt;&gt;0,$H128&gt;0,OR(AUTOEVENTO&lt;&gt;"manual",$M128&lt;&gt;1)),
IF(Import.TipoArredondamento&lt;&gt;"TransfereGOV",
ROUND(OFFSET($P128,0,AE$13),15-13*ORÇAMENTO!$AF$7)/$H128*OFFSET(ORÇAMENTO!$X$15,ROW(AE128)-ROW(AE$15),0),
ROUND(ROUND(OFFSET($P128,0,AE$13),15-13*ORÇAMENTO!$AF$7)*OFFSET(ORÇAMENTO!$W$15,ROW(AE128)-ROW(AE$15),0),15-13*ORÇAMENTO!$AF$11)),0)</f>
        <v>0</v>
      </c>
      <c r="AF128" s="627">
        <f ca="1">IF(AND($D128="Serviço",AF$12&lt;&gt;0,$H128&gt;0,OR(AUTOEVENTO&lt;&gt;"manual",$M128&lt;&gt;1)),
IF(Import.TipoArredondamento&lt;&gt;"TransfereGOV",
ROUND(OFFSET($P128,0,AF$13),15-13*ORÇAMENTO!$AF$7)/$H128*OFFSET(ORÇAMENTO!$X$15,ROW(AF128)-ROW(AF$15),0),
ROUND(ROUND(OFFSET($P128,0,AF$13),15-13*ORÇAMENTO!$AF$7)*OFFSET(ORÇAMENTO!$W$15,ROW(AF128)-ROW(AF$15),0),15-13*ORÇAMENTO!$AF$11)),0)</f>
        <v>0</v>
      </c>
      <c r="AG128" s="627">
        <f ca="1">IF(AND($D128="Serviço",AG$12&lt;&gt;0,$H128&gt;0,OR(AUTOEVENTO&lt;&gt;"manual",$M128&lt;&gt;1)),
IF(Import.TipoArredondamento&lt;&gt;"TransfereGOV",
ROUND(OFFSET($P128,0,AG$13),15-13*ORÇAMENTO!$AF$7)/$H128*OFFSET(ORÇAMENTO!$X$15,ROW(AG128)-ROW(AG$15),0),
ROUND(ROUND(OFFSET($P128,0,AG$13),15-13*ORÇAMENTO!$AF$7)*OFFSET(ORÇAMENTO!$W$15,ROW(AG128)-ROW(AG$15),0),15-13*ORÇAMENTO!$AF$11)),0)</f>
        <v>0</v>
      </c>
      <c r="AH128" s="627">
        <f ca="1">IF(AND($D128="Serviço",AH$12&lt;&gt;0,$H128&gt;0,OR(AUTOEVENTO&lt;&gt;"manual",$M128&lt;&gt;1)),
IF(Import.TipoArredondamento&lt;&gt;"TransfereGOV",
ROUND(OFFSET($P128,0,AH$13),15-13*ORÇAMENTO!$AF$7)/$H128*OFFSET(ORÇAMENTO!$X$15,ROW(AH128)-ROW(AH$15),0),
ROUND(ROUND(OFFSET($P128,0,AH$13),15-13*ORÇAMENTO!$AF$7)*OFFSET(ORÇAMENTO!$W$15,ROW(AH128)-ROW(AH$15),0),15-13*ORÇAMENTO!$AF$11)),0)</f>
        <v>0</v>
      </c>
      <c r="AI128" s="627">
        <f ca="1">IF(AND($D128="Serviço",AI$12&lt;&gt;0,$H128&gt;0,OR(AUTOEVENTO&lt;&gt;"manual",$M128&lt;&gt;1)),
IF(Import.TipoArredondamento&lt;&gt;"TransfereGOV",
ROUND(OFFSET($P128,0,AI$13),15-13*ORÇAMENTO!$AF$7)/$H128*OFFSET(ORÇAMENTO!$X$15,ROW(AI128)-ROW(AI$15),0),
ROUND(ROUND(OFFSET($P128,0,AI$13),15-13*ORÇAMENTO!$AF$7)*OFFSET(ORÇAMENTO!$W$15,ROW(AI128)-ROW(AI$15),0),15-13*ORÇAMENTO!$AF$11)),0)</f>
        <v>0</v>
      </c>
      <c r="AJ128" s="627">
        <f ca="1">IF(AND($D128="Serviço",AJ$12&lt;&gt;0,$H128&gt;0,OR(AUTOEVENTO&lt;&gt;"manual",$M128&lt;&gt;1)),
IF(Import.TipoArredondamento&lt;&gt;"TransfereGOV",
ROUND(OFFSET($P128,0,AJ$13),15-13*ORÇAMENTO!$AF$7)/$H128*OFFSET(ORÇAMENTO!$X$15,ROW(AJ128)-ROW(AJ$15),0),
ROUND(ROUND(OFFSET($P128,0,AJ$13),15-13*ORÇAMENTO!$AF$7)*OFFSET(ORÇAMENTO!$W$15,ROW(AJ128)-ROW(AJ$15),0),15-13*ORÇAMENTO!$AF$11)),0)</f>
        <v>0</v>
      </c>
      <c r="AK128" s="628">
        <f ca="1">IF(AND($D128="Serviço",AK$12&lt;&gt;0,$H128&gt;0,OR(AUTOEVENTO&lt;&gt;"manual",$M128&lt;&gt;1)),
IF(Import.TipoArredondamento&lt;&gt;"TransfereGOV",
ROUND(OFFSET($P128,0,AK$13),15-13*ORÇAMENTO!$AF$7)/$H128*OFFSET(ORÇAMENTO!$X$15,ROW(AK128)-ROW(AK$15),0),
ROUND(ROUND(OFFSET($P128,0,AK$13),15-13*ORÇAMENTO!$AF$7)*OFFSET(ORÇAMENTO!$W$15,ROW(AK128)-ROW(AK$15),0),15-13*ORÇAMENTO!$AF$11)),0)</f>
        <v>0</v>
      </c>
      <c r="AM128" s="211">
        <f ca="1">IF($D128&lt;&gt;"Serviço",0,IF(AND(AUTOEVENTO="Manual",$M128=1),0,IF(OFFSET(CRONOPLE!$F$14,$M128,AM$13)="",10^12,OFFSET(CRONOPLE!$F$14,$M128,AM$13))))</f>
        <v>2</v>
      </c>
      <c r="AN128" s="211">
        <f ca="1">IF($D128&lt;&gt;"Serviço",0,IF(AND(AUTOEVENTO="Manual",$M128=1),0,IF(OFFSET(CRONOPLE!$F$14,$M128,AN$13)="",10^12,OFFSET(CRONOPLE!$F$14,$M128,AN$13))))</f>
        <v>1</v>
      </c>
      <c r="AO128" s="211">
        <f ca="1">IF($D128&lt;&gt;"Serviço",0,IF(AND(AUTOEVENTO="Manual",$M128=1),0,IF(OFFSET(CRONOPLE!$F$14,$M128,AO$13)="",10^12,OFFSET(CRONOPLE!$F$14,$M128,AO$13))))</f>
        <v>2</v>
      </c>
      <c r="AP128" s="211">
        <f ca="1">IF($D128&lt;&gt;"Serviço",0,IF(AND(AUTOEVENTO="Manual",$M128=1),0,IF(OFFSET(CRONOPLE!$F$14,$M128,AP$13)="",10^12,OFFSET(CRONOPLE!$F$14,$M128,AP$13))))</f>
        <v>2</v>
      </c>
      <c r="AQ128" s="211">
        <f ca="1">IF($D128&lt;&gt;"Serviço",0,IF(AND(AUTOEVENTO="Manual",$M128=1),0,IF(OFFSET(CRONOPLE!$F$14,$M128,AQ$13)="",10^12,OFFSET(CRONOPLE!$F$14,$M128,AQ$13))))</f>
        <v>1000000000000</v>
      </c>
      <c r="AR128" s="211">
        <f ca="1">IF($D128&lt;&gt;"Serviço",0,IF(AND(AUTOEVENTO="Manual",$M128=1),0,IF(OFFSET(CRONOPLE!$F$14,$M128,AR$13)="",10^12,OFFSET(CRONOPLE!$F$14,$M128,AR$13))))</f>
        <v>1000000000000</v>
      </c>
      <c r="AS128" s="211">
        <f ca="1">IF($D128&lt;&gt;"Serviço",0,IF(AND(AUTOEVENTO="Manual",$M128=1),0,IF(OFFSET(CRONOPLE!$F$14,$M128,AS$13)="",10^12,OFFSET(CRONOPLE!$F$14,$M128,AS$13))))</f>
        <v>1000000000000</v>
      </c>
      <c r="AT128" s="211">
        <f ca="1">IF($D128&lt;&gt;"Serviço",0,IF(AND(AUTOEVENTO="Manual",$M128=1),0,IF(OFFSET(CRONOPLE!$F$14,$M128,AT$13)="",10^12,OFFSET(CRONOPLE!$F$14,$M128,AT$13))))</f>
        <v>1000000000000</v>
      </c>
      <c r="AU128" s="211">
        <f ca="1">IF($D128&lt;&gt;"Serviço",0,IF(AND(AUTOEVENTO="Manual",$M128=1),0,IF(OFFSET(CRONOPLE!$F$14,$M128,AU$13)="",10^12,OFFSET(CRONOPLE!$F$14,$M128,AU$13))))</f>
        <v>1000000000000</v>
      </c>
      <c r="AV128" s="211">
        <f ca="1">IF($D128&lt;&gt;"Serviço",0,IF(AND(AUTOEVENTO="Manual",$M128=1),0,IF(OFFSET(CRONOPLE!$F$14,$M128,AV$13)="",10^12,OFFSET(CRONOPLE!$F$14,$M128,AV$13))))</f>
        <v>1000000000000</v>
      </c>
      <c r="AX128" s="212">
        <f ca="1">IF($D128&lt;&gt;"Serviço",0,IF(OR(AND(AUTOEVENTO="Manual",$M128=1),$M128&gt;(ROW(PLE.lastrow)-ROW(PLE.firstrow))),0,IF(OFFSET(PLE!$G$14,$M128,AX$13)="",10^12,OFFSET(PLE!$G$14,$M128,AX$13))))</f>
        <v>1000000000000</v>
      </c>
      <c r="AY128" s="212">
        <f ca="1">IF($D128&lt;&gt;"Serviço",0,IF(OR(AND(AUTOEVENTO="Manual",$M128=1),$M128&gt;(ROW(PLE.lastrow)-ROW(PLE.firstrow))),0,IF(OFFSET(PLE!$G$14,$M128,AY$13)="",10^12,OFFSET(PLE!$G$14,$M128,AY$13))))</f>
        <v>1000000000000</v>
      </c>
      <c r="AZ128" s="212">
        <f ca="1">IF($D128&lt;&gt;"Serviço",0,IF(OR(AND(AUTOEVENTO="Manual",$M128=1),$M128&gt;(ROW(PLE.lastrow)-ROW(PLE.firstrow))),0,IF(OFFSET(PLE!$G$14,$M128,AZ$13)="",10^12,OFFSET(PLE!$G$14,$M128,AZ$13))))</f>
        <v>1000000000000</v>
      </c>
      <c r="BA128" s="212">
        <f ca="1">IF($D128&lt;&gt;"Serviço",0,IF(OR(AND(AUTOEVENTO="Manual",$M128=1),$M128&gt;(ROW(PLE.lastrow)-ROW(PLE.firstrow))),0,IF(OFFSET(PLE!$G$14,$M128,BA$13)="",10^12,OFFSET(PLE!$G$14,$M128,BA$13))))</f>
        <v>1000000000000</v>
      </c>
      <c r="BB128" s="212">
        <f ca="1">IF($D128&lt;&gt;"Serviço",0,IF(OR(AND(AUTOEVENTO="Manual",$M128=1),$M128&gt;(ROW(PLE.lastrow)-ROW(PLE.firstrow))),0,IF(OFFSET(PLE!$G$14,$M128,BB$13)="",10^12,OFFSET(PLE!$G$14,$M128,BB$13))))</f>
        <v>1000000000000</v>
      </c>
      <c r="BC128" s="212">
        <f ca="1">IF($D128&lt;&gt;"Serviço",0,IF(OR(AND(AUTOEVENTO="Manual",$M128=1),$M128&gt;(ROW(PLE.lastrow)-ROW(PLE.firstrow))),0,IF(OFFSET(PLE!$G$14,$M128,BC$13)="",10^12,OFFSET(PLE!$G$14,$M128,BC$13))))</f>
        <v>1000000000000</v>
      </c>
      <c r="BD128" s="212">
        <f ca="1">IF($D128&lt;&gt;"Serviço",0,IF(OR(AND(AUTOEVENTO="Manual",$M128=1),$M128&gt;(ROW(PLE.lastrow)-ROW(PLE.firstrow))),0,IF(OFFSET(PLE!$G$14,$M128,BD$13)="",10^12,OFFSET(PLE!$G$14,$M128,BD$13))))</f>
        <v>1000000000000</v>
      </c>
      <c r="BE128" s="212">
        <f ca="1">IF($D128&lt;&gt;"Serviço",0,IF(OR(AND(AUTOEVENTO="Manual",$M128=1),$M128&gt;(ROW(PLE.lastrow)-ROW(PLE.firstrow))),0,IF(OFFSET(PLE!$G$14,$M128,BE$13)="",10^12,OFFSET(PLE!$G$14,$M128,BE$13))))</f>
        <v>1000000000000</v>
      </c>
      <c r="BF128" s="212">
        <f ca="1">IF($D128&lt;&gt;"Serviço",0,IF(OR(AND(AUTOEVENTO="Manual",$M128=1),$M128&gt;(ROW(PLE.lastrow)-ROW(PLE.firstrow))),0,IF(OFFSET(PLE!$G$14,$M128,BF$13)="",10^12,OFFSET(PLE!$G$14,$M128,BF$13))))</f>
        <v>1000000000000</v>
      </c>
      <c r="BG128" s="212">
        <f ca="1">IF($D128&lt;&gt;"Serviço",0,IF(OR(AND(AUTOEVENTO="Manual",$M128=1),$M128&gt;(ROW(PLE.lastrow)-ROW(PLE.firstrow))),0,IF(OFFSET(PLE!$G$14,$M128,BG$13)="",10^12,OFFSET(PLE!$G$14,$M128,BG$13))))</f>
        <v>1000000000000</v>
      </c>
    </row>
    <row r="129" spans="1:59" ht="13.2">
      <c r="A129" s="9" t="str">
        <f t="shared" ca="1" si="10"/>
        <v>15</v>
      </c>
      <c r="B129" s="9" t="str">
        <f ca="1">OFFSET(ORÇAMENTO!C$15,ROW(B129)-ROW(B$15),0)</f>
        <v>S</v>
      </c>
      <c r="C129" s="9" t="str">
        <f ca="1">OFFSET(ORÇAMENTO!L$15,ROW(C129)-ROW(C$15),0)</f>
        <v/>
      </c>
      <c r="D129" s="141" t="str">
        <f ca="1">OFFSET(ORÇAMENTO!N$15,ROW(D129)-ROW(D$15),0)</f>
        <v>Serviço</v>
      </c>
      <c r="E129" s="201" t="str">
        <f ca="1">OFFSET(ORÇAMENTO!O$15,ROW(E129)-ROW(E$15),0)</f>
        <v>-</v>
      </c>
      <c r="F129" s="202" t="str">
        <f ca="1">OFFSET(ORÇAMENTO!R$15,ROW(F129)-ROW(F$15),0)</f>
        <v>(abra o arquivo 'Referência 11-2024.xlsm)</v>
      </c>
      <c r="G129" s="203" t="str">
        <f ca="1">IF($D129&lt;&gt;"Serviço","",OFFSET(ORÇAMENTO!S$15,ROW(G129)-ROW(G$15),0))</f>
        <v>-</v>
      </c>
      <c r="H129" s="147">
        <f ca="1">IF($D129&lt;&gt;"Serviço",0,IF(ACOMPANHAMENTO="BM",ROUND(OFFSET(ORÇAMENTO!AJ$15,ROW(H129)-ROW(H$15),0),15-13*ORÇAMENTO!$AF$7),SUMPRODUCT(($Q$12:$AA$12&lt;&gt;"")*ROUND($Q129:$AA129,15-13*ORÇAMENTO!$AF$7))))</f>
        <v>0</v>
      </c>
      <c r="I129" s="645"/>
      <c r="K129" s="204"/>
      <c r="L129" s="205" t="s">
        <v>255</v>
      </c>
      <c r="M129" s="206">
        <f ca="1">IF($D129&lt;&gt;"Serviço","",IF(AUTOEVENTO="manual",$A129,IF(ISERROR(MATCH($A129,$A$15:OFFSET($A129,-1,0),0)),MAX($M$15:OFFSET(M129,-1,0))+1,INDEX($M$15:OFFSET(M129,-1,0),MATCH($A129,$A$15:OFFSET($A129,-1,0),0)))))</f>
        <v>6</v>
      </c>
      <c r="N129" s="207" t="str">
        <f ca="1">IF($D129&lt;&gt;"Serviço","",IF(AUTOEVENTO="Manual",IF($A129=0,"&lt;-- defina o número do agrupador",OFFSET(EVENTOS!$D$14,$A129,0)),OFFSET($F$15,$A129,0)))</f>
        <v>DRENAGEM</v>
      </c>
      <c r="O129" s="208"/>
      <c r="Q129" s="208"/>
      <c r="R129" s="209"/>
      <c r="S129" s="209"/>
      <c r="T129" s="209"/>
      <c r="U129" s="209"/>
      <c r="V129" s="209"/>
      <c r="W129" s="209"/>
      <c r="X129" s="209"/>
      <c r="Y129" s="209"/>
      <c r="Z129" s="210"/>
      <c r="AB129" s="626">
        <f ca="1">IF(AND($D129="Serviço",AB$12&lt;&gt;0,$H129&gt;0,OR(AUTOEVENTO&lt;&gt;"manual",$M129&lt;&gt;1)),
IF(Import.TipoArredondamento&lt;&gt;"TransfereGOV",
ROUND(OFFSET($P129,0,AB$13),15-13*ORÇAMENTO!$AF$7)/$H129*OFFSET(ORÇAMENTO!$X$15,ROW(AB129)-ROW(AB$15),0),
ROUND(ROUND(OFFSET($P129,0,AB$13),15-13*ORÇAMENTO!$AF$7)*OFFSET(ORÇAMENTO!$W$15,ROW(AB129)-ROW(AB$15),0),15-13*ORÇAMENTO!$AF$11)),0)</f>
        <v>0</v>
      </c>
      <c r="AC129" s="627">
        <f ca="1">IF(AND($D129="Serviço",AC$12&lt;&gt;0,$H129&gt;0,OR(AUTOEVENTO&lt;&gt;"manual",$M129&lt;&gt;1)),
IF(Import.TipoArredondamento&lt;&gt;"TransfereGOV",
ROUND(OFFSET($P129,0,AC$13),15-13*ORÇAMENTO!$AF$7)/$H129*OFFSET(ORÇAMENTO!$X$15,ROW(AC129)-ROW(AC$15),0),
ROUND(ROUND(OFFSET($P129,0,AC$13),15-13*ORÇAMENTO!$AF$7)*OFFSET(ORÇAMENTO!$W$15,ROW(AC129)-ROW(AC$15),0),15-13*ORÇAMENTO!$AF$11)),0)</f>
        <v>0</v>
      </c>
      <c r="AD129" s="627">
        <f ca="1">IF(AND($D129="Serviço",AD$12&lt;&gt;0,$H129&gt;0,OR(AUTOEVENTO&lt;&gt;"manual",$M129&lt;&gt;1)),
IF(Import.TipoArredondamento&lt;&gt;"TransfereGOV",
ROUND(OFFSET($P129,0,AD$13),15-13*ORÇAMENTO!$AF$7)/$H129*OFFSET(ORÇAMENTO!$X$15,ROW(AD129)-ROW(AD$15),0),
ROUND(ROUND(OFFSET($P129,0,AD$13),15-13*ORÇAMENTO!$AF$7)*OFFSET(ORÇAMENTO!$W$15,ROW(AD129)-ROW(AD$15),0),15-13*ORÇAMENTO!$AF$11)),0)</f>
        <v>0</v>
      </c>
      <c r="AE129" s="627">
        <f ca="1">IF(AND($D129="Serviço",AE$12&lt;&gt;0,$H129&gt;0,OR(AUTOEVENTO&lt;&gt;"manual",$M129&lt;&gt;1)),
IF(Import.TipoArredondamento&lt;&gt;"TransfereGOV",
ROUND(OFFSET($P129,0,AE$13),15-13*ORÇAMENTO!$AF$7)/$H129*OFFSET(ORÇAMENTO!$X$15,ROW(AE129)-ROW(AE$15),0),
ROUND(ROUND(OFFSET($P129,0,AE$13),15-13*ORÇAMENTO!$AF$7)*OFFSET(ORÇAMENTO!$W$15,ROW(AE129)-ROW(AE$15),0),15-13*ORÇAMENTO!$AF$11)),0)</f>
        <v>0</v>
      </c>
      <c r="AF129" s="627">
        <f ca="1">IF(AND($D129="Serviço",AF$12&lt;&gt;0,$H129&gt;0,OR(AUTOEVENTO&lt;&gt;"manual",$M129&lt;&gt;1)),
IF(Import.TipoArredondamento&lt;&gt;"TransfereGOV",
ROUND(OFFSET($P129,0,AF$13),15-13*ORÇAMENTO!$AF$7)/$H129*OFFSET(ORÇAMENTO!$X$15,ROW(AF129)-ROW(AF$15),0),
ROUND(ROUND(OFFSET($P129,0,AF$13),15-13*ORÇAMENTO!$AF$7)*OFFSET(ORÇAMENTO!$W$15,ROW(AF129)-ROW(AF$15),0),15-13*ORÇAMENTO!$AF$11)),0)</f>
        <v>0</v>
      </c>
      <c r="AG129" s="627">
        <f ca="1">IF(AND($D129="Serviço",AG$12&lt;&gt;0,$H129&gt;0,OR(AUTOEVENTO&lt;&gt;"manual",$M129&lt;&gt;1)),
IF(Import.TipoArredondamento&lt;&gt;"TransfereGOV",
ROUND(OFFSET($P129,0,AG$13),15-13*ORÇAMENTO!$AF$7)/$H129*OFFSET(ORÇAMENTO!$X$15,ROW(AG129)-ROW(AG$15),0),
ROUND(ROUND(OFFSET($P129,0,AG$13),15-13*ORÇAMENTO!$AF$7)*OFFSET(ORÇAMENTO!$W$15,ROW(AG129)-ROW(AG$15),0),15-13*ORÇAMENTO!$AF$11)),0)</f>
        <v>0</v>
      </c>
      <c r="AH129" s="627">
        <f ca="1">IF(AND($D129="Serviço",AH$12&lt;&gt;0,$H129&gt;0,OR(AUTOEVENTO&lt;&gt;"manual",$M129&lt;&gt;1)),
IF(Import.TipoArredondamento&lt;&gt;"TransfereGOV",
ROUND(OFFSET($P129,0,AH$13),15-13*ORÇAMENTO!$AF$7)/$H129*OFFSET(ORÇAMENTO!$X$15,ROW(AH129)-ROW(AH$15),0),
ROUND(ROUND(OFFSET($P129,0,AH$13),15-13*ORÇAMENTO!$AF$7)*OFFSET(ORÇAMENTO!$W$15,ROW(AH129)-ROW(AH$15),0),15-13*ORÇAMENTO!$AF$11)),0)</f>
        <v>0</v>
      </c>
      <c r="AI129" s="627">
        <f ca="1">IF(AND($D129="Serviço",AI$12&lt;&gt;0,$H129&gt;0,OR(AUTOEVENTO&lt;&gt;"manual",$M129&lt;&gt;1)),
IF(Import.TipoArredondamento&lt;&gt;"TransfereGOV",
ROUND(OFFSET($P129,0,AI$13),15-13*ORÇAMENTO!$AF$7)/$H129*OFFSET(ORÇAMENTO!$X$15,ROW(AI129)-ROW(AI$15),0),
ROUND(ROUND(OFFSET($P129,0,AI$13),15-13*ORÇAMENTO!$AF$7)*OFFSET(ORÇAMENTO!$W$15,ROW(AI129)-ROW(AI$15),0),15-13*ORÇAMENTO!$AF$11)),0)</f>
        <v>0</v>
      </c>
      <c r="AJ129" s="627">
        <f ca="1">IF(AND($D129="Serviço",AJ$12&lt;&gt;0,$H129&gt;0,OR(AUTOEVENTO&lt;&gt;"manual",$M129&lt;&gt;1)),
IF(Import.TipoArredondamento&lt;&gt;"TransfereGOV",
ROUND(OFFSET($P129,0,AJ$13),15-13*ORÇAMENTO!$AF$7)/$H129*OFFSET(ORÇAMENTO!$X$15,ROW(AJ129)-ROW(AJ$15),0),
ROUND(ROUND(OFFSET($P129,0,AJ$13),15-13*ORÇAMENTO!$AF$7)*OFFSET(ORÇAMENTO!$W$15,ROW(AJ129)-ROW(AJ$15),0),15-13*ORÇAMENTO!$AF$11)),0)</f>
        <v>0</v>
      </c>
      <c r="AK129" s="628">
        <f ca="1">IF(AND($D129="Serviço",AK$12&lt;&gt;0,$H129&gt;0,OR(AUTOEVENTO&lt;&gt;"manual",$M129&lt;&gt;1)),
IF(Import.TipoArredondamento&lt;&gt;"TransfereGOV",
ROUND(OFFSET($P129,0,AK$13),15-13*ORÇAMENTO!$AF$7)/$H129*OFFSET(ORÇAMENTO!$X$15,ROW(AK129)-ROW(AK$15),0),
ROUND(ROUND(OFFSET($P129,0,AK$13),15-13*ORÇAMENTO!$AF$7)*OFFSET(ORÇAMENTO!$W$15,ROW(AK129)-ROW(AK$15),0),15-13*ORÇAMENTO!$AF$11)),0)</f>
        <v>0</v>
      </c>
      <c r="AM129" s="211">
        <f ca="1">IF($D129&lt;&gt;"Serviço",0,IF(AND(AUTOEVENTO="Manual",$M129=1),0,IF(OFFSET(CRONOPLE!$F$14,$M129,AM$13)="",10^12,OFFSET(CRONOPLE!$F$14,$M129,AM$13))))</f>
        <v>2</v>
      </c>
      <c r="AN129" s="211">
        <f ca="1">IF($D129&lt;&gt;"Serviço",0,IF(AND(AUTOEVENTO="Manual",$M129=1),0,IF(OFFSET(CRONOPLE!$F$14,$M129,AN$13)="",10^12,OFFSET(CRONOPLE!$F$14,$M129,AN$13))))</f>
        <v>1</v>
      </c>
      <c r="AO129" s="211">
        <f ca="1">IF($D129&lt;&gt;"Serviço",0,IF(AND(AUTOEVENTO="Manual",$M129=1),0,IF(OFFSET(CRONOPLE!$F$14,$M129,AO$13)="",10^12,OFFSET(CRONOPLE!$F$14,$M129,AO$13))))</f>
        <v>2</v>
      </c>
      <c r="AP129" s="211">
        <f ca="1">IF($D129&lt;&gt;"Serviço",0,IF(AND(AUTOEVENTO="Manual",$M129=1),0,IF(OFFSET(CRONOPLE!$F$14,$M129,AP$13)="",10^12,OFFSET(CRONOPLE!$F$14,$M129,AP$13))))</f>
        <v>2</v>
      </c>
      <c r="AQ129" s="211">
        <f ca="1">IF($D129&lt;&gt;"Serviço",0,IF(AND(AUTOEVENTO="Manual",$M129=1),0,IF(OFFSET(CRONOPLE!$F$14,$M129,AQ$13)="",10^12,OFFSET(CRONOPLE!$F$14,$M129,AQ$13))))</f>
        <v>1000000000000</v>
      </c>
      <c r="AR129" s="211">
        <f ca="1">IF($D129&lt;&gt;"Serviço",0,IF(AND(AUTOEVENTO="Manual",$M129=1),0,IF(OFFSET(CRONOPLE!$F$14,$M129,AR$13)="",10^12,OFFSET(CRONOPLE!$F$14,$M129,AR$13))))</f>
        <v>1000000000000</v>
      </c>
      <c r="AS129" s="211">
        <f ca="1">IF($D129&lt;&gt;"Serviço",0,IF(AND(AUTOEVENTO="Manual",$M129=1),0,IF(OFFSET(CRONOPLE!$F$14,$M129,AS$13)="",10^12,OFFSET(CRONOPLE!$F$14,$M129,AS$13))))</f>
        <v>1000000000000</v>
      </c>
      <c r="AT129" s="211">
        <f ca="1">IF($D129&lt;&gt;"Serviço",0,IF(AND(AUTOEVENTO="Manual",$M129=1),0,IF(OFFSET(CRONOPLE!$F$14,$M129,AT$13)="",10^12,OFFSET(CRONOPLE!$F$14,$M129,AT$13))))</f>
        <v>1000000000000</v>
      </c>
      <c r="AU129" s="211">
        <f ca="1">IF($D129&lt;&gt;"Serviço",0,IF(AND(AUTOEVENTO="Manual",$M129=1),0,IF(OFFSET(CRONOPLE!$F$14,$M129,AU$13)="",10^12,OFFSET(CRONOPLE!$F$14,$M129,AU$13))))</f>
        <v>1000000000000</v>
      </c>
      <c r="AV129" s="211">
        <f ca="1">IF($D129&lt;&gt;"Serviço",0,IF(AND(AUTOEVENTO="Manual",$M129=1),0,IF(OFFSET(CRONOPLE!$F$14,$M129,AV$13)="",10^12,OFFSET(CRONOPLE!$F$14,$M129,AV$13))))</f>
        <v>1000000000000</v>
      </c>
      <c r="AX129" s="212">
        <f ca="1">IF($D129&lt;&gt;"Serviço",0,IF(OR(AND(AUTOEVENTO="Manual",$M129=1),$M129&gt;(ROW(PLE.lastrow)-ROW(PLE.firstrow))),0,IF(OFFSET(PLE!$G$14,$M129,AX$13)="",10^12,OFFSET(PLE!$G$14,$M129,AX$13))))</f>
        <v>1000000000000</v>
      </c>
      <c r="AY129" s="212">
        <f ca="1">IF($D129&lt;&gt;"Serviço",0,IF(OR(AND(AUTOEVENTO="Manual",$M129=1),$M129&gt;(ROW(PLE.lastrow)-ROW(PLE.firstrow))),0,IF(OFFSET(PLE!$G$14,$M129,AY$13)="",10^12,OFFSET(PLE!$G$14,$M129,AY$13))))</f>
        <v>1000000000000</v>
      </c>
      <c r="AZ129" s="212">
        <f ca="1">IF($D129&lt;&gt;"Serviço",0,IF(OR(AND(AUTOEVENTO="Manual",$M129=1),$M129&gt;(ROW(PLE.lastrow)-ROW(PLE.firstrow))),0,IF(OFFSET(PLE!$G$14,$M129,AZ$13)="",10^12,OFFSET(PLE!$G$14,$M129,AZ$13))))</f>
        <v>1000000000000</v>
      </c>
      <c r="BA129" s="212">
        <f ca="1">IF($D129&lt;&gt;"Serviço",0,IF(OR(AND(AUTOEVENTO="Manual",$M129=1),$M129&gt;(ROW(PLE.lastrow)-ROW(PLE.firstrow))),0,IF(OFFSET(PLE!$G$14,$M129,BA$13)="",10^12,OFFSET(PLE!$G$14,$M129,BA$13))))</f>
        <v>1000000000000</v>
      </c>
      <c r="BB129" s="212">
        <f ca="1">IF($D129&lt;&gt;"Serviço",0,IF(OR(AND(AUTOEVENTO="Manual",$M129=1),$M129&gt;(ROW(PLE.lastrow)-ROW(PLE.firstrow))),0,IF(OFFSET(PLE!$G$14,$M129,BB$13)="",10^12,OFFSET(PLE!$G$14,$M129,BB$13))))</f>
        <v>1000000000000</v>
      </c>
      <c r="BC129" s="212">
        <f ca="1">IF($D129&lt;&gt;"Serviço",0,IF(OR(AND(AUTOEVENTO="Manual",$M129=1),$M129&gt;(ROW(PLE.lastrow)-ROW(PLE.firstrow))),0,IF(OFFSET(PLE!$G$14,$M129,BC$13)="",10^12,OFFSET(PLE!$G$14,$M129,BC$13))))</f>
        <v>1000000000000</v>
      </c>
      <c r="BD129" s="212">
        <f ca="1">IF($D129&lt;&gt;"Serviço",0,IF(OR(AND(AUTOEVENTO="Manual",$M129=1),$M129&gt;(ROW(PLE.lastrow)-ROW(PLE.firstrow))),0,IF(OFFSET(PLE!$G$14,$M129,BD$13)="",10^12,OFFSET(PLE!$G$14,$M129,BD$13))))</f>
        <v>1000000000000</v>
      </c>
      <c r="BE129" s="212">
        <f ca="1">IF($D129&lt;&gt;"Serviço",0,IF(OR(AND(AUTOEVENTO="Manual",$M129=1),$M129&gt;(ROW(PLE.lastrow)-ROW(PLE.firstrow))),0,IF(OFFSET(PLE!$G$14,$M129,BE$13)="",10^12,OFFSET(PLE!$G$14,$M129,BE$13))))</f>
        <v>1000000000000</v>
      </c>
      <c r="BF129" s="212">
        <f ca="1">IF($D129&lt;&gt;"Serviço",0,IF(OR(AND(AUTOEVENTO="Manual",$M129=1),$M129&gt;(ROW(PLE.lastrow)-ROW(PLE.firstrow))),0,IF(OFFSET(PLE!$G$14,$M129,BF$13)="",10^12,OFFSET(PLE!$G$14,$M129,BF$13))))</f>
        <v>1000000000000</v>
      </c>
      <c r="BG129" s="212">
        <f ca="1">IF($D129&lt;&gt;"Serviço",0,IF(OR(AND(AUTOEVENTO="Manual",$M129=1),$M129&gt;(ROW(PLE.lastrow)-ROW(PLE.firstrow))),0,IF(OFFSET(PLE!$G$14,$M129,BG$13)="",10^12,OFFSET(PLE!$G$14,$M129,BG$13))))</f>
        <v>1000000000000</v>
      </c>
    </row>
    <row r="130" spans="1:59" ht="13.2">
      <c r="A130" s="9" t="str">
        <f t="shared" ca="1" si="10"/>
        <v>15</v>
      </c>
      <c r="B130" s="9" t="str">
        <f ca="1">OFFSET(ORÇAMENTO!C$15,ROW(B130)-ROW(B$15),0)</f>
        <v>S</v>
      </c>
      <c r="C130" s="9" t="str">
        <f ca="1">OFFSET(ORÇAMENTO!L$15,ROW(C130)-ROW(C$15),0)</f>
        <v/>
      </c>
      <c r="D130" s="141" t="str">
        <f ca="1">OFFSET(ORÇAMENTO!N$15,ROW(D130)-ROW(D$15),0)</f>
        <v>Serviço</v>
      </c>
      <c r="E130" s="201" t="str">
        <f ca="1">OFFSET(ORÇAMENTO!O$15,ROW(E130)-ROW(E$15),0)</f>
        <v>-</v>
      </c>
      <c r="F130" s="202" t="str">
        <f ca="1">OFFSET(ORÇAMENTO!R$15,ROW(F130)-ROW(F$15),0)</f>
        <v>(abra o arquivo 'Referência 11-2024.xlsm)</v>
      </c>
      <c r="G130" s="203" t="str">
        <f ca="1">IF($D130&lt;&gt;"Serviço","",OFFSET(ORÇAMENTO!S$15,ROW(G130)-ROW(G$15),0))</f>
        <v>-</v>
      </c>
      <c r="H130" s="147">
        <f ca="1">IF($D130&lt;&gt;"Serviço",0,IF(ACOMPANHAMENTO="BM",ROUND(OFFSET(ORÇAMENTO!AJ$15,ROW(H130)-ROW(H$15),0),15-13*ORÇAMENTO!$AF$7),SUMPRODUCT(($Q$12:$AA$12&lt;&gt;"")*ROUND($Q130:$AA130,15-13*ORÇAMENTO!$AF$7))))</f>
        <v>0</v>
      </c>
      <c r="I130" s="645"/>
      <c r="K130" s="204"/>
      <c r="L130" s="205" t="s">
        <v>255</v>
      </c>
      <c r="M130" s="206">
        <f ca="1">IF($D130&lt;&gt;"Serviço","",IF(AUTOEVENTO="manual",$A130,IF(ISERROR(MATCH($A130,$A$15:OFFSET($A130,-1,0),0)),MAX($M$15:OFFSET(M130,-1,0))+1,INDEX($M$15:OFFSET(M130,-1,0),MATCH($A130,$A$15:OFFSET($A130,-1,0),0)))))</f>
        <v>6</v>
      </c>
      <c r="N130" s="207" t="str">
        <f ca="1">IF($D130&lt;&gt;"Serviço","",IF(AUTOEVENTO="Manual",IF($A130=0,"&lt;-- defina o número do agrupador",OFFSET(EVENTOS!$D$14,$A130,0)),OFFSET($F$15,$A130,0)))</f>
        <v>DRENAGEM</v>
      </c>
      <c r="O130" s="208"/>
      <c r="Q130" s="208"/>
      <c r="R130" s="209"/>
      <c r="S130" s="209"/>
      <c r="T130" s="209"/>
      <c r="U130" s="209"/>
      <c r="V130" s="209"/>
      <c r="W130" s="209"/>
      <c r="X130" s="209"/>
      <c r="Y130" s="209"/>
      <c r="Z130" s="210"/>
      <c r="AB130" s="626">
        <f ca="1">IF(AND($D130="Serviço",AB$12&lt;&gt;0,$H130&gt;0,OR(AUTOEVENTO&lt;&gt;"manual",$M130&lt;&gt;1)),
IF(Import.TipoArredondamento&lt;&gt;"TransfereGOV",
ROUND(OFFSET($P130,0,AB$13),15-13*ORÇAMENTO!$AF$7)/$H130*OFFSET(ORÇAMENTO!$X$15,ROW(AB130)-ROW(AB$15),0),
ROUND(ROUND(OFFSET($P130,0,AB$13),15-13*ORÇAMENTO!$AF$7)*OFFSET(ORÇAMENTO!$W$15,ROW(AB130)-ROW(AB$15),0),15-13*ORÇAMENTO!$AF$11)),0)</f>
        <v>0</v>
      </c>
      <c r="AC130" s="627">
        <f ca="1">IF(AND($D130="Serviço",AC$12&lt;&gt;0,$H130&gt;0,OR(AUTOEVENTO&lt;&gt;"manual",$M130&lt;&gt;1)),
IF(Import.TipoArredondamento&lt;&gt;"TransfereGOV",
ROUND(OFFSET($P130,0,AC$13),15-13*ORÇAMENTO!$AF$7)/$H130*OFFSET(ORÇAMENTO!$X$15,ROW(AC130)-ROW(AC$15),0),
ROUND(ROUND(OFFSET($P130,0,AC$13),15-13*ORÇAMENTO!$AF$7)*OFFSET(ORÇAMENTO!$W$15,ROW(AC130)-ROW(AC$15),0),15-13*ORÇAMENTO!$AF$11)),0)</f>
        <v>0</v>
      </c>
      <c r="AD130" s="627">
        <f ca="1">IF(AND($D130="Serviço",AD$12&lt;&gt;0,$H130&gt;0,OR(AUTOEVENTO&lt;&gt;"manual",$M130&lt;&gt;1)),
IF(Import.TipoArredondamento&lt;&gt;"TransfereGOV",
ROUND(OFFSET($P130,0,AD$13),15-13*ORÇAMENTO!$AF$7)/$H130*OFFSET(ORÇAMENTO!$X$15,ROW(AD130)-ROW(AD$15),0),
ROUND(ROUND(OFFSET($P130,0,AD$13),15-13*ORÇAMENTO!$AF$7)*OFFSET(ORÇAMENTO!$W$15,ROW(AD130)-ROW(AD$15),0),15-13*ORÇAMENTO!$AF$11)),0)</f>
        <v>0</v>
      </c>
      <c r="AE130" s="627">
        <f ca="1">IF(AND($D130="Serviço",AE$12&lt;&gt;0,$H130&gt;0,OR(AUTOEVENTO&lt;&gt;"manual",$M130&lt;&gt;1)),
IF(Import.TipoArredondamento&lt;&gt;"TransfereGOV",
ROUND(OFFSET($P130,0,AE$13),15-13*ORÇAMENTO!$AF$7)/$H130*OFFSET(ORÇAMENTO!$X$15,ROW(AE130)-ROW(AE$15),0),
ROUND(ROUND(OFFSET($P130,0,AE$13),15-13*ORÇAMENTO!$AF$7)*OFFSET(ORÇAMENTO!$W$15,ROW(AE130)-ROW(AE$15),0),15-13*ORÇAMENTO!$AF$11)),0)</f>
        <v>0</v>
      </c>
      <c r="AF130" s="627">
        <f ca="1">IF(AND($D130="Serviço",AF$12&lt;&gt;0,$H130&gt;0,OR(AUTOEVENTO&lt;&gt;"manual",$M130&lt;&gt;1)),
IF(Import.TipoArredondamento&lt;&gt;"TransfereGOV",
ROUND(OFFSET($P130,0,AF$13),15-13*ORÇAMENTO!$AF$7)/$H130*OFFSET(ORÇAMENTO!$X$15,ROW(AF130)-ROW(AF$15),0),
ROUND(ROUND(OFFSET($P130,0,AF$13),15-13*ORÇAMENTO!$AF$7)*OFFSET(ORÇAMENTO!$W$15,ROW(AF130)-ROW(AF$15),0),15-13*ORÇAMENTO!$AF$11)),0)</f>
        <v>0</v>
      </c>
      <c r="AG130" s="627">
        <f ca="1">IF(AND($D130="Serviço",AG$12&lt;&gt;0,$H130&gt;0,OR(AUTOEVENTO&lt;&gt;"manual",$M130&lt;&gt;1)),
IF(Import.TipoArredondamento&lt;&gt;"TransfereGOV",
ROUND(OFFSET($P130,0,AG$13),15-13*ORÇAMENTO!$AF$7)/$H130*OFFSET(ORÇAMENTO!$X$15,ROW(AG130)-ROW(AG$15),0),
ROUND(ROUND(OFFSET($P130,0,AG$13),15-13*ORÇAMENTO!$AF$7)*OFFSET(ORÇAMENTO!$W$15,ROW(AG130)-ROW(AG$15),0),15-13*ORÇAMENTO!$AF$11)),0)</f>
        <v>0</v>
      </c>
      <c r="AH130" s="627">
        <f ca="1">IF(AND($D130="Serviço",AH$12&lt;&gt;0,$H130&gt;0,OR(AUTOEVENTO&lt;&gt;"manual",$M130&lt;&gt;1)),
IF(Import.TipoArredondamento&lt;&gt;"TransfereGOV",
ROUND(OFFSET($P130,0,AH$13),15-13*ORÇAMENTO!$AF$7)/$H130*OFFSET(ORÇAMENTO!$X$15,ROW(AH130)-ROW(AH$15),0),
ROUND(ROUND(OFFSET($P130,0,AH$13),15-13*ORÇAMENTO!$AF$7)*OFFSET(ORÇAMENTO!$W$15,ROW(AH130)-ROW(AH$15),0),15-13*ORÇAMENTO!$AF$11)),0)</f>
        <v>0</v>
      </c>
      <c r="AI130" s="627">
        <f ca="1">IF(AND($D130="Serviço",AI$12&lt;&gt;0,$H130&gt;0,OR(AUTOEVENTO&lt;&gt;"manual",$M130&lt;&gt;1)),
IF(Import.TipoArredondamento&lt;&gt;"TransfereGOV",
ROUND(OFFSET($P130,0,AI$13),15-13*ORÇAMENTO!$AF$7)/$H130*OFFSET(ORÇAMENTO!$X$15,ROW(AI130)-ROW(AI$15),0),
ROUND(ROUND(OFFSET($P130,0,AI$13),15-13*ORÇAMENTO!$AF$7)*OFFSET(ORÇAMENTO!$W$15,ROW(AI130)-ROW(AI$15),0),15-13*ORÇAMENTO!$AF$11)),0)</f>
        <v>0</v>
      </c>
      <c r="AJ130" s="627">
        <f ca="1">IF(AND($D130="Serviço",AJ$12&lt;&gt;0,$H130&gt;0,OR(AUTOEVENTO&lt;&gt;"manual",$M130&lt;&gt;1)),
IF(Import.TipoArredondamento&lt;&gt;"TransfereGOV",
ROUND(OFFSET($P130,0,AJ$13),15-13*ORÇAMENTO!$AF$7)/$H130*OFFSET(ORÇAMENTO!$X$15,ROW(AJ130)-ROW(AJ$15),0),
ROUND(ROUND(OFFSET($P130,0,AJ$13),15-13*ORÇAMENTO!$AF$7)*OFFSET(ORÇAMENTO!$W$15,ROW(AJ130)-ROW(AJ$15),0),15-13*ORÇAMENTO!$AF$11)),0)</f>
        <v>0</v>
      </c>
      <c r="AK130" s="628">
        <f ca="1">IF(AND($D130="Serviço",AK$12&lt;&gt;0,$H130&gt;0,OR(AUTOEVENTO&lt;&gt;"manual",$M130&lt;&gt;1)),
IF(Import.TipoArredondamento&lt;&gt;"TransfereGOV",
ROUND(OFFSET($P130,0,AK$13),15-13*ORÇAMENTO!$AF$7)/$H130*OFFSET(ORÇAMENTO!$X$15,ROW(AK130)-ROW(AK$15),0),
ROUND(ROUND(OFFSET($P130,0,AK$13),15-13*ORÇAMENTO!$AF$7)*OFFSET(ORÇAMENTO!$W$15,ROW(AK130)-ROW(AK$15),0),15-13*ORÇAMENTO!$AF$11)),0)</f>
        <v>0</v>
      </c>
      <c r="AM130" s="211">
        <f ca="1">IF($D130&lt;&gt;"Serviço",0,IF(AND(AUTOEVENTO="Manual",$M130=1),0,IF(OFFSET(CRONOPLE!$F$14,$M130,AM$13)="",10^12,OFFSET(CRONOPLE!$F$14,$M130,AM$13))))</f>
        <v>2</v>
      </c>
      <c r="AN130" s="211">
        <f ca="1">IF($D130&lt;&gt;"Serviço",0,IF(AND(AUTOEVENTO="Manual",$M130=1),0,IF(OFFSET(CRONOPLE!$F$14,$M130,AN$13)="",10^12,OFFSET(CRONOPLE!$F$14,$M130,AN$13))))</f>
        <v>1</v>
      </c>
      <c r="AO130" s="211">
        <f ca="1">IF($D130&lt;&gt;"Serviço",0,IF(AND(AUTOEVENTO="Manual",$M130=1),0,IF(OFFSET(CRONOPLE!$F$14,$M130,AO$13)="",10^12,OFFSET(CRONOPLE!$F$14,$M130,AO$13))))</f>
        <v>2</v>
      </c>
      <c r="AP130" s="211">
        <f ca="1">IF($D130&lt;&gt;"Serviço",0,IF(AND(AUTOEVENTO="Manual",$M130=1),0,IF(OFFSET(CRONOPLE!$F$14,$M130,AP$13)="",10^12,OFFSET(CRONOPLE!$F$14,$M130,AP$13))))</f>
        <v>2</v>
      </c>
      <c r="AQ130" s="211">
        <f ca="1">IF($D130&lt;&gt;"Serviço",0,IF(AND(AUTOEVENTO="Manual",$M130=1),0,IF(OFFSET(CRONOPLE!$F$14,$M130,AQ$13)="",10^12,OFFSET(CRONOPLE!$F$14,$M130,AQ$13))))</f>
        <v>1000000000000</v>
      </c>
      <c r="AR130" s="211">
        <f ca="1">IF($D130&lt;&gt;"Serviço",0,IF(AND(AUTOEVENTO="Manual",$M130=1),0,IF(OFFSET(CRONOPLE!$F$14,$M130,AR$13)="",10^12,OFFSET(CRONOPLE!$F$14,$M130,AR$13))))</f>
        <v>1000000000000</v>
      </c>
      <c r="AS130" s="211">
        <f ca="1">IF($D130&lt;&gt;"Serviço",0,IF(AND(AUTOEVENTO="Manual",$M130=1),0,IF(OFFSET(CRONOPLE!$F$14,$M130,AS$13)="",10^12,OFFSET(CRONOPLE!$F$14,$M130,AS$13))))</f>
        <v>1000000000000</v>
      </c>
      <c r="AT130" s="211">
        <f ca="1">IF($D130&lt;&gt;"Serviço",0,IF(AND(AUTOEVENTO="Manual",$M130=1),0,IF(OFFSET(CRONOPLE!$F$14,$M130,AT$13)="",10^12,OFFSET(CRONOPLE!$F$14,$M130,AT$13))))</f>
        <v>1000000000000</v>
      </c>
      <c r="AU130" s="211">
        <f ca="1">IF($D130&lt;&gt;"Serviço",0,IF(AND(AUTOEVENTO="Manual",$M130=1),0,IF(OFFSET(CRONOPLE!$F$14,$M130,AU$13)="",10^12,OFFSET(CRONOPLE!$F$14,$M130,AU$13))))</f>
        <v>1000000000000</v>
      </c>
      <c r="AV130" s="211">
        <f ca="1">IF($D130&lt;&gt;"Serviço",0,IF(AND(AUTOEVENTO="Manual",$M130=1),0,IF(OFFSET(CRONOPLE!$F$14,$M130,AV$13)="",10^12,OFFSET(CRONOPLE!$F$14,$M130,AV$13))))</f>
        <v>1000000000000</v>
      </c>
      <c r="AX130" s="212">
        <f ca="1">IF($D130&lt;&gt;"Serviço",0,IF(OR(AND(AUTOEVENTO="Manual",$M130=1),$M130&gt;(ROW(PLE.lastrow)-ROW(PLE.firstrow))),0,IF(OFFSET(PLE!$G$14,$M130,AX$13)="",10^12,OFFSET(PLE!$G$14,$M130,AX$13))))</f>
        <v>1000000000000</v>
      </c>
      <c r="AY130" s="212">
        <f ca="1">IF($D130&lt;&gt;"Serviço",0,IF(OR(AND(AUTOEVENTO="Manual",$M130=1),$M130&gt;(ROW(PLE.lastrow)-ROW(PLE.firstrow))),0,IF(OFFSET(PLE!$G$14,$M130,AY$13)="",10^12,OFFSET(PLE!$G$14,$M130,AY$13))))</f>
        <v>1000000000000</v>
      </c>
      <c r="AZ130" s="212">
        <f ca="1">IF($D130&lt;&gt;"Serviço",0,IF(OR(AND(AUTOEVENTO="Manual",$M130=1),$M130&gt;(ROW(PLE.lastrow)-ROW(PLE.firstrow))),0,IF(OFFSET(PLE!$G$14,$M130,AZ$13)="",10^12,OFFSET(PLE!$G$14,$M130,AZ$13))))</f>
        <v>1000000000000</v>
      </c>
      <c r="BA130" s="212">
        <f ca="1">IF($D130&lt;&gt;"Serviço",0,IF(OR(AND(AUTOEVENTO="Manual",$M130=1),$M130&gt;(ROW(PLE.lastrow)-ROW(PLE.firstrow))),0,IF(OFFSET(PLE!$G$14,$M130,BA$13)="",10^12,OFFSET(PLE!$G$14,$M130,BA$13))))</f>
        <v>1000000000000</v>
      </c>
      <c r="BB130" s="212">
        <f ca="1">IF($D130&lt;&gt;"Serviço",0,IF(OR(AND(AUTOEVENTO="Manual",$M130=1),$M130&gt;(ROW(PLE.lastrow)-ROW(PLE.firstrow))),0,IF(OFFSET(PLE!$G$14,$M130,BB$13)="",10^12,OFFSET(PLE!$G$14,$M130,BB$13))))</f>
        <v>1000000000000</v>
      </c>
      <c r="BC130" s="212">
        <f ca="1">IF($D130&lt;&gt;"Serviço",0,IF(OR(AND(AUTOEVENTO="Manual",$M130=1),$M130&gt;(ROW(PLE.lastrow)-ROW(PLE.firstrow))),0,IF(OFFSET(PLE!$G$14,$M130,BC$13)="",10^12,OFFSET(PLE!$G$14,$M130,BC$13))))</f>
        <v>1000000000000</v>
      </c>
      <c r="BD130" s="212">
        <f ca="1">IF($D130&lt;&gt;"Serviço",0,IF(OR(AND(AUTOEVENTO="Manual",$M130=1),$M130&gt;(ROW(PLE.lastrow)-ROW(PLE.firstrow))),0,IF(OFFSET(PLE!$G$14,$M130,BD$13)="",10^12,OFFSET(PLE!$G$14,$M130,BD$13))))</f>
        <v>1000000000000</v>
      </c>
      <c r="BE130" s="212">
        <f ca="1">IF($D130&lt;&gt;"Serviço",0,IF(OR(AND(AUTOEVENTO="Manual",$M130=1),$M130&gt;(ROW(PLE.lastrow)-ROW(PLE.firstrow))),0,IF(OFFSET(PLE!$G$14,$M130,BE$13)="",10^12,OFFSET(PLE!$G$14,$M130,BE$13))))</f>
        <v>1000000000000</v>
      </c>
      <c r="BF130" s="212">
        <f ca="1">IF($D130&lt;&gt;"Serviço",0,IF(OR(AND(AUTOEVENTO="Manual",$M130=1),$M130&gt;(ROW(PLE.lastrow)-ROW(PLE.firstrow))),0,IF(OFFSET(PLE!$G$14,$M130,BF$13)="",10^12,OFFSET(PLE!$G$14,$M130,BF$13))))</f>
        <v>1000000000000</v>
      </c>
      <c r="BG130" s="212">
        <f ca="1">IF($D130&lt;&gt;"Serviço",0,IF(OR(AND(AUTOEVENTO="Manual",$M130=1),$M130&gt;(ROW(PLE.lastrow)-ROW(PLE.firstrow))),0,IF(OFFSET(PLE!$G$14,$M130,BG$13)="",10^12,OFFSET(PLE!$G$14,$M130,BG$13))))</f>
        <v>1000000000000</v>
      </c>
    </row>
    <row r="131" spans="1:59" ht="13.2">
      <c r="A131" s="9" t="str">
        <f t="shared" ca="1" si="10"/>
        <v>15</v>
      </c>
      <c r="B131" s="9" t="str">
        <f ca="1">OFFSET(ORÇAMENTO!C$15,ROW(B131)-ROW(B$15),0)</f>
        <v>S</v>
      </c>
      <c r="C131" s="9" t="str">
        <f ca="1">OFFSET(ORÇAMENTO!L$15,ROW(C131)-ROW(C$15),0)</f>
        <v/>
      </c>
      <c r="D131" s="141" t="str">
        <f ca="1">OFFSET(ORÇAMENTO!N$15,ROW(D131)-ROW(D$15),0)</f>
        <v>Serviço</v>
      </c>
      <c r="E131" s="201" t="str">
        <f ca="1">OFFSET(ORÇAMENTO!O$15,ROW(E131)-ROW(E$15),0)</f>
        <v>-</v>
      </c>
      <c r="F131" s="202" t="str">
        <f ca="1">OFFSET(ORÇAMENTO!R$15,ROW(F131)-ROW(F$15),0)</f>
        <v>(abra o arquivo 'Referência 11-2024.xlsm)</v>
      </c>
      <c r="G131" s="203" t="str">
        <f ca="1">IF($D131&lt;&gt;"Serviço","",OFFSET(ORÇAMENTO!S$15,ROW(G131)-ROW(G$15),0))</f>
        <v>-</v>
      </c>
      <c r="H131" s="147">
        <f ca="1">IF($D131&lt;&gt;"Serviço",0,IF(ACOMPANHAMENTO="BM",ROUND(OFFSET(ORÇAMENTO!AJ$15,ROW(H131)-ROW(H$15),0),15-13*ORÇAMENTO!$AF$7),SUMPRODUCT(($Q$12:$AA$12&lt;&gt;"")*ROUND($Q131:$AA131,15-13*ORÇAMENTO!$AF$7))))</f>
        <v>0</v>
      </c>
      <c r="I131" s="645"/>
      <c r="K131" s="204"/>
      <c r="L131" s="205" t="s">
        <v>255</v>
      </c>
      <c r="M131" s="206">
        <f ca="1">IF($D131&lt;&gt;"Serviço","",IF(AUTOEVENTO="manual",$A131,IF(ISERROR(MATCH($A131,$A$15:OFFSET($A131,-1,0),0)),MAX($M$15:OFFSET(M131,-1,0))+1,INDEX($M$15:OFFSET(M131,-1,0),MATCH($A131,$A$15:OFFSET($A131,-1,0),0)))))</f>
        <v>6</v>
      </c>
      <c r="N131" s="207" t="str">
        <f ca="1">IF($D131&lt;&gt;"Serviço","",IF(AUTOEVENTO="Manual",IF($A131=0,"&lt;-- defina o número do agrupador",OFFSET(EVENTOS!$D$14,$A131,0)),OFFSET($F$15,$A131,0)))</f>
        <v>DRENAGEM</v>
      </c>
      <c r="O131" s="208"/>
      <c r="Q131" s="208"/>
      <c r="R131" s="209"/>
      <c r="S131" s="209"/>
      <c r="T131" s="209"/>
      <c r="U131" s="209"/>
      <c r="V131" s="209"/>
      <c r="W131" s="209"/>
      <c r="X131" s="209"/>
      <c r="Y131" s="209"/>
      <c r="Z131" s="210"/>
      <c r="AB131" s="626">
        <f ca="1">IF(AND($D131="Serviço",AB$12&lt;&gt;0,$H131&gt;0,OR(AUTOEVENTO&lt;&gt;"manual",$M131&lt;&gt;1)),
IF(Import.TipoArredondamento&lt;&gt;"TransfereGOV",
ROUND(OFFSET($P131,0,AB$13),15-13*ORÇAMENTO!$AF$7)/$H131*OFFSET(ORÇAMENTO!$X$15,ROW(AB131)-ROW(AB$15),0),
ROUND(ROUND(OFFSET($P131,0,AB$13),15-13*ORÇAMENTO!$AF$7)*OFFSET(ORÇAMENTO!$W$15,ROW(AB131)-ROW(AB$15),0),15-13*ORÇAMENTO!$AF$11)),0)</f>
        <v>0</v>
      </c>
      <c r="AC131" s="627">
        <f ca="1">IF(AND($D131="Serviço",AC$12&lt;&gt;0,$H131&gt;0,OR(AUTOEVENTO&lt;&gt;"manual",$M131&lt;&gt;1)),
IF(Import.TipoArredondamento&lt;&gt;"TransfereGOV",
ROUND(OFFSET($P131,0,AC$13),15-13*ORÇAMENTO!$AF$7)/$H131*OFFSET(ORÇAMENTO!$X$15,ROW(AC131)-ROW(AC$15),0),
ROUND(ROUND(OFFSET($P131,0,AC$13),15-13*ORÇAMENTO!$AF$7)*OFFSET(ORÇAMENTO!$W$15,ROW(AC131)-ROW(AC$15),0),15-13*ORÇAMENTO!$AF$11)),0)</f>
        <v>0</v>
      </c>
      <c r="AD131" s="627">
        <f ca="1">IF(AND($D131="Serviço",AD$12&lt;&gt;0,$H131&gt;0,OR(AUTOEVENTO&lt;&gt;"manual",$M131&lt;&gt;1)),
IF(Import.TipoArredondamento&lt;&gt;"TransfereGOV",
ROUND(OFFSET($P131,0,AD$13),15-13*ORÇAMENTO!$AF$7)/$H131*OFFSET(ORÇAMENTO!$X$15,ROW(AD131)-ROW(AD$15),0),
ROUND(ROUND(OFFSET($P131,0,AD$13),15-13*ORÇAMENTO!$AF$7)*OFFSET(ORÇAMENTO!$W$15,ROW(AD131)-ROW(AD$15),0),15-13*ORÇAMENTO!$AF$11)),0)</f>
        <v>0</v>
      </c>
      <c r="AE131" s="627">
        <f ca="1">IF(AND($D131="Serviço",AE$12&lt;&gt;0,$H131&gt;0,OR(AUTOEVENTO&lt;&gt;"manual",$M131&lt;&gt;1)),
IF(Import.TipoArredondamento&lt;&gt;"TransfereGOV",
ROUND(OFFSET($P131,0,AE$13),15-13*ORÇAMENTO!$AF$7)/$H131*OFFSET(ORÇAMENTO!$X$15,ROW(AE131)-ROW(AE$15),0),
ROUND(ROUND(OFFSET($P131,0,AE$13),15-13*ORÇAMENTO!$AF$7)*OFFSET(ORÇAMENTO!$W$15,ROW(AE131)-ROW(AE$15),0),15-13*ORÇAMENTO!$AF$11)),0)</f>
        <v>0</v>
      </c>
      <c r="AF131" s="627">
        <f ca="1">IF(AND($D131="Serviço",AF$12&lt;&gt;0,$H131&gt;0,OR(AUTOEVENTO&lt;&gt;"manual",$M131&lt;&gt;1)),
IF(Import.TipoArredondamento&lt;&gt;"TransfereGOV",
ROUND(OFFSET($P131,0,AF$13),15-13*ORÇAMENTO!$AF$7)/$H131*OFFSET(ORÇAMENTO!$X$15,ROW(AF131)-ROW(AF$15),0),
ROUND(ROUND(OFFSET($P131,0,AF$13),15-13*ORÇAMENTO!$AF$7)*OFFSET(ORÇAMENTO!$W$15,ROW(AF131)-ROW(AF$15),0),15-13*ORÇAMENTO!$AF$11)),0)</f>
        <v>0</v>
      </c>
      <c r="AG131" s="627">
        <f ca="1">IF(AND($D131="Serviço",AG$12&lt;&gt;0,$H131&gt;0,OR(AUTOEVENTO&lt;&gt;"manual",$M131&lt;&gt;1)),
IF(Import.TipoArredondamento&lt;&gt;"TransfereGOV",
ROUND(OFFSET($P131,0,AG$13),15-13*ORÇAMENTO!$AF$7)/$H131*OFFSET(ORÇAMENTO!$X$15,ROW(AG131)-ROW(AG$15),0),
ROUND(ROUND(OFFSET($P131,0,AG$13),15-13*ORÇAMENTO!$AF$7)*OFFSET(ORÇAMENTO!$W$15,ROW(AG131)-ROW(AG$15),0),15-13*ORÇAMENTO!$AF$11)),0)</f>
        <v>0</v>
      </c>
      <c r="AH131" s="627">
        <f ca="1">IF(AND($D131="Serviço",AH$12&lt;&gt;0,$H131&gt;0,OR(AUTOEVENTO&lt;&gt;"manual",$M131&lt;&gt;1)),
IF(Import.TipoArredondamento&lt;&gt;"TransfereGOV",
ROUND(OFFSET($P131,0,AH$13),15-13*ORÇAMENTO!$AF$7)/$H131*OFFSET(ORÇAMENTO!$X$15,ROW(AH131)-ROW(AH$15),0),
ROUND(ROUND(OFFSET($P131,0,AH$13),15-13*ORÇAMENTO!$AF$7)*OFFSET(ORÇAMENTO!$W$15,ROW(AH131)-ROW(AH$15),0),15-13*ORÇAMENTO!$AF$11)),0)</f>
        <v>0</v>
      </c>
      <c r="AI131" s="627">
        <f ca="1">IF(AND($D131="Serviço",AI$12&lt;&gt;0,$H131&gt;0,OR(AUTOEVENTO&lt;&gt;"manual",$M131&lt;&gt;1)),
IF(Import.TipoArredondamento&lt;&gt;"TransfereGOV",
ROUND(OFFSET($P131,0,AI$13),15-13*ORÇAMENTO!$AF$7)/$H131*OFFSET(ORÇAMENTO!$X$15,ROW(AI131)-ROW(AI$15),0),
ROUND(ROUND(OFFSET($P131,0,AI$13),15-13*ORÇAMENTO!$AF$7)*OFFSET(ORÇAMENTO!$W$15,ROW(AI131)-ROW(AI$15),0),15-13*ORÇAMENTO!$AF$11)),0)</f>
        <v>0</v>
      </c>
      <c r="AJ131" s="627">
        <f ca="1">IF(AND($D131="Serviço",AJ$12&lt;&gt;0,$H131&gt;0,OR(AUTOEVENTO&lt;&gt;"manual",$M131&lt;&gt;1)),
IF(Import.TipoArredondamento&lt;&gt;"TransfereGOV",
ROUND(OFFSET($P131,0,AJ$13),15-13*ORÇAMENTO!$AF$7)/$H131*OFFSET(ORÇAMENTO!$X$15,ROW(AJ131)-ROW(AJ$15),0),
ROUND(ROUND(OFFSET($P131,0,AJ$13),15-13*ORÇAMENTO!$AF$7)*OFFSET(ORÇAMENTO!$W$15,ROW(AJ131)-ROW(AJ$15),0),15-13*ORÇAMENTO!$AF$11)),0)</f>
        <v>0</v>
      </c>
      <c r="AK131" s="628">
        <f ca="1">IF(AND($D131="Serviço",AK$12&lt;&gt;0,$H131&gt;0,OR(AUTOEVENTO&lt;&gt;"manual",$M131&lt;&gt;1)),
IF(Import.TipoArredondamento&lt;&gt;"TransfereGOV",
ROUND(OFFSET($P131,0,AK$13),15-13*ORÇAMENTO!$AF$7)/$H131*OFFSET(ORÇAMENTO!$X$15,ROW(AK131)-ROW(AK$15),0),
ROUND(ROUND(OFFSET($P131,0,AK$13),15-13*ORÇAMENTO!$AF$7)*OFFSET(ORÇAMENTO!$W$15,ROW(AK131)-ROW(AK$15),0),15-13*ORÇAMENTO!$AF$11)),0)</f>
        <v>0</v>
      </c>
      <c r="AM131" s="211">
        <f ca="1">IF($D131&lt;&gt;"Serviço",0,IF(AND(AUTOEVENTO="Manual",$M131=1),0,IF(OFFSET(CRONOPLE!$F$14,$M131,AM$13)="",10^12,OFFSET(CRONOPLE!$F$14,$M131,AM$13))))</f>
        <v>2</v>
      </c>
      <c r="AN131" s="211">
        <f ca="1">IF($D131&lt;&gt;"Serviço",0,IF(AND(AUTOEVENTO="Manual",$M131=1),0,IF(OFFSET(CRONOPLE!$F$14,$M131,AN$13)="",10^12,OFFSET(CRONOPLE!$F$14,$M131,AN$13))))</f>
        <v>1</v>
      </c>
      <c r="AO131" s="211">
        <f ca="1">IF($D131&lt;&gt;"Serviço",0,IF(AND(AUTOEVENTO="Manual",$M131=1),0,IF(OFFSET(CRONOPLE!$F$14,$M131,AO$13)="",10^12,OFFSET(CRONOPLE!$F$14,$M131,AO$13))))</f>
        <v>2</v>
      </c>
      <c r="AP131" s="211">
        <f ca="1">IF($D131&lt;&gt;"Serviço",0,IF(AND(AUTOEVENTO="Manual",$M131=1),0,IF(OFFSET(CRONOPLE!$F$14,$M131,AP$13)="",10^12,OFFSET(CRONOPLE!$F$14,$M131,AP$13))))</f>
        <v>2</v>
      </c>
      <c r="AQ131" s="211">
        <f ca="1">IF($D131&lt;&gt;"Serviço",0,IF(AND(AUTOEVENTO="Manual",$M131=1),0,IF(OFFSET(CRONOPLE!$F$14,$M131,AQ$13)="",10^12,OFFSET(CRONOPLE!$F$14,$M131,AQ$13))))</f>
        <v>1000000000000</v>
      </c>
      <c r="AR131" s="211">
        <f ca="1">IF($D131&lt;&gt;"Serviço",0,IF(AND(AUTOEVENTO="Manual",$M131=1),0,IF(OFFSET(CRONOPLE!$F$14,$M131,AR$13)="",10^12,OFFSET(CRONOPLE!$F$14,$M131,AR$13))))</f>
        <v>1000000000000</v>
      </c>
      <c r="AS131" s="211">
        <f ca="1">IF($D131&lt;&gt;"Serviço",0,IF(AND(AUTOEVENTO="Manual",$M131=1),0,IF(OFFSET(CRONOPLE!$F$14,$M131,AS$13)="",10^12,OFFSET(CRONOPLE!$F$14,$M131,AS$13))))</f>
        <v>1000000000000</v>
      </c>
      <c r="AT131" s="211">
        <f ca="1">IF($D131&lt;&gt;"Serviço",0,IF(AND(AUTOEVENTO="Manual",$M131=1),0,IF(OFFSET(CRONOPLE!$F$14,$M131,AT$13)="",10^12,OFFSET(CRONOPLE!$F$14,$M131,AT$13))))</f>
        <v>1000000000000</v>
      </c>
      <c r="AU131" s="211">
        <f ca="1">IF($D131&lt;&gt;"Serviço",0,IF(AND(AUTOEVENTO="Manual",$M131=1),0,IF(OFFSET(CRONOPLE!$F$14,$M131,AU$13)="",10^12,OFFSET(CRONOPLE!$F$14,$M131,AU$13))))</f>
        <v>1000000000000</v>
      </c>
      <c r="AV131" s="211">
        <f ca="1">IF($D131&lt;&gt;"Serviço",0,IF(AND(AUTOEVENTO="Manual",$M131=1),0,IF(OFFSET(CRONOPLE!$F$14,$M131,AV$13)="",10^12,OFFSET(CRONOPLE!$F$14,$M131,AV$13))))</f>
        <v>1000000000000</v>
      </c>
      <c r="AX131" s="212">
        <f ca="1">IF($D131&lt;&gt;"Serviço",0,IF(OR(AND(AUTOEVENTO="Manual",$M131=1),$M131&gt;(ROW(PLE.lastrow)-ROW(PLE.firstrow))),0,IF(OFFSET(PLE!$G$14,$M131,AX$13)="",10^12,OFFSET(PLE!$G$14,$M131,AX$13))))</f>
        <v>1000000000000</v>
      </c>
      <c r="AY131" s="212">
        <f ca="1">IF($D131&lt;&gt;"Serviço",0,IF(OR(AND(AUTOEVENTO="Manual",$M131=1),$M131&gt;(ROW(PLE.lastrow)-ROW(PLE.firstrow))),0,IF(OFFSET(PLE!$G$14,$M131,AY$13)="",10^12,OFFSET(PLE!$G$14,$M131,AY$13))))</f>
        <v>1000000000000</v>
      </c>
      <c r="AZ131" s="212">
        <f ca="1">IF($D131&lt;&gt;"Serviço",0,IF(OR(AND(AUTOEVENTO="Manual",$M131=1),$M131&gt;(ROW(PLE.lastrow)-ROW(PLE.firstrow))),0,IF(OFFSET(PLE!$G$14,$M131,AZ$13)="",10^12,OFFSET(PLE!$G$14,$M131,AZ$13))))</f>
        <v>1000000000000</v>
      </c>
      <c r="BA131" s="212">
        <f ca="1">IF($D131&lt;&gt;"Serviço",0,IF(OR(AND(AUTOEVENTO="Manual",$M131=1),$M131&gt;(ROW(PLE.lastrow)-ROW(PLE.firstrow))),0,IF(OFFSET(PLE!$G$14,$M131,BA$13)="",10^12,OFFSET(PLE!$G$14,$M131,BA$13))))</f>
        <v>1000000000000</v>
      </c>
      <c r="BB131" s="212">
        <f ca="1">IF($D131&lt;&gt;"Serviço",0,IF(OR(AND(AUTOEVENTO="Manual",$M131=1),$M131&gt;(ROW(PLE.lastrow)-ROW(PLE.firstrow))),0,IF(OFFSET(PLE!$G$14,$M131,BB$13)="",10^12,OFFSET(PLE!$G$14,$M131,BB$13))))</f>
        <v>1000000000000</v>
      </c>
      <c r="BC131" s="212">
        <f ca="1">IF($D131&lt;&gt;"Serviço",0,IF(OR(AND(AUTOEVENTO="Manual",$M131=1),$M131&gt;(ROW(PLE.lastrow)-ROW(PLE.firstrow))),0,IF(OFFSET(PLE!$G$14,$M131,BC$13)="",10^12,OFFSET(PLE!$G$14,$M131,BC$13))))</f>
        <v>1000000000000</v>
      </c>
      <c r="BD131" s="212">
        <f ca="1">IF($D131&lt;&gt;"Serviço",0,IF(OR(AND(AUTOEVENTO="Manual",$M131=1),$M131&gt;(ROW(PLE.lastrow)-ROW(PLE.firstrow))),0,IF(OFFSET(PLE!$G$14,$M131,BD$13)="",10^12,OFFSET(PLE!$G$14,$M131,BD$13))))</f>
        <v>1000000000000</v>
      </c>
      <c r="BE131" s="212">
        <f ca="1">IF($D131&lt;&gt;"Serviço",0,IF(OR(AND(AUTOEVENTO="Manual",$M131=1),$M131&gt;(ROW(PLE.lastrow)-ROW(PLE.firstrow))),0,IF(OFFSET(PLE!$G$14,$M131,BE$13)="",10^12,OFFSET(PLE!$G$14,$M131,BE$13))))</f>
        <v>1000000000000</v>
      </c>
      <c r="BF131" s="212">
        <f ca="1">IF($D131&lt;&gt;"Serviço",0,IF(OR(AND(AUTOEVENTO="Manual",$M131=1),$M131&gt;(ROW(PLE.lastrow)-ROW(PLE.firstrow))),0,IF(OFFSET(PLE!$G$14,$M131,BF$13)="",10^12,OFFSET(PLE!$G$14,$M131,BF$13))))</f>
        <v>1000000000000</v>
      </c>
      <c r="BG131" s="212">
        <f ca="1">IF($D131&lt;&gt;"Serviço",0,IF(OR(AND(AUTOEVENTO="Manual",$M131=1),$M131&gt;(ROW(PLE.lastrow)-ROW(PLE.firstrow))),0,IF(OFFSET(PLE!$G$14,$M131,BG$13)="",10^12,OFFSET(PLE!$G$14,$M131,BG$13))))</f>
        <v>1000000000000</v>
      </c>
    </row>
    <row r="132" spans="1:59" ht="13.2">
      <c r="A132" s="9" t="str">
        <f t="shared" ca="1" si="10"/>
        <v>15</v>
      </c>
      <c r="B132" s="9" t="str">
        <f ca="1">OFFSET(ORÇAMENTO!C$15,ROW(B132)-ROW(B$15),0)</f>
        <v>S</v>
      </c>
      <c r="C132" s="9" t="str">
        <f ca="1">OFFSET(ORÇAMENTO!L$15,ROW(C132)-ROW(C$15),0)</f>
        <v/>
      </c>
      <c r="D132" s="141" t="str">
        <f ca="1">OFFSET(ORÇAMENTO!N$15,ROW(D132)-ROW(D$15),0)</f>
        <v>Serviço</v>
      </c>
      <c r="E132" s="201" t="str">
        <f ca="1">OFFSET(ORÇAMENTO!O$15,ROW(E132)-ROW(E$15),0)</f>
        <v>-</v>
      </c>
      <c r="F132" s="202" t="str">
        <f ca="1">OFFSET(ORÇAMENTO!R$15,ROW(F132)-ROW(F$15),0)</f>
        <v>(abra o arquivo 'Referência 11-2024.xlsm)</v>
      </c>
      <c r="G132" s="203" t="str">
        <f ca="1">IF($D132&lt;&gt;"Serviço","",OFFSET(ORÇAMENTO!S$15,ROW(G132)-ROW(G$15),0))</f>
        <v>-</v>
      </c>
      <c r="H132" s="147">
        <f ca="1">IF($D132&lt;&gt;"Serviço",0,IF(ACOMPANHAMENTO="BM",ROUND(OFFSET(ORÇAMENTO!AJ$15,ROW(H132)-ROW(H$15),0),15-13*ORÇAMENTO!$AF$7),SUMPRODUCT(($Q$12:$AA$12&lt;&gt;"")*ROUND($Q132:$AA132,15-13*ORÇAMENTO!$AF$7))))</f>
        <v>0</v>
      </c>
      <c r="I132" s="645"/>
      <c r="K132" s="204"/>
      <c r="L132" s="205" t="s">
        <v>255</v>
      </c>
      <c r="M132" s="206">
        <f ca="1">IF($D132&lt;&gt;"Serviço","",IF(AUTOEVENTO="manual",$A132,IF(ISERROR(MATCH($A132,$A$15:OFFSET($A132,-1,0),0)),MAX($M$15:OFFSET(M132,-1,0))+1,INDEX($M$15:OFFSET(M132,-1,0),MATCH($A132,$A$15:OFFSET($A132,-1,0),0)))))</f>
        <v>6</v>
      </c>
      <c r="N132" s="207" t="str">
        <f ca="1">IF($D132&lt;&gt;"Serviço","",IF(AUTOEVENTO="Manual",IF($A132=0,"&lt;-- defina o número do agrupador",OFFSET(EVENTOS!$D$14,$A132,0)),OFFSET($F$15,$A132,0)))</f>
        <v>DRENAGEM</v>
      </c>
      <c r="O132" s="208"/>
      <c r="Q132" s="208"/>
      <c r="R132" s="209"/>
      <c r="S132" s="209"/>
      <c r="T132" s="209"/>
      <c r="U132" s="209"/>
      <c r="V132" s="209"/>
      <c r="W132" s="209"/>
      <c r="X132" s="209"/>
      <c r="Y132" s="209"/>
      <c r="Z132" s="210"/>
      <c r="AB132" s="626">
        <f ca="1">IF(AND($D132="Serviço",AB$12&lt;&gt;0,$H132&gt;0,OR(AUTOEVENTO&lt;&gt;"manual",$M132&lt;&gt;1)),
IF(Import.TipoArredondamento&lt;&gt;"TransfereGOV",
ROUND(OFFSET($P132,0,AB$13),15-13*ORÇAMENTO!$AF$7)/$H132*OFFSET(ORÇAMENTO!$X$15,ROW(AB132)-ROW(AB$15),0),
ROUND(ROUND(OFFSET($P132,0,AB$13),15-13*ORÇAMENTO!$AF$7)*OFFSET(ORÇAMENTO!$W$15,ROW(AB132)-ROW(AB$15),0),15-13*ORÇAMENTO!$AF$11)),0)</f>
        <v>0</v>
      </c>
      <c r="AC132" s="627">
        <f ca="1">IF(AND($D132="Serviço",AC$12&lt;&gt;0,$H132&gt;0,OR(AUTOEVENTO&lt;&gt;"manual",$M132&lt;&gt;1)),
IF(Import.TipoArredondamento&lt;&gt;"TransfereGOV",
ROUND(OFFSET($P132,0,AC$13),15-13*ORÇAMENTO!$AF$7)/$H132*OFFSET(ORÇAMENTO!$X$15,ROW(AC132)-ROW(AC$15),0),
ROUND(ROUND(OFFSET($P132,0,AC$13),15-13*ORÇAMENTO!$AF$7)*OFFSET(ORÇAMENTO!$W$15,ROW(AC132)-ROW(AC$15),0),15-13*ORÇAMENTO!$AF$11)),0)</f>
        <v>0</v>
      </c>
      <c r="AD132" s="627">
        <f ca="1">IF(AND($D132="Serviço",AD$12&lt;&gt;0,$H132&gt;0,OR(AUTOEVENTO&lt;&gt;"manual",$M132&lt;&gt;1)),
IF(Import.TipoArredondamento&lt;&gt;"TransfereGOV",
ROUND(OFFSET($P132,0,AD$13),15-13*ORÇAMENTO!$AF$7)/$H132*OFFSET(ORÇAMENTO!$X$15,ROW(AD132)-ROW(AD$15),0),
ROUND(ROUND(OFFSET($P132,0,AD$13),15-13*ORÇAMENTO!$AF$7)*OFFSET(ORÇAMENTO!$W$15,ROW(AD132)-ROW(AD$15),0),15-13*ORÇAMENTO!$AF$11)),0)</f>
        <v>0</v>
      </c>
      <c r="AE132" s="627">
        <f ca="1">IF(AND($D132="Serviço",AE$12&lt;&gt;0,$H132&gt;0,OR(AUTOEVENTO&lt;&gt;"manual",$M132&lt;&gt;1)),
IF(Import.TipoArredondamento&lt;&gt;"TransfereGOV",
ROUND(OFFSET($P132,0,AE$13),15-13*ORÇAMENTO!$AF$7)/$H132*OFFSET(ORÇAMENTO!$X$15,ROW(AE132)-ROW(AE$15),0),
ROUND(ROUND(OFFSET($P132,0,AE$13),15-13*ORÇAMENTO!$AF$7)*OFFSET(ORÇAMENTO!$W$15,ROW(AE132)-ROW(AE$15),0),15-13*ORÇAMENTO!$AF$11)),0)</f>
        <v>0</v>
      </c>
      <c r="AF132" s="627">
        <f ca="1">IF(AND($D132="Serviço",AF$12&lt;&gt;0,$H132&gt;0,OR(AUTOEVENTO&lt;&gt;"manual",$M132&lt;&gt;1)),
IF(Import.TipoArredondamento&lt;&gt;"TransfereGOV",
ROUND(OFFSET($P132,0,AF$13),15-13*ORÇAMENTO!$AF$7)/$H132*OFFSET(ORÇAMENTO!$X$15,ROW(AF132)-ROW(AF$15),0),
ROUND(ROUND(OFFSET($P132,0,AF$13),15-13*ORÇAMENTO!$AF$7)*OFFSET(ORÇAMENTO!$W$15,ROW(AF132)-ROW(AF$15),0),15-13*ORÇAMENTO!$AF$11)),0)</f>
        <v>0</v>
      </c>
      <c r="AG132" s="627">
        <f ca="1">IF(AND($D132="Serviço",AG$12&lt;&gt;0,$H132&gt;0,OR(AUTOEVENTO&lt;&gt;"manual",$M132&lt;&gt;1)),
IF(Import.TipoArredondamento&lt;&gt;"TransfereGOV",
ROUND(OFFSET($P132,0,AG$13),15-13*ORÇAMENTO!$AF$7)/$H132*OFFSET(ORÇAMENTO!$X$15,ROW(AG132)-ROW(AG$15),0),
ROUND(ROUND(OFFSET($P132,0,AG$13),15-13*ORÇAMENTO!$AF$7)*OFFSET(ORÇAMENTO!$W$15,ROW(AG132)-ROW(AG$15),0),15-13*ORÇAMENTO!$AF$11)),0)</f>
        <v>0</v>
      </c>
      <c r="AH132" s="627">
        <f ca="1">IF(AND($D132="Serviço",AH$12&lt;&gt;0,$H132&gt;0,OR(AUTOEVENTO&lt;&gt;"manual",$M132&lt;&gt;1)),
IF(Import.TipoArredondamento&lt;&gt;"TransfereGOV",
ROUND(OFFSET($P132,0,AH$13),15-13*ORÇAMENTO!$AF$7)/$H132*OFFSET(ORÇAMENTO!$X$15,ROW(AH132)-ROW(AH$15),0),
ROUND(ROUND(OFFSET($P132,0,AH$13),15-13*ORÇAMENTO!$AF$7)*OFFSET(ORÇAMENTO!$W$15,ROW(AH132)-ROW(AH$15),0),15-13*ORÇAMENTO!$AF$11)),0)</f>
        <v>0</v>
      </c>
      <c r="AI132" s="627">
        <f ca="1">IF(AND($D132="Serviço",AI$12&lt;&gt;0,$H132&gt;0,OR(AUTOEVENTO&lt;&gt;"manual",$M132&lt;&gt;1)),
IF(Import.TipoArredondamento&lt;&gt;"TransfereGOV",
ROUND(OFFSET($P132,0,AI$13),15-13*ORÇAMENTO!$AF$7)/$H132*OFFSET(ORÇAMENTO!$X$15,ROW(AI132)-ROW(AI$15),0),
ROUND(ROUND(OFFSET($P132,0,AI$13),15-13*ORÇAMENTO!$AF$7)*OFFSET(ORÇAMENTO!$W$15,ROW(AI132)-ROW(AI$15),0),15-13*ORÇAMENTO!$AF$11)),0)</f>
        <v>0</v>
      </c>
      <c r="AJ132" s="627">
        <f ca="1">IF(AND($D132="Serviço",AJ$12&lt;&gt;0,$H132&gt;0,OR(AUTOEVENTO&lt;&gt;"manual",$M132&lt;&gt;1)),
IF(Import.TipoArredondamento&lt;&gt;"TransfereGOV",
ROUND(OFFSET($P132,0,AJ$13),15-13*ORÇAMENTO!$AF$7)/$H132*OFFSET(ORÇAMENTO!$X$15,ROW(AJ132)-ROW(AJ$15),0),
ROUND(ROUND(OFFSET($P132,0,AJ$13),15-13*ORÇAMENTO!$AF$7)*OFFSET(ORÇAMENTO!$W$15,ROW(AJ132)-ROW(AJ$15),0),15-13*ORÇAMENTO!$AF$11)),0)</f>
        <v>0</v>
      </c>
      <c r="AK132" s="628">
        <f ca="1">IF(AND($D132="Serviço",AK$12&lt;&gt;0,$H132&gt;0,OR(AUTOEVENTO&lt;&gt;"manual",$M132&lt;&gt;1)),
IF(Import.TipoArredondamento&lt;&gt;"TransfereGOV",
ROUND(OFFSET($P132,0,AK$13),15-13*ORÇAMENTO!$AF$7)/$H132*OFFSET(ORÇAMENTO!$X$15,ROW(AK132)-ROW(AK$15),0),
ROUND(ROUND(OFFSET($P132,0,AK$13),15-13*ORÇAMENTO!$AF$7)*OFFSET(ORÇAMENTO!$W$15,ROW(AK132)-ROW(AK$15),0),15-13*ORÇAMENTO!$AF$11)),0)</f>
        <v>0</v>
      </c>
      <c r="AM132" s="211">
        <f ca="1">IF($D132&lt;&gt;"Serviço",0,IF(AND(AUTOEVENTO="Manual",$M132=1),0,IF(OFFSET(CRONOPLE!$F$14,$M132,AM$13)="",10^12,OFFSET(CRONOPLE!$F$14,$M132,AM$13))))</f>
        <v>2</v>
      </c>
      <c r="AN132" s="211">
        <f ca="1">IF($D132&lt;&gt;"Serviço",0,IF(AND(AUTOEVENTO="Manual",$M132=1),0,IF(OFFSET(CRONOPLE!$F$14,$M132,AN$13)="",10^12,OFFSET(CRONOPLE!$F$14,$M132,AN$13))))</f>
        <v>1</v>
      </c>
      <c r="AO132" s="211">
        <f ca="1">IF($D132&lt;&gt;"Serviço",0,IF(AND(AUTOEVENTO="Manual",$M132=1),0,IF(OFFSET(CRONOPLE!$F$14,$M132,AO$13)="",10^12,OFFSET(CRONOPLE!$F$14,$M132,AO$13))))</f>
        <v>2</v>
      </c>
      <c r="AP132" s="211">
        <f ca="1">IF($D132&lt;&gt;"Serviço",0,IF(AND(AUTOEVENTO="Manual",$M132=1),0,IF(OFFSET(CRONOPLE!$F$14,$M132,AP$13)="",10^12,OFFSET(CRONOPLE!$F$14,$M132,AP$13))))</f>
        <v>2</v>
      </c>
      <c r="AQ132" s="211">
        <f ca="1">IF($D132&lt;&gt;"Serviço",0,IF(AND(AUTOEVENTO="Manual",$M132=1),0,IF(OFFSET(CRONOPLE!$F$14,$M132,AQ$13)="",10^12,OFFSET(CRONOPLE!$F$14,$M132,AQ$13))))</f>
        <v>1000000000000</v>
      </c>
      <c r="AR132" s="211">
        <f ca="1">IF($D132&lt;&gt;"Serviço",0,IF(AND(AUTOEVENTO="Manual",$M132=1),0,IF(OFFSET(CRONOPLE!$F$14,$M132,AR$13)="",10^12,OFFSET(CRONOPLE!$F$14,$M132,AR$13))))</f>
        <v>1000000000000</v>
      </c>
      <c r="AS132" s="211">
        <f ca="1">IF($D132&lt;&gt;"Serviço",0,IF(AND(AUTOEVENTO="Manual",$M132=1),0,IF(OFFSET(CRONOPLE!$F$14,$M132,AS$13)="",10^12,OFFSET(CRONOPLE!$F$14,$M132,AS$13))))</f>
        <v>1000000000000</v>
      </c>
      <c r="AT132" s="211">
        <f ca="1">IF($D132&lt;&gt;"Serviço",0,IF(AND(AUTOEVENTO="Manual",$M132=1),0,IF(OFFSET(CRONOPLE!$F$14,$M132,AT$13)="",10^12,OFFSET(CRONOPLE!$F$14,$M132,AT$13))))</f>
        <v>1000000000000</v>
      </c>
      <c r="AU132" s="211">
        <f ca="1">IF($D132&lt;&gt;"Serviço",0,IF(AND(AUTOEVENTO="Manual",$M132=1),0,IF(OFFSET(CRONOPLE!$F$14,$M132,AU$13)="",10^12,OFFSET(CRONOPLE!$F$14,$M132,AU$13))))</f>
        <v>1000000000000</v>
      </c>
      <c r="AV132" s="211">
        <f ca="1">IF($D132&lt;&gt;"Serviço",0,IF(AND(AUTOEVENTO="Manual",$M132=1),0,IF(OFFSET(CRONOPLE!$F$14,$M132,AV$13)="",10^12,OFFSET(CRONOPLE!$F$14,$M132,AV$13))))</f>
        <v>1000000000000</v>
      </c>
      <c r="AX132" s="212">
        <f ca="1">IF($D132&lt;&gt;"Serviço",0,IF(OR(AND(AUTOEVENTO="Manual",$M132=1),$M132&gt;(ROW(PLE.lastrow)-ROW(PLE.firstrow))),0,IF(OFFSET(PLE!$G$14,$M132,AX$13)="",10^12,OFFSET(PLE!$G$14,$M132,AX$13))))</f>
        <v>1000000000000</v>
      </c>
      <c r="AY132" s="212">
        <f ca="1">IF($D132&lt;&gt;"Serviço",0,IF(OR(AND(AUTOEVENTO="Manual",$M132=1),$M132&gt;(ROW(PLE.lastrow)-ROW(PLE.firstrow))),0,IF(OFFSET(PLE!$G$14,$M132,AY$13)="",10^12,OFFSET(PLE!$G$14,$M132,AY$13))))</f>
        <v>1000000000000</v>
      </c>
      <c r="AZ132" s="212">
        <f ca="1">IF($D132&lt;&gt;"Serviço",0,IF(OR(AND(AUTOEVENTO="Manual",$M132=1),$M132&gt;(ROW(PLE.lastrow)-ROW(PLE.firstrow))),0,IF(OFFSET(PLE!$G$14,$M132,AZ$13)="",10^12,OFFSET(PLE!$G$14,$M132,AZ$13))))</f>
        <v>1000000000000</v>
      </c>
      <c r="BA132" s="212">
        <f ca="1">IF($D132&lt;&gt;"Serviço",0,IF(OR(AND(AUTOEVENTO="Manual",$M132=1),$M132&gt;(ROW(PLE.lastrow)-ROW(PLE.firstrow))),0,IF(OFFSET(PLE!$G$14,$M132,BA$13)="",10^12,OFFSET(PLE!$G$14,$M132,BA$13))))</f>
        <v>1000000000000</v>
      </c>
      <c r="BB132" s="212">
        <f ca="1">IF($D132&lt;&gt;"Serviço",0,IF(OR(AND(AUTOEVENTO="Manual",$M132=1),$M132&gt;(ROW(PLE.lastrow)-ROW(PLE.firstrow))),0,IF(OFFSET(PLE!$G$14,$M132,BB$13)="",10^12,OFFSET(PLE!$G$14,$M132,BB$13))))</f>
        <v>1000000000000</v>
      </c>
      <c r="BC132" s="212">
        <f ca="1">IF($D132&lt;&gt;"Serviço",0,IF(OR(AND(AUTOEVENTO="Manual",$M132=1),$M132&gt;(ROW(PLE.lastrow)-ROW(PLE.firstrow))),0,IF(OFFSET(PLE!$G$14,$M132,BC$13)="",10^12,OFFSET(PLE!$G$14,$M132,BC$13))))</f>
        <v>1000000000000</v>
      </c>
      <c r="BD132" s="212">
        <f ca="1">IF($D132&lt;&gt;"Serviço",0,IF(OR(AND(AUTOEVENTO="Manual",$M132=1),$M132&gt;(ROW(PLE.lastrow)-ROW(PLE.firstrow))),0,IF(OFFSET(PLE!$G$14,$M132,BD$13)="",10^12,OFFSET(PLE!$G$14,$M132,BD$13))))</f>
        <v>1000000000000</v>
      </c>
      <c r="BE132" s="212">
        <f ca="1">IF($D132&lt;&gt;"Serviço",0,IF(OR(AND(AUTOEVENTO="Manual",$M132=1),$M132&gt;(ROW(PLE.lastrow)-ROW(PLE.firstrow))),0,IF(OFFSET(PLE!$G$14,$M132,BE$13)="",10^12,OFFSET(PLE!$G$14,$M132,BE$13))))</f>
        <v>1000000000000</v>
      </c>
      <c r="BF132" s="212">
        <f ca="1">IF($D132&lt;&gt;"Serviço",0,IF(OR(AND(AUTOEVENTO="Manual",$M132=1),$M132&gt;(ROW(PLE.lastrow)-ROW(PLE.firstrow))),0,IF(OFFSET(PLE!$G$14,$M132,BF$13)="",10^12,OFFSET(PLE!$G$14,$M132,BF$13))))</f>
        <v>1000000000000</v>
      </c>
      <c r="BG132" s="212">
        <f ca="1">IF($D132&lt;&gt;"Serviço",0,IF(OR(AND(AUTOEVENTO="Manual",$M132=1),$M132&gt;(ROW(PLE.lastrow)-ROW(PLE.firstrow))),0,IF(OFFSET(PLE!$G$14,$M132,BG$13)="",10^12,OFFSET(PLE!$G$14,$M132,BG$13))))</f>
        <v>1000000000000</v>
      </c>
    </row>
    <row r="133" spans="1:59" ht="13.2">
      <c r="A133" s="9" t="str">
        <f t="shared" ca="1" si="10"/>
        <v>15</v>
      </c>
      <c r="B133" s="9" t="str">
        <f ca="1">OFFSET(ORÇAMENTO!C$15,ROW(B133)-ROW(B$15),0)</f>
        <v>S</v>
      </c>
      <c r="C133" s="9" t="str">
        <f ca="1">OFFSET(ORÇAMENTO!L$15,ROW(C133)-ROW(C$15),0)</f>
        <v/>
      </c>
      <c r="D133" s="141" t="str">
        <f ca="1">OFFSET(ORÇAMENTO!N$15,ROW(D133)-ROW(D$15),0)</f>
        <v>Serviço</v>
      </c>
      <c r="E133" s="201" t="str">
        <f ca="1">OFFSET(ORÇAMENTO!O$15,ROW(E133)-ROW(E$15),0)</f>
        <v>-</v>
      </c>
      <c r="F133" s="202" t="str">
        <f ca="1">OFFSET(ORÇAMENTO!R$15,ROW(F133)-ROW(F$15),0)</f>
        <v>(abra o arquivo 'Referência 11-2024.xlsm)</v>
      </c>
      <c r="G133" s="203" t="str">
        <f ca="1">IF($D133&lt;&gt;"Serviço","",OFFSET(ORÇAMENTO!S$15,ROW(G133)-ROW(G$15),0))</f>
        <v>-</v>
      </c>
      <c r="H133" s="147">
        <f ca="1">IF($D133&lt;&gt;"Serviço",0,IF(ACOMPANHAMENTO="BM",ROUND(OFFSET(ORÇAMENTO!AJ$15,ROW(H133)-ROW(H$15),0),15-13*ORÇAMENTO!$AF$7),SUMPRODUCT(($Q$12:$AA$12&lt;&gt;"")*ROUND($Q133:$AA133,15-13*ORÇAMENTO!$AF$7))))</f>
        <v>0</v>
      </c>
      <c r="I133" s="645"/>
      <c r="K133" s="204"/>
      <c r="L133" s="205" t="s">
        <v>255</v>
      </c>
      <c r="M133" s="206">
        <f ca="1">IF($D133&lt;&gt;"Serviço","",IF(AUTOEVENTO="manual",$A133,IF(ISERROR(MATCH($A133,$A$15:OFFSET($A133,-1,0),0)),MAX($M$15:OFFSET(M133,-1,0))+1,INDEX($M$15:OFFSET(M133,-1,0),MATCH($A133,$A$15:OFFSET($A133,-1,0),0)))))</f>
        <v>6</v>
      </c>
      <c r="N133" s="207" t="str">
        <f ca="1">IF($D133&lt;&gt;"Serviço","",IF(AUTOEVENTO="Manual",IF($A133=0,"&lt;-- defina o número do agrupador",OFFSET(EVENTOS!$D$14,$A133,0)),OFFSET($F$15,$A133,0)))</f>
        <v>DRENAGEM</v>
      </c>
      <c r="O133" s="208"/>
      <c r="Q133" s="208"/>
      <c r="R133" s="209"/>
      <c r="S133" s="209"/>
      <c r="T133" s="209"/>
      <c r="U133" s="209"/>
      <c r="V133" s="209"/>
      <c r="W133" s="209"/>
      <c r="X133" s="209"/>
      <c r="Y133" s="209"/>
      <c r="Z133" s="210"/>
      <c r="AB133" s="626">
        <f ca="1">IF(AND($D133="Serviço",AB$12&lt;&gt;0,$H133&gt;0,OR(AUTOEVENTO&lt;&gt;"manual",$M133&lt;&gt;1)),
IF(Import.TipoArredondamento&lt;&gt;"TransfereGOV",
ROUND(OFFSET($P133,0,AB$13),15-13*ORÇAMENTO!$AF$7)/$H133*OFFSET(ORÇAMENTO!$X$15,ROW(AB133)-ROW(AB$15),0),
ROUND(ROUND(OFFSET($P133,0,AB$13),15-13*ORÇAMENTO!$AF$7)*OFFSET(ORÇAMENTO!$W$15,ROW(AB133)-ROW(AB$15),0),15-13*ORÇAMENTO!$AF$11)),0)</f>
        <v>0</v>
      </c>
      <c r="AC133" s="627">
        <f ca="1">IF(AND($D133="Serviço",AC$12&lt;&gt;0,$H133&gt;0,OR(AUTOEVENTO&lt;&gt;"manual",$M133&lt;&gt;1)),
IF(Import.TipoArredondamento&lt;&gt;"TransfereGOV",
ROUND(OFFSET($P133,0,AC$13),15-13*ORÇAMENTO!$AF$7)/$H133*OFFSET(ORÇAMENTO!$X$15,ROW(AC133)-ROW(AC$15),0),
ROUND(ROUND(OFFSET($P133,0,AC$13),15-13*ORÇAMENTO!$AF$7)*OFFSET(ORÇAMENTO!$W$15,ROW(AC133)-ROW(AC$15),0),15-13*ORÇAMENTO!$AF$11)),0)</f>
        <v>0</v>
      </c>
      <c r="AD133" s="627">
        <f ca="1">IF(AND($D133="Serviço",AD$12&lt;&gt;0,$H133&gt;0,OR(AUTOEVENTO&lt;&gt;"manual",$M133&lt;&gt;1)),
IF(Import.TipoArredondamento&lt;&gt;"TransfereGOV",
ROUND(OFFSET($P133,0,AD$13),15-13*ORÇAMENTO!$AF$7)/$H133*OFFSET(ORÇAMENTO!$X$15,ROW(AD133)-ROW(AD$15),0),
ROUND(ROUND(OFFSET($P133,0,AD$13),15-13*ORÇAMENTO!$AF$7)*OFFSET(ORÇAMENTO!$W$15,ROW(AD133)-ROW(AD$15),0),15-13*ORÇAMENTO!$AF$11)),0)</f>
        <v>0</v>
      </c>
      <c r="AE133" s="627">
        <f ca="1">IF(AND($D133="Serviço",AE$12&lt;&gt;0,$H133&gt;0,OR(AUTOEVENTO&lt;&gt;"manual",$M133&lt;&gt;1)),
IF(Import.TipoArredondamento&lt;&gt;"TransfereGOV",
ROUND(OFFSET($P133,0,AE$13),15-13*ORÇAMENTO!$AF$7)/$H133*OFFSET(ORÇAMENTO!$X$15,ROW(AE133)-ROW(AE$15),0),
ROUND(ROUND(OFFSET($P133,0,AE$13),15-13*ORÇAMENTO!$AF$7)*OFFSET(ORÇAMENTO!$W$15,ROW(AE133)-ROW(AE$15),0),15-13*ORÇAMENTO!$AF$11)),0)</f>
        <v>0</v>
      </c>
      <c r="AF133" s="627">
        <f ca="1">IF(AND($D133="Serviço",AF$12&lt;&gt;0,$H133&gt;0,OR(AUTOEVENTO&lt;&gt;"manual",$M133&lt;&gt;1)),
IF(Import.TipoArredondamento&lt;&gt;"TransfereGOV",
ROUND(OFFSET($P133,0,AF$13),15-13*ORÇAMENTO!$AF$7)/$H133*OFFSET(ORÇAMENTO!$X$15,ROW(AF133)-ROW(AF$15),0),
ROUND(ROUND(OFFSET($P133,0,AF$13),15-13*ORÇAMENTO!$AF$7)*OFFSET(ORÇAMENTO!$W$15,ROW(AF133)-ROW(AF$15),0),15-13*ORÇAMENTO!$AF$11)),0)</f>
        <v>0</v>
      </c>
      <c r="AG133" s="627">
        <f ca="1">IF(AND($D133="Serviço",AG$12&lt;&gt;0,$H133&gt;0,OR(AUTOEVENTO&lt;&gt;"manual",$M133&lt;&gt;1)),
IF(Import.TipoArredondamento&lt;&gt;"TransfereGOV",
ROUND(OFFSET($P133,0,AG$13),15-13*ORÇAMENTO!$AF$7)/$H133*OFFSET(ORÇAMENTO!$X$15,ROW(AG133)-ROW(AG$15),0),
ROUND(ROUND(OFFSET($P133,0,AG$13),15-13*ORÇAMENTO!$AF$7)*OFFSET(ORÇAMENTO!$W$15,ROW(AG133)-ROW(AG$15),0),15-13*ORÇAMENTO!$AF$11)),0)</f>
        <v>0</v>
      </c>
      <c r="AH133" s="627">
        <f ca="1">IF(AND($D133="Serviço",AH$12&lt;&gt;0,$H133&gt;0,OR(AUTOEVENTO&lt;&gt;"manual",$M133&lt;&gt;1)),
IF(Import.TipoArredondamento&lt;&gt;"TransfereGOV",
ROUND(OFFSET($P133,0,AH$13),15-13*ORÇAMENTO!$AF$7)/$H133*OFFSET(ORÇAMENTO!$X$15,ROW(AH133)-ROW(AH$15),0),
ROUND(ROUND(OFFSET($P133,0,AH$13),15-13*ORÇAMENTO!$AF$7)*OFFSET(ORÇAMENTO!$W$15,ROW(AH133)-ROW(AH$15),0),15-13*ORÇAMENTO!$AF$11)),0)</f>
        <v>0</v>
      </c>
      <c r="AI133" s="627">
        <f ca="1">IF(AND($D133="Serviço",AI$12&lt;&gt;0,$H133&gt;0,OR(AUTOEVENTO&lt;&gt;"manual",$M133&lt;&gt;1)),
IF(Import.TipoArredondamento&lt;&gt;"TransfereGOV",
ROUND(OFFSET($P133,0,AI$13),15-13*ORÇAMENTO!$AF$7)/$H133*OFFSET(ORÇAMENTO!$X$15,ROW(AI133)-ROW(AI$15),0),
ROUND(ROUND(OFFSET($P133,0,AI$13),15-13*ORÇAMENTO!$AF$7)*OFFSET(ORÇAMENTO!$W$15,ROW(AI133)-ROW(AI$15),0),15-13*ORÇAMENTO!$AF$11)),0)</f>
        <v>0</v>
      </c>
      <c r="AJ133" s="627">
        <f ca="1">IF(AND($D133="Serviço",AJ$12&lt;&gt;0,$H133&gt;0,OR(AUTOEVENTO&lt;&gt;"manual",$M133&lt;&gt;1)),
IF(Import.TipoArredondamento&lt;&gt;"TransfereGOV",
ROUND(OFFSET($P133,0,AJ$13),15-13*ORÇAMENTO!$AF$7)/$H133*OFFSET(ORÇAMENTO!$X$15,ROW(AJ133)-ROW(AJ$15),0),
ROUND(ROUND(OFFSET($P133,0,AJ$13),15-13*ORÇAMENTO!$AF$7)*OFFSET(ORÇAMENTO!$W$15,ROW(AJ133)-ROW(AJ$15),0),15-13*ORÇAMENTO!$AF$11)),0)</f>
        <v>0</v>
      </c>
      <c r="AK133" s="628">
        <f ca="1">IF(AND($D133="Serviço",AK$12&lt;&gt;0,$H133&gt;0,OR(AUTOEVENTO&lt;&gt;"manual",$M133&lt;&gt;1)),
IF(Import.TipoArredondamento&lt;&gt;"TransfereGOV",
ROUND(OFFSET($P133,0,AK$13),15-13*ORÇAMENTO!$AF$7)/$H133*OFFSET(ORÇAMENTO!$X$15,ROW(AK133)-ROW(AK$15),0),
ROUND(ROUND(OFFSET($P133,0,AK$13),15-13*ORÇAMENTO!$AF$7)*OFFSET(ORÇAMENTO!$W$15,ROW(AK133)-ROW(AK$15),0),15-13*ORÇAMENTO!$AF$11)),0)</f>
        <v>0</v>
      </c>
      <c r="AM133" s="211">
        <f ca="1">IF($D133&lt;&gt;"Serviço",0,IF(AND(AUTOEVENTO="Manual",$M133=1),0,IF(OFFSET(CRONOPLE!$F$14,$M133,AM$13)="",10^12,OFFSET(CRONOPLE!$F$14,$M133,AM$13))))</f>
        <v>2</v>
      </c>
      <c r="AN133" s="211">
        <f ca="1">IF($D133&lt;&gt;"Serviço",0,IF(AND(AUTOEVENTO="Manual",$M133=1),0,IF(OFFSET(CRONOPLE!$F$14,$M133,AN$13)="",10^12,OFFSET(CRONOPLE!$F$14,$M133,AN$13))))</f>
        <v>1</v>
      </c>
      <c r="AO133" s="211">
        <f ca="1">IF($D133&lt;&gt;"Serviço",0,IF(AND(AUTOEVENTO="Manual",$M133=1),0,IF(OFFSET(CRONOPLE!$F$14,$M133,AO$13)="",10^12,OFFSET(CRONOPLE!$F$14,$M133,AO$13))))</f>
        <v>2</v>
      </c>
      <c r="AP133" s="211">
        <f ca="1">IF($D133&lt;&gt;"Serviço",0,IF(AND(AUTOEVENTO="Manual",$M133=1),0,IF(OFFSET(CRONOPLE!$F$14,$M133,AP$13)="",10^12,OFFSET(CRONOPLE!$F$14,$M133,AP$13))))</f>
        <v>2</v>
      </c>
      <c r="AQ133" s="211">
        <f ca="1">IF($D133&lt;&gt;"Serviço",0,IF(AND(AUTOEVENTO="Manual",$M133=1),0,IF(OFFSET(CRONOPLE!$F$14,$M133,AQ$13)="",10^12,OFFSET(CRONOPLE!$F$14,$M133,AQ$13))))</f>
        <v>1000000000000</v>
      </c>
      <c r="AR133" s="211">
        <f ca="1">IF($D133&lt;&gt;"Serviço",0,IF(AND(AUTOEVENTO="Manual",$M133=1),0,IF(OFFSET(CRONOPLE!$F$14,$M133,AR$13)="",10^12,OFFSET(CRONOPLE!$F$14,$M133,AR$13))))</f>
        <v>1000000000000</v>
      </c>
      <c r="AS133" s="211">
        <f ca="1">IF($D133&lt;&gt;"Serviço",0,IF(AND(AUTOEVENTO="Manual",$M133=1),0,IF(OFFSET(CRONOPLE!$F$14,$M133,AS$13)="",10^12,OFFSET(CRONOPLE!$F$14,$M133,AS$13))))</f>
        <v>1000000000000</v>
      </c>
      <c r="AT133" s="211">
        <f ca="1">IF($D133&lt;&gt;"Serviço",0,IF(AND(AUTOEVENTO="Manual",$M133=1),0,IF(OFFSET(CRONOPLE!$F$14,$M133,AT$13)="",10^12,OFFSET(CRONOPLE!$F$14,$M133,AT$13))))</f>
        <v>1000000000000</v>
      </c>
      <c r="AU133" s="211">
        <f ca="1">IF($D133&lt;&gt;"Serviço",0,IF(AND(AUTOEVENTO="Manual",$M133=1),0,IF(OFFSET(CRONOPLE!$F$14,$M133,AU$13)="",10^12,OFFSET(CRONOPLE!$F$14,$M133,AU$13))))</f>
        <v>1000000000000</v>
      </c>
      <c r="AV133" s="211">
        <f ca="1">IF($D133&lt;&gt;"Serviço",0,IF(AND(AUTOEVENTO="Manual",$M133=1),0,IF(OFFSET(CRONOPLE!$F$14,$M133,AV$13)="",10^12,OFFSET(CRONOPLE!$F$14,$M133,AV$13))))</f>
        <v>1000000000000</v>
      </c>
      <c r="AX133" s="212">
        <f ca="1">IF($D133&lt;&gt;"Serviço",0,IF(OR(AND(AUTOEVENTO="Manual",$M133=1),$M133&gt;(ROW(PLE.lastrow)-ROW(PLE.firstrow))),0,IF(OFFSET(PLE!$G$14,$M133,AX$13)="",10^12,OFFSET(PLE!$G$14,$M133,AX$13))))</f>
        <v>1000000000000</v>
      </c>
      <c r="AY133" s="212">
        <f ca="1">IF($D133&lt;&gt;"Serviço",0,IF(OR(AND(AUTOEVENTO="Manual",$M133=1),$M133&gt;(ROW(PLE.lastrow)-ROW(PLE.firstrow))),0,IF(OFFSET(PLE!$G$14,$M133,AY$13)="",10^12,OFFSET(PLE!$G$14,$M133,AY$13))))</f>
        <v>1000000000000</v>
      </c>
      <c r="AZ133" s="212">
        <f ca="1">IF($D133&lt;&gt;"Serviço",0,IF(OR(AND(AUTOEVENTO="Manual",$M133=1),$M133&gt;(ROW(PLE.lastrow)-ROW(PLE.firstrow))),0,IF(OFFSET(PLE!$G$14,$M133,AZ$13)="",10^12,OFFSET(PLE!$G$14,$M133,AZ$13))))</f>
        <v>1000000000000</v>
      </c>
      <c r="BA133" s="212">
        <f ca="1">IF($D133&lt;&gt;"Serviço",0,IF(OR(AND(AUTOEVENTO="Manual",$M133=1),$M133&gt;(ROW(PLE.lastrow)-ROW(PLE.firstrow))),0,IF(OFFSET(PLE!$G$14,$M133,BA$13)="",10^12,OFFSET(PLE!$G$14,$M133,BA$13))))</f>
        <v>1000000000000</v>
      </c>
      <c r="BB133" s="212">
        <f ca="1">IF($D133&lt;&gt;"Serviço",0,IF(OR(AND(AUTOEVENTO="Manual",$M133=1),$M133&gt;(ROW(PLE.lastrow)-ROW(PLE.firstrow))),0,IF(OFFSET(PLE!$G$14,$M133,BB$13)="",10^12,OFFSET(PLE!$G$14,$M133,BB$13))))</f>
        <v>1000000000000</v>
      </c>
      <c r="BC133" s="212">
        <f ca="1">IF($D133&lt;&gt;"Serviço",0,IF(OR(AND(AUTOEVENTO="Manual",$M133=1),$M133&gt;(ROW(PLE.lastrow)-ROW(PLE.firstrow))),0,IF(OFFSET(PLE!$G$14,$M133,BC$13)="",10^12,OFFSET(PLE!$G$14,$M133,BC$13))))</f>
        <v>1000000000000</v>
      </c>
      <c r="BD133" s="212">
        <f ca="1">IF($D133&lt;&gt;"Serviço",0,IF(OR(AND(AUTOEVENTO="Manual",$M133=1),$M133&gt;(ROW(PLE.lastrow)-ROW(PLE.firstrow))),0,IF(OFFSET(PLE!$G$14,$M133,BD$13)="",10^12,OFFSET(PLE!$G$14,$M133,BD$13))))</f>
        <v>1000000000000</v>
      </c>
      <c r="BE133" s="212">
        <f ca="1">IF($D133&lt;&gt;"Serviço",0,IF(OR(AND(AUTOEVENTO="Manual",$M133=1),$M133&gt;(ROW(PLE.lastrow)-ROW(PLE.firstrow))),0,IF(OFFSET(PLE!$G$14,$M133,BE$13)="",10^12,OFFSET(PLE!$G$14,$M133,BE$13))))</f>
        <v>1000000000000</v>
      </c>
      <c r="BF133" s="212">
        <f ca="1">IF($D133&lt;&gt;"Serviço",0,IF(OR(AND(AUTOEVENTO="Manual",$M133=1),$M133&gt;(ROW(PLE.lastrow)-ROW(PLE.firstrow))),0,IF(OFFSET(PLE!$G$14,$M133,BF$13)="",10^12,OFFSET(PLE!$G$14,$M133,BF$13))))</f>
        <v>1000000000000</v>
      </c>
      <c r="BG133" s="212">
        <f ca="1">IF($D133&lt;&gt;"Serviço",0,IF(OR(AND(AUTOEVENTO="Manual",$M133=1),$M133&gt;(ROW(PLE.lastrow)-ROW(PLE.firstrow))),0,IF(OFFSET(PLE!$G$14,$M133,BG$13)="",10^12,OFFSET(PLE!$G$14,$M133,BG$13))))</f>
        <v>1000000000000</v>
      </c>
    </row>
    <row r="134" spans="1:59" ht="13.2">
      <c r="A134" s="9" t="str">
        <f t="shared" ca="1" si="10"/>
        <v>15</v>
      </c>
      <c r="B134" s="9" t="str">
        <f ca="1">OFFSET(ORÇAMENTO!C$15,ROW(B134)-ROW(B$15),0)</f>
        <v>S</v>
      </c>
      <c r="C134" s="9" t="str">
        <f ca="1">OFFSET(ORÇAMENTO!L$15,ROW(C134)-ROW(C$15),0)</f>
        <v/>
      </c>
      <c r="D134" s="141" t="str">
        <f ca="1">OFFSET(ORÇAMENTO!N$15,ROW(D134)-ROW(D$15),0)</f>
        <v>Serviço</v>
      </c>
      <c r="E134" s="201" t="str">
        <f ca="1">OFFSET(ORÇAMENTO!O$15,ROW(E134)-ROW(E$15),0)</f>
        <v>-</v>
      </c>
      <c r="F134" s="202" t="str">
        <f ca="1">OFFSET(ORÇAMENTO!R$15,ROW(F134)-ROW(F$15),0)</f>
        <v>(abra o arquivo 'Referência 11-2024.xlsm)</v>
      </c>
      <c r="G134" s="203" t="str">
        <f ca="1">IF($D134&lt;&gt;"Serviço","",OFFSET(ORÇAMENTO!S$15,ROW(G134)-ROW(G$15),0))</f>
        <v>-</v>
      </c>
      <c r="H134" s="147">
        <f ca="1">IF($D134&lt;&gt;"Serviço",0,IF(ACOMPANHAMENTO="BM",ROUND(OFFSET(ORÇAMENTO!AJ$15,ROW(H134)-ROW(H$15),0),15-13*ORÇAMENTO!$AF$7),SUMPRODUCT(($Q$12:$AA$12&lt;&gt;"")*ROUND($Q134:$AA134,15-13*ORÇAMENTO!$AF$7))))</f>
        <v>0</v>
      </c>
      <c r="I134" s="645"/>
      <c r="K134" s="204"/>
      <c r="L134" s="205" t="s">
        <v>255</v>
      </c>
      <c r="M134" s="206">
        <f ca="1">IF($D134&lt;&gt;"Serviço","",IF(AUTOEVENTO="manual",$A134,IF(ISERROR(MATCH($A134,$A$15:OFFSET($A134,-1,0),0)),MAX($M$15:OFFSET(M134,-1,0))+1,INDEX($M$15:OFFSET(M134,-1,0),MATCH($A134,$A$15:OFFSET($A134,-1,0),0)))))</f>
        <v>6</v>
      </c>
      <c r="N134" s="207" t="str">
        <f ca="1">IF($D134&lt;&gt;"Serviço","",IF(AUTOEVENTO="Manual",IF($A134=0,"&lt;-- defina o número do agrupador",OFFSET(EVENTOS!$D$14,$A134,0)),OFFSET($F$15,$A134,0)))</f>
        <v>DRENAGEM</v>
      </c>
      <c r="O134" s="208"/>
      <c r="Q134" s="208"/>
      <c r="R134" s="209"/>
      <c r="S134" s="209"/>
      <c r="T134" s="209"/>
      <c r="U134" s="209"/>
      <c r="V134" s="209"/>
      <c r="W134" s="209"/>
      <c r="X134" s="209"/>
      <c r="Y134" s="209"/>
      <c r="Z134" s="210"/>
      <c r="AB134" s="626">
        <f ca="1">IF(AND($D134="Serviço",AB$12&lt;&gt;0,$H134&gt;0,OR(AUTOEVENTO&lt;&gt;"manual",$M134&lt;&gt;1)),
IF(Import.TipoArredondamento&lt;&gt;"TransfereGOV",
ROUND(OFFSET($P134,0,AB$13),15-13*ORÇAMENTO!$AF$7)/$H134*OFFSET(ORÇAMENTO!$X$15,ROW(AB134)-ROW(AB$15),0),
ROUND(ROUND(OFFSET($P134,0,AB$13),15-13*ORÇAMENTO!$AF$7)*OFFSET(ORÇAMENTO!$W$15,ROW(AB134)-ROW(AB$15),0),15-13*ORÇAMENTO!$AF$11)),0)</f>
        <v>0</v>
      </c>
      <c r="AC134" s="627">
        <f ca="1">IF(AND($D134="Serviço",AC$12&lt;&gt;0,$H134&gt;0,OR(AUTOEVENTO&lt;&gt;"manual",$M134&lt;&gt;1)),
IF(Import.TipoArredondamento&lt;&gt;"TransfereGOV",
ROUND(OFFSET($P134,0,AC$13),15-13*ORÇAMENTO!$AF$7)/$H134*OFFSET(ORÇAMENTO!$X$15,ROW(AC134)-ROW(AC$15),0),
ROUND(ROUND(OFFSET($P134,0,AC$13),15-13*ORÇAMENTO!$AF$7)*OFFSET(ORÇAMENTO!$W$15,ROW(AC134)-ROW(AC$15),0),15-13*ORÇAMENTO!$AF$11)),0)</f>
        <v>0</v>
      </c>
      <c r="AD134" s="627">
        <f ca="1">IF(AND($D134="Serviço",AD$12&lt;&gt;0,$H134&gt;0,OR(AUTOEVENTO&lt;&gt;"manual",$M134&lt;&gt;1)),
IF(Import.TipoArredondamento&lt;&gt;"TransfereGOV",
ROUND(OFFSET($P134,0,AD$13),15-13*ORÇAMENTO!$AF$7)/$H134*OFFSET(ORÇAMENTO!$X$15,ROW(AD134)-ROW(AD$15),0),
ROUND(ROUND(OFFSET($P134,0,AD$13),15-13*ORÇAMENTO!$AF$7)*OFFSET(ORÇAMENTO!$W$15,ROW(AD134)-ROW(AD$15),0),15-13*ORÇAMENTO!$AF$11)),0)</f>
        <v>0</v>
      </c>
      <c r="AE134" s="627">
        <f ca="1">IF(AND($D134="Serviço",AE$12&lt;&gt;0,$H134&gt;0,OR(AUTOEVENTO&lt;&gt;"manual",$M134&lt;&gt;1)),
IF(Import.TipoArredondamento&lt;&gt;"TransfereGOV",
ROUND(OFFSET($P134,0,AE$13),15-13*ORÇAMENTO!$AF$7)/$H134*OFFSET(ORÇAMENTO!$X$15,ROW(AE134)-ROW(AE$15),0),
ROUND(ROUND(OFFSET($P134,0,AE$13),15-13*ORÇAMENTO!$AF$7)*OFFSET(ORÇAMENTO!$W$15,ROW(AE134)-ROW(AE$15),0),15-13*ORÇAMENTO!$AF$11)),0)</f>
        <v>0</v>
      </c>
      <c r="AF134" s="627">
        <f ca="1">IF(AND($D134="Serviço",AF$12&lt;&gt;0,$H134&gt;0,OR(AUTOEVENTO&lt;&gt;"manual",$M134&lt;&gt;1)),
IF(Import.TipoArredondamento&lt;&gt;"TransfereGOV",
ROUND(OFFSET($P134,0,AF$13),15-13*ORÇAMENTO!$AF$7)/$H134*OFFSET(ORÇAMENTO!$X$15,ROW(AF134)-ROW(AF$15),0),
ROUND(ROUND(OFFSET($P134,0,AF$13),15-13*ORÇAMENTO!$AF$7)*OFFSET(ORÇAMENTO!$W$15,ROW(AF134)-ROW(AF$15),0),15-13*ORÇAMENTO!$AF$11)),0)</f>
        <v>0</v>
      </c>
      <c r="AG134" s="627">
        <f ca="1">IF(AND($D134="Serviço",AG$12&lt;&gt;0,$H134&gt;0,OR(AUTOEVENTO&lt;&gt;"manual",$M134&lt;&gt;1)),
IF(Import.TipoArredondamento&lt;&gt;"TransfereGOV",
ROUND(OFFSET($P134,0,AG$13),15-13*ORÇAMENTO!$AF$7)/$H134*OFFSET(ORÇAMENTO!$X$15,ROW(AG134)-ROW(AG$15),0),
ROUND(ROUND(OFFSET($P134,0,AG$13),15-13*ORÇAMENTO!$AF$7)*OFFSET(ORÇAMENTO!$W$15,ROW(AG134)-ROW(AG$15),0),15-13*ORÇAMENTO!$AF$11)),0)</f>
        <v>0</v>
      </c>
      <c r="AH134" s="627">
        <f ca="1">IF(AND($D134="Serviço",AH$12&lt;&gt;0,$H134&gt;0,OR(AUTOEVENTO&lt;&gt;"manual",$M134&lt;&gt;1)),
IF(Import.TipoArredondamento&lt;&gt;"TransfereGOV",
ROUND(OFFSET($P134,0,AH$13),15-13*ORÇAMENTO!$AF$7)/$H134*OFFSET(ORÇAMENTO!$X$15,ROW(AH134)-ROW(AH$15),0),
ROUND(ROUND(OFFSET($P134,0,AH$13),15-13*ORÇAMENTO!$AF$7)*OFFSET(ORÇAMENTO!$W$15,ROW(AH134)-ROW(AH$15),0),15-13*ORÇAMENTO!$AF$11)),0)</f>
        <v>0</v>
      </c>
      <c r="AI134" s="627">
        <f ca="1">IF(AND($D134="Serviço",AI$12&lt;&gt;0,$H134&gt;0,OR(AUTOEVENTO&lt;&gt;"manual",$M134&lt;&gt;1)),
IF(Import.TipoArredondamento&lt;&gt;"TransfereGOV",
ROUND(OFFSET($P134,0,AI$13),15-13*ORÇAMENTO!$AF$7)/$H134*OFFSET(ORÇAMENTO!$X$15,ROW(AI134)-ROW(AI$15),0),
ROUND(ROUND(OFFSET($P134,0,AI$13),15-13*ORÇAMENTO!$AF$7)*OFFSET(ORÇAMENTO!$W$15,ROW(AI134)-ROW(AI$15),0),15-13*ORÇAMENTO!$AF$11)),0)</f>
        <v>0</v>
      </c>
      <c r="AJ134" s="627">
        <f ca="1">IF(AND($D134="Serviço",AJ$12&lt;&gt;0,$H134&gt;0,OR(AUTOEVENTO&lt;&gt;"manual",$M134&lt;&gt;1)),
IF(Import.TipoArredondamento&lt;&gt;"TransfereGOV",
ROUND(OFFSET($P134,0,AJ$13),15-13*ORÇAMENTO!$AF$7)/$H134*OFFSET(ORÇAMENTO!$X$15,ROW(AJ134)-ROW(AJ$15),0),
ROUND(ROUND(OFFSET($P134,0,AJ$13),15-13*ORÇAMENTO!$AF$7)*OFFSET(ORÇAMENTO!$W$15,ROW(AJ134)-ROW(AJ$15),0),15-13*ORÇAMENTO!$AF$11)),0)</f>
        <v>0</v>
      </c>
      <c r="AK134" s="628">
        <f ca="1">IF(AND($D134="Serviço",AK$12&lt;&gt;0,$H134&gt;0,OR(AUTOEVENTO&lt;&gt;"manual",$M134&lt;&gt;1)),
IF(Import.TipoArredondamento&lt;&gt;"TransfereGOV",
ROUND(OFFSET($P134,0,AK$13),15-13*ORÇAMENTO!$AF$7)/$H134*OFFSET(ORÇAMENTO!$X$15,ROW(AK134)-ROW(AK$15),0),
ROUND(ROUND(OFFSET($P134,0,AK$13),15-13*ORÇAMENTO!$AF$7)*OFFSET(ORÇAMENTO!$W$15,ROW(AK134)-ROW(AK$15),0),15-13*ORÇAMENTO!$AF$11)),0)</f>
        <v>0</v>
      </c>
      <c r="AM134" s="211">
        <f ca="1">IF($D134&lt;&gt;"Serviço",0,IF(AND(AUTOEVENTO="Manual",$M134=1),0,IF(OFFSET(CRONOPLE!$F$14,$M134,AM$13)="",10^12,OFFSET(CRONOPLE!$F$14,$M134,AM$13))))</f>
        <v>2</v>
      </c>
      <c r="AN134" s="211">
        <f ca="1">IF($D134&lt;&gt;"Serviço",0,IF(AND(AUTOEVENTO="Manual",$M134=1),0,IF(OFFSET(CRONOPLE!$F$14,$M134,AN$13)="",10^12,OFFSET(CRONOPLE!$F$14,$M134,AN$13))))</f>
        <v>1</v>
      </c>
      <c r="AO134" s="211">
        <f ca="1">IF($D134&lt;&gt;"Serviço",0,IF(AND(AUTOEVENTO="Manual",$M134=1),0,IF(OFFSET(CRONOPLE!$F$14,$M134,AO$13)="",10^12,OFFSET(CRONOPLE!$F$14,$M134,AO$13))))</f>
        <v>2</v>
      </c>
      <c r="AP134" s="211">
        <f ca="1">IF($D134&lt;&gt;"Serviço",0,IF(AND(AUTOEVENTO="Manual",$M134=1),0,IF(OFFSET(CRONOPLE!$F$14,$M134,AP$13)="",10^12,OFFSET(CRONOPLE!$F$14,$M134,AP$13))))</f>
        <v>2</v>
      </c>
      <c r="AQ134" s="211">
        <f ca="1">IF($D134&lt;&gt;"Serviço",0,IF(AND(AUTOEVENTO="Manual",$M134=1),0,IF(OFFSET(CRONOPLE!$F$14,$M134,AQ$13)="",10^12,OFFSET(CRONOPLE!$F$14,$M134,AQ$13))))</f>
        <v>1000000000000</v>
      </c>
      <c r="AR134" s="211">
        <f ca="1">IF($D134&lt;&gt;"Serviço",0,IF(AND(AUTOEVENTO="Manual",$M134=1),0,IF(OFFSET(CRONOPLE!$F$14,$M134,AR$13)="",10^12,OFFSET(CRONOPLE!$F$14,$M134,AR$13))))</f>
        <v>1000000000000</v>
      </c>
      <c r="AS134" s="211">
        <f ca="1">IF($D134&lt;&gt;"Serviço",0,IF(AND(AUTOEVENTO="Manual",$M134=1),0,IF(OFFSET(CRONOPLE!$F$14,$M134,AS$13)="",10^12,OFFSET(CRONOPLE!$F$14,$M134,AS$13))))</f>
        <v>1000000000000</v>
      </c>
      <c r="AT134" s="211">
        <f ca="1">IF($D134&lt;&gt;"Serviço",0,IF(AND(AUTOEVENTO="Manual",$M134=1),0,IF(OFFSET(CRONOPLE!$F$14,$M134,AT$13)="",10^12,OFFSET(CRONOPLE!$F$14,$M134,AT$13))))</f>
        <v>1000000000000</v>
      </c>
      <c r="AU134" s="211">
        <f ca="1">IF($D134&lt;&gt;"Serviço",0,IF(AND(AUTOEVENTO="Manual",$M134=1),0,IF(OFFSET(CRONOPLE!$F$14,$M134,AU$13)="",10^12,OFFSET(CRONOPLE!$F$14,$M134,AU$13))))</f>
        <v>1000000000000</v>
      </c>
      <c r="AV134" s="211">
        <f ca="1">IF($D134&lt;&gt;"Serviço",0,IF(AND(AUTOEVENTO="Manual",$M134=1),0,IF(OFFSET(CRONOPLE!$F$14,$M134,AV$13)="",10^12,OFFSET(CRONOPLE!$F$14,$M134,AV$13))))</f>
        <v>1000000000000</v>
      </c>
      <c r="AX134" s="212">
        <f ca="1">IF($D134&lt;&gt;"Serviço",0,IF(OR(AND(AUTOEVENTO="Manual",$M134=1),$M134&gt;(ROW(PLE.lastrow)-ROW(PLE.firstrow))),0,IF(OFFSET(PLE!$G$14,$M134,AX$13)="",10^12,OFFSET(PLE!$G$14,$M134,AX$13))))</f>
        <v>1000000000000</v>
      </c>
      <c r="AY134" s="212">
        <f ca="1">IF($D134&lt;&gt;"Serviço",0,IF(OR(AND(AUTOEVENTO="Manual",$M134=1),$M134&gt;(ROW(PLE.lastrow)-ROW(PLE.firstrow))),0,IF(OFFSET(PLE!$G$14,$M134,AY$13)="",10^12,OFFSET(PLE!$G$14,$M134,AY$13))))</f>
        <v>1000000000000</v>
      </c>
      <c r="AZ134" s="212">
        <f ca="1">IF($D134&lt;&gt;"Serviço",0,IF(OR(AND(AUTOEVENTO="Manual",$M134=1),$M134&gt;(ROW(PLE.lastrow)-ROW(PLE.firstrow))),0,IF(OFFSET(PLE!$G$14,$M134,AZ$13)="",10^12,OFFSET(PLE!$G$14,$M134,AZ$13))))</f>
        <v>1000000000000</v>
      </c>
      <c r="BA134" s="212">
        <f ca="1">IF($D134&lt;&gt;"Serviço",0,IF(OR(AND(AUTOEVENTO="Manual",$M134=1),$M134&gt;(ROW(PLE.lastrow)-ROW(PLE.firstrow))),0,IF(OFFSET(PLE!$G$14,$M134,BA$13)="",10^12,OFFSET(PLE!$G$14,$M134,BA$13))))</f>
        <v>1000000000000</v>
      </c>
      <c r="BB134" s="212">
        <f ca="1">IF($D134&lt;&gt;"Serviço",0,IF(OR(AND(AUTOEVENTO="Manual",$M134=1),$M134&gt;(ROW(PLE.lastrow)-ROW(PLE.firstrow))),0,IF(OFFSET(PLE!$G$14,$M134,BB$13)="",10^12,OFFSET(PLE!$G$14,$M134,BB$13))))</f>
        <v>1000000000000</v>
      </c>
      <c r="BC134" s="212">
        <f ca="1">IF($D134&lt;&gt;"Serviço",0,IF(OR(AND(AUTOEVENTO="Manual",$M134=1),$M134&gt;(ROW(PLE.lastrow)-ROW(PLE.firstrow))),0,IF(OFFSET(PLE!$G$14,$M134,BC$13)="",10^12,OFFSET(PLE!$G$14,$M134,BC$13))))</f>
        <v>1000000000000</v>
      </c>
      <c r="BD134" s="212">
        <f ca="1">IF($D134&lt;&gt;"Serviço",0,IF(OR(AND(AUTOEVENTO="Manual",$M134=1),$M134&gt;(ROW(PLE.lastrow)-ROW(PLE.firstrow))),0,IF(OFFSET(PLE!$G$14,$M134,BD$13)="",10^12,OFFSET(PLE!$G$14,$M134,BD$13))))</f>
        <v>1000000000000</v>
      </c>
      <c r="BE134" s="212">
        <f ca="1">IF($D134&lt;&gt;"Serviço",0,IF(OR(AND(AUTOEVENTO="Manual",$M134=1),$M134&gt;(ROW(PLE.lastrow)-ROW(PLE.firstrow))),0,IF(OFFSET(PLE!$G$14,$M134,BE$13)="",10^12,OFFSET(PLE!$G$14,$M134,BE$13))))</f>
        <v>1000000000000</v>
      </c>
      <c r="BF134" s="212">
        <f ca="1">IF($D134&lt;&gt;"Serviço",0,IF(OR(AND(AUTOEVENTO="Manual",$M134=1),$M134&gt;(ROW(PLE.lastrow)-ROW(PLE.firstrow))),0,IF(OFFSET(PLE!$G$14,$M134,BF$13)="",10^12,OFFSET(PLE!$G$14,$M134,BF$13))))</f>
        <v>1000000000000</v>
      </c>
      <c r="BG134" s="212">
        <f ca="1">IF($D134&lt;&gt;"Serviço",0,IF(OR(AND(AUTOEVENTO="Manual",$M134=1),$M134&gt;(ROW(PLE.lastrow)-ROW(PLE.firstrow))),0,IF(OFFSET(PLE!$G$14,$M134,BG$13)="",10^12,OFFSET(PLE!$G$14,$M134,BG$13))))</f>
        <v>1000000000000</v>
      </c>
    </row>
    <row r="135" spans="1:59" ht="13.2">
      <c r="A135" s="9" t="str">
        <f t="shared" ca="1" si="10"/>
        <v>15</v>
      </c>
      <c r="B135" s="9" t="str">
        <f ca="1">OFFSET(ORÇAMENTO!C$15,ROW(B135)-ROW(B$15),0)</f>
        <v>S</v>
      </c>
      <c r="C135" s="9" t="str">
        <f ca="1">OFFSET(ORÇAMENTO!L$15,ROW(C135)-ROW(C$15),0)</f>
        <v/>
      </c>
      <c r="D135" s="141" t="str">
        <f ca="1">OFFSET(ORÇAMENTO!N$15,ROW(D135)-ROW(D$15),0)</f>
        <v>Serviço</v>
      </c>
      <c r="E135" s="201" t="str">
        <f ca="1">OFFSET(ORÇAMENTO!O$15,ROW(E135)-ROW(E$15),0)</f>
        <v>-</v>
      </c>
      <c r="F135" s="202" t="str">
        <f ca="1">OFFSET(ORÇAMENTO!R$15,ROW(F135)-ROW(F$15),0)</f>
        <v>(abra o arquivo 'Referência 11-2024.xlsm)</v>
      </c>
      <c r="G135" s="203" t="str">
        <f ca="1">IF($D135&lt;&gt;"Serviço","",OFFSET(ORÇAMENTO!S$15,ROW(G135)-ROW(G$15),0))</f>
        <v>-</v>
      </c>
      <c r="H135" s="147">
        <f ca="1">IF($D135&lt;&gt;"Serviço",0,IF(ACOMPANHAMENTO="BM",ROUND(OFFSET(ORÇAMENTO!AJ$15,ROW(H135)-ROW(H$15),0),15-13*ORÇAMENTO!$AF$7),SUMPRODUCT(($Q$12:$AA$12&lt;&gt;"")*ROUND($Q135:$AA135,15-13*ORÇAMENTO!$AF$7))))</f>
        <v>0</v>
      </c>
      <c r="I135" s="645"/>
      <c r="K135" s="204"/>
      <c r="L135" s="205" t="s">
        <v>255</v>
      </c>
      <c r="M135" s="206">
        <f ca="1">IF($D135&lt;&gt;"Serviço","",IF(AUTOEVENTO="manual",$A135,IF(ISERROR(MATCH($A135,$A$15:OFFSET($A135,-1,0),0)),MAX($M$15:OFFSET(M135,-1,0))+1,INDEX($M$15:OFFSET(M135,-1,0),MATCH($A135,$A$15:OFFSET($A135,-1,0),0)))))</f>
        <v>6</v>
      </c>
      <c r="N135" s="207" t="str">
        <f ca="1">IF($D135&lt;&gt;"Serviço","",IF(AUTOEVENTO="Manual",IF($A135=0,"&lt;-- defina o número do agrupador",OFFSET(EVENTOS!$D$14,$A135,0)),OFFSET($F$15,$A135,0)))</f>
        <v>DRENAGEM</v>
      </c>
      <c r="O135" s="208"/>
      <c r="Q135" s="208"/>
      <c r="R135" s="209"/>
      <c r="S135" s="209"/>
      <c r="T135" s="209"/>
      <c r="U135" s="209"/>
      <c r="V135" s="209"/>
      <c r="W135" s="209"/>
      <c r="X135" s="209"/>
      <c r="Y135" s="209"/>
      <c r="Z135" s="210"/>
      <c r="AB135" s="626">
        <f ca="1">IF(AND($D135="Serviço",AB$12&lt;&gt;0,$H135&gt;0,OR(AUTOEVENTO&lt;&gt;"manual",$M135&lt;&gt;1)),
IF(Import.TipoArredondamento&lt;&gt;"TransfereGOV",
ROUND(OFFSET($P135,0,AB$13),15-13*ORÇAMENTO!$AF$7)/$H135*OFFSET(ORÇAMENTO!$X$15,ROW(AB135)-ROW(AB$15),0),
ROUND(ROUND(OFFSET($P135,0,AB$13),15-13*ORÇAMENTO!$AF$7)*OFFSET(ORÇAMENTO!$W$15,ROW(AB135)-ROW(AB$15),0),15-13*ORÇAMENTO!$AF$11)),0)</f>
        <v>0</v>
      </c>
      <c r="AC135" s="627">
        <f ca="1">IF(AND($D135="Serviço",AC$12&lt;&gt;0,$H135&gt;0,OR(AUTOEVENTO&lt;&gt;"manual",$M135&lt;&gt;1)),
IF(Import.TipoArredondamento&lt;&gt;"TransfereGOV",
ROUND(OFFSET($P135,0,AC$13),15-13*ORÇAMENTO!$AF$7)/$H135*OFFSET(ORÇAMENTO!$X$15,ROW(AC135)-ROW(AC$15),0),
ROUND(ROUND(OFFSET($P135,0,AC$13),15-13*ORÇAMENTO!$AF$7)*OFFSET(ORÇAMENTO!$W$15,ROW(AC135)-ROW(AC$15),0),15-13*ORÇAMENTO!$AF$11)),0)</f>
        <v>0</v>
      </c>
      <c r="AD135" s="627">
        <f ca="1">IF(AND($D135="Serviço",AD$12&lt;&gt;0,$H135&gt;0,OR(AUTOEVENTO&lt;&gt;"manual",$M135&lt;&gt;1)),
IF(Import.TipoArredondamento&lt;&gt;"TransfereGOV",
ROUND(OFFSET($P135,0,AD$13),15-13*ORÇAMENTO!$AF$7)/$H135*OFFSET(ORÇAMENTO!$X$15,ROW(AD135)-ROW(AD$15),0),
ROUND(ROUND(OFFSET($P135,0,AD$13),15-13*ORÇAMENTO!$AF$7)*OFFSET(ORÇAMENTO!$W$15,ROW(AD135)-ROW(AD$15),0),15-13*ORÇAMENTO!$AF$11)),0)</f>
        <v>0</v>
      </c>
      <c r="AE135" s="627">
        <f ca="1">IF(AND($D135="Serviço",AE$12&lt;&gt;0,$H135&gt;0,OR(AUTOEVENTO&lt;&gt;"manual",$M135&lt;&gt;1)),
IF(Import.TipoArredondamento&lt;&gt;"TransfereGOV",
ROUND(OFFSET($P135,0,AE$13),15-13*ORÇAMENTO!$AF$7)/$H135*OFFSET(ORÇAMENTO!$X$15,ROW(AE135)-ROW(AE$15),0),
ROUND(ROUND(OFFSET($P135,0,AE$13),15-13*ORÇAMENTO!$AF$7)*OFFSET(ORÇAMENTO!$W$15,ROW(AE135)-ROW(AE$15),0),15-13*ORÇAMENTO!$AF$11)),0)</f>
        <v>0</v>
      </c>
      <c r="AF135" s="627">
        <f ca="1">IF(AND($D135="Serviço",AF$12&lt;&gt;0,$H135&gt;0,OR(AUTOEVENTO&lt;&gt;"manual",$M135&lt;&gt;1)),
IF(Import.TipoArredondamento&lt;&gt;"TransfereGOV",
ROUND(OFFSET($P135,0,AF$13),15-13*ORÇAMENTO!$AF$7)/$H135*OFFSET(ORÇAMENTO!$X$15,ROW(AF135)-ROW(AF$15),0),
ROUND(ROUND(OFFSET($P135,0,AF$13),15-13*ORÇAMENTO!$AF$7)*OFFSET(ORÇAMENTO!$W$15,ROW(AF135)-ROW(AF$15),0),15-13*ORÇAMENTO!$AF$11)),0)</f>
        <v>0</v>
      </c>
      <c r="AG135" s="627">
        <f ca="1">IF(AND($D135="Serviço",AG$12&lt;&gt;0,$H135&gt;0,OR(AUTOEVENTO&lt;&gt;"manual",$M135&lt;&gt;1)),
IF(Import.TipoArredondamento&lt;&gt;"TransfereGOV",
ROUND(OFFSET($P135,0,AG$13),15-13*ORÇAMENTO!$AF$7)/$H135*OFFSET(ORÇAMENTO!$X$15,ROW(AG135)-ROW(AG$15),0),
ROUND(ROUND(OFFSET($P135,0,AG$13),15-13*ORÇAMENTO!$AF$7)*OFFSET(ORÇAMENTO!$W$15,ROW(AG135)-ROW(AG$15),0),15-13*ORÇAMENTO!$AF$11)),0)</f>
        <v>0</v>
      </c>
      <c r="AH135" s="627">
        <f ca="1">IF(AND($D135="Serviço",AH$12&lt;&gt;0,$H135&gt;0,OR(AUTOEVENTO&lt;&gt;"manual",$M135&lt;&gt;1)),
IF(Import.TipoArredondamento&lt;&gt;"TransfereGOV",
ROUND(OFFSET($P135,0,AH$13),15-13*ORÇAMENTO!$AF$7)/$H135*OFFSET(ORÇAMENTO!$X$15,ROW(AH135)-ROW(AH$15),0),
ROUND(ROUND(OFFSET($P135,0,AH$13),15-13*ORÇAMENTO!$AF$7)*OFFSET(ORÇAMENTO!$W$15,ROW(AH135)-ROW(AH$15),0),15-13*ORÇAMENTO!$AF$11)),0)</f>
        <v>0</v>
      </c>
      <c r="AI135" s="627">
        <f ca="1">IF(AND($D135="Serviço",AI$12&lt;&gt;0,$H135&gt;0,OR(AUTOEVENTO&lt;&gt;"manual",$M135&lt;&gt;1)),
IF(Import.TipoArredondamento&lt;&gt;"TransfereGOV",
ROUND(OFFSET($P135,0,AI$13),15-13*ORÇAMENTO!$AF$7)/$H135*OFFSET(ORÇAMENTO!$X$15,ROW(AI135)-ROW(AI$15),0),
ROUND(ROUND(OFFSET($P135,0,AI$13),15-13*ORÇAMENTO!$AF$7)*OFFSET(ORÇAMENTO!$W$15,ROW(AI135)-ROW(AI$15),0),15-13*ORÇAMENTO!$AF$11)),0)</f>
        <v>0</v>
      </c>
      <c r="AJ135" s="627">
        <f ca="1">IF(AND($D135="Serviço",AJ$12&lt;&gt;0,$H135&gt;0,OR(AUTOEVENTO&lt;&gt;"manual",$M135&lt;&gt;1)),
IF(Import.TipoArredondamento&lt;&gt;"TransfereGOV",
ROUND(OFFSET($P135,0,AJ$13),15-13*ORÇAMENTO!$AF$7)/$H135*OFFSET(ORÇAMENTO!$X$15,ROW(AJ135)-ROW(AJ$15),0),
ROUND(ROUND(OFFSET($P135,0,AJ$13),15-13*ORÇAMENTO!$AF$7)*OFFSET(ORÇAMENTO!$W$15,ROW(AJ135)-ROW(AJ$15),0),15-13*ORÇAMENTO!$AF$11)),0)</f>
        <v>0</v>
      </c>
      <c r="AK135" s="628">
        <f ca="1">IF(AND($D135="Serviço",AK$12&lt;&gt;0,$H135&gt;0,OR(AUTOEVENTO&lt;&gt;"manual",$M135&lt;&gt;1)),
IF(Import.TipoArredondamento&lt;&gt;"TransfereGOV",
ROUND(OFFSET($P135,0,AK$13),15-13*ORÇAMENTO!$AF$7)/$H135*OFFSET(ORÇAMENTO!$X$15,ROW(AK135)-ROW(AK$15),0),
ROUND(ROUND(OFFSET($P135,0,AK$13),15-13*ORÇAMENTO!$AF$7)*OFFSET(ORÇAMENTO!$W$15,ROW(AK135)-ROW(AK$15),0),15-13*ORÇAMENTO!$AF$11)),0)</f>
        <v>0</v>
      </c>
      <c r="AM135" s="211">
        <f ca="1">IF($D135&lt;&gt;"Serviço",0,IF(AND(AUTOEVENTO="Manual",$M135=1),0,IF(OFFSET(CRONOPLE!$F$14,$M135,AM$13)="",10^12,OFFSET(CRONOPLE!$F$14,$M135,AM$13))))</f>
        <v>2</v>
      </c>
      <c r="AN135" s="211">
        <f ca="1">IF($D135&lt;&gt;"Serviço",0,IF(AND(AUTOEVENTO="Manual",$M135=1),0,IF(OFFSET(CRONOPLE!$F$14,$M135,AN$13)="",10^12,OFFSET(CRONOPLE!$F$14,$M135,AN$13))))</f>
        <v>1</v>
      </c>
      <c r="AO135" s="211">
        <f ca="1">IF($D135&lt;&gt;"Serviço",0,IF(AND(AUTOEVENTO="Manual",$M135=1),0,IF(OFFSET(CRONOPLE!$F$14,$M135,AO$13)="",10^12,OFFSET(CRONOPLE!$F$14,$M135,AO$13))))</f>
        <v>2</v>
      </c>
      <c r="AP135" s="211">
        <f ca="1">IF($D135&lt;&gt;"Serviço",0,IF(AND(AUTOEVENTO="Manual",$M135=1),0,IF(OFFSET(CRONOPLE!$F$14,$M135,AP$13)="",10^12,OFFSET(CRONOPLE!$F$14,$M135,AP$13))))</f>
        <v>2</v>
      </c>
      <c r="AQ135" s="211">
        <f ca="1">IF($D135&lt;&gt;"Serviço",0,IF(AND(AUTOEVENTO="Manual",$M135=1),0,IF(OFFSET(CRONOPLE!$F$14,$M135,AQ$13)="",10^12,OFFSET(CRONOPLE!$F$14,$M135,AQ$13))))</f>
        <v>1000000000000</v>
      </c>
      <c r="AR135" s="211">
        <f ca="1">IF($D135&lt;&gt;"Serviço",0,IF(AND(AUTOEVENTO="Manual",$M135=1),0,IF(OFFSET(CRONOPLE!$F$14,$M135,AR$13)="",10^12,OFFSET(CRONOPLE!$F$14,$M135,AR$13))))</f>
        <v>1000000000000</v>
      </c>
      <c r="AS135" s="211">
        <f ca="1">IF($D135&lt;&gt;"Serviço",0,IF(AND(AUTOEVENTO="Manual",$M135=1),0,IF(OFFSET(CRONOPLE!$F$14,$M135,AS$13)="",10^12,OFFSET(CRONOPLE!$F$14,$M135,AS$13))))</f>
        <v>1000000000000</v>
      </c>
      <c r="AT135" s="211">
        <f ca="1">IF($D135&lt;&gt;"Serviço",0,IF(AND(AUTOEVENTO="Manual",$M135=1),0,IF(OFFSET(CRONOPLE!$F$14,$M135,AT$13)="",10^12,OFFSET(CRONOPLE!$F$14,$M135,AT$13))))</f>
        <v>1000000000000</v>
      </c>
      <c r="AU135" s="211">
        <f ca="1">IF($D135&lt;&gt;"Serviço",0,IF(AND(AUTOEVENTO="Manual",$M135=1),0,IF(OFFSET(CRONOPLE!$F$14,$M135,AU$13)="",10^12,OFFSET(CRONOPLE!$F$14,$M135,AU$13))))</f>
        <v>1000000000000</v>
      </c>
      <c r="AV135" s="211">
        <f ca="1">IF($D135&lt;&gt;"Serviço",0,IF(AND(AUTOEVENTO="Manual",$M135=1),0,IF(OFFSET(CRONOPLE!$F$14,$M135,AV$13)="",10^12,OFFSET(CRONOPLE!$F$14,$M135,AV$13))))</f>
        <v>1000000000000</v>
      </c>
      <c r="AX135" s="212">
        <f ca="1">IF($D135&lt;&gt;"Serviço",0,IF(OR(AND(AUTOEVENTO="Manual",$M135=1),$M135&gt;(ROW(PLE.lastrow)-ROW(PLE.firstrow))),0,IF(OFFSET(PLE!$G$14,$M135,AX$13)="",10^12,OFFSET(PLE!$G$14,$M135,AX$13))))</f>
        <v>1000000000000</v>
      </c>
      <c r="AY135" s="212">
        <f ca="1">IF($D135&lt;&gt;"Serviço",0,IF(OR(AND(AUTOEVENTO="Manual",$M135=1),$M135&gt;(ROW(PLE.lastrow)-ROW(PLE.firstrow))),0,IF(OFFSET(PLE!$G$14,$M135,AY$13)="",10^12,OFFSET(PLE!$G$14,$M135,AY$13))))</f>
        <v>1000000000000</v>
      </c>
      <c r="AZ135" s="212">
        <f ca="1">IF($D135&lt;&gt;"Serviço",0,IF(OR(AND(AUTOEVENTO="Manual",$M135=1),$M135&gt;(ROW(PLE.lastrow)-ROW(PLE.firstrow))),0,IF(OFFSET(PLE!$G$14,$M135,AZ$13)="",10^12,OFFSET(PLE!$G$14,$M135,AZ$13))))</f>
        <v>1000000000000</v>
      </c>
      <c r="BA135" s="212">
        <f ca="1">IF($D135&lt;&gt;"Serviço",0,IF(OR(AND(AUTOEVENTO="Manual",$M135=1),$M135&gt;(ROW(PLE.lastrow)-ROW(PLE.firstrow))),0,IF(OFFSET(PLE!$G$14,$M135,BA$13)="",10^12,OFFSET(PLE!$G$14,$M135,BA$13))))</f>
        <v>1000000000000</v>
      </c>
      <c r="BB135" s="212">
        <f ca="1">IF($D135&lt;&gt;"Serviço",0,IF(OR(AND(AUTOEVENTO="Manual",$M135=1),$M135&gt;(ROW(PLE.lastrow)-ROW(PLE.firstrow))),0,IF(OFFSET(PLE!$G$14,$M135,BB$13)="",10^12,OFFSET(PLE!$G$14,$M135,BB$13))))</f>
        <v>1000000000000</v>
      </c>
      <c r="BC135" s="212">
        <f ca="1">IF($D135&lt;&gt;"Serviço",0,IF(OR(AND(AUTOEVENTO="Manual",$M135=1),$M135&gt;(ROW(PLE.lastrow)-ROW(PLE.firstrow))),0,IF(OFFSET(PLE!$G$14,$M135,BC$13)="",10^12,OFFSET(PLE!$G$14,$M135,BC$13))))</f>
        <v>1000000000000</v>
      </c>
      <c r="BD135" s="212">
        <f ca="1">IF($D135&lt;&gt;"Serviço",0,IF(OR(AND(AUTOEVENTO="Manual",$M135=1),$M135&gt;(ROW(PLE.lastrow)-ROW(PLE.firstrow))),0,IF(OFFSET(PLE!$G$14,$M135,BD$13)="",10^12,OFFSET(PLE!$G$14,$M135,BD$13))))</f>
        <v>1000000000000</v>
      </c>
      <c r="BE135" s="212">
        <f ca="1">IF($D135&lt;&gt;"Serviço",0,IF(OR(AND(AUTOEVENTO="Manual",$M135=1),$M135&gt;(ROW(PLE.lastrow)-ROW(PLE.firstrow))),0,IF(OFFSET(PLE!$G$14,$M135,BE$13)="",10^12,OFFSET(PLE!$G$14,$M135,BE$13))))</f>
        <v>1000000000000</v>
      </c>
      <c r="BF135" s="212">
        <f ca="1">IF($D135&lt;&gt;"Serviço",0,IF(OR(AND(AUTOEVENTO="Manual",$M135=1),$M135&gt;(ROW(PLE.lastrow)-ROW(PLE.firstrow))),0,IF(OFFSET(PLE!$G$14,$M135,BF$13)="",10^12,OFFSET(PLE!$G$14,$M135,BF$13))))</f>
        <v>1000000000000</v>
      </c>
      <c r="BG135" s="212">
        <f ca="1">IF($D135&lt;&gt;"Serviço",0,IF(OR(AND(AUTOEVENTO="Manual",$M135=1),$M135&gt;(ROW(PLE.lastrow)-ROW(PLE.firstrow))),0,IF(OFFSET(PLE!$G$14,$M135,BG$13)="",10^12,OFFSET(PLE!$G$14,$M135,BG$13))))</f>
        <v>1000000000000</v>
      </c>
    </row>
    <row r="136" spans="1:59" ht="13.2">
      <c r="A136" s="9" t="str">
        <f t="shared" ca="1" si="10"/>
        <v>15</v>
      </c>
      <c r="B136" s="9" t="str">
        <f ca="1">OFFSET(ORÇAMENTO!C$15,ROW(B136)-ROW(B$15),0)</f>
        <v>S</v>
      </c>
      <c r="C136" s="9" t="str">
        <f ca="1">OFFSET(ORÇAMENTO!L$15,ROW(C136)-ROW(C$15),0)</f>
        <v/>
      </c>
      <c r="D136" s="141" t="str">
        <f ca="1">OFFSET(ORÇAMENTO!N$15,ROW(D136)-ROW(D$15),0)</f>
        <v>Serviço</v>
      </c>
      <c r="E136" s="201" t="str">
        <f ca="1">OFFSET(ORÇAMENTO!O$15,ROW(E136)-ROW(E$15),0)</f>
        <v>-</v>
      </c>
      <c r="F136" s="202" t="str">
        <f ca="1">OFFSET(ORÇAMENTO!R$15,ROW(F136)-ROW(F$15),0)</f>
        <v>(abra o arquivo 'Referência 11-2024.xlsm)</v>
      </c>
      <c r="G136" s="203" t="str">
        <f ca="1">IF($D136&lt;&gt;"Serviço","",OFFSET(ORÇAMENTO!S$15,ROW(G136)-ROW(G$15),0))</f>
        <v>-</v>
      </c>
      <c r="H136" s="147">
        <f ca="1">IF($D136&lt;&gt;"Serviço",0,IF(ACOMPANHAMENTO="BM",ROUND(OFFSET(ORÇAMENTO!AJ$15,ROW(H136)-ROW(H$15),0),15-13*ORÇAMENTO!$AF$7),SUMPRODUCT(($Q$12:$AA$12&lt;&gt;"")*ROUND($Q136:$AA136,15-13*ORÇAMENTO!$AF$7))))</f>
        <v>0</v>
      </c>
      <c r="I136" s="645"/>
      <c r="K136" s="204"/>
      <c r="L136" s="205" t="s">
        <v>255</v>
      </c>
      <c r="M136" s="206">
        <f ca="1">IF($D136&lt;&gt;"Serviço","",IF(AUTOEVENTO="manual",$A136,IF(ISERROR(MATCH($A136,$A$15:OFFSET($A136,-1,0),0)),MAX($M$15:OFFSET(M136,-1,0))+1,INDEX($M$15:OFFSET(M136,-1,0),MATCH($A136,$A$15:OFFSET($A136,-1,0),0)))))</f>
        <v>6</v>
      </c>
      <c r="N136" s="207" t="str">
        <f ca="1">IF($D136&lt;&gt;"Serviço","",IF(AUTOEVENTO="Manual",IF($A136=0,"&lt;-- defina o número do agrupador",OFFSET(EVENTOS!$D$14,$A136,0)),OFFSET($F$15,$A136,0)))</f>
        <v>DRENAGEM</v>
      </c>
      <c r="O136" s="208"/>
      <c r="Q136" s="208"/>
      <c r="R136" s="209"/>
      <c r="S136" s="209"/>
      <c r="T136" s="209"/>
      <c r="U136" s="209"/>
      <c r="V136" s="209"/>
      <c r="W136" s="209"/>
      <c r="X136" s="209"/>
      <c r="Y136" s="209"/>
      <c r="Z136" s="210"/>
      <c r="AB136" s="626">
        <f ca="1">IF(AND($D136="Serviço",AB$12&lt;&gt;0,$H136&gt;0,OR(AUTOEVENTO&lt;&gt;"manual",$M136&lt;&gt;1)),
IF(Import.TipoArredondamento&lt;&gt;"TransfereGOV",
ROUND(OFFSET($P136,0,AB$13),15-13*ORÇAMENTO!$AF$7)/$H136*OFFSET(ORÇAMENTO!$X$15,ROW(AB136)-ROW(AB$15),0),
ROUND(ROUND(OFFSET($P136,0,AB$13),15-13*ORÇAMENTO!$AF$7)*OFFSET(ORÇAMENTO!$W$15,ROW(AB136)-ROW(AB$15),0),15-13*ORÇAMENTO!$AF$11)),0)</f>
        <v>0</v>
      </c>
      <c r="AC136" s="627">
        <f ca="1">IF(AND($D136="Serviço",AC$12&lt;&gt;0,$H136&gt;0,OR(AUTOEVENTO&lt;&gt;"manual",$M136&lt;&gt;1)),
IF(Import.TipoArredondamento&lt;&gt;"TransfereGOV",
ROUND(OFFSET($P136,0,AC$13),15-13*ORÇAMENTO!$AF$7)/$H136*OFFSET(ORÇAMENTO!$X$15,ROW(AC136)-ROW(AC$15),0),
ROUND(ROUND(OFFSET($P136,0,AC$13),15-13*ORÇAMENTO!$AF$7)*OFFSET(ORÇAMENTO!$W$15,ROW(AC136)-ROW(AC$15),0),15-13*ORÇAMENTO!$AF$11)),0)</f>
        <v>0</v>
      </c>
      <c r="AD136" s="627">
        <f ca="1">IF(AND($D136="Serviço",AD$12&lt;&gt;0,$H136&gt;0,OR(AUTOEVENTO&lt;&gt;"manual",$M136&lt;&gt;1)),
IF(Import.TipoArredondamento&lt;&gt;"TransfereGOV",
ROUND(OFFSET($P136,0,AD$13),15-13*ORÇAMENTO!$AF$7)/$H136*OFFSET(ORÇAMENTO!$X$15,ROW(AD136)-ROW(AD$15),0),
ROUND(ROUND(OFFSET($P136,0,AD$13),15-13*ORÇAMENTO!$AF$7)*OFFSET(ORÇAMENTO!$W$15,ROW(AD136)-ROW(AD$15),0),15-13*ORÇAMENTO!$AF$11)),0)</f>
        <v>0</v>
      </c>
      <c r="AE136" s="627">
        <f ca="1">IF(AND($D136="Serviço",AE$12&lt;&gt;0,$H136&gt;0,OR(AUTOEVENTO&lt;&gt;"manual",$M136&lt;&gt;1)),
IF(Import.TipoArredondamento&lt;&gt;"TransfereGOV",
ROUND(OFFSET($P136,0,AE$13),15-13*ORÇAMENTO!$AF$7)/$H136*OFFSET(ORÇAMENTO!$X$15,ROW(AE136)-ROW(AE$15),0),
ROUND(ROUND(OFFSET($P136,0,AE$13),15-13*ORÇAMENTO!$AF$7)*OFFSET(ORÇAMENTO!$W$15,ROW(AE136)-ROW(AE$15),0),15-13*ORÇAMENTO!$AF$11)),0)</f>
        <v>0</v>
      </c>
      <c r="AF136" s="627">
        <f ca="1">IF(AND($D136="Serviço",AF$12&lt;&gt;0,$H136&gt;0,OR(AUTOEVENTO&lt;&gt;"manual",$M136&lt;&gt;1)),
IF(Import.TipoArredondamento&lt;&gt;"TransfereGOV",
ROUND(OFFSET($P136,0,AF$13),15-13*ORÇAMENTO!$AF$7)/$H136*OFFSET(ORÇAMENTO!$X$15,ROW(AF136)-ROW(AF$15),0),
ROUND(ROUND(OFFSET($P136,0,AF$13),15-13*ORÇAMENTO!$AF$7)*OFFSET(ORÇAMENTO!$W$15,ROW(AF136)-ROW(AF$15),0),15-13*ORÇAMENTO!$AF$11)),0)</f>
        <v>0</v>
      </c>
      <c r="AG136" s="627">
        <f ca="1">IF(AND($D136="Serviço",AG$12&lt;&gt;0,$H136&gt;0,OR(AUTOEVENTO&lt;&gt;"manual",$M136&lt;&gt;1)),
IF(Import.TipoArredondamento&lt;&gt;"TransfereGOV",
ROUND(OFFSET($P136,0,AG$13),15-13*ORÇAMENTO!$AF$7)/$H136*OFFSET(ORÇAMENTO!$X$15,ROW(AG136)-ROW(AG$15),0),
ROUND(ROUND(OFFSET($P136,0,AG$13),15-13*ORÇAMENTO!$AF$7)*OFFSET(ORÇAMENTO!$W$15,ROW(AG136)-ROW(AG$15),0),15-13*ORÇAMENTO!$AF$11)),0)</f>
        <v>0</v>
      </c>
      <c r="AH136" s="627">
        <f ca="1">IF(AND($D136="Serviço",AH$12&lt;&gt;0,$H136&gt;0,OR(AUTOEVENTO&lt;&gt;"manual",$M136&lt;&gt;1)),
IF(Import.TipoArredondamento&lt;&gt;"TransfereGOV",
ROUND(OFFSET($P136,0,AH$13),15-13*ORÇAMENTO!$AF$7)/$H136*OFFSET(ORÇAMENTO!$X$15,ROW(AH136)-ROW(AH$15),0),
ROUND(ROUND(OFFSET($P136,0,AH$13),15-13*ORÇAMENTO!$AF$7)*OFFSET(ORÇAMENTO!$W$15,ROW(AH136)-ROW(AH$15),0),15-13*ORÇAMENTO!$AF$11)),0)</f>
        <v>0</v>
      </c>
      <c r="AI136" s="627">
        <f ca="1">IF(AND($D136="Serviço",AI$12&lt;&gt;0,$H136&gt;0,OR(AUTOEVENTO&lt;&gt;"manual",$M136&lt;&gt;1)),
IF(Import.TipoArredondamento&lt;&gt;"TransfereGOV",
ROUND(OFFSET($P136,0,AI$13),15-13*ORÇAMENTO!$AF$7)/$H136*OFFSET(ORÇAMENTO!$X$15,ROW(AI136)-ROW(AI$15),0),
ROUND(ROUND(OFFSET($P136,0,AI$13),15-13*ORÇAMENTO!$AF$7)*OFFSET(ORÇAMENTO!$W$15,ROW(AI136)-ROW(AI$15),0),15-13*ORÇAMENTO!$AF$11)),0)</f>
        <v>0</v>
      </c>
      <c r="AJ136" s="627">
        <f ca="1">IF(AND($D136="Serviço",AJ$12&lt;&gt;0,$H136&gt;0,OR(AUTOEVENTO&lt;&gt;"manual",$M136&lt;&gt;1)),
IF(Import.TipoArredondamento&lt;&gt;"TransfereGOV",
ROUND(OFFSET($P136,0,AJ$13),15-13*ORÇAMENTO!$AF$7)/$H136*OFFSET(ORÇAMENTO!$X$15,ROW(AJ136)-ROW(AJ$15),0),
ROUND(ROUND(OFFSET($P136,0,AJ$13),15-13*ORÇAMENTO!$AF$7)*OFFSET(ORÇAMENTO!$W$15,ROW(AJ136)-ROW(AJ$15),0),15-13*ORÇAMENTO!$AF$11)),0)</f>
        <v>0</v>
      </c>
      <c r="AK136" s="628">
        <f ca="1">IF(AND($D136="Serviço",AK$12&lt;&gt;0,$H136&gt;0,OR(AUTOEVENTO&lt;&gt;"manual",$M136&lt;&gt;1)),
IF(Import.TipoArredondamento&lt;&gt;"TransfereGOV",
ROUND(OFFSET($P136,0,AK$13),15-13*ORÇAMENTO!$AF$7)/$H136*OFFSET(ORÇAMENTO!$X$15,ROW(AK136)-ROW(AK$15),0),
ROUND(ROUND(OFFSET($P136,0,AK$13),15-13*ORÇAMENTO!$AF$7)*OFFSET(ORÇAMENTO!$W$15,ROW(AK136)-ROW(AK$15),0),15-13*ORÇAMENTO!$AF$11)),0)</f>
        <v>0</v>
      </c>
      <c r="AM136" s="211">
        <f ca="1">IF($D136&lt;&gt;"Serviço",0,IF(AND(AUTOEVENTO="Manual",$M136=1),0,IF(OFFSET(CRONOPLE!$F$14,$M136,AM$13)="",10^12,OFFSET(CRONOPLE!$F$14,$M136,AM$13))))</f>
        <v>2</v>
      </c>
      <c r="AN136" s="211">
        <f ca="1">IF($D136&lt;&gt;"Serviço",0,IF(AND(AUTOEVENTO="Manual",$M136=1),0,IF(OFFSET(CRONOPLE!$F$14,$M136,AN$13)="",10^12,OFFSET(CRONOPLE!$F$14,$M136,AN$13))))</f>
        <v>1</v>
      </c>
      <c r="AO136" s="211">
        <f ca="1">IF($D136&lt;&gt;"Serviço",0,IF(AND(AUTOEVENTO="Manual",$M136=1),0,IF(OFFSET(CRONOPLE!$F$14,$M136,AO$13)="",10^12,OFFSET(CRONOPLE!$F$14,$M136,AO$13))))</f>
        <v>2</v>
      </c>
      <c r="AP136" s="211">
        <f ca="1">IF($D136&lt;&gt;"Serviço",0,IF(AND(AUTOEVENTO="Manual",$M136=1),0,IF(OFFSET(CRONOPLE!$F$14,$M136,AP$13)="",10^12,OFFSET(CRONOPLE!$F$14,$M136,AP$13))))</f>
        <v>2</v>
      </c>
      <c r="AQ136" s="211">
        <f ca="1">IF($D136&lt;&gt;"Serviço",0,IF(AND(AUTOEVENTO="Manual",$M136=1),0,IF(OFFSET(CRONOPLE!$F$14,$M136,AQ$13)="",10^12,OFFSET(CRONOPLE!$F$14,$M136,AQ$13))))</f>
        <v>1000000000000</v>
      </c>
      <c r="AR136" s="211">
        <f ca="1">IF($D136&lt;&gt;"Serviço",0,IF(AND(AUTOEVENTO="Manual",$M136=1),0,IF(OFFSET(CRONOPLE!$F$14,$M136,AR$13)="",10^12,OFFSET(CRONOPLE!$F$14,$M136,AR$13))))</f>
        <v>1000000000000</v>
      </c>
      <c r="AS136" s="211">
        <f ca="1">IF($D136&lt;&gt;"Serviço",0,IF(AND(AUTOEVENTO="Manual",$M136=1),0,IF(OFFSET(CRONOPLE!$F$14,$M136,AS$13)="",10^12,OFFSET(CRONOPLE!$F$14,$M136,AS$13))))</f>
        <v>1000000000000</v>
      </c>
      <c r="AT136" s="211">
        <f ca="1">IF($D136&lt;&gt;"Serviço",0,IF(AND(AUTOEVENTO="Manual",$M136=1),0,IF(OFFSET(CRONOPLE!$F$14,$M136,AT$13)="",10^12,OFFSET(CRONOPLE!$F$14,$M136,AT$13))))</f>
        <v>1000000000000</v>
      </c>
      <c r="AU136" s="211">
        <f ca="1">IF($D136&lt;&gt;"Serviço",0,IF(AND(AUTOEVENTO="Manual",$M136=1),0,IF(OFFSET(CRONOPLE!$F$14,$M136,AU$13)="",10^12,OFFSET(CRONOPLE!$F$14,$M136,AU$13))))</f>
        <v>1000000000000</v>
      </c>
      <c r="AV136" s="211">
        <f ca="1">IF($D136&lt;&gt;"Serviço",0,IF(AND(AUTOEVENTO="Manual",$M136=1),0,IF(OFFSET(CRONOPLE!$F$14,$M136,AV$13)="",10^12,OFFSET(CRONOPLE!$F$14,$M136,AV$13))))</f>
        <v>1000000000000</v>
      </c>
      <c r="AX136" s="212">
        <f ca="1">IF($D136&lt;&gt;"Serviço",0,IF(OR(AND(AUTOEVENTO="Manual",$M136=1),$M136&gt;(ROW(PLE.lastrow)-ROW(PLE.firstrow))),0,IF(OFFSET(PLE!$G$14,$M136,AX$13)="",10^12,OFFSET(PLE!$G$14,$M136,AX$13))))</f>
        <v>1000000000000</v>
      </c>
      <c r="AY136" s="212">
        <f ca="1">IF($D136&lt;&gt;"Serviço",0,IF(OR(AND(AUTOEVENTO="Manual",$M136=1),$M136&gt;(ROW(PLE.lastrow)-ROW(PLE.firstrow))),0,IF(OFFSET(PLE!$G$14,$M136,AY$13)="",10^12,OFFSET(PLE!$G$14,$M136,AY$13))))</f>
        <v>1000000000000</v>
      </c>
      <c r="AZ136" s="212">
        <f ca="1">IF($D136&lt;&gt;"Serviço",0,IF(OR(AND(AUTOEVENTO="Manual",$M136=1),$M136&gt;(ROW(PLE.lastrow)-ROW(PLE.firstrow))),0,IF(OFFSET(PLE!$G$14,$M136,AZ$13)="",10^12,OFFSET(PLE!$G$14,$M136,AZ$13))))</f>
        <v>1000000000000</v>
      </c>
      <c r="BA136" s="212">
        <f ca="1">IF($D136&lt;&gt;"Serviço",0,IF(OR(AND(AUTOEVENTO="Manual",$M136=1),$M136&gt;(ROW(PLE.lastrow)-ROW(PLE.firstrow))),0,IF(OFFSET(PLE!$G$14,$M136,BA$13)="",10^12,OFFSET(PLE!$G$14,$M136,BA$13))))</f>
        <v>1000000000000</v>
      </c>
      <c r="BB136" s="212">
        <f ca="1">IF($D136&lt;&gt;"Serviço",0,IF(OR(AND(AUTOEVENTO="Manual",$M136=1),$M136&gt;(ROW(PLE.lastrow)-ROW(PLE.firstrow))),0,IF(OFFSET(PLE!$G$14,$M136,BB$13)="",10^12,OFFSET(PLE!$G$14,$M136,BB$13))))</f>
        <v>1000000000000</v>
      </c>
      <c r="BC136" s="212">
        <f ca="1">IF($D136&lt;&gt;"Serviço",0,IF(OR(AND(AUTOEVENTO="Manual",$M136=1),$M136&gt;(ROW(PLE.lastrow)-ROW(PLE.firstrow))),0,IF(OFFSET(PLE!$G$14,$M136,BC$13)="",10^12,OFFSET(PLE!$G$14,$M136,BC$13))))</f>
        <v>1000000000000</v>
      </c>
      <c r="BD136" s="212">
        <f ca="1">IF($D136&lt;&gt;"Serviço",0,IF(OR(AND(AUTOEVENTO="Manual",$M136=1),$M136&gt;(ROW(PLE.lastrow)-ROW(PLE.firstrow))),0,IF(OFFSET(PLE!$G$14,$M136,BD$13)="",10^12,OFFSET(PLE!$G$14,$M136,BD$13))))</f>
        <v>1000000000000</v>
      </c>
      <c r="BE136" s="212">
        <f ca="1">IF($D136&lt;&gt;"Serviço",0,IF(OR(AND(AUTOEVENTO="Manual",$M136=1),$M136&gt;(ROW(PLE.lastrow)-ROW(PLE.firstrow))),0,IF(OFFSET(PLE!$G$14,$M136,BE$13)="",10^12,OFFSET(PLE!$G$14,$M136,BE$13))))</f>
        <v>1000000000000</v>
      </c>
      <c r="BF136" s="212">
        <f ca="1">IF($D136&lt;&gt;"Serviço",0,IF(OR(AND(AUTOEVENTO="Manual",$M136=1),$M136&gt;(ROW(PLE.lastrow)-ROW(PLE.firstrow))),0,IF(OFFSET(PLE!$G$14,$M136,BF$13)="",10^12,OFFSET(PLE!$G$14,$M136,BF$13))))</f>
        <v>1000000000000</v>
      </c>
      <c r="BG136" s="212">
        <f ca="1">IF($D136&lt;&gt;"Serviço",0,IF(OR(AND(AUTOEVENTO="Manual",$M136=1),$M136&gt;(ROW(PLE.lastrow)-ROW(PLE.firstrow))),0,IF(OFFSET(PLE!$G$14,$M136,BG$13)="",10^12,OFFSET(PLE!$G$14,$M136,BG$13))))</f>
        <v>1000000000000</v>
      </c>
    </row>
    <row r="137" spans="1:59" ht="13.2">
      <c r="A137" s="9" t="str">
        <f t="shared" ca="1" si="10"/>
        <v>15</v>
      </c>
      <c r="B137" s="9" t="str">
        <f ca="1">OFFSET(ORÇAMENTO!C$15,ROW(B137)-ROW(B$15),0)</f>
        <v>S</v>
      </c>
      <c r="C137" s="9" t="str">
        <f ca="1">OFFSET(ORÇAMENTO!L$15,ROW(C137)-ROW(C$15),0)</f>
        <v/>
      </c>
      <c r="D137" s="141" t="str">
        <f ca="1">OFFSET(ORÇAMENTO!N$15,ROW(D137)-ROW(D$15),0)</f>
        <v>Serviço</v>
      </c>
      <c r="E137" s="201" t="str">
        <f ca="1">OFFSET(ORÇAMENTO!O$15,ROW(E137)-ROW(E$15),0)</f>
        <v>-</v>
      </c>
      <c r="F137" s="202" t="str">
        <f ca="1">OFFSET(ORÇAMENTO!R$15,ROW(F137)-ROW(F$15),0)</f>
        <v>(abra o arquivo 'Referência 11-2024.xlsm)</v>
      </c>
      <c r="G137" s="203" t="str">
        <f ca="1">IF($D137&lt;&gt;"Serviço","",OFFSET(ORÇAMENTO!S$15,ROW(G137)-ROW(G$15),0))</f>
        <v>-</v>
      </c>
      <c r="H137" s="147">
        <f ca="1">IF($D137&lt;&gt;"Serviço",0,IF(ACOMPANHAMENTO="BM",ROUND(OFFSET(ORÇAMENTO!AJ$15,ROW(H137)-ROW(H$15),0),15-13*ORÇAMENTO!$AF$7),SUMPRODUCT(($Q$12:$AA$12&lt;&gt;"")*ROUND($Q137:$AA137,15-13*ORÇAMENTO!$AF$7))))</f>
        <v>0</v>
      </c>
      <c r="I137" s="645"/>
      <c r="K137" s="204"/>
      <c r="L137" s="205" t="s">
        <v>255</v>
      </c>
      <c r="M137" s="206">
        <f ca="1">IF($D137&lt;&gt;"Serviço","",IF(AUTOEVENTO="manual",$A137,IF(ISERROR(MATCH($A137,$A$15:OFFSET($A137,-1,0),0)),MAX($M$15:OFFSET(M137,-1,0))+1,INDEX($M$15:OFFSET(M137,-1,0),MATCH($A137,$A$15:OFFSET($A137,-1,0),0)))))</f>
        <v>6</v>
      </c>
      <c r="N137" s="207" t="str">
        <f ca="1">IF($D137&lt;&gt;"Serviço","",IF(AUTOEVENTO="Manual",IF($A137=0,"&lt;-- defina o número do agrupador",OFFSET(EVENTOS!$D$14,$A137,0)),OFFSET($F$15,$A137,0)))</f>
        <v>DRENAGEM</v>
      </c>
      <c r="O137" s="208"/>
      <c r="Q137" s="208"/>
      <c r="R137" s="209"/>
      <c r="S137" s="209"/>
      <c r="T137" s="209"/>
      <c r="U137" s="209"/>
      <c r="V137" s="209"/>
      <c r="W137" s="209"/>
      <c r="X137" s="209"/>
      <c r="Y137" s="209"/>
      <c r="Z137" s="210"/>
      <c r="AB137" s="626">
        <f ca="1">IF(AND($D137="Serviço",AB$12&lt;&gt;0,$H137&gt;0,OR(AUTOEVENTO&lt;&gt;"manual",$M137&lt;&gt;1)),
IF(Import.TipoArredondamento&lt;&gt;"TransfereGOV",
ROUND(OFFSET($P137,0,AB$13),15-13*ORÇAMENTO!$AF$7)/$H137*OFFSET(ORÇAMENTO!$X$15,ROW(AB137)-ROW(AB$15),0),
ROUND(ROUND(OFFSET($P137,0,AB$13),15-13*ORÇAMENTO!$AF$7)*OFFSET(ORÇAMENTO!$W$15,ROW(AB137)-ROW(AB$15),0),15-13*ORÇAMENTO!$AF$11)),0)</f>
        <v>0</v>
      </c>
      <c r="AC137" s="627">
        <f ca="1">IF(AND($D137="Serviço",AC$12&lt;&gt;0,$H137&gt;0,OR(AUTOEVENTO&lt;&gt;"manual",$M137&lt;&gt;1)),
IF(Import.TipoArredondamento&lt;&gt;"TransfereGOV",
ROUND(OFFSET($P137,0,AC$13),15-13*ORÇAMENTO!$AF$7)/$H137*OFFSET(ORÇAMENTO!$X$15,ROW(AC137)-ROW(AC$15),0),
ROUND(ROUND(OFFSET($P137,0,AC$13),15-13*ORÇAMENTO!$AF$7)*OFFSET(ORÇAMENTO!$W$15,ROW(AC137)-ROW(AC$15),0),15-13*ORÇAMENTO!$AF$11)),0)</f>
        <v>0</v>
      </c>
      <c r="AD137" s="627">
        <f ca="1">IF(AND($D137="Serviço",AD$12&lt;&gt;0,$H137&gt;0,OR(AUTOEVENTO&lt;&gt;"manual",$M137&lt;&gt;1)),
IF(Import.TipoArredondamento&lt;&gt;"TransfereGOV",
ROUND(OFFSET($P137,0,AD$13),15-13*ORÇAMENTO!$AF$7)/$H137*OFFSET(ORÇAMENTO!$X$15,ROW(AD137)-ROW(AD$15),0),
ROUND(ROUND(OFFSET($P137,0,AD$13),15-13*ORÇAMENTO!$AF$7)*OFFSET(ORÇAMENTO!$W$15,ROW(AD137)-ROW(AD$15),0),15-13*ORÇAMENTO!$AF$11)),0)</f>
        <v>0</v>
      </c>
      <c r="AE137" s="627">
        <f ca="1">IF(AND($D137="Serviço",AE$12&lt;&gt;0,$H137&gt;0,OR(AUTOEVENTO&lt;&gt;"manual",$M137&lt;&gt;1)),
IF(Import.TipoArredondamento&lt;&gt;"TransfereGOV",
ROUND(OFFSET($P137,0,AE$13),15-13*ORÇAMENTO!$AF$7)/$H137*OFFSET(ORÇAMENTO!$X$15,ROW(AE137)-ROW(AE$15),0),
ROUND(ROUND(OFFSET($P137,0,AE$13),15-13*ORÇAMENTO!$AF$7)*OFFSET(ORÇAMENTO!$W$15,ROW(AE137)-ROW(AE$15),0),15-13*ORÇAMENTO!$AF$11)),0)</f>
        <v>0</v>
      </c>
      <c r="AF137" s="627">
        <f ca="1">IF(AND($D137="Serviço",AF$12&lt;&gt;0,$H137&gt;0,OR(AUTOEVENTO&lt;&gt;"manual",$M137&lt;&gt;1)),
IF(Import.TipoArredondamento&lt;&gt;"TransfereGOV",
ROUND(OFFSET($P137,0,AF$13),15-13*ORÇAMENTO!$AF$7)/$H137*OFFSET(ORÇAMENTO!$X$15,ROW(AF137)-ROW(AF$15),0),
ROUND(ROUND(OFFSET($P137,0,AF$13),15-13*ORÇAMENTO!$AF$7)*OFFSET(ORÇAMENTO!$W$15,ROW(AF137)-ROW(AF$15),0),15-13*ORÇAMENTO!$AF$11)),0)</f>
        <v>0</v>
      </c>
      <c r="AG137" s="627">
        <f ca="1">IF(AND($D137="Serviço",AG$12&lt;&gt;0,$H137&gt;0,OR(AUTOEVENTO&lt;&gt;"manual",$M137&lt;&gt;1)),
IF(Import.TipoArredondamento&lt;&gt;"TransfereGOV",
ROUND(OFFSET($P137,0,AG$13),15-13*ORÇAMENTO!$AF$7)/$H137*OFFSET(ORÇAMENTO!$X$15,ROW(AG137)-ROW(AG$15),0),
ROUND(ROUND(OFFSET($P137,0,AG$13),15-13*ORÇAMENTO!$AF$7)*OFFSET(ORÇAMENTO!$W$15,ROW(AG137)-ROW(AG$15),0),15-13*ORÇAMENTO!$AF$11)),0)</f>
        <v>0</v>
      </c>
      <c r="AH137" s="627">
        <f ca="1">IF(AND($D137="Serviço",AH$12&lt;&gt;0,$H137&gt;0,OR(AUTOEVENTO&lt;&gt;"manual",$M137&lt;&gt;1)),
IF(Import.TipoArredondamento&lt;&gt;"TransfereGOV",
ROUND(OFFSET($P137,0,AH$13),15-13*ORÇAMENTO!$AF$7)/$H137*OFFSET(ORÇAMENTO!$X$15,ROW(AH137)-ROW(AH$15),0),
ROUND(ROUND(OFFSET($P137,0,AH$13),15-13*ORÇAMENTO!$AF$7)*OFFSET(ORÇAMENTO!$W$15,ROW(AH137)-ROW(AH$15),0),15-13*ORÇAMENTO!$AF$11)),0)</f>
        <v>0</v>
      </c>
      <c r="AI137" s="627">
        <f ca="1">IF(AND($D137="Serviço",AI$12&lt;&gt;0,$H137&gt;0,OR(AUTOEVENTO&lt;&gt;"manual",$M137&lt;&gt;1)),
IF(Import.TipoArredondamento&lt;&gt;"TransfereGOV",
ROUND(OFFSET($P137,0,AI$13),15-13*ORÇAMENTO!$AF$7)/$H137*OFFSET(ORÇAMENTO!$X$15,ROW(AI137)-ROW(AI$15),0),
ROUND(ROUND(OFFSET($P137,0,AI$13),15-13*ORÇAMENTO!$AF$7)*OFFSET(ORÇAMENTO!$W$15,ROW(AI137)-ROW(AI$15),0),15-13*ORÇAMENTO!$AF$11)),0)</f>
        <v>0</v>
      </c>
      <c r="AJ137" s="627">
        <f ca="1">IF(AND($D137="Serviço",AJ$12&lt;&gt;0,$H137&gt;0,OR(AUTOEVENTO&lt;&gt;"manual",$M137&lt;&gt;1)),
IF(Import.TipoArredondamento&lt;&gt;"TransfereGOV",
ROUND(OFFSET($P137,0,AJ$13),15-13*ORÇAMENTO!$AF$7)/$H137*OFFSET(ORÇAMENTO!$X$15,ROW(AJ137)-ROW(AJ$15),0),
ROUND(ROUND(OFFSET($P137,0,AJ$13),15-13*ORÇAMENTO!$AF$7)*OFFSET(ORÇAMENTO!$W$15,ROW(AJ137)-ROW(AJ$15),0),15-13*ORÇAMENTO!$AF$11)),0)</f>
        <v>0</v>
      </c>
      <c r="AK137" s="628">
        <f ca="1">IF(AND($D137="Serviço",AK$12&lt;&gt;0,$H137&gt;0,OR(AUTOEVENTO&lt;&gt;"manual",$M137&lt;&gt;1)),
IF(Import.TipoArredondamento&lt;&gt;"TransfereGOV",
ROUND(OFFSET($P137,0,AK$13),15-13*ORÇAMENTO!$AF$7)/$H137*OFFSET(ORÇAMENTO!$X$15,ROW(AK137)-ROW(AK$15),0),
ROUND(ROUND(OFFSET($P137,0,AK$13),15-13*ORÇAMENTO!$AF$7)*OFFSET(ORÇAMENTO!$W$15,ROW(AK137)-ROW(AK$15),0),15-13*ORÇAMENTO!$AF$11)),0)</f>
        <v>0</v>
      </c>
      <c r="AM137" s="211">
        <f ca="1">IF($D137&lt;&gt;"Serviço",0,IF(AND(AUTOEVENTO="Manual",$M137=1),0,IF(OFFSET(CRONOPLE!$F$14,$M137,AM$13)="",10^12,OFFSET(CRONOPLE!$F$14,$M137,AM$13))))</f>
        <v>2</v>
      </c>
      <c r="AN137" s="211">
        <f ca="1">IF($D137&lt;&gt;"Serviço",0,IF(AND(AUTOEVENTO="Manual",$M137=1),0,IF(OFFSET(CRONOPLE!$F$14,$M137,AN$13)="",10^12,OFFSET(CRONOPLE!$F$14,$M137,AN$13))))</f>
        <v>1</v>
      </c>
      <c r="AO137" s="211">
        <f ca="1">IF($D137&lt;&gt;"Serviço",0,IF(AND(AUTOEVENTO="Manual",$M137=1),0,IF(OFFSET(CRONOPLE!$F$14,$M137,AO$13)="",10^12,OFFSET(CRONOPLE!$F$14,$M137,AO$13))))</f>
        <v>2</v>
      </c>
      <c r="AP137" s="211">
        <f ca="1">IF($D137&lt;&gt;"Serviço",0,IF(AND(AUTOEVENTO="Manual",$M137=1),0,IF(OFFSET(CRONOPLE!$F$14,$M137,AP$13)="",10^12,OFFSET(CRONOPLE!$F$14,$M137,AP$13))))</f>
        <v>2</v>
      </c>
      <c r="AQ137" s="211">
        <f ca="1">IF($D137&lt;&gt;"Serviço",0,IF(AND(AUTOEVENTO="Manual",$M137=1),0,IF(OFFSET(CRONOPLE!$F$14,$M137,AQ$13)="",10^12,OFFSET(CRONOPLE!$F$14,$M137,AQ$13))))</f>
        <v>1000000000000</v>
      </c>
      <c r="AR137" s="211">
        <f ca="1">IF($D137&lt;&gt;"Serviço",0,IF(AND(AUTOEVENTO="Manual",$M137=1),0,IF(OFFSET(CRONOPLE!$F$14,$M137,AR$13)="",10^12,OFFSET(CRONOPLE!$F$14,$M137,AR$13))))</f>
        <v>1000000000000</v>
      </c>
      <c r="AS137" s="211">
        <f ca="1">IF($D137&lt;&gt;"Serviço",0,IF(AND(AUTOEVENTO="Manual",$M137=1),0,IF(OFFSET(CRONOPLE!$F$14,$M137,AS$13)="",10^12,OFFSET(CRONOPLE!$F$14,$M137,AS$13))))</f>
        <v>1000000000000</v>
      </c>
      <c r="AT137" s="211">
        <f ca="1">IF($D137&lt;&gt;"Serviço",0,IF(AND(AUTOEVENTO="Manual",$M137=1),0,IF(OFFSET(CRONOPLE!$F$14,$M137,AT$13)="",10^12,OFFSET(CRONOPLE!$F$14,$M137,AT$13))))</f>
        <v>1000000000000</v>
      </c>
      <c r="AU137" s="211">
        <f ca="1">IF($D137&lt;&gt;"Serviço",0,IF(AND(AUTOEVENTO="Manual",$M137=1),0,IF(OFFSET(CRONOPLE!$F$14,$M137,AU$13)="",10^12,OFFSET(CRONOPLE!$F$14,$M137,AU$13))))</f>
        <v>1000000000000</v>
      </c>
      <c r="AV137" s="211">
        <f ca="1">IF($D137&lt;&gt;"Serviço",0,IF(AND(AUTOEVENTO="Manual",$M137=1),0,IF(OFFSET(CRONOPLE!$F$14,$M137,AV$13)="",10^12,OFFSET(CRONOPLE!$F$14,$M137,AV$13))))</f>
        <v>1000000000000</v>
      </c>
      <c r="AX137" s="212">
        <f ca="1">IF($D137&lt;&gt;"Serviço",0,IF(OR(AND(AUTOEVENTO="Manual",$M137=1),$M137&gt;(ROW(PLE.lastrow)-ROW(PLE.firstrow))),0,IF(OFFSET(PLE!$G$14,$M137,AX$13)="",10^12,OFFSET(PLE!$G$14,$M137,AX$13))))</f>
        <v>1000000000000</v>
      </c>
      <c r="AY137" s="212">
        <f ca="1">IF($D137&lt;&gt;"Serviço",0,IF(OR(AND(AUTOEVENTO="Manual",$M137=1),$M137&gt;(ROW(PLE.lastrow)-ROW(PLE.firstrow))),0,IF(OFFSET(PLE!$G$14,$M137,AY$13)="",10^12,OFFSET(PLE!$G$14,$M137,AY$13))))</f>
        <v>1000000000000</v>
      </c>
      <c r="AZ137" s="212">
        <f ca="1">IF($D137&lt;&gt;"Serviço",0,IF(OR(AND(AUTOEVENTO="Manual",$M137=1),$M137&gt;(ROW(PLE.lastrow)-ROW(PLE.firstrow))),0,IF(OFFSET(PLE!$G$14,$M137,AZ$13)="",10^12,OFFSET(PLE!$G$14,$M137,AZ$13))))</f>
        <v>1000000000000</v>
      </c>
      <c r="BA137" s="212">
        <f ca="1">IF($D137&lt;&gt;"Serviço",0,IF(OR(AND(AUTOEVENTO="Manual",$M137=1),$M137&gt;(ROW(PLE.lastrow)-ROW(PLE.firstrow))),0,IF(OFFSET(PLE!$G$14,$M137,BA$13)="",10^12,OFFSET(PLE!$G$14,$M137,BA$13))))</f>
        <v>1000000000000</v>
      </c>
      <c r="BB137" s="212">
        <f ca="1">IF($D137&lt;&gt;"Serviço",0,IF(OR(AND(AUTOEVENTO="Manual",$M137=1),$M137&gt;(ROW(PLE.lastrow)-ROW(PLE.firstrow))),0,IF(OFFSET(PLE!$G$14,$M137,BB$13)="",10^12,OFFSET(PLE!$G$14,$M137,BB$13))))</f>
        <v>1000000000000</v>
      </c>
      <c r="BC137" s="212">
        <f ca="1">IF($D137&lt;&gt;"Serviço",0,IF(OR(AND(AUTOEVENTO="Manual",$M137=1),$M137&gt;(ROW(PLE.lastrow)-ROW(PLE.firstrow))),0,IF(OFFSET(PLE!$G$14,$M137,BC$13)="",10^12,OFFSET(PLE!$G$14,$M137,BC$13))))</f>
        <v>1000000000000</v>
      </c>
      <c r="BD137" s="212">
        <f ca="1">IF($D137&lt;&gt;"Serviço",0,IF(OR(AND(AUTOEVENTO="Manual",$M137=1),$M137&gt;(ROW(PLE.lastrow)-ROW(PLE.firstrow))),0,IF(OFFSET(PLE!$G$14,$M137,BD$13)="",10^12,OFFSET(PLE!$G$14,$M137,BD$13))))</f>
        <v>1000000000000</v>
      </c>
      <c r="BE137" s="212">
        <f ca="1">IF($D137&lt;&gt;"Serviço",0,IF(OR(AND(AUTOEVENTO="Manual",$M137=1),$M137&gt;(ROW(PLE.lastrow)-ROW(PLE.firstrow))),0,IF(OFFSET(PLE!$G$14,$M137,BE$13)="",10^12,OFFSET(PLE!$G$14,$M137,BE$13))))</f>
        <v>1000000000000</v>
      </c>
      <c r="BF137" s="212">
        <f ca="1">IF($D137&lt;&gt;"Serviço",0,IF(OR(AND(AUTOEVENTO="Manual",$M137=1),$M137&gt;(ROW(PLE.lastrow)-ROW(PLE.firstrow))),0,IF(OFFSET(PLE!$G$14,$M137,BF$13)="",10^12,OFFSET(PLE!$G$14,$M137,BF$13))))</f>
        <v>1000000000000</v>
      </c>
      <c r="BG137" s="212">
        <f ca="1">IF($D137&lt;&gt;"Serviço",0,IF(OR(AND(AUTOEVENTO="Manual",$M137=1),$M137&gt;(ROW(PLE.lastrow)-ROW(PLE.firstrow))),0,IF(OFFSET(PLE!$G$14,$M137,BG$13)="",10^12,OFFSET(PLE!$G$14,$M137,BG$13))))</f>
        <v>1000000000000</v>
      </c>
    </row>
    <row r="138" spans="1:59" ht="13.2">
      <c r="A138" s="9" t="str">
        <f t="shared" ca="1" si="10"/>
        <v>15</v>
      </c>
      <c r="B138" s="9" t="str">
        <f ca="1">OFFSET(ORÇAMENTO!C$15,ROW(B138)-ROW(B$15),0)</f>
        <v>S</v>
      </c>
      <c r="C138" s="9" t="str">
        <f ca="1">OFFSET(ORÇAMENTO!L$15,ROW(C138)-ROW(C$15),0)</f>
        <v/>
      </c>
      <c r="D138" s="141" t="str">
        <f ca="1">OFFSET(ORÇAMENTO!N$15,ROW(D138)-ROW(D$15),0)</f>
        <v>Serviço</v>
      </c>
      <c r="E138" s="201" t="str">
        <f ca="1">OFFSET(ORÇAMENTO!O$15,ROW(E138)-ROW(E$15),0)</f>
        <v>-</v>
      </c>
      <c r="F138" s="202" t="str">
        <f ca="1">OFFSET(ORÇAMENTO!R$15,ROW(F138)-ROW(F$15),0)</f>
        <v>(abra o arquivo 'Referência 11-2024.xlsm)</v>
      </c>
      <c r="G138" s="203" t="str">
        <f ca="1">IF($D138&lt;&gt;"Serviço","",OFFSET(ORÇAMENTO!S$15,ROW(G138)-ROW(G$15),0))</f>
        <v>-</v>
      </c>
      <c r="H138" s="147">
        <f ca="1">IF($D138&lt;&gt;"Serviço",0,IF(ACOMPANHAMENTO="BM",ROUND(OFFSET(ORÇAMENTO!AJ$15,ROW(H138)-ROW(H$15),0),15-13*ORÇAMENTO!$AF$7),SUMPRODUCT(($Q$12:$AA$12&lt;&gt;"")*ROUND($Q138:$AA138,15-13*ORÇAMENTO!$AF$7))))</f>
        <v>0</v>
      </c>
      <c r="I138" s="645"/>
      <c r="K138" s="204"/>
      <c r="L138" s="205" t="s">
        <v>255</v>
      </c>
      <c r="M138" s="206">
        <f ca="1">IF($D138&lt;&gt;"Serviço","",IF(AUTOEVENTO="manual",$A138,IF(ISERROR(MATCH($A138,$A$15:OFFSET($A138,-1,0),0)),MAX($M$15:OFFSET(M138,-1,0))+1,INDEX($M$15:OFFSET(M138,-1,0),MATCH($A138,$A$15:OFFSET($A138,-1,0),0)))))</f>
        <v>6</v>
      </c>
      <c r="N138" s="207" t="str">
        <f ca="1">IF($D138&lt;&gt;"Serviço","",IF(AUTOEVENTO="Manual",IF($A138=0,"&lt;-- defina o número do agrupador",OFFSET(EVENTOS!$D$14,$A138,0)),OFFSET($F$15,$A138,0)))</f>
        <v>DRENAGEM</v>
      </c>
      <c r="O138" s="208"/>
      <c r="Q138" s="208"/>
      <c r="R138" s="209"/>
      <c r="S138" s="209"/>
      <c r="T138" s="209"/>
      <c r="U138" s="209"/>
      <c r="V138" s="209"/>
      <c r="W138" s="209"/>
      <c r="X138" s="209"/>
      <c r="Y138" s="209"/>
      <c r="Z138" s="210"/>
      <c r="AB138" s="626">
        <f ca="1">IF(AND($D138="Serviço",AB$12&lt;&gt;0,$H138&gt;0,OR(AUTOEVENTO&lt;&gt;"manual",$M138&lt;&gt;1)),
IF(Import.TipoArredondamento&lt;&gt;"TransfereGOV",
ROUND(OFFSET($P138,0,AB$13),15-13*ORÇAMENTO!$AF$7)/$H138*OFFSET(ORÇAMENTO!$X$15,ROW(AB138)-ROW(AB$15),0),
ROUND(ROUND(OFFSET($P138,0,AB$13),15-13*ORÇAMENTO!$AF$7)*OFFSET(ORÇAMENTO!$W$15,ROW(AB138)-ROW(AB$15),0),15-13*ORÇAMENTO!$AF$11)),0)</f>
        <v>0</v>
      </c>
      <c r="AC138" s="627">
        <f ca="1">IF(AND($D138="Serviço",AC$12&lt;&gt;0,$H138&gt;0,OR(AUTOEVENTO&lt;&gt;"manual",$M138&lt;&gt;1)),
IF(Import.TipoArredondamento&lt;&gt;"TransfereGOV",
ROUND(OFFSET($P138,0,AC$13),15-13*ORÇAMENTO!$AF$7)/$H138*OFFSET(ORÇAMENTO!$X$15,ROW(AC138)-ROW(AC$15),0),
ROUND(ROUND(OFFSET($P138,0,AC$13),15-13*ORÇAMENTO!$AF$7)*OFFSET(ORÇAMENTO!$W$15,ROW(AC138)-ROW(AC$15),0),15-13*ORÇAMENTO!$AF$11)),0)</f>
        <v>0</v>
      </c>
      <c r="AD138" s="627">
        <f ca="1">IF(AND($D138="Serviço",AD$12&lt;&gt;0,$H138&gt;0,OR(AUTOEVENTO&lt;&gt;"manual",$M138&lt;&gt;1)),
IF(Import.TipoArredondamento&lt;&gt;"TransfereGOV",
ROUND(OFFSET($P138,0,AD$13),15-13*ORÇAMENTO!$AF$7)/$H138*OFFSET(ORÇAMENTO!$X$15,ROW(AD138)-ROW(AD$15),0),
ROUND(ROUND(OFFSET($P138,0,AD$13),15-13*ORÇAMENTO!$AF$7)*OFFSET(ORÇAMENTO!$W$15,ROW(AD138)-ROW(AD$15),0),15-13*ORÇAMENTO!$AF$11)),0)</f>
        <v>0</v>
      </c>
      <c r="AE138" s="627">
        <f ca="1">IF(AND($D138="Serviço",AE$12&lt;&gt;0,$H138&gt;0,OR(AUTOEVENTO&lt;&gt;"manual",$M138&lt;&gt;1)),
IF(Import.TipoArredondamento&lt;&gt;"TransfereGOV",
ROUND(OFFSET($P138,0,AE$13),15-13*ORÇAMENTO!$AF$7)/$H138*OFFSET(ORÇAMENTO!$X$15,ROW(AE138)-ROW(AE$15),0),
ROUND(ROUND(OFFSET($P138,0,AE$13),15-13*ORÇAMENTO!$AF$7)*OFFSET(ORÇAMENTO!$W$15,ROW(AE138)-ROW(AE$15),0),15-13*ORÇAMENTO!$AF$11)),0)</f>
        <v>0</v>
      </c>
      <c r="AF138" s="627">
        <f ca="1">IF(AND($D138="Serviço",AF$12&lt;&gt;0,$H138&gt;0,OR(AUTOEVENTO&lt;&gt;"manual",$M138&lt;&gt;1)),
IF(Import.TipoArredondamento&lt;&gt;"TransfereGOV",
ROUND(OFFSET($P138,0,AF$13),15-13*ORÇAMENTO!$AF$7)/$H138*OFFSET(ORÇAMENTO!$X$15,ROW(AF138)-ROW(AF$15),0),
ROUND(ROUND(OFFSET($P138,0,AF$13),15-13*ORÇAMENTO!$AF$7)*OFFSET(ORÇAMENTO!$W$15,ROW(AF138)-ROW(AF$15),0),15-13*ORÇAMENTO!$AF$11)),0)</f>
        <v>0</v>
      </c>
      <c r="AG138" s="627">
        <f ca="1">IF(AND($D138="Serviço",AG$12&lt;&gt;0,$H138&gt;0,OR(AUTOEVENTO&lt;&gt;"manual",$M138&lt;&gt;1)),
IF(Import.TipoArredondamento&lt;&gt;"TransfereGOV",
ROUND(OFFSET($P138,0,AG$13),15-13*ORÇAMENTO!$AF$7)/$H138*OFFSET(ORÇAMENTO!$X$15,ROW(AG138)-ROW(AG$15),0),
ROUND(ROUND(OFFSET($P138,0,AG$13),15-13*ORÇAMENTO!$AF$7)*OFFSET(ORÇAMENTO!$W$15,ROW(AG138)-ROW(AG$15),0),15-13*ORÇAMENTO!$AF$11)),0)</f>
        <v>0</v>
      </c>
      <c r="AH138" s="627">
        <f ca="1">IF(AND($D138="Serviço",AH$12&lt;&gt;0,$H138&gt;0,OR(AUTOEVENTO&lt;&gt;"manual",$M138&lt;&gt;1)),
IF(Import.TipoArredondamento&lt;&gt;"TransfereGOV",
ROUND(OFFSET($P138,0,AH$13),15-13*ORÇAMENTO!$AF$7)/$H138*OFFSET(ORÇAMENTO!$X$15,ROW(AH138)-ROW(AH$15),0),
ROUND(ROUND(OFFSET($P138,0,AH$13),15-13*ORÇAMENTO!$AF$7)*OFFSET(ORÇAMENTO!$W$15,ROW(AH138)-ROW(AH$15),0),15-13*ORÇAMENTO!$AF$11)),0)</f>
        <v>0</v>
      </c>
      <c r="AI138" s="627">
        <f ca="1">IF(AND($D138="Serviço",AI$12&lt;&gt;0,$H138&gt;0,OR(AUTOEVENTO&lt;&gt;"manual",$M138&lt;&gt;1)),
IF(Import.TipoArredondamento&lt;&gt;"TransfereGOV",
ROUND(OFFSET($P138,0,AI$13),15-13*ORÇAMENTO!$AF$7)/$H138*OFFSET(ORÇAMENTO!$X$15,ROW(AI138)-ROW(AI$15),0),
ROUND(ROUND(OFFSET($P138,0,AI$13),15-13*ORÇAMENTO!$AF$7)*OFFSET(ORÇAMENTO!$W$15,ROW(AI138)-ROW(AI$15),0),15-13*ORÇAMENTO!$AF$11)),0)</f>
        <v>0</v>
      </c>
      <c r="AJ138" s="627">
        <f ca="1">IF(AND($D138="Serviço",AJ$12&lt;&gt;0,$H138&gt;0,OR(AUTOEVENTO&lt;&gt;"manual",$M138&lt;&gt;1)),
IF(Import.TipoArredondamento&lt;&gt;"TransfereGOV",
ROUND(OFFSET($P138,0,AJ$13),15-13*ORÇAMENTO!$AF$7)/$H138*OFFSET(ORÇAMENTO!$X$15,ROW(AJ138)-ROW(AJ$15),0),
ROUND(ROUND(OFFSET($P138,0,AJ$13),15-13*ORÇAMENTO!$AF$7)*OFFSET(ORÇAMENTO!$W$15,ROW(AJ138)-ROW(AJ$15),0),15-13*ORÇAMENTO!$AF$11)),0)</f>
        <v>0</v>
      </c>
      <c r="AK138" s="628">
        <f ca="1">IF(AND($D138="Serviço",AK$12&lt;&gt;0,$H138&gt;0,OR(AUTOEVENTO&lt;&gt;"manual",$M138&lt;&gt;1)),
IF(Import.TipoArredondamento&lt;&gt;"TransfereGOV",
ROUND(OFFSET($P138,0,AK$13),15-13*ORÇAMENTO!$AF$7)/$H138*OFFSET(ORÇAMENTO!$X$15,ROW(AK138)-ROW(AK$15),0),
ROUND(ROUND(OFFSET($P138,0,AK$13),15-13*ORÇAMENTO!$AF$7)*OFFSET(ORÇAMENTO!$W$15,ROW(AK138)-ROW(AK$15),0),15-13*ORÇAMENTO!$AF$11)),0)</f>
        <v>0</v>
      </c>
      <c r="AM138" s="211">
        <f ca="1">IF($D138&lt;&gt;"Serviço",0,IF(AND(AUTOEVENTO="Manual",$M138=1),0,IF(OFFSET(CRONOPLE!$F$14,$M138,AM$13)="",10^12,OFFSET(CRONOPLE!$F$14,$M138,AM$13))))</f>
        <v>2</v>
      </c>
      <c r="AN138" s="211">
        <f ca="1">IF($D138&lt;&gt;"Serviço",0,IF(AND(AUTOEVENTO="Manual",$M138=1),0,IF(OFFSET(CRONOPLE!$F$14,$M138,AN$13)="",10^12,OFFSET(CRONOPLE!$F$14,$M138,AN$13))))</f>
        <v>1</v>
      </c>
      <c r="AO138" s="211">
        <f ca="1">IF($D138&lt;&gt;"Serviço",0,IF(AND(AUTOEVENTO="Manual",$M138=1),0,IF(OFFSET(CRONOPLE!$F$14,$M138,AO$13)="",10^12,OFFSET(CRONOPLE!$F$14,$M138,AO$13))))</f>
        <v>2</v>
      </c>
      <c r="AP138" s="211">
        <f ca="1">IF($D138&lt;&gt;"Serviço",0,IF(AND(AUTOEVENTO="Manual",$M138=1),0,IF(OFFSET(CRONOPLE!$F$14,$M138,AP$13)="",10^12,OFFSET(CRONOPLE!$F$14,$M138,AP$13))))</f>
        <v>2</v>
      </c>
      <c r="AQ138" s="211">
        <f ca="1">IF($D138&lt;&gt;"Serviço",0,IF(AND(AUTOEVENTO="Manual",$M138=1),0,IF(OFFSET(CRONOPLE!$F$14,$M138,AQ$13)="",10^12,OFFSET(CRONOPLE!$F$14,$M138,AQ$13))))</f>
        <v>1000000000000</v>
      </c>
      <c r="AR138" s="211">
        <f ca="1">IF($D138&lt;&gt;"Serviço",0,IF(AND(AUTOEVENTO="Manual",$M138=1),0,IF(OFFSET(CRONOPLE!$F$14,$M138,AR$13)="",10^12,OFFSET(CRONOPLE!$F$14,$M138,AR$13))))</f>
        <v>1000000000000</v>
      </c>
      <c r="AS138" s="211">
        <f ca="1">IF($D138&lt;&gt;"Serviço",0,IF(AND(AUTOEVENTO="Manual",$M138=1),0,IF(OFFSET(CRONOPLE!$F$14,$M138,AS$13)="",10^12,OFFSET(CRONOPLE!$F$14,$M138,AS$13))))</f>
        <v>1000000000000</v>
      </c>
      <c r="AT138" s="211">
        <f ca="1">IF($D138&lt;&gt;"Serviço",0,IF(AND(AUTOEVENTO="Manual",$M138=1),0,IF(OFFSET(CRONOPLE!$F$14,$M138,AT$13)="",10^12,OFFSET(CRONOPLE!$F$14,$M138,AT$13))))</f>
        <v>1000000000000</v>
      </c>
      <c r="AU138" s="211">
        <f ca="1">IF($D138&lt;&gt;"Serviço",0,IF(AND(AUTOEVENTO="Manual",$M138=1),0,IF(OFFSET(CRONOPLE!$F$14,$M138,AU$13)="",10^12,OFFSET(CRONOPLE!$F$14,$M138,AU$13))))</f>
        <v>1000000000000</v>
      </c>
      <c r="AV138" s="211">
        <f ca="1">IF($D138&lt;&gt;"Serviço",0,IF(AND(AUTOEVENTO="Manual",$M138=1),0,IF(OFFSET(CRONOPLE!$F$14,$M138,AV$13)="",10^12,OFFSET(CRONOPLE!$F$14,$M138,AV$13))))</f>
        <v>1000000000000</v>
      </c>
      <c r="AX138" s="212">
        <f ca="1">IF($D138&lt;&gt;"Serviço",0,IF(OR(AND(AUTOEVENTO="Manual",$M138=1),$M138&gt;(ROW(PLE.lastrow)-ROW(PLE.firstrow))),0,IF(OFFSET(PLE!$G$14,$M138,AX$13)="",10^12,OFFSET(PLE!$G$14,$M138,AX$13))))</f>
        <v>1000000000000</v>
      </c>
      <c r="AY138" s="212">
        <f ca="1">IF($D138&lt;&gt;"Serviço",0,IF(OR(AND(AUTOEVENTO="Manual",$M138=1),$M138&gt;(ROW(PLE.lastrow)-ROW(PLE.firstrow))),0,IF(OFFSET(PLE!$G$14,$M138,AY$13)="",10^12,OFFSET(PLE!$G$14,$M138,AY$13))))</f>
        <v>1000000000000</v>
      </c>
      <c r="AZ138" s="212">
        <f ca="1">IF($D138&lt;&gt;"Serviço",0,IF(OR(AND(AUTOEVENTO="Manual",$M138=1),$M138&gt;(ROW(PLE.lastrow)-ROW(PLE.firstrow))),0,IF(OFFSET(PLE!$G$14,$M138,AZ$13)="",10^12,OFFSET(PLE!$G$14,$M138,AZ$13))))</f>
        <v>1000000000000</v>
      </c>
      <c r="BA138" s="212">
        <f ca="1">IF($D138&lt;&gt;"Serviço",0,IF(OR(AND(AUTOEVENTO="Manual",$M138=1),$M138&gt;(ROW(PLE.lastrow)-ROW(PLE.firstrow))),0,IF(OFFSET(PLE!$G$14,$M138,BA$13)="",10^12,OFFSET(PLE!$G$14,$M138,BA$13))))</f>
        <v>1000000000000</v>
      </c>
      <c r="BB138" s="212">
        <f ca="1">IF($D138&lt;&gt;"Serviço",0,IF(OR(AND(AUTOEVENTO="Manual",$M138=1),$M138&gt;(ROW(PLE.lastrow)-ROW(PLE.firstrow))),0,IF(OFFSET(PLE!$G$14,$M138,BB$13)="",10^12,OFFSET(PLE!$G$14,$M138,BB$13))))</f>
        <v>1000000000000</v>
      </c>
      <c r="BC138" s="212">
        <f ca="1">IF($D138&lt;&gt;"Serviço",0,IF(OR(AND(AUTOEVENTO="Manual",$M138=1),$M138&gt;(ROW(PLE.lastrow)-ROW(PLE.firstrow))),0,IF(OFFSET(PLE!$G$14,$M138,BC$13)="",10^12,OFFSET(PLE!$G$14,$M138,BC$13))))</f>
        <v>1000000000000</v>
      </c>
      <c r="BD138" s="212">
        <f ca="1">IF($D138&lt;&gt;"Serviço",0,IF(OR(AND(AUTOEVENTO="Manual",$M138=1),$M138&gt;(ROW(PLE.lastrow)-ROW(PLE.firstrow))),0,IF(OFFSET(PLE!$G$14,$M138,BD$13)="",10^12,OFFSET(PLE!$G$14,$M138,BD$13))))</f>
        <v>1000000000000</v>
      </c>
      <c r="BE138" s="212">
        <f ca="1">IF($D138&lt;&gt;"Serviço",0,IF(OR(AND(AUTOEVENTO="Manual",$M138=1),$M138&gt;(ROW(PLE.lastrow)-ROW(PLE.firstrow))),0,IF(OFFSET(PLE!$G$14,$M138,BE$13)="",10^12,OFFSET(PLE!$G$14,$M138,BE$13))))</f>
        <v>1000000000000</v>
      </c>
      <c r="BF138" s="212">
        <f ca="1">IF($D138&lt;&gt;"Serviço",0,IF(OR(AND(AUTOEVENTO="Manual",$M138=1),$M138&gt;(ROW(PLE.lastrow)-ROW(PLE.firstrow))),0,IF(OFFSET(PLE!$G$14,$M138,BF$13)="",10^12,OFFSET(PLE!$G$14,$M138,BF$13))))</f>
        <v>1000000000000</v>
      </c>
      <c r="BG138" s="212">
        <f ca="1">IF($D138&lt;&gt;"Serviço",0,IF(OR(AND(AUTOEVENTO="Manual",$M138=1),$M138&gt;(ROW(PLE.lastrow)-ROW(PLE.firstrow))),0,IF(OFFSET(PLE!$G$14,$M138,BG$13)="",10^12,OFFSET(PLE!$G$14,$M138,BG$13))))</f>
        <v>1000000000000</v>
      </c>
    </row>
    <row r="139" spans="1:59" ht="13.2">
      <c r="A139" s="9" t="str">
        <f t="shared" ca="1" si="10"/>
        <v>15</v>
      </c>
      <c r="B139" s="9" t="str">
        <f ca="1">OFFSET(ORÇAMENTO!C$15,ROW(B139)-ROW(B$15),0)</f>
        <v>S</v>
      </c>
      <c r="C139" s="9" t="str">
        <f ca="1">OFFSET(ORÇAMENTO!L$15,ROW(C139)-ROW(C$15),0)</f>
        <v/>
      </c>
      <c r="D139" s="141" t="str">
        <f ca="1">OFFSET(ORÇAMENTO!N$15,ROW(D139)-ROW(D$15),0)</f>
        <v>Serviço</v>
      </c>
      <c r="E139" s="201" t="str">
        <f ca="1">OFFSET(ORÇAMENTO!O$15,ROW(E139)-ROW(E$15),0)</f>
        <v>-</v>
      </c>
      <c r="F139" s="202" t="str">
        <f ca="1">OFFSET(ORÇAMENTO!R$15,ROW(F139)-ROW(F$15),0)</f>
        <v>(abra o arquivo 'Referência 11-2024.xlsm)</v>
      </c>
      <c r="G139" s="203" t="str">
        <f ca="1">IF($D139&lt;&gt;"Serviço","",OFFSET(ORÇAMENTO!S$15,ROW(G139)-ROW(G$15),0))</f>
        <v>-</v>
      </c>
      <c r="H139" s="147">
        <f ca="1">IF($D139&lt;&gt;"Serviço",0,IF(ACOMPANHAMENTO="BM",ROUND(OFFSET(ORÇAMENTO!AJ$15,ROW(H139)-ROW(H$15),0),15-13*ORÇAMENTO!$AF$7),SUMPRODUCT(($Q$12:$AA$12&lt;&gt;"")*ROUND($Q139:$AA139,15-13*ORÇAMENTO!$AF$7))))</f>
        <v>0</v>
      </c>
      <c r="I139" s="645"/>
      <c r="K139" s="204"/>
      <c r="L139" s="205" t="s">
        <v>255</v>
      </c>
      <c r="M139" s="206">
        <f ca="1">IF($D139&lt;&gt;"Serviço","",IF(AUTOEVENTO="manual",$A139,IF(ISERROR(MATCH($A139,$A$15:OFFSET($A139,-1,0),0)),MAX($M$15:OFFSET(M139,-1,0))+1,INDEX($M$15:OFFSET(M139,-1,0),MATCH($A139,$A$15:OFFSET($A139,-1,0),0)))))</f>
        <v>6</v>
      </c>
      <c r="N139" s="207" t="str">
        <f ca="1">IF($D139&lt;&gt;"Serviço","",IF(AUTOEVENTO="Manual",IF($A139=0,"&lt;-- defina o número do agrupador",OFFSET(EVENTOS!$D$14,$A139,0)),OFFSET($F$15,$A139,0)))</f>
        <v>DRENAGEM</v>
      </c>
      <c r="O139" s="208"/>
      <c r="Q139" s="208"/>
      <c r="R139" s="209"/>
      <c r="S139" s="209"/>
      <c r="T139" s="209"/>
      <c r="U139" s="209"/>
      <c r="V139" s="209"/>
      <c r="W139" s="209"/>
      <c r="X139" s="209"/>
      <c r="Y139" s="209"/>
      <c r="Z139" s="210"/>
      <c r="AB139" s="626">
        <f ca="1">IF(AND($D139="Serviço",AB$12&lt;&gt;0,$H139&gt;0,OR(AUTOEVENTO&lt;&gt;"manual",$M139&lt;&gt;1)),
IF(Import.TipoArredondamento&lt;&gt;"TransfereGOV",
ROUND(OFFSET($P139,0,AB$13),15-13*ORÇAMENTO!$AF$7)/$H139*OFFSET(ORÇAMENTO!$X$15,ROW(AB139)-ROW(AB$15),0),
ROUND(ROUND(OFFSET($P139,0,AB$13),15-13*ORÇAMENTO!$AF$7)*OFFSET(ORÇAMENTO!$W$15,ROW(AB139)-ROW(AB$15),0),15-13*ORÇAMENTO!$AF$11)),0)</f>
        <v>0</v>
      </c>
      <c r="AC139" s="627">
        <f ca="1">IF(AND($D139="Serviço",AC$12&lt;&gt;0,$H139&gt;0,OR(AUTOEVENTO&lt;&gt;"manual",$M139&lt;&gt;1)),
IF(Import.TipoArredondamento&lt;&gt;"TransfereGOV",
ROUND(OFFSET($P139,0,AC$13),15-13*ORÇAMENTO!$AF$7)/$H139*OFFSET(ORÇAMENTO!$X$15,ROW(AC139)-ROW(AC$15),0),
ROUND(ROUND(OFFSET($P139,0,AC$13),15-13*ORÇAMENTO!$AF$7)*OFFSET(ORÇAMENTO!$W$15,ROW(AC139)-ROW(AC$15),0),15-13*ORÇAMENTO!$AF$11)),0)</f>
        <v>0</v>
      </c>
      <c r="AD139" s="627">
        <f ca="1">IF(AND($D139="Serviço",AD$12&lt;&gt;0,$H139&gt;0,OR(AUTOEVENTO&lt;&gt;"manual",$M139&lt;&gt;1)),
IF(Import.TipoArredondamento&lt;&gt;"TransfereGOV",
ROUND(OFFSET($P139,0,AD$13),15-13*ORÇAMENTO!$AF$7)/$H139*OFFSET(ORÇAMENTO!$X$15,ROW(AD139)-ROW(AD$15),0),
ROUND(ROUND(OFFSET($P139,0,AD$13),15-13*ORÇAMENTO!$AF$7)*OFFSET(ORÇAMENTO!$W$15,ROW(AD139)-ROW(AD$15),0),15-13*ORÇAMENTO!$AF$11)),0)</f>
        <v>0</v>
      </c>
      <c r="AE139" s="627">
        <f ca="1">IF(AND($D139="Serviço",AE$12&lt;&gt;0,$H139&gt;0,OR(AUTOEVENTO&lt;&gt;"manual",$M139&lt;&gt;1)),
IF(Import.TipoArredondamento&lt;&gt;"TransfereGOV",
ROUND(OFFSET($P139,0,AE$13),15-13*ORÇAMENTO!$AF$7)/$H139*OFFSET(ORÇAMENTO!$X$15,ROW(AE139)-ROW(AE$15),0),
ROUND(ROUND(OFFSET($P139,0,AE$13),15-13*ORÇAMENTO!$AF$7)*OFFSET(ORÇAMENTO!$W$15,ROW(AE139)-ROW(AE$15),0),15-13*ORÇAMENTO!$AF$11)),0)</f>
        <v>0</v>
      </c>
      <c r="AF139" s="627">
        <f ca="1">IF(AND($D139="Serviço",AF$12&lt;&gt;0,$H139&gt;0,OR(AUTOEVENTO&lt;&gt;"manual",$M139&lt;&gt;1)),
IF(Import.TipoArredondamento&lt;&gt;"TransfereGOV",
ROUND(OFFSET($P139,0,AF$13),15-13*ORÇAMENTO!$AF$7)/$H139*OFFSET(ORÇAMENTO!$X$15,ROW(AF139)-ROW(AF$15),0),
ROUND(ROUND(OFFSET($P139,0,AF$13),15-13*ORÇAMENTO!$AF$7)*OFFSET(ORÇAMENTO!$W$15,ROW(AF139)-ROW(AF$15),0),15-13*ORÇAMENTO!$AF$11)),0)</f>
        <v>0</v>
      </c>
      <c r="AG139" s="627">
        <f ca="1">IF(AND($D139="Serviço",AG$12&lt;&gt;0,$H139&gt;0,OR(AUTOEVENTO&lt;&gt;"manual",$M139&lt;&gt;1)),
IF(Import.TipoArredondamento&lt;&gt;"TransfereGOV",
ROUND(OFFSET($P139,0,AG$13),15-13*ORÇAMENTO!$AF$7)/$H139*OFFSET(ORÇAMENTO!$X$15,ROW(AG139)-ROW(AG$15),0),
ROUND(ROUND(OFFSET($P139,0,AG$13),15-13*ORÇAMENTO!$AF$7)*OFFSET(ORÇAMENTO!$W$15,ROW(AG139)-ROW(AG$15),0),15-13*ORÇAMENTO!$AF$11)),0)</f>
        <v>0</v>
      </c>
      <c r="AH139" s="627">
        <f ca="1">IF(AND($D139="Serviço",AH$12&lt;&gt;0,$H139&gt;0,OR(AUTOEVENTO&lt;&gt;"manual",$M139&lt;&gt;1)),
IF(Import.TipoArredondamento&lt;&gt;"TransfereGOV",
ROUND(OFFSET($P139,0,AH$13),15-13*ORÇAMENTO!$AF$7)/$H139*OFFSET(ORÇAMENTO!$X$15,ROW(AH139)-ROW(AH$15),0),
ROUND(ROUND(OFFSET($P139,0,AH$13),15-13*ORÇAMENTO!$AF$7)*OFFSET(ORÇAMENTO!$W$15,ROW(AH139)-ROW(AH$15),0),15-13*ORÇAMENTO!$AF$11)),0)</f>
        <v>0</v>
      </c>
      <c r="AI139" s="627">
        <f ca="1">IF(AND($D139="Serviço",AI$12&lt;&gt;0,$H139&gt;0,OR(AUTOEVENTO&lt;&gt;"manual",$M139&lt;&gt;1)),
IF(Import.TipoArredondamento&lt;&gt;"TransfereGOV",
ROUND(OFFSET($P139,0,AI$13),15-13*ORÇAMENTO!$AF$7)/$H139*OFFSET(ORÇAMENTO!$X$15,ROW(AI139)-ROW(AI$15),0),
ROUND(ROUND(OFFSET($P139,0,AI$13),15-13*ORÇAMENTO!$AF$7)*OFFSET(ORÇAMENTO!$W$15,ROW(AI139)-ROW(AI$15),0),15-13*ORÇAMENTO!$AF$11)),0)</f>
        <v>0</v>
      </c>
      <c r="AJ139" s="627">
        <f ca="1">IF(AND($D139="Serviço",AJ$12&lt;&gt;0,$H139&gt;0,OR(AUTOEVENTO&lt;&gt;"manual",$M139&lt;&gt;1)),
IF(Import.TipoArredondamento&lt;&gt;"TransfereGOV",
ROUND(OFFSET($P139,0,AJ$13),15-13*ORÇAMENTO!$AF$7)/$H139*OFFSET(ORÇAMENTO!$X$15,ROW(AJ139)-ROW(AJ$15),0),
ROUND(ROUND(OFFSET($P139,0,AJ$13),15-13*ORÇAMENTO!$AF$7)*OFFSET(ORÇAMENTO!$W$15,ROW(AJ139)-ROW(AJ$15),0),15-13*ORÇAMENTO!$AF$11)),0)</f>
        <v>0</v>
      </c>
      <c r="AK139" s="628">
        <f ca="1">IF(AND($D139="Serviço",AK$12&lt;&gt;0,$H139&gt;0,OR(AUTOEVENTO&lt;&gt;"manual",$M139&lt;&gt;1)),
IF(Import.TipoArredondamento&lt;&gt;"TransfereGOV",
ROUND(OFFSET($P139,0,AK$13),15-13*ORÇAMENTO!$AF$7)/$H139*OFFSET(ORÇAMENTO!$X$15,ROW(AK139)-ROW(AK$15),0),
ROUND(ROUND(OFFSET($P139,0,AK$13),15-13*ORÇAMENTO!$AF$7)*OFFSET(ORÇAMENTO!$W$15,ROW(AK139)-ROW(AK$15),0),15-13*ORÇAMENTO!$AF$11)),0)</f>
        <v>0</v>
      </c>
      <c r="AM139" s="211">
        <f ca="1">IF($D139&lt;&gt;"Serviço",0,IF(AND(AUTOEVENTO="Manual",$M139=1),0,IF(OFFSET(CRONOPLE!$F$14,$M139,AM$13)="",10^12,OFFSET(CRONOPLE!$F$14,$M139,AM$13))))</f>
        <v>2</v>
      </c>
      <c r="AN139" s="211">
        <f ca="1">IF($D139&lt;&gt;"Serviço",0,IF(AND(AUTOEVENTO="Manual",$M139=1),0,IF(OFFSET(CRONOPLE!$F$14,$M139,AN$13)="",10^12,OFFSET(CRONOPLE!$F$14,$M139,AN$13))))</f>
        <v>1</v>
      </c>
      <c r="AO139" s="211">
        <f ca="1">IF($D139&lt;&gt;"Serviço",0,IF(AND(AUTOEVENTO="Manual",$M139=1),0,IF(OFFSET(CRONOPLE!$F$14,$M139,AO$13)="",10^12,OFFSET(CRONOPLE!$F$14,$M139,AO$13))))</f>
        <v>2</v>
      </c>
      <c r="AP139" s="211">
        <f ca="1">IF($D139&lt;&gt;"Serviço",0,IF(AND(AUTOEVENTO="Manual",$M139=1),0,IF(OFFSET(CRONOPLE!$F$14,$M139,AP$13)="",10^12,OFFSET(CRONOPLE!$F$14,$M139,AP$13))))</f>
        <v>2</v>
      </c>
      <c r="AQ139" s="211">
        <f ca="1">IF($D139&lt;&gt;"Serviço",0,IF(AND(AUTOEVENTO="Manual",$M139=1),0,IF(OFFSET(CRONOPLE!$F$14,$M139,AQ$13)="",10^12,OFFSET(CRONOPLE!$F$14,$M139,AQ$13))))</f>
        <v>1000000000000</v>
      </c>
      <c r="AR139" s="211">
        <f ca="1">IF($D139&lt;&gt;"Serviço",0,IF(AND(AUTOEVENTO="Manual",$M139=1),0,IF(OFFSET(CRONOPLE!$F$14,$M139,AR$13)="",10^12,OFFSET(CRONOPLE!$F$14,$M139,AR$13))))</f>
        <v>1000000000000</v>
      </c>
      <c r="AS139" s="211">
        <f ca="1">IF($D139&lt;&gt;"Serviço",0,IF(AND(AUTOEVENTO="Manual",$M139=1),0,IF(OFFSET(CRONOPLE!$F$14,$M139,AS$13)="",10^12,OFFSET(CRONOPLE!$F$14,$M139,AS$13))))</f>
        <v>1000000000000</v>
      </c>
      <c r="AT139" s="211">
        <f ca="1">IF($D139&lt;&gt;"Serviço",0,IF(AND(AUTOEVENTO="Manual",$M139=1),0,IF(OFFSET(CRONOPLE!$F$14,$M139,AT$13)="",10^12,OFFSET(CRONOPLE!$F$14,$M139,AT$13))))</f>
        <v>1000000000000</v>
      </c>
      <c r="AU139" s="211">
        <f ca="1">IF($D139&lt;&gt;"Serviço",0,IF(AND(AUTOEVENTO="Manual",$M139=1),0,IF(OFFSET(CRONOPLE!$F$14,$M139,AU$13)="",10^12,OFFSET(CRONOPLE!$F$14,$M139,AU$13))))</f>
        <v>1000000000000</v>
      </c>
      <c r="AV139" s="211">
        <f ca="1">IF($D139&lt;&gt;"Serviço",0,IF(AND(AUTOEVENTO="Manual",$M139=1),0,IF(OFFSET(CRONOPLE!$F$14,$M139,AV$13)="",10^12,OFFSET(CRONOPLE!$F$14,$M139,AV$13))))</f>
        <v>1000000000000</v>
      </c>
      <c r="AX139" s="212">
        <f ca="1">IF($D139&lt;&gt;"Serviço",0,IF(OR(AND(AUTOEVENTO="Manual",$M139=1),$M139&gt;(ROW(PLE.lastrow)-ROW(PLE.firstrow))),0,IF(OFFSET(PLE!$G$14,$M139,AX$13)="",10^12,OFFSET(PLE!$G$14,$M139,AX$13))))</f>
        <v>1000000000000</v>
      </c>
      <c r="AY139" s="212">
        <f ca="1">IF($D139&lt;&gt;"Serviço",0,IF(OR(AND(AUTOEVENTO="Manual",$M139=1),$M139&gt;(ROW(PLE.lastrow)-ROW(PLE.firstrow))),0,IF(OFFSET(PLE!$G$14,$M139,AY$13)="",10^12,OFFSET(PLE!$G$14,$M139,AY$13))))</f>
        <v>1000000000000</v>
      </c>
      <c r="AZ139" s="212">
        <f ca="1">IF($D139&lt;&gt;"Serviço",0,IF(OR(AND(AUTOEVENTO="Manual",$M139=1),$M139&gt;(ROW(PLE.lastrow)-ROW(PLE.firstrow))),0,IF(OFFSET(PLE!$G$14,$M139,AZ$13)="",10^12,OFFSET(PLE!$G$14,$M139,AZ$13))))</f>
        <v>1000000000000</v>
      </c>
      <c r="BA139" s="212">
        <f ca="1">IF($D139&lt;&gt;"Serviço",0,IF(OR(AND(AUTOEVENTO="Manual",$M139=1),$M139&gt;(ROW(PLE.lastrow)-ROW(PLE.firstrow))),0,IF(OFFSET(PLE!$G$14,$M139,BA$13)="",10^12,OFFSET(PLE!$G$14,$M139,BA$13))))</f>
        <v>1000000000000</v>
      </c>
      <c r="BB139" s="212">
        <f ca="1">IF($D139&lt;&gt;"Serviço",0,IF(OR(AND(AUTOEVENTO="Manual",$M139=1),$M139&gt;(ROW(PLE.lastrow)-ROW(PLE.firstrow))),0,IF(OFFSET(PLE!$G$14,$M139,BB$13)="",10^12,OFFSET(PLE!$G$14,$M139,BB$13))))</f>
        <v>1000000000000</v>
      </c>
      <c r="BC139" s="212">
        <f ca="1">IF($D139&lt;&gt;"Serviço",0,IF(OR(AND(AUTOEVENTO="Manual",$M139=1),$M139&gt;(ROW(PLE.lastrow)-ROW(PLE.firstrow))),0,IF(OFFSET(PLE!$G$14,$M139,BC$13)="",10^12,OFFSET(PLE!$G$14,$M139,BC$13))))</f>
        <v>1000000000000</v>
      </c>
      <c r="BD139" s="212">
        <f ca="1">IF($D139&lt;&gt;"Serviço",0,IF(OR(AND(AUTOEVENTO="Manual",$M139=1),$M139&gt;(ROW(PLE.lastrow)-ROW(PLE.firstrow))),0,IF(OFFSET(PLE!$G$14,$M139,BD$13)="",10^12,OFFSET(PLE!$G$14,$M139,BD$13))))</f>
        <v>1000000000000</v>
      </c>
      <c r="BE139" s="212">
        <f ca="1">IF($D139&lt;&gt;"Serviço",0,IF(OR(AND(AUTOEVENTO="Manual",$M139=1),$M139&gt;(ROW(PLE.lastrow)-ROW(PLE.firstrow))),0,IF(OFFSET(PLE!$G$14,$M139,BE$13)="",10^12,OFFSET(PLE!$G$14,$M139,BE$13))))</f>
        <v>1000000000000</v>
      </c>
      <c r="BF139" s="212">
        <f ca="1">IF($D139&lt;&gt;"Serviço",0,IF(OR(AND(AUTOEVENTO="Manual",$M139=1),$M139&gt;(ROW(PLE.lastrow)-ROW(PLE.firstrow))),0,IF(OFFSET(PLE!$G$14,$M139,BF$13)="",10^12,OFFSET(PLE!$G$14,$M139,BF$13))))</f>
        <v>1000000000000</v>
      </c>
      <c r="BG139" s="212">
        <f ca="1">IF($D139&lt;&gt;"Serviço",0,IF(OR(AND(AUTOEVENTO="Manual",$M139=1),$M139&gt;(ROW(PLE.lastrow)-ROW(PLE.firstrow))),0,IF(OFFSET(PLE!$G$14,$M139,BG$13)="",10^12,OFFSET(PLE!$G$14,$M139,BG$13))))</f>
        <v>1000000000000</v>
      </c>
    </row>
    <row r="140" spans="1:59" ht="13.2">
      <c r="A140" s="9" t="str">
        <f t="shared" ca="1" si="10"/>
        <v>15</v>
      </c>
      <c r="B140" s="9" t="str">
        <f ca="1">OFFSET(ORÇAMENTO!C$15,ROW(B140)-ROW(B$15),0)</f>
        <v>S</v>
      </c>
      <c r="C140" s="9" t="str">
        <f ca="1">OFFSET(ORÇAMENTO!L$15,ROW(C140)-ROW(C$15),0)</f>
        <v/>
      </c>
      <c r="D140" s="141" t="str">
        <f ca="1">OFFSET(ORÇAMENTO!N$15,ROW(D140)-ROW(D$15),0)</f>
        <v>Serviço</v>
      </c>
      <c r="E140" s="201" t="str">
        <f ca="1">OFFSET(ORÇAMENTO!O$15,ROW(E140)-ROW(E$15),0)</f>
        <v>-</v>
      </c>
      <c r="F140" s="202" t="str">
        <f ca="1">OFFSET(ORÇAMENTO!R$15,ROW(F140)-ROW(F$15),0)</f>
        <v>(abra o arquivo 'Referência 11-2024.xlsm)</v>
      </c>
      <c r="G140" s="203" t="str">
        <f ca="1">IF($D140&lt;&gt;"Serviço","",OFFSET(ORÇAMENTO!S$15,ROW(G140)-ROW(G$15),0))</f>
        <v>-</v>
      </c>
      <c r="H140" s="147">
        <f ca="1">IF($D140&lt;&gt;"Serviço",0,IF(ACOMPANHAMENTO="BM",ROUND(OFFSET(ORÇAMENTO!AJ$15,ROW(H140)-ROW(H$15),0),15-13*ORÇAMENTO!$AF$7),SUMPRODUCT(($Q$12:$AA$12&lt;&gt;"")*ROUND($Q140:$AA140,15-13*ORÇAMENTO!$AF$7))))</f>
        <v>0</v>
      </c>
      <c r="I140" s="645"/>
      <c r="K140" s="204"/>
      <c r="L140" s="205" t="s">
        <v>255</v>
      </c>
      <c r="M140" s="206">
        <f ca="1">IF($D140&lt;&gt;"Serviço","",IF(AUTOEVENTO="manual",$A140,IF(ISERROR(MATCH($A140,$A$15:OFFSET($A140,-1,0),0)),MAX($M$15:OFFSET(M140,-1,0))+1,INDEX($M$15:OFFSET(M140,-1,0),MATCH($A140,$A$15:OFFSET($A140,-1,0),0)))))</f>
        <v>6</v>
      </c>
      <c r="N140" s="207" t="str">
        <f ca="1">IF($D140&lt;&gt;"Serviço","",IF(AUTOEVENTO="Manual",IF($A140=0,"&lt;-- defina o número do agrupador",OFFSET(EVENTOS!$D$14,$A140,0)),OFFSET($F$15,$A140,0)))</f>
        <v>DRENAGEM</v>
      </c>
      <c r="O140" s="208"/>
      <c r="Q140" s="208"/>
      <c r="R140" s="209"/>
      <c r="S140" s="209"/>
      <c r="T140" s="209"/>
      <c r="U140" s="209"/>
      <c r="V140" s="209"/>
      <c r="W140" s="209"/>
      <c r="X140" s="209"/>
      <c r="Y140" s="209"/>
      <c r="Z140" s="210"/>
      <c r="AB140" s="626">
        <f ca="1">IF(AND($D140="Serviço",AB$12&lt;&gt;0,$H140&gt;0,OR(AUTOEVENTO&lt;&gt;"manual",$M140&lt;&gt;1)),
IF(Import.TipoArredondamento&lt;&gt;"TransfereGOV",
ROUND(OFFSET($P140,0,AB$13),15-13*ORÇAMENTO!$AF$7)/$H140*OFFSET(ORÇAMENTO!$X$15,ROW(AB140)-ROW(AB$15),0),
ROUND(ROUND(OFFSET($P140,0,AB$13),15-13*ORÇAMENTO!$AF$7)*OFFSET(ORÇAMENTO!$W$15,ROW(AB140)-ROW(AB$15),0),15-13*ORÇAMENTO!$AF$11)),0)</f>
        <v>0</v>
      </c>
      <c r="AC140" s="627">
        <f ca="1">IF(AND($D140="Serviço",AC$12&lt;&gt;0,$H140&gt;0,OR(AUTOEVENTO&lt;&gt;"manual",$M140&lt;&gt;1)),
IF(Import.TipoArredondamento&lt;&gt;"TransfereGOV",
ROUND(OFFSET($P140,0,AC$13),15-13*ORÇAMENTO!$AF$7)/$H140*OFFSET(ORÇAMENTO!$X$15,ROW(AC140)-ROW(AC$15),0),
ROUND(ROUND(OFFSET($P140,0,AC$13),15-13*ORÇAMENTO!$AF$7)*OFFSET(ORÇAMENTO!$W$15,ROW(AC140)-ROW(AC$15),0),15-13*ORÇAMENTO!$AF$11)),0)</f>
        <v>0</v>
      </c>
      <c r="AD140" s="627">
        <f ca="1">IF(AND($D140="Serviço",AD$12&lt;&gt;0,$H140&gt;0,OR(AUTOEVENTO&lt;&gt;"manual",$M140&lt;&gt;1)),
IF(Import.TipoArredondamento&lt;&gt;"TransfereGOV",
ROUND(OFFSET($P140,0,AD$13),15-13*ORÇAMENTO!$AF$7)/$H140*OFFSET(ORÇAMENTO!$X$15,ROW(AD140)-ROW(AD$15),0),
ROUND(ROUND(OFFSET($P140,0,AD$13),15-13*ORÇAMENTO!$AF$7)*OFFSET(ORÇAMENTO!$W$15,ROW(AD140)-ROW(AD$15),0),15-13*ORÇAMENTO!$AF$11)),0)</f>
        <v>0</v>
      </c>
      <c r="AE140" s="627">
        <f ca="1">IF(AND($D140="Serviço",AE$12&lt;&gt;0,$H140&gt;0,OR(AUTOEVENTO&lt;&gt;"manual",$M140&lt;&gt;1)),
IF(Import.TipoArredondamento&lt;&gt;"TransfereGOV",
ROUND(OFFSET($P140,0,AE$13),15-13*ORÇAMENTO!$AF$7)/$H140*OFFSET(ORÇAMENTO!$X$15,ROW(AE140)-ROW(AE$15),0),
ROUND(ROUND(OFFSET($P140,0,AE$13),15-13*ORÇAMENTO!$AF$7)*OFFSET(ORÇAMENTO!$W$15,ROW(AE140)-ROW(AE$15),0),15-13*ORÇAMENTO!$AF$11)),0)</f>
        <v>0</v>
      </c>
      <c r="AF140" s="627">
        <f ca="1">IF(AND($D140="Serviço",AF$12&lt;&gt;0,$H140&gt;0,OR(AUTOEVENTO&lt;&gt;"manual",$M140&lt;&gt;1)),
IF(Import.TipoArredondamento&lt;&gt;"TransfereGOV",
ROUND(OFFSET($P140,0,AF$13),15-13*ORÇAMENTO!$AF$7)/$H140*OFFSET(ORÇAMENTO!$X$15,ROW(AF140)-ROW(AF$15),0),
ROUND(ROUND(OFFSET($P140,0,AF$13),15-13*ORÇAMENTO!$AF$7)*OFFSET(ORÇAMENTO!$W$15,ROW(AF140)-ROW(AF$15),0),15-13*ORÇAMENTO!$AF$11)),0)</f>
        <v>0</v>
      </c>
      <c r="AG140" s="627">
        <f ca="1">IF(AND($D140="Serviço",AG$12&lt;&gt;0,$H140&gt;0,OR(AUTOEVENTO&lt;&gt;"manual",$M140&lt;&gt;1)),
IF(Import.TipoArredondamento&lt;&gt;"TransfereGOV",
ROUND(OFFSET($P140,0,AG$13),15-13*ORÇAMENTO!$AF$7)/$H140*OFFSET(ORÇAMENTO!$X$15,ROW(AG140)-ROW(AG$15),0),
ROUND(ROUND(OFFSET($P140,0,AG$13),15-13*ORÇAMENTO!$AF$7)*OFFSET(ORÇAMENTO!$W$15,ROW(AG140)-ROW(AG$15),0),15-13*ORÇAMENTO!$AF$11)),0)</f>
        <v>0</v>
      </c>
      <c r="AH140" s="627">
        <f ca="1">IF(AND($D140="Serviço",AH$12&lt;&gt;0,$H140&gt;0,OR(AUTOEVENTO&lt;&gt;"manual",$M140&lt;&gt;1)),
IF(Import.TipoArredondamento&lt;&gt;"TransfereGOV",
ROUND(OFFSET($P140,0,AH$13),15-13*ORÇAMENTO!$AF$7)/$H140*OFFSET(ORÇAMENTO!$X$15,ROW(AH140)-ROW(AH$15),0),
ROUND(ROUND(OFFSET($P140,0,AH$13),15-13*ORÇAMENTO!$AF$7)*OFFSET(ORÇAMENTO!$W$15,ROW(AH140)-ROW(AH$15),0),15-13*ORÇAMENTO!$AF$11)),0)</f>
        <v>0</v>
      </c>
      <c r="AI140" s="627">
        <f ca="1">IF(AND($D140="Serviço",AI$12&lt;&gt;0,$H140&gt;0,OR(AUTOEVENTO&lt;&gt;"manual",$M140&lt;&gt;1)),
IF(Import.TipoArredondamento&lt;&gt;"TransfereGOV",
ROUND(OFFSET($P140,0,AI$13),15-13*ORÇAMENTO!$AF$7)/$H140*OFFSET(ORÇAMENTO!$X$15,ROW(AI140)-ROW(AI$15),0),
ROUND(ROUND(OFFSET($P140,0,AI$13),15-13*ORÇAMENTO!$AF$7)*OFFSET(ORÇAMENTO!$W$15,ROW(AI140)-ROW(AI$15),0),15-13*ORÇAMENTO!$AF$11)),0)</f>
        <v>0</v>
      </c>
      <c r="AJ140" s="627">
        <f ca="1">IF(AND($D140="Serviço",AJ$12&lt;&gt;0,$H140&gt;0,OR(AUTOEVENTO&lt;&gt;"manual",$M140&lt;&gt;1)),
IF(Import.TipoArredondamento&lt;&gt;"TransfereGOV",
ROUND(OFFSET($P140,0,AJ$13),15-13*ORÇAMENTO!$AF$7)/$H140*OFFSET(ORÇAMENTO!$X$15,ROW(AJ140)-ROW(AJ$15),0),
ROUND(ROUND(OFFSET($P140,0,AJ$13),15-13*ORÇAMENTO!$AF$7)*OFFSET(ORÇAMENTO!$W$15,ROW(AJ140)-ROW(AJ$15),0),15-13*ORÇAMENTO!$AF$11)),0)</f>
        <v>0</v>
      </c>
      <c r="AK140" s="628">
        <f ca="1">IF(AND($D140="Serviço",AK$12&lt;&gt;0,$H140&gt;0,OR(AUTOEVENTO&lt;&gt;"manual",$M140&lt;&gt;1)),
IF(Import.TipoArredondamento&lt;&gt;"TransfereGOV",
ROUND(OFFSET($P140,0,AK$13),15-13*ORÇAMENTO!$AF$7)/$H140*OFFSET(ORÇAMENTO!$X$15,ROW(AK140)-ROW(AK$15),0),
ROUND(ROUND(OFFSET($P140,0,AK$13),15-13*ORÇAMENTO!$AF$7)*OFFSET(ORÇAMENTO!$W$15,ROW(AK140)-ROW(AK$15),0),15-13*ORÇAMENTO!$AF$11)),0)</f>
        <v>0</v>
      </c>
      <c r="AM140" s="211">
        <f ca="1">IF($D140&lt;&gt;"Serviço",0,IF(AND(AUTOEVENTO="Manual",$M140=1),0,IF(OFFSET(CRONOPLE!$F$14,$M140,AM$13)="",10^12,OFFSET(CRONOPLE!$F$14,$M140,AM$13))))</f>
        <v>2</v>
      </c>
      <c r="AN140" s="211">
        <f ca="1">IF($D140&lt;&gt;"Serviço",0,IF(AND(AUTOEVENTO="Manual",$M140=1),0,IF(OFFSET(CRONOPLE!$F$14,$M140,AN$13)="",10^12,OFFSET(CRONOPLE!$F$14,$M140,AN$13))))</f>
        <v>1</v>
      </c>
      <c r="AO140" s="211">
        <f ca="1">IF($D140&lt;&gt;"Serviço",0,IF(AND(AUTOEVENTO="Manual",$M140=1),0,IF(OFFSET(CRONOPLE!$F$14,$M140,AO$13)="",10^12,OFFSET(CRONOPLE!$F$14,$M140,AO$13))))</f>
        <v>2</v>
      </c>
      <c r="AP140" s="211">
        <f ca="1">IF($D140&lt;&gt;"Serviço",0,IF(AND(AUTOEVENTO="Manual",$M140=1),0,IF(OFFSET(CRONOPLE!$F$14,$M140,AP$13)="",10^12,OFFSET(CRONOPLE!$F$14,$M140,AP$13))))</f>
        <v>2</v>
      </c>
      <c r="AQ140" s="211">
        <f ca="1">IF($D140&lt;&gt;"Serviço",0,IF(AND(AUTOEVENTO="Manual",$M140=1),0,IF(OFFSET(CRONOPLE!$F$14,$M140,AQ$13)="",10^12,OFFSET(CRONOPLE!$F$14,$M140,AQ$13))))</f>
        <v>1000000000000</v>
      </c>
      <c r="AR140" s="211">
        <f ca="1">IF($D140&lt;&gt;"Serviço",0,IF(AND(AUTOEVENTO="Manual",$M140=1),0,IF(OFFSET(CRONOPLE!$F$14,$M140,AR$13)="",10^12,OFFSET(CRONOPLE!$F$14,$M140,AR$13))))</f>
        <v>1000000000000</v>
      </c>
      <c r="AS140" s="211">
        <f ca="1">IF($D140&lt;&gt;"Serviço",0,IF(AND(AUTOEVENTO="Manual",$M140=1),0,IF(OFFSET(CRONOPLE!$F$14,$M140,AS$13)="",10^12,OFFSET(CRONOPLE!$F$14,$M140,AS$13))))</f>
        <v>1000000000000</v>
      </c>
      <c r="AT140" s="211">
        <f ca="1">IF($D140&lt;&gt;"Serviço",0,IF(AND(AUTOEVENTO="Manual",$M140=1),0,IF(OFFSET(CRONOPLE!$F$14,$M140,AT$13)="",10^12,OFFSET(CRONOPLE!$F$14,$M140,AT$13))))</f>
        <v>1000000000000</v>
      </c>
      <c r="AU140" s="211">
        <f ca="1">IF($D140&lt;&gt;"Serviço",0,IF(AND(AUTOEVENTO="Manual",$M140=1),0,IF(OFFSET(CRONOPLE!$F$14,$M140,AU$13)="",10^12,OFFSET(CRONOPLE!$F$14,$M140,AU$13))))</f>
        <v>1000000000000</v>
      </c>
      <c r="AV140" s="211">
        <f ca="1">IF($D140&lt;&gt;"Serviço",0,IF(AND(AUTOEVENTO="Manual",$M140=1),0,IF(OFFSET(CRONOPLE!$F$14,$M140,AV$13)="",10^12,OFFSET(CRONOPLE!$F$14,$M140,AV$13))))</f>
        <v>1000000000000</v>
      </c>
      <c r="AX140" s="212">
        <f ca="1">IF($D140&lt;&gt;"Serviço",0,IF(OR(AND(AUTOEVENTO="Manual",$M140=1),$M140&gt;(ROW(PLE.lastrow)-ROW(PLE.firstrow))),0,IF(OFFSET(PLE!$G$14,$M140,AX$13)="",10^12,OFFSET(PLE!$G$14,$M140,AX$13))))</f>
        <v>1000000000000</v>
      </c>
      <c r="AY140" s="212">
        <f ca="1">IF($D140&lt;&gt;"Serviço",0,IF(OR(AND(AUTOEVENTO="Manual",$M140=1),$M140&gt;(ROW(PLE.lastrow)-ROW(PLE.firstrow))),0,IF(OFFSET(PLE!$G$14,$M140,AY$13)="",10^12,OFFSET(PLE!$G$14,$M140,AY$13))))</f>
        <v>1000000000000</v>
      </c>
      <c r="AZ140" s="212">
        <f ca="1">IF($D140&lt;&gt;"Serviço",0,IF(OR(AND(AUTOEVENTO="Manual",$M140=1),$M140&gt;(ROW(PLE.lastrow)-ROW(PLE.firstrow))),0,IF(OFFSET(PLE!$G$14,$M140,AZ$13)="",10^12,OFFSET(PLE!$G$14,$M140,AZ$13))))</f>
        <v>1000000000000</v>
      </c>
      <c r="BA140" s="212">
        <f ca="1">IF($D140&lt;&gt;"Serviço",0,IF(OR(AND(AUTOEVENTO="Manual",$M140=1),$M140&gt;(ROW(PLE.lastrow)-ROW(PLE.firstrow))),0,IF(OFFSET(PLE!$G$14,$M140,BA$13)="",10^12,OFFSET(PLE!$G$14,$M140,BA$13))))</f>
        <v>1000000000000</v>
      </c>
      <c r="BB140" s="212">
        <f ca="1">IF($D140&lt;&gt;"Serviço",0,IF(OR(AND(AUTOEVENTO="Manual",$M140=1),$M140&gt;(ROW(PLE.lastrow)-ROW(PLE.firstrow))),0,IF(OFFSET(PLE!$G$14,$M140,BB$13)="",10^12,OFFSET(PLE!$G$14,$M140,BB$13))))</f>
        <v>1000000000000</v>
      </c>
      <c r="BC140" s="212">
        <f ca="1">IF($D140&lt;&gt;"Serviço",0,IF(OR(AND(AUTOEVENTO="Manual",$M140=1),$M140&gt;(ROW(PLE.lastrow)-ROW(PLE.firstrow))),0,IF(OFFSET(PLE!$G$14,$M140,BC$13)="",10^12,OFFSET(PLE!$G$14,$M140,BC$13))))</f>
        <v>1000000000000</v>
      </c>
      <c r="BD140" s="212">
        <f ca="1">IF($D140&lt;&gt;"Serviço",0,IF(OR(AND(AUTOEVENTO="Manual",$M140=1),$M140&gt;(ROW(PLE.lastrow)-ROW(PLE.firstrow))),0,IF(OFFSET(PLE!$G$14,$M140,BD$13)="",10^12,OFFSET(PLE!$G$14,$M140,BD$13))))</f>
        <v>1000000000000</v>
      </c>
      <c r="BE140" s="212">
        <f ca="1">IF($D140&lt;&gt;"Serviço",0,IF(OR(AND(AUTOEVENTO="Manual",$M140=1),$M140&gt;(ROW(PLE.lastrow)-ROW(PLE.firstrow))),0,IF(OFFSET(PLE!$G$14,$M140,BE$13)="",10^12,OFFSET(PLE!$G$14,$M140,BE$13))))</f>
        <v>1000000000000</v>
      </c>
      <c r="BF140" s="212">
        <f ca="1">IF($D140&lt;&gt;"Serviço",0,IF(OR(AND(AUTOEVENTO="Manual",$M140=1),$M140&gt;(ROW(PLE.lastrow)-ROW(PLE.firstrow))),0,IF(OFFSET(PLE!$G$14,$M140,BF$13)="",10^12,OFFSET(PLE!$G$14,$M140,BF$13))))</f>
        <v>1000000000000</v>
      </c>
      <c r="BG140" s="212">
        <f ca="1">IF($D140&lt;&gt;"Serviço",0,IF(OR(AND(AUTOEVENTO="Manual",$M140=1),$M140&gt;(ROW(PLE.lastrow)-ROW(PLE.firstrow))),0,IF(OFFSET(PLE!$G$14,$M140,BG$13)="",10^12,OFFSET(PLE!$G$14,$M140,BG$13))))</f>
        <v>1000000000000</v>
      </c>
    </row>
    <row r="141" spans="1:59" ht="13.2">
      <c r="A141" s="9" t="str">
        <f t="shared" ca="1" si="10"/>
        <v>15</v>
      </c>
      <c r="B141" s="9" t="str">
        <f ca="1">OFFSET(ORÇAMENTO!C$15,ROW(B141)-ROW(B$15),0)</f>
        <v>S</v>
      </c>
      <c r="C141" s="9" t="str">
        <f ca="1">OFFSET(ORÇAMENTO!L$15,ROW(C141)-ROW(C$15),0)</f>
        <v/>
      </c>
      <c r="D141" s="141" t="str">
        <f ca="1">OFFSET(ORÇAMENTO!N$15,ROW(D141)-ROW(D$15),0)</f>
        <v>Serviço</v>
      </c>
      <c r="E141" s="201" t="str">
        <f ca="1">OFFSET(ORÇAMENTO!O$15,ROW(E141)-ROW(E$15),0)</f>
        <v>-</v>
      </c>
      <c r="F141" s="202" t="str">
        <f ca="1">OFFSET(ORÇAMENTO!R$15,ROW(F141)-ROW(F$15),0)</f>
        <v>(abra o arquivo 'Referência 11-2024.xlsm)</v>
      </c>
      <c r="G141" s="203" t="str">
        <f ca="1">IF($D141&lt;&gt;"Serviço","",OFFSET(ORÇAMENTO!S$15,ROW(G141)-ROW(G$15),0))</f>
        <v>-</v>
      </c>
      <c r="H141" s="147">
        <f ca="1">IF($D141&lt;&gt;"Serviço",0,IF(ACOMPANHAMENTO="BM",ROUND(OFFSET(ORÇAMENTO!AJ$15,ROW(H141)-ROW(H$15),0),15-13*ORÇAMENTO!$AF$7),SUMPRODUCT(($Q$12:$AA$12&lt;&gt;"")*ROUND($Q141:$AA141,15-13*ORÇAMENTO!$AF$7))))</f>
        <v>0</v>
      </c>
      <c r="I141" s="645"/>
      <c r="K141" s="204"/>
      <c r="L141" s="205" t="s">
        <v>255</v>
      </c>
      <c r="M141" s="206">
        <f ca="1">IF($D141&lt;&gt;"Serviço","",IF(AUTOEVENTO="manual",$A141,IF(ISERROR(MATCH($A141,$A$15:OFFSET($A141,-1,0),0)),MAX($M$15:OFFSET(M141,-1,0))+1,INDEX($M$15:OFFSET(M141,-1,0),MATCH($A141,$A$15:OFFSET($A141,-1,0),0)))))</f>
        <v>6</v>
      </c>
      <c r="N141" s="207" t="str">
        <f ca="1">IF($D141&lt;&gt;"Serviço","",IF(AUTOEVENTO="Manual",IF($A141=0,"&lt;-- defina o número do agrupador",OFFSET(EVENTOS!$D$14,$A141,0)),OFFSET($F$15,$A141,0)))</f>
        <v>DRENAGEM</v>
      </c>
      <c r="O141" s="208"/>
      <c r="Q141" s="208"/>
      <c r="R141" s="209"/>
      <c r="S141" s="209"/>
      <c r="T141" s="209"/>
      <c r="U141" s="209"/>
      <c r="V141" s="209"/>
      <c r="W141" s="209"/>
      <c r="X141" s="209"/>
      <c r="Y141" s="209"/>
      <c r="Z141" s="210"/>
      <c r="AB141" s="626">
        <f ca="1">IF(AND($D141="Serviço",AB$12&lt;&gt;0,$H141&gt;0,OR(AUTOEVENTO&lt;&gt;"manual",$M141&lt;&gt;1)),
IF(Import.TipoArredondamento&lt;&gt;"TransfereGOV",
ROUND(OFFSET($P141,0,AB$13),15-13*ORÇAMENTO!$AF$7)/$H141*OFFSET(ORÇAMENTO!$X$15,ROW(AB141)-ROW(AB$15),0),
ROUND(ROUND(OFFSET($P141,0,AB$13),15-13*ORÇAMENTO!$AF$7)*OFFSET(ORÇAMENTO!$W$15,ROW(AB141)-ROW(AB$15),0),15-13*ORÇAMENTO!$AF$11)),0)</f>
        <v>0</v>
      </c>
      <c r="AC141" s="627">
        <f ca="1">IF(AND($D141="Serviço",AC$12&lt;&gt;0,$H141&gt;0,OR(AUTOEVENTO&lt;&gt;"manual",$M141&lt;&gt;1)),
IF(Import.TipoArredondamento&lt;&gt;"TransfereGOV",
ROUND(OFFSET($P141,0,AC$13),15-13*ORÇAMENTO!$AF$7)/$H141*OFFSET(ORÇAMENTO!$X$15,ROW(AC141)-ROW(AC$15),0),
ROUND(ROUND(OFFSET($P141,0,AC$13),15-13*ORÇAMENTO!$AF$7)*OFFSET(ORÇAMENTO!$W$15,ROW(AC141)-ROW(AC$15),0),15-13*ORÇAMENTO!$AF$11)),0)</f>
        <v>0</v>
      </c>
      <c r="AD141" s="627">
        <f ca="1">IF(AND($D141="Serviço",AD$12&lt;&gt;0,$H141&gt;0,OR(AUTOEVENTO&lt;&gt;"manual",$M141&lt;&gt;1)),
IF(Import.TipoArredondamento&lt;&gt;"TransfereGOV",
ROUND(OFFSET($P141,0,AD$13),15-13*ORÇAMENTO!$AF$7)/$H141*OFFSET(ORÇAMENTO!$X$15,ROW(AD141)-ROW(AD$15),0),
ROUND(ROUND(OFFSET($P141,0,AD$13),15-13*ORÇAMENTO!$AF$7)*OFFSET(ORÇAMENTO!$W$15,ROW(AD141)-ROW(AD$15),0),15-13*ORÇAMENTO!$AF$11)),0)</f>
        <v>0</v>
      </c>
      <c r="AE141" s="627">
        <f ca="1">IF(AND($D141="Serviço",AE$12&lt;&gt;0,$H141&gt;0,OR(AUTOEVENTO&lt;&gt;"manual",$M141&lt;&gt;1)),
IF(Import.TipoArredondamento&lt;&gt;"TransfereGOV",
ROUND(OFFSET($P141,0,AE$13),15-13*ORÇAMENTO!$AF$7)/$H141*OFFSET(ORÇAMENTO!$X$15,ROW(AE141)-ROW(AE$15),0),
ROUND(ROUND(OFFSET($P141,0,AE$13),15-13*ORÇAMENTO!$AF$7)*OFFSET(ORÇAMENTO!$W$15,ROW(AE141)-ROW(AE$15),0),15-13*ORÇAMENTO!$AF$11)),0)</f>
        <v>0</v>
      </c>
      <c r="AF141" s="627">
        <f ca="1">IF(AND($D141="Serviço",AF$12&lt;&gt;0,$H141&gt;0,OR(AUTOEVENTO&lt;&gt;"manual",$M141&lt;&gt;1)),
IF(Import.TipoArredondamento&lt;&gt;"TransfereGOV",
ROUND(OFFSET($P141,0,AF$13),15-13*ORÇAMENTO!$AF$7)/$H141*OFFSET(ORÇAMENTO!$X$15,ROW(AF141)-ROW(AF$15),0),
ROUND(ROUND(OFFSET($P141,0,AF$13),15-13*ORÇAMENTO!$AF$7)*OFFSET(ORÇAMENTO!$W$15,ROW(AF141)-ROW(AF$15),0),15-13*ORÇAMENTO!$AF$11)),0)</f>
        <v>0</v>
      </c>
      <c r="AG141" s="627">
        <f ca="1">IF(AND($D141="Serviço",AG$12&lt;&gt;0,$H141&gt;0,OR(AUTOEVENTO&lt;&gt;"manual",$M141&lt;&gt;1)),
IF(Import.TipoArredondamento&lt;&gt;"TransfereGOV",
ROUND(OFFSET($P141,0,AG$13),15-13*ORÇAMENTO!$AF$7)/$H141*OFFSET(ORÇAMENTO!$X$15,ROW(AG141)-ROW(AG$15),0),
ROUND(ROUND(OFFSET($P141,0,AG$13),15-13*ORÇAMENTO!$AF$7)*OFFSET(ORÇAMENTO!$W$15,ROW(AG141)-ROW(AG$15),0),15-13*ORÇAMENTO!$AF$11)),0)</f>
        <v>0</v>
      </c>
      <c r="AH141" s="627">
        <f ca="1">IF(AND($D141="Serviço",AH$12&lt;&gt;0,$H141&gt;0,OR(AUTOEVENTO&lt;&gt;"manual",$M141&lt;&gt;1)),
IF(Import.TipoArredondamento&lt;&gt;"TransfereGOV",
ROUND(OFFSET($P141,0,AH$13),15-13*ORÇAMENTO!$AF$7)/$H141*OFFSET(ORÇAMENTO!$X$15,ROW(AH141)-ROW(AH$15),0),
ROUND(ROUND(OFFSET($P141,0,AH$13),15-13*ORÇAMENTO!$AF$7)*OFFSET(ORÇAMENTO!$W$15,ROW(AH141)-ROW(AH$15),0),15-13*ORÇAMENTO!$AF$11)),0)</f>
        <v>0</v>
      </c>
      <c r="AI141" s="627">
        <f ca="1">IF(AND($D141="Serviço",AI$12&lt;&gt;0,$H141&gt;0,OR(AUTOEVENTO&lt;&gt;"manual",$M141&lt;&gt;1)),
IF(Import.TipoArredondamento&lt;&gt;"TransfereGOV",
ROUND(OFFSET($P141,0,AI$13),15-13*ORÇAMENTO!$AF$7)/$H141*OFFSET(ORÇAMENTO!$X$15,ROW(AI141)-ROW(AI$15),0),
ROUND(ROUND(OFFSET($P141,0,AI$13),15-13*ORÇAMENTO!$AF$7)*OFFSET(ORÇAMENTO!$W$15,ROW(AI141)-ROW(AI$15),0),15-13*ORÇAMENTO!$AF$11)),0)</f>
        <v>0</v>
      </c>
      <c r="AJ141" s="627">
        <f ca="1">IF(AND($D141="Serviço",AJ$12&lt;&gt;0,$H141&gt;0,OR(AUTOEVENTO&lt;&gt;"manual",$M141&lt;&gt;1)),
IF(Import.TipoArredondamento&lt;&gt;"TransfereGOV",
ROUND(OFFSET($P141,0,AJ$13),15-13*ORÇAMENTO!$AF$7)/$H141*OFFSET(ORÇAMENTO!$X$15,ROW(AJ141)-ROW(AJ$15),0),
ROUND(ROUND(OFFSET($P141,0,AJ$13),15-13*ORÇAMENTO!$AF$7)*OFFSET(ORÇAMENTO!$W$15,ROW(AJ141)-ROW(AJ$15),0),15-13*ORÇAMENTO!$AF$11)),0)</f>
        <v>0</v>
      </c>
      <c r="AK141" s="628">
        <f ca="1">IF(AND($D141="Serviço",AK$12&lt;&gt;0,$H141&gt;0,OR(AUTOEVENTO&lt;&gt;"manual",$M141&lt;&gt;1)),
IF(Import.TipoArredondamento&lt;&gt;"TransfereGOV",
ROUND(OFFSET($P141,0,AK$13),15-13*ORÇAMENTO!$AF$7)/$H141*OFFSET(ORÇAMENTO!$X$15,ROW(AK141)-ROW(AK$15),0),
ROUND(ROUND(OFFSET($P141,0,AK$13),15-13*ORÇAMENTO!$AF$7)*OFFSET(ORÇAMENTO!$W$15,ROW(AK141)-ROW(AK$15),0),15-13*ORÇAMENTO!$AF$11)),0)</f>
        <v>0</v>
      </c>
      <c r="AM141" s="211">
        <f ca="1">IF($D141&lt;&gt;"Serviço",0,IF(AND(AUTOEVENTO="Manual",$M141=1),0,IF(OFFSET(CRONOPLE!$F$14,$M141,AM$13)="",10^12,OFFSET(CRONOPLE!$F$14,$M141,AM$13))))</f>
        <v>2</v>
      </c>
      <c r="AN141" s="211">
        <f ca="1">IF($D141&lt;&gt;"Serviço",0,IF(AND(AUTOEVENTO="Manual",$M141=1),0,IF(OFFSET(CRONOPLE!$F$14,$M141,AN$13)="",10^12,OFFSET(CRONOPLE!$F$14,$M141,AN$13))))</f>
        <v>1</v>
      </c>
      <c r="AO141" s="211">
        <f ca="1">IF($D141&lt;&gt;"Serviço",0,IF(AND(AUTOEVENTO="Manual",$M141=1),0,IF(OFFSET(CRONOPLE!$F$14,$M141,AO$13)="",10^12,OFFSET(CRONOPLE!$F$14,$M141,AO$13))))</f>
        <v>2</v>
      </c>
      <c r="AP141" s="211">
        <f ca="1">IF($D141&lt;&gt;"Serviço",0,IF(AND(AUTOEVENTO="Manual",$M141=1),0,IF(OFFSET(CRONOPLE!$F$14,$M141,AP$13)="",10^12,OFFSET(CRONOPLE!$F$14,$M141,AP$13))))</f>
        <v>2</v>
      </c>
      <c r="AQ141" s="211">
        <f ca="1">IF($D141&lt;&gt;"Serviço",0,IF(AND(AUTOEVENTO="Manual",$M141=1),0,IF(OFFSET(CRONOPLE!$F$14,$M141,AQ$13)="",10^12,OFFSET(CRONOPLE!$F$14,$M141,AQ$13))))</f>
        <v>1000000000000</v>
      </c>
      <c r="AR141" s="211">
        <f ca="1">IF($D141&lt;&gt;"Serviço",0,IF(AND(AUTOEVENTO="Manual",$M141=1),0,IF(OFFSET(CRONOPLE!$F$14,$M141,AR$13)="",10^12,OFFSET(CRONOPLE!$F$14,$M141,AR$13))))</f>
        <v>1000000000000</v>
      </c>
      <c r="AS141" s="211">
        <f ca="1">IF($D141&lt;&gt;"Serviço",0,IF(AND(AUTOEVENTO="Manual",$M141=1),0,IF(OFFSET(CRONOPLE!$F$14,$M141,AS$13)="",10^12,OFFSET(CRONOPLE!$F$14,$M141,AS$13))))</f>
        <v>1000000000000</v>
      </c>
      <c r="AT141" s="211">
        <f ca="1">IF($D141&lt;&gt;"Serviço",0,IF(AND(AUTOEVENTO="Manual",$M141=1),0,IF(OFFSET(CRONOPLE!$F$14,$M141,AT$13)="",10^12,OFFSET(CRONOPLE!$F$14,$M141,AT$13))))</f>
        <v>1000000000000</v>
      </c>
      <c r="AU141" s="211">
        <f ca="1">IF($D141&lt;&gt;"Serviço",0,IF(AND(AUTOEVENTO="Manual",$M141=1),0,IF(OFFSET(CRONOPLE!$F$14,$M141,AU$13)="",10^12,OFFSET(CRONOPLE!$F$14,$M141,AU$13))))</f>
        <v>1000000000000</v>
      </c>
      <c r="AV141" s="211">
        <f ca="1">IF($D141&lt;&gt;"Serviço",0,IF(AND(AUTOEVENTO="Manual",$M141=1),0,IF(OFFSET(CRONOPLE!$F$14,$M141,AV$13)="",10^12,OFFSET(CRONOPLE!$F$14,$M141,AV$13))))</f>
        <v>1000000000000</v>
      </c>
      <c r="AX141" s="212">
        <f ca="1">IF($D141&lt;&gt;"Serviço",0,IF(OR(AND(AUTOEVENTO="Manual",$M141=1),$M141&gt;(ROW(PLE.lastrow)-ROW(PLE.firstrow))),0,IF(OFFSET(PLE!$G$14,$M141,AX$13)="",10^12,OFFSET(PLE!$G$14,$M141,AX$13))))</f>
        <v>1000000000000</v>
      </c>
      <c r="AY141" s="212">
        <f ca="1">IF($D141&lt;&gt;"Serviço",0,IF(OR(AND(AUTOEVENTO="Manual",$M141=1),$M141&gt;(ROW(PLE.lastrow)-ROW(PLE.firstrow))),0,IF(OFFSET(PLE!$G$14,$M141,AY$13)="",10^12,OFFSET(PLE!$G$14,$M141,AY$13))))</f>
        <v>1000000000000</v>
      </c>
      <c r="AZ141" s="212">
        <f ca="1">IF($D141&lt;&gt;"Serviço",0,IF(OR(AND(AUTOEVENTO="Manual",$M141=1),$M141&gt;(ROW(PLE.lastrow)-ROW(PLE.firstrow))),0,IF(OFFSET(PLE!$G$14,$M141,AZ$13)="",10^12,OFFSET(PLE!$G$14,$M141,AZ$13))))</f>
        <v>1000000000000</v>
      </c>
      <c r="BA141" s="212">
        <f ca="1">IF($D141&lt;&gt;"Serviço",0,IF(OR(AND(AUTOEVENTO="Manual",$M141=1),$M141&gt;(ROW(PLE.lastrow)-ROW(PLE.firstrow))),0,IF(OFFSET(PLE!$G$14,$M141,BA$13)="",10^12,OFFSET(PLE!$G$14,$M141,BA$13))))</f>
        <v>1000000000000</v>
      </c>
      <c r="BB141" s="212">
        <f ca="1">IF($D141&lt;&gt;"Serviço",0,IF(OR(AND(AUTOEVENTO="Manual",$M141=1),$M141&gt;(ROW(PLE.lastrow)-ROW(PLE.firstrow))),0,IF(OFFSET(PLE!$G$14,$M141,BB$13)="",10^12,OFFSET(PLE!$G$14,$M141,BB$13))))</f>
        <v>1000000000000</v>
      </c>
      <c r="BC141" s="212">
        <f ca="1">IF($D141&lt;&gt;"Serviço",0,IF(OR(AND(AUTOEVENTO="Manual",$M141=1),$M141&gt;(ROW(PLE.lastrow)-ROW(PLE.firstrow))),0,IF(OFFSET(PLE!$G$14,$M141,BC$13)="",10^12,OFFSET(PLE!$G$14,$M141,BC$13))))</f>
        <v>1000000000000</v>
      </c>
      <c r="BD141" s="212">
        <f ca="1">IF($D141&lt;&gt;"Serviço",0,IF(OR(AND(AUTOEVENTO="Manual",$M141=1),$M141&gt;(ROW(PLE.lastrow)-ROW(PLE.firstrow))),0,IF(OFFSET(PLE!$G$14,$M141,BD$13)="",10^12,OFFSET(PLE!$G$14,$M141,BD$13))))</f>
        <v>1000000000000</v>
      </c>
      <c r="BE141" s="212">
        <f ca="1">IF($D141&lt;&gt;"Serviço",0,IF(OR(AND(AUTOEVENTO="Manual",$M141=1),$M141&gt;(ROW(PLE.lastrow)-ROW(PLE.firstrow))),0,IF(OFFSET(PLE!$G$14,$M141,BE$13)="",10^12,OFFSET(PLE!$G$14,$M141,BE$13))))</f>
        <v>1000000000000</v>
      </c>
      <c r="BF141" s="212">
        <f ca="1">IF($D141&lt;&gt;"Serviço",0,IF(OR(AND(AUTOEVENTO="Manual",$M141=1),$M141&gt;(ROW(PLE.lastrow)-ROW(PLE.firstrow))),0,IF(OFFSET(PLE!$G$14,$M141,BF$13)="",10^12,OFFSET(PLE!$G$14,$M141,BF$13))))</f>
        <v>1000000000000</v>
      </c>
      <c r="BG141" s="212">
        <f ca="1">IF($D141&lt;&gt;"Serviço",0,IF(OR(AND(AUTOEVENTO="Manual",$M141=1),$M141&gt;(ROW(PLE.lastrow)-ROW(PLE.firstrow))),0,IF(OFFSET(PLE!$G$14,$M141,BG$13)="",10^12,OFFSET(PLE!$G$14,$M141,BG$13))))</f>
        <v>1000000000000</v>
      </c>
    </row>
    <row r="142" spans="1:59" ht="13.2">
      <c r="A142" s="9" t="str">
        <f t="shared" ref="A142:A205" ca="1" si="11">IF(AUTOEVENTO="Manual",IF(K142&lt;&gt;"",MIN(VALUE(LEFT(K142,FIND(".",K142)-1)),COUNTA(EVENTOS.Lista)),0),IF(OR($B142&gt;AUTOEVENTO,$B142="S",$B142=0),SUBSTITUTE(OFFSET($A142,-1,0),IF($D142="Serviço",".",""),""),ROW(A142)-ROW($A$15)&amp;"."))</f>
        <v>15</v>
      </c>
      <c r="B142" s="9" t="str">
        <f ca="1">OFFSET(ORÇAMENTO!C$15,ROW(B142)-ROW(B$15),0)</f>
        <v>S</v>
      </c>
      <c r="C142" s="9" t="str">
        <f ca="1">OFFSET(ORÇAMENTO!L$15,ROW(C142)-ROW(C$15),0)</f>
        <v/>
      </c>
      <c r="D142" s="141" t="str">
        <f ca="1">OFFSET(ORÇAMENTO!N$15,ROW(D142)-ROW(D$15),0)</f>
        <v>Serviço</v>
      </c>
      <c r="E142" s="201" t="str">
        <f ca="1">OFFSET(ORÇAMENTO!O$15,ROW(E142)-ROW(E$15),0)</f>
        <v>-</v>
      </c>
      <c r="F142" s="202" t="str">
        <f ca="1">OFFSET(ORÇAMENTO!R$15,ROW(F142)-ROW(F$15),0)</f>
        <v>(abra o arquivo 'Referência 11-2024.xlsm)</v>
      </c>
      <c r="G142" s="203" t="str">
        <f ca="1">IF($D142&lt;&gt;"Serviço","",OFFSET(ORÇAMENTO!S$15,ROW(G142)-ROW(G$15),0))</f>
        <v>-</v>
      </c>
      <c r="H142" s="147">
        <f ca="1">IF($D142&lt;&gt;"Serviço",0,IF(ACOMPANHAMENTO="BM",ROUND(OFFSET(ORÇAMENTO!AJ$15,ROW(H142)-ROW(H$15),0),15-13*ORÇAMENTO!$AF$7),SUMPRODUCT(($Q$12:$AA$12&lt;&gt;"")*ROUND($Q142:$AA142,15-13*ORÇAMENTO!$AF$7))))</f>
        <v>0</v>
      </c>
      <c r="I142" s="645"/>
      <c r="K142" s="204"/>
      <c r="L142" s="205" t="s">
        <v>255</v>
      </c>
      <c r="M142" s="206">
        <f ca="1">IF($D142&lt;&gt;"Serviço","",IF(AUTOEVENTO="manual",$A142,IF(ISERROR(MATCH($A142,$A$15:OFFSET($A142,-1,0),0)),MAX($M$15:OFFSET(M142,-1,0))+1,INDEX($M$15:OFFSET(M142,-1,0),MATCH($A142,$A$15:OFFSET($A142,-1,0),0)))))</f>
        <v>6</v>
      </c>
      <c r="N142" s="207" t="str">
        <f ca="1">IF($D142&lt;&gt;"Serviço","",IF(AUTOEVENTO="Manual",IF($A142=0,"&lt;-- defina o número do agrupador",OFFSET(EVENTOS!$D$14,$A142,0)),OFFSET($F$15,$A142,0)))</f>
        <v>DRENAGEM</v>
      </c>
      <c r="O142" s="208"/>
      <c r="Q142" s="208"/>
      <c r="R142" s="209"/>
      <c r="S142" s="209"/>
      <c r="T142" s="209"/>
      <c r="U142" s="209"/>
      <c r="V142" s="209"/>
      <c r="W142" s="209"/>
      <c r="X142" s="209"/>
      <c r="Y142" s="209"/>
      <c r="Z142" s="210"/>
      <c r="AB142" s="626">
        <f ca="1">IF(AND($D142="Serviço",AB$12&lt;&gt;0,$H142&gt;0,OR(AUTOEVENTO&lt;&gt;"manual",$M142&lt;&gt;1)),
IF(Import.TipoArredondamento&lt;&gt;"TransfereGOV",
ROUND(OFFSET($P142,0,AB$13),15-13*ORÇAMENTO!$AF$7)/$H142*OFFSET(ORÇAMENTO!$X$15,ROW(AB142)-ROW(AB$15),0),
ROUND(ROUND(OFFSET($P142,0,AB$13),15-13*ORÇAMENTO!$AF$7)*OFFSET(ORÇAMENTO!$W$15,ROW(AB142)-ROW(AB$15),0),15-13*ORÇAMENTO!$AF$11)),0)</f>
        <v>0</v>
      </c>
      <c r="AC142" s="627">
        <f ca="1">IF(AND($D142="Serviço",AC$12&lt;&gt;0,$H142&gt;0,OR(AUTOEVENTO&lt;&gt;"manual",$M142&lt;&gt;1)),
IF(Import.TipoArredondamento&lt;&gt;"TransfereGOV",
ROUND(OFFSET($P142,0,AC$13),15-13*ORÇAMENTO!$AF$7)/$H142*OFFSET(ORÇAMENTO!$X$15,ROW(AC142)-ROW(AC$15),0),
ROUND(ROUND(OFFSET($P142,0,AC$13),15-13*ORÇAMENTO!$AF$7)*OFFSET(ORÇAMENTO!$W$15,ROW(AC142)-ROW(AC$15),0),15-13*ORÇAMENTO!$AF$11)),0)</f>
        <v>0</v>
      </c>
      <c r="AD142" s="627">
        <f ca="1">IF(AND($D142="Serviço",AD$12&lt;&gt;0,$H142&gt;0,OR(AUTOEVENTO&lt;&gt;"manual",$M142&lt;&gt;1)),
IF(Import.TipoArredondamento&lt;&gt;"TransfereGOV",
ROUND(OFFSET($P142,0,AD$13),15-13*ORÇAMENTO!$AF$7)/$H142*OFFSET(ORÇAMENTO!$X$15,ROW(AD142)-ROW(AD$15),0),
ROUND(ROUND(OFFSET($P142,0,AD$13),15-13*ORÇAMENTO!$AF$7)*OFFSET(ORÇAMENTO!$W$15,ROW(AD142)-ROW(AD$15),0),15-13*ORÇAMENTO!$AF$11)),0)</f>
        <v>0</v>
      </c>
      <c r="AE142" s="627">
        <f ca="1">IF(AND($D142="Serviço",AE$12&lt;&gt;0,$H142&gt;0,OR(AUTOEVENTO&lt;&gt;"manual",$M142&lt;&gt;1)),
IF(Import.TipoArredondamento&lt;&gt;"TransfereGOV",
ROUND(OFFSET($P142,0,AE$13),15-13*ORÇAMENTO!$AF$7)/$H142*OFFSET(ORÇAMENTO!$X$15,ROW(AE142)-ROW(AE$15),0),
ROUND(ROUND(OFFSET($P142,0,AE$13),15-13*ORÇAMENTO!$AF$7)*OFFSET(ORÇAMENTO!$W$15,ROW(AE142)-ROW(AE$15),0),15-13*ORÇAMENTO!$AF$11)),0)</f>
        <v>0</v>
      </c>
      <c r="AF142" s="627">
        <f ca="1">IF(AND($D142="Serviço",AF$12&lt;&gt;0,$H142&gt;0,OR(AUTOEVENTO&lt;&gt;"manual",$M142&lt;&gt;1)),
IF(Import.TipoArredondamento&lt;&gt;"TransfereGOV",
ROUND(OFFSET($P142,0,AF$13),15-13*ORÇAMENTO!$AF$7)/$H142*OFFSET(ORÇAMENTO!$X$15,ROW(AF142)-ROW(AF$15),0),
ROUND(ROUND(OFFSET($P142,0,AF$13),15-13*ORÇAMENTO!$AF$7)*OFFSET(ORÇAMENTO!$W$15,ROW(AF142)-ROW(AF$15),0),15-13*ORÇAMENTO!$AF$11)),0)</f>
        <v>0</v>
      </c>
      <c r="AG142" s="627">
        <f ca="1">IF(AND($D142="Serviço",AG$12&lt;&gt;0,$H142&gt;0,OR(AUTOEVENTO&lt;&gt;"manual",$M142&lt;&gt;1)),
IF(Import.TipoArredondamento&lt;&gt;"TransfereGOV",
ROUND(OFFSET($P142,0,AG$13),15-13*ORÇAMENTO!$AF$7)/$H142*OFFSET(ORÇAMENTO!$X$15,ROW(AG142)-ROW(AG$15),0),
ROUND(ROUND(OFFSET($P142,0,AG$13),15-13*ORÇAMENTO!$AF$7)*OFFSET(ORÇAMENTO!$W$15,ROW(AG142)-ROW(AG$15),0),15-13*ORÇAMENTO!$AF$11)),0)</f>
        <v>0</v>
      </c>
      <c r="AH142" s="627">
        <f ca="1">IF(AND($D142="Serviço",AH$12&lt;&gt;0,$H142&gt;0,OR(AUTOEVENTO&lt;&gt;"manual",$M142&lt;&gt;1)),
IF(Import.TipoArredondamento&lt;&gt;"TransfereGOV",
ROUND(OFFSET($P142,0,AH$13),15-13*ORÇAMENTO!$AF$7)/$H142*OFFSET(ORÇAMENTO!$X$15,ROW(AH142)-ROW(AH$15),0),
ROUND(ROUND(OFFSET($P142,0,AH$13),15-13*ORÇAMENTO!$AF$7)*OFFSET(ORÇAMENTO!$W$15,ROW(AH142)-ROW(AH$15),0),15-13*ORÇAMENTO!$AF$11)),0)</f>
        <v>0</v>
      </c>
      <c r="AI142" s="627">
        <f ca="1">IF(AND($D142="Serviço",AI$12&lt;&gt;0,$H142&gt;0,OR(AUTOEVENTO&lt;&gt;"manual",$M142&lt;&gt;1)),
IF(Import.TipoArredondamento&lt;&gt;"TransfereGOV",
ROUND(OFFSET($P142,0,AI$13),15-13*ORÇAMENTO!$AF$7)/$H142*OFFSET(ORÇAMENTO!$X$15,ROW(AI142)-ROW(AI$15),0),
ROUND(ROUND(OFFSET($P142,0,AI$13),15-13*ORÇAMENTO!$AF$7)*OFFSET(ORÇAMENTO!$W$15,ROW(AI142)-ROW(AI$15),0),15-13*ORÇAMENTO!$AF$11)),0)</f>
        <v>0</v>
      </c>
      <c r="AJ142" s="627">
        <f ca="1">IF(AND($D142="Serviço",AJ$12&lt;&gt;0,$H142&gt;0,OR(AUTOEVENTO&lt;&gt;"manual",$M142&lt;&gt;1)),
IF(Import.TipoArredondamento&lt;&gt;"TransfereGOV",
ROUND(OFFSET($P142,0,AJ$13),15-13*ORÇAMENTO!$AF$7)/$H142*OFFSET(ORÇAMENTO!$X$15,ROW(AJ142)-ROW(AJ$15),0),
ROUND(ROUND(OFFSET($P142,0,AJ$13),15-13*ORÇAMENTO!$AF$7)*OFFSET(ORÇAMENTO!$W$15,ROW(AJ142)-ROW(AJ$15),0),15-13*ORÇAMENTO!$AF$11)),0)</f>
        <v>0</v>
      </c>
      <c r="AK142" s="628">
        <f ca="1">IF(AND($D142="Serviço",AK$12&lt;&gt;0,$H142&gt;0,OR(AUTOEVENTO&lt;&gt;"manual",$M142&lt;&gt;1)),
IF(Import.TipoArredondamento&lt;&gt;"TransfereGOV",
ROUND(OFFSET($P142,0,AK$13),15-13*ORÇAMENTO!$AF$7)/$H142*OFFSET(ORÇAMENTO!$X$15,ROW(AK142)-ROW(AK$15),0),
ROUND(ROUND(OFFSET($P142,0,AK$13),15-13*ORÇAMENTO!$AF$7)*OFFSET(ORÇAMENTO!$W$15,ROW(AK142)-ROW(AK$15),0),15-13*ORÇAMENTO!$AF$11)),0)</f>
        <v>0</v>
      </c>
      <c r="AM142" s="211">
        <f ca="1">IF($D142&lt;&gt;"Serviço",0,IF(AND(AUTOEVENTO="Manual",$M142=1),0,IF(OFFSET(CRONOPLE!$F$14,$M142,AM$13)="",10^12,OFFSET(CRONOPLE!$F$14,$M142,AM$13))))</f>
        <v>2</v>
      </c>
      <c r="AN142" s="211">
        <f ca="1">IF($D142&lt;&gt;"Serviço",0,IF(AND(AUTOEVENTO="Manual",$M142=1),0,IF(OFFSET(CRONOPLE!$F$14,$M142,AN$13)="",10^12,OFFSET(CRONOPLE!$F$14,$M142,AN$13))))</f>
        <v>1</v>
      </c>
      <c r="AO142" s="211">
        <f ca="1">IF($D142&lt;&gt;"Serviço",0,IF(AND(AUTOEVENTO="Manual",$M142=1),0,IF(OFFSET(CRONOPLE!$F$14,$M142,AO$13)="",10^12,OFFSET(CRONOPLE!$F$14,$M142,AO$13))))</f>
        <v>2</v>
      </c>
      <c r="AP142" s="211">
        <f ca="1">IF($D142&lt;&gt;"Serviço",0,IF(AND(AUTOEVENTO="Manual",$M142=1),0,IF(OFFSET(CRONOPLE!$F$14,$M142,AP$13)="",10^12,OFFSET(CRONOPLE!$F$14,$M142,AP$13))))</f>
        <v>2</v>
      </c>
      <c r="AQ142" s="211">
        <f ca="1">IF($D142&lt;&gt;"Serviço",0,IF(AND(AUTOEVENTO="Manual",$M142=1),0,IF(OFFSET(CRONOPLE!$F$14,$M142,AQ$13)="",10^12,OFFSET(CRONOPLE!$F$14,$M142,AQ$13))))</f>
        <v>1000000000000</v>
      </c>
      <c r="AR142" s="211">
        <f ca="1">IF($D142&lt;&gt;"Serviço",0,IF(AND(AUTOEVENTO="Manual",$M142=1),0,IF(OFFSET(CRONOPLE!$F$14,$M142,AR$13)="",10^12,OFFSET(CRONOPLE!$F$14,$M142,AR$13))))</f>
        <v>1000000000000</v>
      </c>
      <c r="AS142" s="211">
        <f ca="1">IF($D142&lt;&gt;"Serviço",0,IF(AND(AUTOEVENTO="Manual",$M142=1),0,IF(OFFSET(CRONOPLE!$F$14,$M142,AS$13)="",10^12,OFFSET(CRONOPLE!$F$14,$M142,AS$13))))</f>
        <v>1000000000000</v>
      </c>
      <c r="AT142" s="211">
        <f ca="1">IF($D142&lt;&gt;"Serviço",0,IF(AND(AUTOEVENTO="Manual",$M142=1),0,IF(OFFSET(CRONOPLE!$F$14,$M142,AT$13)="",10^12,OFFSET(CRONOPLE!$F$14,$M142,AT$13))))</f>
        <v>1000000000000</v>
      </c>
      <c r="AU142" s="211">
        <f ca="1">IF($D142&lt;&gt;"Serviço",0,IF(AND(AUTOEVENTO="Manual",$M142=1),0,IF(OFFSET(CRONOPLE!$F$14,$M142,AU$13)="",10^12,OFFSET(CRONOPLE!$F$14,$M142,AU$13))))</f>
        <v>1000000000000</v>
      </c>
      <c r="AV142" s="211">
        <f ca="1">IF($D142&lt;&gt;"Serviço",0,IF(AND(AUTOEVENTO="Manual",$M142=1),0,IF(OFFSET(CRONOPLE!$F$14,$M142,AV$13)="",10^12,OFFSET(CRONOPLE!$F$14,$M142,AV$13))))</f>
        <v>1000000000000</v>
      </c>
      <c r="AX142" s="212">
        <f ca="1">IF($D142&lt;&gt;"Serviço",0,IF(OR(AND(AUTOEVENTO="Manual",$M142=1),$M142&gt;(ROW(PLE.lastrow)-ROW(PLE.firstrow))),0,IF(OFFSET(PLE!$G$14,$M142,AX$13)="",10^12,OFFSET(PLE!$G$14,$M142,AX$13))))</f>
        <v>1000000000000</v>
      </c>
      <c r="AY142" s="212">
        <f ca="1">IF($D142&lt;&gt;"Serviço",0,IF(OR(AND(AUTOEVENTO="Manual",$M142=1),$M142&gt;(ROW(PLE.lastrow)-ROW(PLE.firstrow))),0,IF(OFFSET(PLE!$G$14,$M142,AY$13)="",10^12,OFFSET(PLE!$G$14,$M142,AY$13))))</f>
        <v>1000000000000</v>
      </c>
      <c r="AZ142" s="212">
        <f ca="1">IF($D142&lt;&gt;"Serviço",0,IF(OR(AND(AUTOEVENTO="Manual",$M142=1),$M142&gt;(ROW(PLE.lastrow)-ROW(PLE.firstrow))),0,IF(OFFSET(PLE!$G$14,$M142,AZ$13)="",10^12,OFFSET(PLE!$G$14,$M142,AZ$13))))</f>
        <v>1000000000000</v>
      </c>
      <c r="BA142" s="212">
        <f ca="1">IF($D142&lt;&gt;"Serviço",0,IF(OR(AND(AUTOEVENTO="Manual",$M142=1),$M142&gt;(ROW(PLE.lastrow)-ROW(PLE.firstrow))),0,IF(OFFSET(PLE!$G$14,$M142,BA$13)="",10^12,OFFSET(PLE!$G$14,$M142,BA$13))))</f>
        <v>1000000000000</v>
      </c>
      <c r="BB142" s="212">
        <f ca="1">IF($D142&lt;&gt;"Serviço",0,IF(OR(AND(AUTOEVENTO="Manual",$M142=1),$M142&gt;(ROW(PLE.lastrow)-ROW(PLE.firstrow))),0,IF(OFFSET(PLE!$G$14,$M142,BB$13)="",10^12,OFFSET(PLE!$G$14,$M142,BB$13))))</f>
        <v>1000000000000</v>
      </c>
      <c r="BC142" s="212">
        <f ca="1">IF($D142&lt;&gt;"Serviço",0,IF(OR(AND(AUTOEVENTO="Manual",$M142=1),$M142&gt;(ROW(PLE.lastrow)-ROW(PLE.firstrow))),0,IF(OFFSET(PLE!$G$14,$M142,BC$13)="",10^12,OFFSET(PLE!$G$14,$M142,BC$13))))</f>
        <v>1000000000000</v>
      </c>
      <c r="BD142" s="212">
        <f ca="1">IF($D142&lt;&gt;"Serviço",0,IF(OR(AND(AUTOEVENTO="Manual",$M142=1),$M142&gt;(ROW(PLE.lastrow)-ROW(PLE.firstrow))),0,IF(OFFSET(PLE!$G$14,$M142,BD$13)="",10^12,OFFSET(PLE!$G$14,$M142,BD$13))))</f>
        <v>1000000000000</v>
      </c>
      <c r="BE142" s="212">
        <f ca="1">IF($D142&lt;&gt;"Serviço",0,IF(OR(AND(AUTOEVENTO="Manual",$M142=1),$M142&gt;(ROW(PLE.lastrow)-ROW(PLE.firstrow))),0,IF(OFFSET(PLE!$G$14,$M142,BE$13)="",10^12,OFFSET(PLE!$G$14,$M142,BE$13))))</f>
        <v>1000000000000</v>
      </c>
      <c r="BF142" s="212">
        <f ca="1">IF($D142&lt;&gt;"Serviço",0,IF(OR(AND(AUTOEVENTO="Manual",$M142=1),$M142&gt;(ROW(PLE.lastrow)-ROW(PLE.firstrow))),0,IF(OFFSET(PLE!$G$14,$M142,BF$13)="",10^12,OFFSET(PLE!$G$14,$M142,BF$13))))</f>
        <v>1000000000000</v>
      </c>
      <c r="BG142" s="212">
        <f ca="1">IF($D142&lt;&gt;"Serviço",0,IF(OR(AND(AUTOEVENTO="Manual",$M142=1),$M142&gt;(ROW(PLE.lastrow)-ROW(PLE.firstrow))),0,IF(OFFSET(PLE!$G$14,$M142,BG$13)="",10^12,OFFSET(PLE!$G$14,$M142,BG$13))))</f>
        <v>1000000000000</v>
      </c>
    </row>
    <row r="143" spans="1:59" ht="13.2">
      <c r="A143" s="9" t="str">
        <f t="shared" ca="1" si="11"/>
        <v>15</v>
      </c>
      <c r="B143" s="9" t="str">
        <f ca="1">OFFSET(ORÇAMENTO!C$15,ROW(B143)-ROW(B$15),0)</f>
        <v>S</v>
      </c>
      <c r="C143" s="9" t="str">
        <f ca="1">OFFSET(ORÇAMENTO!L$15,ROW(C143)-ROW(C$15),0)</f>
        <v/>
      </c>
      <c r="D143" s="141" t="str">
        <f ca="1">OFFSET(ORÇAMENTO!N$15,ROW(D143)-ROW(D$15),0)</f>
        <v>Serviço</v>
      </c>
      <c r="E143" s="201" t="str">
        <f ca="1">OFFSET(ORÇAMENTO!O$15,ROW(E143)-ROW(E$15),0)</f>
        <v>-</v>
      </c>
      <c r="F143" s="202" t="str">
        <f ca="1">OFFSET(ORÇAMENTO!R$15,ROW(F143)-ROW(F$15),0)</f>
        <v>(abra o arquivo 'Referência 11-2024.xlsm)</v>
      </c>
      <c r="G143" s="203" t="str">
        <f ca="1">IF($D143&lt;&gt;"Serviço","",OFFSET(ORÇAMENTO!S$15,ROW(G143)-ROW(G$15),0))</f>
        <v>-</v>
      </c>
      <c r="H143" s="147">
        <f ca="1">IF($D143&lt;&gt;"Serviço",0,IF(ACOMPANHAMENTO="BM",ROUND(OFFSET(ORÇAMENTO!AJ$15,ROW(H143)-ROW(H$15),0),15-13*ORÇAMENTO!$AF$7),SUMPRODUCT(($Q$12:$AA$12&lt;&gt;"")*ROUND($Q143:$AA143,15-13*ORÇAMENTO!$AF$7))))</f>
        <v>0</v>
      </c>
      <c r="I143" s="645"/>
      <c r="K143" s="204"/>
      <c r="L143" s="205" t="s">
        <v>255</v>
      </c>
      <c r="M143" s="206">
        <f ca="1">IF($D143&lt;&gt;"Serviço","",IF(AUTOEVENTO="manual",$A143,IF(ISERROR(MATCH($A143,$A$15:OFFSET($A143,-1,0),0)),MAX($M$15:OFFSET(M143,-1,0))+1,INDEX($M$15:OFFSET(M143,-1,0),MATCH($A143,$A$15:OFFSET($A143,-1,0),0)))))</f>
        <v>6</v>
      </c>
      <c r="N143" s="207" t="str">
        <f ca="1">IF($D143&lt;&gt;"Serviço","",IF(AUTOEVENTO="Manual",IF($A143=0,"&lt;-- defina o número do agrupador",OFFSET(EVENTOS!$D$14,$A143,0)),OFFSET($F$15,$A143,0)))</f>
        <v>DRENAGEM</v>
      </c>
      <c r="O143" s="208"/>
      <c r="Q143" s="208"/>
      <c r="R143" s="209"/>
      <c r="S143" s="209"/>
      <c r="T143" s="209"/>
      <c r="U143" s="209"/>
      <c r="V143" s="209"/>
      <c r="W143" s="209"/>
      <c r="X143" s="209"/>
      <c r="Y143" s="209"/>
      <c r="Z143" s="210"/>
      <c r="AB143" s="626">
        <f ca="1">IF(AND($D143="Serviço",AB$12&lt;&gt;0,$H143&gt;0,OR(AUTOEVENTO&lt;&gt;"manual",$M143&lt;&gt;1)),
IF(Import.TipoArredondamento&lt;&gt;"TransfereGOV",
ROUND(OFFSET($P143,0,AB$13),15-13*ORÇAMENTO!$AF$7)/$H143*OFFSET(ORÇAMENTO!$X$15,ROW(AB143)-ROW(AB$15),0),
ROUND(ROUND(OFFSET($P143,0,AB$13),15-13*ORÇAMENTO!$AF$7)*OFFSET(ORÇAMENTO!$W$15,ROW(AB143)-ROW(AB$15),0),15-13*ORÇAMENTO!$AF$11)),0)</f>
        <v>0</v>
      </c>
      <c r="AC143" s="627">
        <f ca="1">IF(AND($D143="Serviço",AC$12&lt;&gt;0,$H143&gt;0,OR(AUTOEVENTO&lt;&gt;"manual",$M143&lt;&gt;1)),
IF(Import.TipoArredondamento&lt;&gt;"TransfereGOV",
ROUND(OFFSET($P143,0,AC$13),15-13*ORÇAMENTO!$AF$7)/$H143*OFFSET(ORÇAMENTO!$X$15,ROW(AC143)-ROW(AC$15),0),
ROUND(ROUND(OFFSET($P143,0,AC$13),15-13*ORÇAMENTO!$AF$7)*OFFSET(ORÇAMENTO!$W$15,ROW(AC143)-ROW(AC$15),0),15-13*ORÇAMENTO!$AF$11)),0)</f>
        <v>0</v>
      </c>
      <c r="AD143" s="627">
        <f ca="1">IF(AND($D143="Serviço",AD$12&lt;&gt;0,$H143&gt;0,OR(AUTOEVENTO&lt;&gt;"manual",$M143&lt;&gt;1)),
IF(Import.TipoArredondamento&lt;&gt;"TransfereGOV",
ROUND(OFFSET($P143,0,AD$13),15-13*ORÇAMENTO!$AF$7)/$H143*OFFSET(ORÇAMENTO!$X$15,ROW(AD143)-ROW(AD$15),0),
ROUND(ROUND(OFFSET($P143,0,AD$13),15-13*ORÇAMENTO!$AF$7)*OFFSET(ORÇAMENTO!$W$15,ROW(AD143)-ROW(AD$15),0),15-13*ORÇAMENTO!$AF$11)),0)</f>
        <v>0</v>
      </c>
      <c r="AE143" s="627">
        <f ca="1">IF(AND($D143="Serviço",AE$12&lt;&gt;0,$H143&gt;0,OR(AUTOEVENTO&lt;&gt;"manual",$M143&lt;&gt;1)),
IF(Import.TipoArredondamento&lt;&gt;"TransfereGOV",
ROUND(OFFSET($P143,0,AE$13),15-13*ORÇAMENTO!$AF$7)/$H143*OFFSET(ORÇAMENTO!$X$15,ROW(AE143)-ROW(AE$15),0),
ROUND(ROUND(OFFSET($P143,0,AE$13),15-13*ORÇAMENTO!$AF$7)*OFFSET(ORÇAMENTO!$W$15,ROW(AE143)-ROW(AE$15),0),15-13*ORÇAMENTO!$AF$11)),0)</f>
        <v>0</v>
      </c>
      <c r="AF143" s="627">
        <f ca="1">IF(AND($D143="Serviço",AF$12&lt;&gt;0,$H143&gt;0,OR(AUTOEVENTO&lt;&gt;"manual",$M143&lt;&gt;1)),
IF(Import.TipoArredondamento&lt;&gt;"TransfereGOV",
ROUND(OFFSET($P143,0,AF$13),15-13*ORÇAMENTO!$AF$7)/$H143*OFFSET(ORÇAMENTO!$X$15,ROW(AF143)-ROW(AF$15),0),
ROUND(ROUND(OFFSET($P143,0,AF$13),15-13*ORÇAMENTO!$AF$7)*OFFSET(ORÇAMENTO!$W$15,ROW(AF143)-ROW(AF$15),0),15-13*ORÇAMENTO!$AF$11)),0)</f>
        <v>0</v>
      </c>
      <c r="AG143" s="627">
        <f ca="1">IF(AND($D143="Serviço",AG$12&lt;&gt;0,$H143&gt;0,OR(AUTOEVENTO&lt;&gt;"manual",$M143&lt;&gt;1)),
IF(Import.TipoArredondamento&lt;&gt;"TransfereGOV",
ROUND(OFFSET($P143,0,AG$13),15-13*ORÇAMENTO!$AF$7)/$H143*OFFSET(ORÇAMENTO!$X$15,ROW(AG143)-ROW(AG$15),0),
ROUND(ROUND(OFFSET($P143,0,AG$13),15-13*ORÇAMENTO!$AF$7)*OFFSET(ORÇAMENTO!$W$15,ROW(AG143)-ROW(AG$15),0),15-13*ORÇAMENTO!$AF$11)),0)</f>
        <v>0</v>
      </c>
      <c r="AH143" s="627">
        <f ca="1">IF(AND($D143="Serviço",AH$12&lt;&gt;0,$H143&gt;0,OR(AUTOEVENTO&lt;&gt;"manual",$M143&lt;&gt;1)),
IF(Import.TipoArredondamento&lt;&gt;"TransfereGOV",
ROUND(OFFSET($P143,0,AH$13),15-13*ORÇAMENTO!$AF$7)/$H143*OFFSET(ORÇAMENTO!$X$15,ROW(AH143)-ROW(AH$15),0),
ROUND(ROUND(OFFSET($P143,0,AH$13),15-13*ORÇAMENTO!$AF$7)*OFFSET(ORÇAMENTO!$W$15,ROW(AH143)-ROW(AH$15),0),15-13*ORÇAMENTO!$AF$11)),0)</f>
        <v>0</v>
      </c>
      <c r="AI143" s="627">
        <f ca="1">IF(AND($D143="Serviço",AI$12&lt;&gt;0,$H143&gt;0,OR(AUTOEVENTO&lt;&gt;"manual",$M143&lt;&gt;1)),
IF(Import.TipoArredondamento&lt;&gt;"TransfereGOV",
ROUND(OFFSET($P143,0,AI$13),15-13*ORÇAMENTO!$AF$7)/$H143*OFFSET(ORÇAMENTO!$X$15,ROW(AI143)-ROW(AI$15),0),
ROUND(ROUND(OFFSET($P143,0,AI$13),15-13*ORÇAMENTO!$AF$7)*OFFSET(ORÇAMENTO!$W$15,ROW(AI143)-ROW(AI$15),0),15-13*ORÇAMENTO!$AF$11)),0)</f>
        <v>0</v>
      </c>
      <c r="AJ143" s="627">
        <f ca="1">IF(AND($D143="Serviço",AJ$12&lt;&gt;0,$H143&gt;0,OR(AUTOEVENTO&lt;&gt;"manual",$M143&lt;&gt;1)),
IF(Import.TipoArredondamento&lt;&gt;"TransfereGOV",
ROUND(OFFSET($P143,0,AJ$13),15-13*ORÇAMENTO!$AF$7)/$H143*OFFSET(ORÇAMENTO!$X$15,ROW(AJ143)-ROW(AJ$15),0),
ROUND(ROUND(OFFSET($P143,0,AJ$13),15-13*ORÇAMENTO!$AF$7)*OFFSET(ORÇAMENTO!$W$15,ROW(AJ143)-ROW(AJ$15),0),15-13*ORÇAMENTO!$AF$11)),0)</f>
        <v>0</v>
      </c>
      <c r="AK143" s="628">
        <f ca="1">IF(AND($D143="Serviço",AK$12&lt;&gt;0,$H143&gt;0,OR(AUTOEVENTO&lt;&gt;"manual",$M143&lt;&gt;1)),
IF(Import.TipoArredondamento&lt;&gt;"TransfereGOV",
ROUND(OFFSET($P143,0,AK$13),15-13*ORÇAMENTO!$AF$7)/$H143*OFFSET(ORÇAMENTO!$X$15,ROW(AK143)-ROW(AK$15),0),
ROUND(ROUND(OFFSET($P143,0,AK$13),15-13*ORÇAMENTO!$AF$7)*OFFSET(ORÇAMENTO!$W$15,ROW(AK143)-ROW(AK$15),0),15-13*ORÇAMENTO!$AF$11)),0)</f>
        <v>0</v>
      </c>
      <c r="AM143" s="211">
        <f ca="1">IF($D143&lt;&gt;"Serviço",0,IF(AND(AUTOEVENTO="Manual",$M143=1),0,IF(OFFSET(CRONOPLE!$F$14,$M143,AM$13)="",10^12,OFFSET(CRONOPLE!$F$14,$M143,AM$13))))</f>
        <v>2</v>
      </c>
      <c r="AN143" s="211">
        <f ca="1">IF($D143&lt;&gt;"Serviço",0,IF(AND(AUTOEVENTO="Manual",$M143=1),0,IF(OFFSET(CRONOPLE!$F$14,$M143,AN$13)="",10^12,OFFSET(CRONOPLE!$F$14,$M143,AN$13))))</f>
        <v>1</v>
      </c>
      <c r="AO143" s="211">
        <f ca="1">IF($D143&lt;&gt;"Serviço",0,IF(AND(AUTOEVENTO="Manual",$M143=1),0,IF(OFFSET(CRONOPLE!$F$14,$M143,AO$13)="",10^12,OFFSET(CRONOPLE!$F$14,$M143,AO$13))))</f>
        <v>2</v>
      </c>
      <c r="AP143" s="211">
        <f ca="1">IF($D143&lt;&gt;"Serviço",0,IF(AND(AUTOEVENTO="Manual",$M143=1),0,IF(OFFSET(CRONOPLE!$F$14,$M143,AP$13)="",10^12,OFFSET(CRONOPLE!$F$14,$M143,AP$13))))</f>
        <v>2</v>
      </c>
      <c r="AQ143" s="211">
        <f ca="1">IF($D143&lt;&gt;"Serviço",0,IF(AND(AUTOEVENTO="Manual",$M143=1),0,IF(OFFSET(CRONOPLE!$F$14,$M143,AQ$13)="",10^12,OFFSET(CRONOPLE!$F$14,$M143,AQ$13))))</f>
        <v>1000000000000</v>
      </c>
      <c r="AR143" s="211">
        <f ca="1">IF($D143&lt;&gt;"Serviço",0,IF(AND(AUTOEVENTO="Manual",$M143=1),0,IF(OFFSET(CRONOPLE!$F$14,$M143,AR$13)="",10^12,OFFSET(CRONOPLE!$F$14,$M143,AR$13))))</f>
        <v>1000000000000</v>
      </c>
      <c r="AS143" s="211">
        <f ca="1">IF($D143&lt;&gt;"Serviço",0,IF(AND(AUTOEVENTO="Manual",$M143=1),0,IF(OFFSET(CRONOPLE!$F$14,$M143,AS$13)="",10^12,OFFSET(CRONOPLE!$F$14,$M143,AS$13))))</f>
        <v>1000000000000</v>
      </c>
      <c r="AT143" s="211">
        <f ca="1">IF($D143&lt;&gt;"Serviço",0,IF(AND(AUTOEVENTO="Manual",$M143=1),0,IF(OFFSET(CRONOPLE!$F$14,$M143,AT$13)="",10^12,OFFSET(CRONOPLE!$F$14,$M143,AT$13))))</f>
        <v>1000000000000</v>
      </c>
      <c r="AU143" s="211">
        <f ca="1">IF($D143&lt;&gt;"Serviço",0,IF(AND(AUTOEVENTO="Manual",$M143=1),0,IF(OFFSET(CRONOPLE!$F$14,$M143,AU$13)="",10^12,OFFSET(CRONOPLE!$F$14,$M143,AU$13))))</f>
        <v>1000000000000</v>
      </c>
      <c r="AV143" s="211">
        <f ca="1">IF($D143&lt;&gt;"Serviço",0,IF(AND(AUTOEVENTO="Manual",$M143=1),0,IF(OFFSET(CRONOPLE!$F$14,$M143,AV$13)="",10^12,OFFSET(CRONOPLE!$F$14,$M143,AV$13))))</f>
        <v>1000000000000</v>
      </c>
      <c r="AX143" s="212">
        <f ca="1">IF($D143&lt;&gt;"Serviço",0,IF(OR(AND(AUTOEVENTO="Manual",$M143=1),$M143&gt;(ROW(PLE.lastrow)-ROW(PLE.firstrow))),0,IF(OFFSET(PLE!$G$14,$M143,AX$13)="",10^12,OFFSET(PLE!$G$14,$M143,AX$13))))</f>
        <v>1000000000000</v>
      </c>
      <c r="AY143" s="212">
        <f ca="1">IF($D143&lt;&gt;"Serviço",0,IF(OR(AND(AUTOEVENTO="Manual",$M143=1),$M143&gt;(ROW(PLE.lastrow)-ROW(PLE.firstrow))),0,IF(OFFSET(PLE!$G$14,$M143,AY$13)="",10^12,OFFSET(PLE!$G$14,$M143,AY$13))))</f>
        <v>1000000000000</v>
      </c>
      <c r="AZ143" s="212">
        <f ca="1">IF($D143&lt;&gt;"Serviço",0,IF(OR(AND(AUTOEVENTO="Manual",$M143=1),$M143&gt;(ROW(PLE.lastrow)-ROW(PLE.firstrow))),0,IF(OFFSET(PLE!$G$14,$M143,AZ$13)="",10^12,OFFSET(PLE!$G$14,$M143,AZ$13))))</f>
        <v>1000000000000</v>
      </c>
      <c r="BA143" s="212">
        <f ca="1">IF($D143&lt;&gt;"Serviço",0,IF(OR(AND(AUTOEVENTO="Manual",$M143=1),$M143&gt;(ROW(PLE.lastrow)-ROW(PLE.firstrow))),0,IF(OFFSET(PLE!$G$14,$M143,BA$13)="",10^12,OFFSET(PLE!$G$14,$M143,BA$13))))</f>
        <v>1000000000000</v>
      </c>
      <c r="BB143" s="212">
        <f ca="1">IF($D143&lt;&gt;"Serviço",0,IF(OR(AND(AUTOEVENTO="Manual",$M143=1),$M143&gt;(ROW(PLE.lastrow)-ROW(PLE.firstrow))),0,IF(OFFSET(PLE!$G$14,$M143,BB$13)="",10^12,OFFSET(PLE!$G$14,$M143,BB$13))))</f>
        <v>1000000000000</v>
      </c>
      <c r="BC143" s="212">
        <f ca="1">IF($D143&lt;&gt;"Serviço",0,IF(OR(AND(AUTOEVENTO="Manual",$M143=1),$M143&gt;(ROW(PLE.lastrow)-ROW(PLE.firstrow))),0,IF(OFFSET(PLE!$G$14,$M143,BC$13)="",10^12,OFFSET(PLE!$G$14,$M143,BC$13))))</f>
        <v>1000000000000</v>
      </c>
      <c r="BD143" s="212">
        <f ca="1">IF($D143&lt;&gt;"Serviço",0,IF(OR(AND(AUTOEVENTO="Manual",$M143=1),$M143&gt;(ROW(PLE.lastrow)-ROW(PLE.firstrow))),0,IF(OFFSET(PLE!$G$14,$M143,BD$13)="",10^12,OFFSET(PLE!$G$14,$M143,BD$13))))</f>
        <v>1000000000000</v>
      </c>
      <c r="BE143" s="212">
        <f ca="1">IF($D143&lt;&gt;"Serviço",0,IF(OR(AND(AUTOEVENTO="Manual",$M143=1),$M143&gt;(ROW(PLE.lastrow)-ROW(PLE.firstrow))),0,IF(OFFSET(PLE!$G$14,$M143,BE$13)="",10^12,OFFSET(PLE!$G$14,$M143,BE$13))))</f>
        <v>1000000000000</v>
      </c>
      <c r="BF143" s="212">
        <f ca="1">IF($D143&lt;&gt;"Serviço",0,IF(OR(AND(AUTOEVENTO="Manual",$M143=1),$M143&gt;(ROW(PLE.lastrow)-ROW(PLE.firstrow))),0,IF(OFFSET(PLE!$G$14,$M143,BF$13)="",10^12,OFFSET(PLE!$G$14,$M143,BF$13))))</f>
        <v>1000000000000</v>
      </c>
      <c r="BG143" s="212">
        <f ca="1">IF($D143&lt;&gt;"Serviço",0,IF(OR(AND(AUTOEVENTO="Manual",$M143=1),$M143&gt;(ROW(PLE.lastrow)-ROW(PLE.firstrow))),0,IF(OFFSET(PLE!$G$14,$M143,BG$13)="",10^12,OFFSET(PLE!$G$14,$M143,BG$13))))</f>
        <v>1000000000000</v>
      </c>
    </row>
    <row r="144" spans="1:59" ht="13.2">
      <c r="A144" s="9" t="str">
        <f t="shared" ca="1" si="11"/>
        <v>15</v>
      </c>
      <c r="B144" s="9" t="str">
        <f ca="1">OFFSET(ORÇAMENTO!C$15,ROW(B144)-ROW(B$15),0)</f>
        <v>S</v>
      </c>
      <c r="C144" s="9" t="str">
        <f ca="1">OFFSET(ORÇAMENTO!L$15,ROW(C144)-ROW(C$15),0)</f>
        <v/>
      </c>
      <c r="D144" s="141" t="str">
        <f ca="1">OFFSET(ORÇAMENTO!N$15,ROW(D144)-ROW(D$15),0)</f>
        <v>Serviço</v>
      </c>
      <c r="E144" s="201" t="str">
        <f ca="1">OFFSET(ORÇAMENTO!O$15,ROW(E144)-ROW(E$15),0)</f>
        <v>-</v>
      </c>
      <c r="F144" s="202" t="str">
        <f ca="1">OFFSET(ORÇAMENTO!R$15,ROW(F144)-ROW(F$15),0)</f>
        <v>(abra o arquivo 'Referência 11-2024.xlsm)</v>
      </c>
      <c r="G144" s="203" t="str">
        <f ca="1">IF($D144&lt;&gt;"Serviço","",OFFSET(ORÇAMENTO!S$15,ROW(G144)-ROW(G$15),0))</f>
        <v>-</v>
      </c>
      <c r="H144" s="147">
        <f ca="1">IF($D144&lt;&gt;"Serviço",0,IF(ACOMPANHAMENTO="BM",ROUND(OFFSET(ORÇAMENTO!AJ$15,ROW(H144)-ROW(H$15),0),15-13*ORÇAMENTO!$AF$7),SUMPRODUCT(($Q$12:$AA$12&lt;&gt;"")*ROUND($Q144:$AA144,15-13*ORÇAMENTO!$AF$7))))</f>
        <v>0</v>
      </c>
      <c r="I144" s="645"/>
      <c r="K144" s="204"/>
      <c r="L144" s="205" t="s">
        <v>255</v>
      </c>
      <c r="M144" s="206">
        <f ca="1">IF($D144&lt;&gt;"Serviço","",IF(AUTOEVENTO="manual",$A144,IF(ISERROR(MATCH($A144,$A$15:OFFSET($A144,-1,0),0)),MAX($M$15:OFFSET(M144,-1,0))+1,INDEX($M$15:OFFSET(M144,-1,0),MATCH($A144,$A$15:OFFSET($A144,-1,0),0)))))</f>
        <v>6</v>
      </c>
      <c r="N144" s="207" t="str">
        <f ca="1">IF($D144&lt;&gt;"Serviço","",IF(AUTOEVENTO="Manual",IF($A144=0,"&lt;-- defina o número do agrupador",OFFSET(EVENTOS!$D$14,$A144,0)),OFFSET($F$15,$A144,0)))</f>
        <v>DRENAGEM</v>
      </c>
      <c r="O144" s="208"/>
      <c r="Q144" s="208"/>
      <c r="R144" s="209"/>
      <c r="S144" s="209"/>
      <c r="T144" s="209"/>
      <c r="U144" s="209"/>
      <c r="V144" s="209"/>
      <c r="W144" s="209"/>
      <c r="X144" s="209"/>
      <c r="Y144" s="209"/>
      <c r="Z144" s="210"/>
      <c r="AB144" s="626">
        <f ca="1">IF(AND($D144="Serviço",AB$12&lt;&gt;0,$H144&gt;0,OR(AUTOEVENTO&lt;&gt;"manual",$M144&lt;&gt;1)),
IF(Import.TipoArredondamento&lt;&gt;"TransfereGOV",
ROUND(OFFSET($P144,0,AB$13),15-13*ORÇAMENTO!$AF$7)/$H144*OFFSET(ORÇAMENTO!$X$15,ROW(AB144)-ROW(AB$15),0),
ROUND(ROUND(OFFSET($P144,0,AB$13),15-13*ORÇAMENTO!$AF$7)*OFFSET(ORÇAMENTO!$W$15,ROW(AB144)-ROW(AB$15),0),15-13*ORÇAMENTO!$AF$11)),0)</f>
        <v>0</v>
      </c>
      <c r="AC144" s="627">
        <f ca="1">IF(AND($D144="Serviço",AC$12&lt;&gt;0,$H144&gt;0,OR(AUTOEVENTO&lt;&gt;"manual",$M144&lt;&gt;1)),
IF(Import.TipoArredondamento&lt;&gt;"TransfereGOV",
ROUND(OFFSET($P144,0,AC$13),15-13*ORÇAMENTO!$AF$7)/$H144*OFFSET(ORÇAMENTO!$X$15,ROW(AC144)-ROW(AC$15),0),
ROUND(ROUND(OFFSET($P144,0,AC$13),15-13*ORÇAMENTO!$AF$7)*OFFSET(ORÇAMENTO!$W$15,ROW(AC144)-ROW(AC$15),0),15-13*ORÇAMENTO!$AF$11)),0)</f>
        <v>0</v>
      </c>
      <c r="AD144" s="627">
        <f ca="1">IF(AND($D144="Serviço",AD$12&lt;&gt;0,$H144&gt;0,OR(AUTOEVENTO&lt;&gt;"manual",$M144&lt;&gt;1)),
IF(Import.TipoArredondamento&lt;&gt;"TransfereGOV",
ROUND(OFFSET($P144,0,AD$13),15-13*ORÇAMENTO!$AF$7)/$H144*OFFSET(ORÇAMENTO!$X$15,ROW(AD144)-ROW(AD$15),0),
ROUND(ROUND(OFFSET($P144,0,AD$13),15-13*ORÇAMENTO!$AF$7)*OFFSET(ORÇAMENTO!$W$15,ROW(AD144)-ROW(AD$15),0),15-13*ORÇAMENTO!$AF$11)),0)</f>
        <v>0</v>
      </c>
      <c r="AE144" s="627">
        <f ca="1">IF(AND($D144="Serviço",AE$12&lt;&gt;0,$H144&gt;0,OR(AUTOEVENTO&lt;&gt;"manual",$M144&lt;&gt;1)),
IF(Import.TipoArredondamento&lt;&gt;"TransfereGOV",
ROUND(OFFSET($P144,0,AE$13),15-13*ORÇAMENTO!$AF$7)/$H144*OFFSET(ORÇAMENTO!$X$15,ROW(AE144)-ROW(AE$15),0),
ROUND(ROUND(OFFSET($P144,0,AE$13),15-13*ORÇAMENTO!$AF$7)*OFFSET(ORÇAMENTO!$W$15,ROW(AE144)-ROW(AE$15),0),15-13*ORÇAMENTO!$AF$11)),0)</f>
        <v>0</v>
      </c>
      <c r="AF144" s="627">
        <f ca="1">IF(AND($D144="Serviço",AF$12&lt;&gt;0,$H144&gt;0,OR(AUTOEVENTO&lt;&gt;"manual",$M144&lt;&gt;1)),
IF(Import.TipoArredondamento&lt;&gt;"TransfereGOV",
ROUND(OFFSET($P144,0,AF$13),15-13*ORÇAMENTO!$AF$7)/$H144*OFFSET(ORÇAMENTO!$X$15,ROW(AF144)-ROW(AF$15),0),
ROUND(ROUND(OFFSET($P144,0,AF$13),15-13*ORÇAMENTO!$AF$7)*OFFSET(ORÇAMENTO!$W$15,ROW(AF144)-ROW(AF$15),0),15-13*ORÇAMENTO!$AF$11)),0)</f>
        <v>0</v>
      </c>
      <c r="AG144" s="627">
        <f ca="1">IF(AND($D144="Serviço",AG$12&lt;&gt;0,$H144&gt;0,OR(AUTOEVENTO&lt;&gt;"manual",$M144&lt;&gt;1)),
IF(Import.TipoArredondamento&lt;&gt;"TransfereGOV",
ROUND(OFFSET($P144,0,AG$13),15-13*ORÇAMENTO!$AF$7)/$H144*OFFSET(ORÇAMENTO!$X$15,ROW(AG144)-ROW(AG$15),0),
ROUND(ROUND(OFFSET($P144,0,AG$13),15-13*ORÇAMENTO!$AF$7)*OFFSET(ORÇAMENTO!$W$15,ROW(AG144)-ROW(AG$15),0),15-13*ORÇAMENTO!$AF$11)),0)</f>
        <v>0</v>
      </c>
      <c r="AH144" s="627">
        <f ca="1">IF(AND($D144="Serviço",AH$12&lt;&gt;0,$H144&gt;0,OR(AUTOEVENTO&lt;&gt;"manual",$M144&lt;&gt;1)),
IF(Import.TipoArredondamento&lt;&gt;"TransfereGOV",
ROUND(OFFSET($P144,0,AH$13),15-13*ORÇAMENTO!$AF$7)/$H144*OFFSET(ORÇAMENTO!$X$15,ROW(AH144)-ROW(AH$15),0),
ROUND(ROUND(OFFSET($P144,0,AH$13),15-13*ORÇAMENTO!$AF$7)*OFFSET(ORÇAMENTO!$W$15,ROW(AH144)-ROW(AH$15),0),15-13*ORÇAMENTO!$AF$11)),0)</f>
        <v>0</v>
      </c>
      <c r="AI144" s="627">
        <f ca="1">IF(AND($D144="Serviço",AI$12&lt;&gt;0,$H144&gt;0,OR(AUTOEVENTO&lt;&gt;"manual",$M144&lt;&gt;1)),
IF(Import.TipoArredondamento&lt;&gt;"TransfereGOV",
ROUND(OFFSET($P144,0,AI$13),15-13*ORÇAMENTO!$AF$7)/$H144*OFFSET(ORÇAMENTO!$X$15,ROW(AI144)-ROW(AI$15),0),
ROUND(ROUND(OFFSET($P144,0,AI$13),15-13*ORÇAMENTO!$AF$7)*OFFSET(ORÇAMENTO!$W$15,ROW(AI144)-ROW(AI$15),0),15-13*ORÇAMENTO!$AF$11)),0)</f>
        <v>0</v>
      </c>
      <c r="AJ144" s="627">
        <f ca="1">IF(AND($D144="Serviço",AJ$12&lt;&gt;0,$H144&gt;0,OR(AUTOEVENTO&lt;&gt;"manual",$M144&lt;&gt;1)),
IF(Import.TipoArredondamento&lt;&gt;"TransfereGOV",
ROUND(OFFSET($P144,0,AJ$13),15-13*ORÇAMENTO!$AF$7)/$H144*OFFSET(ORÇAMENTO!$X$15,ROW(AJ144)-ROW(AJ$15),0),
ROUND(ROUND(OFFSET($P144,0,AJ$13),15-13*ORÇAMENTO!$AF$7)*OFFSET(ORÇAMENTO!$W$15,ROW(AJ144)-ROW(AJ$15),0),15-13*ORÇAMENTO!$AF$11)),0)</f>
        <v>0</v>
      </c>
      <c r="AK144" s="628">
        <f ca="1">IF(AND($D144="Serviço",AK$12&lt;&gt;0,$H144&gt;0,OR(AUTOEVENTO&lt;&gt;"manual",$M144&lt;&gt;1)),
IF(Import.TipoArredondamento&lt;&gt;"TransfereGOV",
ROUND(OFFSET($P144,0,AK$13),15-13*ORÇAMENTO!$AF$7)/$H144*OFFSET(ORÇAMENTO!$X$15,ROW(AK144)-ROW(AK$15),0),
ROUND(ROUND(OFFSET($P144,0,AK$13),15-13*ORÇAMENTO!$AF$7)*OFFSET(ORÇAMENTO!$W$15,ROW(AK144)-ROW(AK$15),0),15-13*ORÇAMENTO!$AF$11)),0)</f>
        <v>0</v>
      </c>
      <c r="AM144" s="211">
        <f ca="1">IF($D144&lt;&gt;"Serviço",0,IF(AND(AUTOEVENTO="Manual",$M144=1),0,IF(OFFSET(CRONOPLE!$F$14,$M144,AM$13)="",10^12,OFFSET(CRONOPLE!$F$14,$M144,AM$13))))</f>
        <v>2</v>
      </c>
      <c r="AN144" s="211">
        <f ca="1">IF($D144&lt;&gt;"Serviço",0,IF(AND(AUTOEVENTO="Manual",$M144=1),0,IF(OFFSET(CRONOPLE!$F$14,$M144,AN$13)="",10^12,OFFSET(CRONOPLE!$F$14,$M144,AN$13))))</f>
        <v>1</v>
      </c>
      <c r="AO144" s="211">
        <f ca="1">IF($D144&lt;&gt;"Serviço",0,IF(AND(AUTOEVENTO="Manual",$M144=1),0,IF(OFFSET(CRONOPLE!$F$14,$M144,AO$13)="",10^12,OFFSET(CRONOPLE!$F$14,$M144,AO$13))))</f>
        <v>2</v>
      </c>
      <c r="AP144" s="211">
        <f ca="1">IF($D144&lt;&gt;"Serviço",0,IF(AND(AUTOEVENTO="Manual",$M144=1),0,IF(OFFSET(CRONOPLE!$F$14,$M144,AP$13)="",10^12,OFFSET(CRONOPLE!$F$14,$M144,AP$13))))</f>
        <v>2</v>
      </c>
      <c r="AQ144" s="211">
        <f ca="1">IF($D144&lt;&gt;"Serviço",0,IF(AND(AUTOEVENTO="Manual",$M144=1),0,IF(OFFSET(CRONOPLE!$F$14,$M144,AQ$13)="",10^12,OFFSET(CRONOPLE!$F$14,$M144,AQ$13))))</f>
        <v>1000000000000</v>
      </c>
      <c r="AR144" s="211">
        <f ca="1">IF($D144&lt;&gt;"Serviço",0,IF(AND(AUTOEVENTO="Manual",$M144=1),0,IF(OFFSET(CRONOPLE!$F$14,$M144,AR$13)="",10^12,OFFSET(CRONOPLE!$F$14,$M144,AR$13))))</f>
        <v>1000000000000</v>
      </c>
      <c r="AS144" s="211">
        <f ca="1">IF($D144&lt;&gt;"Serviço",0,IF(AND(AUTOEVENTO="Manual",$M144=1),0,IF(OFFSET(CRONOPLE!$F$14,$M144,AS$13)="",10^12,OFFSET(CRONOPLE!$F$14,$M144,AS$13))))</f>
        <v>1000000000000</v>
      </c>
      <c r="AT144" s="211">
        <f ca="1">IF($D144&lt;&gt;"Serviço",0,IF(AND(AUTOEVENTO="Manual",$M144=1),0,IF(OFFSET(CRONOPLE!$F$14,$M144,AT$13)="",10^12,OFFSET(CRONOPLE!$F$14,$M144,AT$13))))</f>
        <v>1000000000000</v>
      </c>
      <c r="AU144" s="211">
        <f ca="1">IF($D144&lt;&gt;"Serviço",0,IF(AND(AUTOEVENTO="Manual",$M144=1),0,IF(OFFSET(CRONOPLE!$F$14,$M144,AU$13)="",10^12,OFFSET(CRONOPLE!$F$14,$M144,AU$13))))</f>
        <v>1000000000000</v>
      </c>
      <c r="AV144" s="211">
        <f ca="1">IF($D144&lt;&gt;"Serviço",0,IF(AND(AUTOEVENTO="Manual",$M144=1),0,IF(OFFSET(CRONOPLE!$F$14,$M144,AV$13)="",10^12,OFFSET(CRONOPLE!$F$14,$M144,AV$13))))</f>
        <v>1000000000000</v>
      </c>
      <c r="AX144" s="212">
        <f ca="1">IF($D144&lt;&gt;"Serviço",0,IF(OR(AND(AUTOEVENTO="Manual",$M144=1),$M144&gt;(ROW(PLE.lastrow)-ROW(PLE.firstrow))),0,IF(OFFSET(PLE!$G$14,$M144,AX$13)="",10^12,OFFSET(PLE!$G$14,$M144,AX$13))))</f>
        <v>1000000000000</v>
      </c>
      <c r="AY144" s="212">
        <f ca="1">IF($D144&lt;&gt;"Serviço",0,IF(OR(AND(AUTOEVENTO="Manual",$M144=1),$M144&gt;(ROW(PLE.lastrow)-ROW(PLE.firstrow))),0,IF(OFFSET(PLE!$G$14,$M144,AY$13)="",10^12,OFFSET(PLE!$G$14,$M144,AY$13))))</f>
        <v>1000000000000</v>
      </c>
      <c r="AZ144" s="212">
        <f ca="1">IF($D144&lt;&gt;"Serviço",0,IF(OR(AND(AUTOEVENTO="Manual",$M144=1),$M144&gt;(ROW(PLE.lastrow)-ROW(PLE.firstrow))),0,IF(OFFSET(PLE!$G$14,$M144,AZ$13)="",10^12,OFFSET(PLE!$G$14,$M144,AZ$13))))</f>
        <v>1000000000000</v>
      </c>
      <c r="BA144" s="212">
        <f ca="1">IF($D144&lt;&gt;"Serviço",0,IF(OR(AND(AUTOEVENTO="Manual",$M144=1),$M144&gt;(ROW(PLE.lastrow)-ROW(PLE.firstrow))),0,IF(OFFSET(PLE!$G$14,$M144,BA$13)="",10^12,OFFSET(PLE!$G$14,$M144,BA$13))))</f>
        <v>1000000000000</v>
      </c>
      <c r="BB144" s="212">
        <f ca="1">IF($D144&lt;&gt;"Serviço",0,IF(OR(AND(AUTOEVENTO="Manual",$M144=1),$M144&gt;(ROW(PLE.lastrow)-ROW(PLE.firstrow))),0,IF(OFFSET(PLE!$G$14,$M144,BB$13)="",10^12,OFFSET(PLE!$G$14,$M144,BB$13))))</f>
        <v>1000000000000</v>
      </c>
      <c r="BC144" s="212">
        <f ca="1">IF($D144&lt;&gt;"Serviço",0,IF(OR(AND(AUTOEVENTO="Manual",$M144=1),$M144&gt;(ROW(PLE.lastrow)-ROW(PLE.firstrow))),0,IF(OFFSET(PLE!$G$14,$M144,BC$13)="",10^12,OFFSET(PLE!$G$14,$M144,BC$13))))</f>
        <v>1000000000000</v>
      </c>
      <c r="BD144" s="212">
        <f ca="1">IF($D144&lt;&gt;"Serviço",0,IF(OR(AND(AUTOEVENTO="Manual",$M144=1),$M144&gt;(ROW(PLE.lastrow)-ROW(PLE.firstrow))),0,IF(OFFSET(PLE!$G$14,$M144,BD$13)="",10^12,OFFSET(PLE!$G$14,$M144,BD$13))))</f>
        <v>1000000000000</v>
      </c>
      <c r="BE144" s="212">
        <f ca="1">IF($D144&lt;&gt;"Serviço",0,IF(OR(AND(AUTOEVENTO="Manual",$M144=1),$M144&gt;(ROW(PLE.lastrow)-ROW(PLE.firstrow))),0,IF(OFFSET(PLE!$G$14,$M144,BE$13)="",10^12,OFFSET(PLE!$G$14,$M144,BE$13))))</f>
        <v>1000000000000</v>
      </c>
      <c r="BF144" s="212">
        <f ca="1">IF($D144&lt;&gt;"Serviço",0,IF(OR(AND(AUTOEVENTO="Manual",$M144=1),$M144&gt;(ROW(PLE.lastrow)-ROW(PLE.firstrow))),0,IF(OFFSET(PLE!$G$14,$M144,BF$13)="",10^12,OFFSET(PLE!$G$14,$M144,BF$13))))</f>
        <v>1000000000000</v>
      </c>
      <c r="BG144" s="212">
        <f ca="1">IF($D144&lt;&gt;"Serviço",0,IF(OR(AND(AUTOEVENTO="Manual",$M144=1),$M144&gt;(ROW(PLE.lastrow)-ROW(PLE.firstrow))),0,IF(OFFSET(PLE!$G$14,$M144,BG$13)="",10^12,OFFSET(PLE!$G$14,$M144,BG$13))))</f>
        <v>1000000000000</v>
      </c>
    </row>
    <row r="145" spans="1:59" ht="13.2">
      <c r="A145" s="9" t="str">
        <f t="shared" ca="1" si="11"/>
        <v>15</v>
      </c>
      <c r="B145" s="9" t="str">
        <f ca="1">OFFSET(ORÇAMENTO!C$15,ROW(B145)-ROW(B$15),0)</f>
        <v>S</v>
      </c>
      <c r="C145" s="9" t="str">
        <f ca="1">OFFSET(ORÇAMENTO!L$15,ROW(C145)-ROW(C$15),0)</f>
        <v/>
      </c>
      <c r="D145" s="141" t="str">
        <f ca="1">OFFSET(ORÇAMENTO!N$15,ROW(D145)-ROW(D$15),0)</f>
        <v>Serviço</v>
      </c>
      <c r="E145" s="201" t="str">
        <f ca="1">OFFSET(ORÇAMENTO!O$15,ROW(E145)-ROW(E$15),0)</f>
        <v>-</v>
      </c>
      <c r="F145" s="202" t="str">
        <f ca="1">OFFSET(ORÇAMENTO!R$15,ROW(F145)-ROW(F$15),0)</f>
        <v>(abra o arquivo 'Referência 11-2024.xlsm)</v>
      </c>
      <c r="G145" s="203" t="str">
        <f ca="1">IF($D145&lt;&gt;"Serviço","",OFFSET(ORÇAMENTO!S$15,ROW(G145)-ROW(G$15),0))</f>
        <v>-</v>
      </c>
      <c r="H145" s="147">
        <f ca="1">IF($D145&lt;&gt;"Serviço",0,IF(ACOMPANHAMENTO="BM",ROUND(OFFSET(ORÇAMENTO!AJ$15,ROW(H145)-ROW(H$15),0),15-13*ORÇAMENTO!$AF$7),SUMPRODUCT(($Q$12:$AA$12&lt;&gt;"")*ROUND($Q145:$AA145,15-13*ORÇAMENTO!$AF$7))))</f>
        <v>0</v>
      </c>
      <c r="I145" s="645"/>
      <c r="K145" s="204"/>
      <c r="L145" s="205" t="s">
        <v>255</v>
      </c>
      <c r="M145" s="206">
        <f ca="1">IF($D145&lt;&gt;"Serviço","",IF(AUTOEVENTO="manual",$A145,IF(ISERROR(MATCH($A145,$A$15:OFFSET($A145,-1,0),0)),MAX($M$15:OFFSET(M145,-1,0))+1,INDEX($M$15:OFFSET(M145,-1,0),MATCH($A145,$A$15:OFFSET($A145,-1,0),0)))))</f>
        <v>6</v>
      </c>
      <c r="N145" s="207" t="str">
        <f ca="1">IF($D145&lt;&gt;"Serviço","",IF(AUTOEVENTO="Manual",IF($A145=0,"&lt;-- defina o número do agrupador",OFFSET(EVENTOS!$D$14,$A145,0)),OFFSET($F$15,$A145,0)))</f>
        <v>DRENAGEM</v>
      </c>
      <c r="O145" s="208"/>
      <c r="Q145" s="208"/>
      <c r="R145" s="209"/>
      <c r="S145" s="209"/>
      <c r="T145" s="209"/>
      <c r="U145" s="209"/>
      <c r="V145" s="209"/>
      <c r="W145" s="209"/>
      <c r="X145" s="209"/>
      <c r="Y145" s="209"/>
      <c r="Z145" s="210"/>
      <c r="AB145" s="626">
        <f ca="1">IF(AND($D145="Serviço",AB$12&lt;&gt;0,$H145&gt;0,OR(AUTOEVENTO&lt;&gt;"manual",$M145&lt;&gt;1)),
IF(Import.TipoArredondamento&lt;&gt;"TransfereGOV",
ROUND(OFFSET($P145,0,AB$13),15-13*ORÇAMENTO!$AF$7)/$H145*OFFSET(ORÇAMENTO!$X$15,ROW(AB145)-ROW(AB$15),0),
ROUND(ROUND(OFFSET($P145,0,AB$13),15-13*ORÇAMENTO!$AF$7)*OFFSET(ORÇAMENTO!$W$15,ROW(AB145)-ROW(AB$15),0),15-13*ORÇAMENTO!$AF$11)),0)</f>
        <v>0</v>
      </c>
      <c r="AC145" s="627">
        <f ca="1">IF(AND($D145="Serviço",AC$12&lt;&gt;0,$H145&gt;0,OR(AUTOEVENTO&lt;&gt;"manual",$M145&lt;&gt;1)),
IF(Import.TipoArredondamento&lt;&gt;"TransfereGOV",
ROUND(OFFSET($P145,0,AC$13),15-13*ORÇAMENTO!$AF$7)/$H145*OFFSET(ORÇAMENTO!$X$15,ROW(AC145)-ROW(AC$15),0),
ROUND(ROUND(OFFSET($P145,0,AC$13),15-13*ORÇAMENTO!$AF$7)*OFFSET(ORÇAMENTO!$W$15,ROW(AC145)-ROW(AC$15),0),15-13*ORÇAMENTO!$AF$11)),0)</f>
        <v>0</v>
      </c>
      <c r="AD145" s="627">
        <f ca="1">IF(AND($D145="Serviço",AD$12&lt;&gt;0,$H145&gt;0,OR(AUTOEVENTO&lt;&gt;"manual",$M145&lt;&gt;1)),
IF(Import.TipoArredondamento&lt;&gt;"TransfereGOV",
ROUND(OFFSET($P145,0,AD$13),15-13*ORÇAMENTO!$AF$7)/$H145*OFFSET(ORÇAMENTO!$X$15,ROW(AD145)-ROW(AD$15),0),
ROUND(ROUND(OFFSET($P145,0,AD$13),15-13*ORÇAMENTO!$AF$7)*OFFSET(ORÇAMENTO!$W$15,ROW(AD145)-ROW(AD$15),0),15-13*ORÇAMENTO!$AF$11)),0)</f>
        <v>0</v>
      </c>
      <c r="AE145" s="627">
        <f ca="1">IF(AND($D145="Serviço",AE$12&lt;&gt;0,$H145&gt;0,OR(AUTOEVENTO&lt;&gt;"manual",$M145&lt;&gt;1)),
IF(Import.TipoArredondamento&lt;&gt;"TransfereGOV",
ROUND(OFFSET($P145,0,AE$13),15-13*ORÇAMENTO!$AF$7)/$H145*OFFSET(ORÇAMENTO!$X$15,ROW(AE145)-ROW(AE$15),0),
ROUND(ROUND(OFFSET($P145,0,AE$13),15-13*ORÇAMENTO!$AF$7)*OFFSET(ORÇAMENTO!$W$15,ROW(AE145)-ROW(AE$15),0),15-13*ORÇAMENTO!$AF$11)),0)</f>
        <v>0</v>
      </c>
      <c r="AF145" s="627">
        <f ca="1">IF(AND($D145="Serviço",AF$12&lt;&gt;0,$H145&gt;0,OR(AUTOEVENTO&lt;&gt;"manual",$M145&lt;&gt;1)),
IF(Import.TipoArredondamento&lt;&gt;"TransfereGOV",
ROUND(OFFSET($P145,0,AF$13),15-13*ORÇAMENTO!$AF$7)/$H145*OFFSET(ORÇAMENTO!$X$15,ROW(AF145)-ROW(AF$15),0),
ROUND(ROUND(OFFSET($P145,0,AF$13),15-13*ORÇAMENTO!$AF$7)*OFFSET(ORÇAMENTO!$W$15,ROW(AF145)-ROW(AF$15),0),15-13*ORÇAMENTO!$AF$11)),0)</f>
        <v>0</v>
      </c>
      <c r="AG145" s="627">
        <f ca="1">IF(AND($D145="Serviço",AG$12&lt;&gt;0,$H145&gt;0,OR(AUTOEVENTO&lt;&gt;"manual",$M145&lt;&gt;1)),
IF(Import.TipoArredondamento&lt;&gt;"TransfereGOV",
ROUND(OFFSET($P145,0,AG$13),15-13*ORÇAMENTO!$AF$7)/$H145*OFFSET(ORÇAMENTO!$X$15,ROW(AG145)-ROW(AG$15),0),
ROUND(ROUND(OFFSET($P145,0,AG$13),15-13*ORÇAMENTO!$AF$7)*OFFSET(ORÇAMENTO!$W$15,ROW(AG145)-ROW(AG$15),0),15-13*ORÇAMENTO!$AF$11)),0)</f>
        <v>0</v>
      </c>
      <c r="AH145" s="627">
        <f ca="1">IF(AND($D145="Serviço",AH$12&lt;&gt;0,$H145&gt;0,OR(AUTOEVENTO&lt;&gt;"manual",$M145&lt;&gt;1)),
IF(Import.TipoArredondamento&lt;&gt;"TransfereGOV",
ROUND(OFFSET($P145,0,AH$13),15-13*ORÇAMENTO!$AF$7)/$H145*OFFSET(ORÇAMENTO!$X$15,ROW(AH145)-ROW(AH$15),0),
ROUND(ROUND(OFFSET($P145,0,AH$13),15-13*ORÇAMENTO!$AF$7)*OFFSET(ORÇAMENTO!$W$15,ROW(AH145)-ROW(AH$15),0),15-13*ORÇAMENTO!$AF$11)),0)</f>
        <v>0</v>
      </c>
      <c r="AI145" s="627">
        <f ca="1">IF(AND($D145="Serviço",AI$12&lt;&gt;0,$H145&gt;0,OR(AUTOEVENTO&lt;&gt;"manual",$M145&lt;&gt;1)),
IF(Import.TipoArredondamento&lt;&gt;"TransfereGOV",
ROUND(OFFSET($P145,0,AI$13),15-13*ORÇAMENTO!$AF$7)/$H145*OFFSET(ORÇAMENTO!$X$15,ROW(AI145)-ROW(AI$15),0),
ROUND(ROUND(OFFSET($P145,0,AI$13),15-13*ORÇAMENTO!$AF$7)*OFFSET(ORÇAMENTO!$W$15,ROW(AI145)-ROW(AI$15),0),15-13*ORÇAMENTO!$AF$11)),0)</f>
        <v>0</v>
      </c>
      <c r="AJ145" s="627">
        <f ca="1">IF(AND($D145="Serviço",AJ$12&lt;&gt;0,$H145&gt;0,OR(AUTOEVENTO&lt;&gt;"manual",$M145&lt;&gt;1)),
IF(Import.TipoArredondamento&lt;&gt;"TransfereGOV",
ROUND(OFFSET($P145,0,AJ$13),15-13*ORÇAMENTO!$AF$7)/$H145*OFFSET(ORÇAMENTO!$X$15,ROW(AJ145)-ROW(AJ$15),0),
ROUND(ROUND(OFFSET($P145,0,AJ$13),15-13*ORÇAMENTO!$AF$7)*OFFSET(ORÇAMENTO!$W$15,ROW(AJ145)-ROW(AJ$15),0),15-13*ORÇAMENTO!$AF$11)),0)</f>
        <v>0</v>
      </c>
      <c r="AK145" s="628">
        <f ca="1">IF(AND($D145="Serviço",AK$12&lt;&gt;0,$H145&gt;0,OR(AUTOEVENTO&lt;&gt;"manual",$M145&lt;&gt;1)),
IF(Import.TipoArredondamento&lt;&gt;"TransfereGOV",
ROUND(OFFSET($P145,0,AK$13),15-13*ORÇAMENTO!$AF$7)/$H145*OFFSET(ORÇAMENTO!$X$15,ROW(AK145)-ROW(AK$15),0),
ROUND(ROUND(OFFSET($P145,0,AK$13),15-13*ORÇAMENTO!$AF$7)*OFFSET(ORÇAMENTO!$W$15,ROW(AK145)-ROW(AK$15),0),15-13*ORÇAMENTO!$AF$11)),0)</f>
        <v>0</v>
      </c>
      <c r="AM145" s="211">
        <f ca="1">IF($D145&lt;&gt;"Serviço",0,IF(AND(AUTOEVENTO="Manual",$M145=1),0,IF(OFFSET(CRONOPLE!$F$14,$M145,AM$13)="",10^12,OFFSET(CRONOPLE!$F$14,$M145,AM$13))))</f>
        <v>2</v>
      </c>
      <c r="AN145" s="211">
        <f ca="1">IF($D145&lt;&gt;"Serviço",0,IF(AND(AUTOEVENTO="Manual",$M145=1),0,IF(OFFSET(CRONOPLE!$F$14,$M145,AN$13)="",10^12,OFFSET(CRONOPLE!$F$14,$M145,AN$13))))</f>
        <v>1</v>
      </c>
      <c r="AO145" s="211">
        <f ca="1">IF($D145&lt;&gt;"Serviço",0,IF(AND(AUTOEVENTO="Manual",$M145=1),0,IF(OFFSET(CRONOPLE!$F$14,$M145,AO$13)="",10^12,OFFSET(CRONOPLE!$F$14,$M145,AO$13))))</f>
        <v>2</v>
      </c>
      <c r="AP145" s="211">
        <f ca="1">IF($D145&lt;&gt;"Serviço",0,IF(AND(AUTOEVENTO="Manual",$M145=1),0,IF(OFFSET(CRONOPLE!$F$14,$M145,AP$13)="",10^12,OFFSET(CRONOPLE!$F$14,$M145,AP$13))))</f>
        <v>2</v>
      </c>
      <c r="AQ145" s="211">
        <f ca="1">IF($D145&lt;&gt;"Serviço",0,IF(AND(AUTOEVENTO="Manual",$M145=1),0,IF(OFFSET(CRONOPLE!$F$14,$M145,AQ$13)="",10^12,OFFSET(CRONOPLE!$F$14,$M145,AQ$13))))</f>
        <v>1000000000000</v>
      </c>
      <c r="AR145" s="211">
        <f ca="1">IF($D145&lt;&gt;"Serviço",0,IF(AND(AUTOEVENTO="Manual",$M145=1),0,IF(OFFSET(CRONOPLE!$F$14,$M145,AR$13)="",10^12,OFFSET(CRONOPLE!$F$14,$M145,AR$13))))</f>
        <v>1000000000000</v>
      </c>
      <c r="AS145" s="211">
        <f ca="1">IF($D145&lt;&gt;"Serviço",0,IF(AND(AUTOEVENTO="Manual",$M145=1),0,IF(OFFSET(CRONOPLE!$F$14,$M145,AS$13)="",10^12,OFFSET(CRONOPLE!$F$14,$M145,AS$13))))</f>
        <v>1000000000000</v>
      </c>
      <c r="AT145" s="211">
        <f ca="1">IF($D145&lt;&gt;"Serviço",0,IF(AND(AUTOEVENTO="Manual",$M145=1),0,IF(OFFSET(CRONOPLE!$F$14,$M145,AT$13)="",10^12,OFFSET(CRONOPLE!$F$14,$M145,AT$13))))</f>
        <v>1000000000000</v>
      </c>
      <c r="AU145" s="211">
        <f ca="1">IF($D145&lt;&gt;"Serviço",0,IF(AND(AUTOEVENTO="Manual",$M145=1),0,IF(OFFSET(CRONOPLE!$F$14,$M145,AU$13)="",10^12,OFFSET(CRONOPLE!$F$14,$M145,AU$13))))</f>
        <v>1000000000000</v>
      </c>
      <c r="AV145" s="211">
        <f ca="1">IF($D145&lt;&gt;"Serviço",0,IF(AND(AUTOEVENTO="Manual",$M145=1),0,IF(OFFSET(CRONOPLE!$F$14,$M145,AV$13)="",10^12,OFFSET(CRONOPLE!$F$14,$M145,AV$13))))</f>
        <v>1000000000000</v>
      </c>
      <c r="AX145" s="212">
        <f ca="1">IF($D145&lt;&gt;"Serviço",0,IF(OR(AND(AUTOEVENTO="Manual",$M145=1),$M145&gt;(ROW(PLE.lastrow)-ROW(PLE.firstrow))),0,IF(OFFSET(PLE!$G$14,$M145,AX$13)="",10^12,OFFSET(PLE!$G$14,$M145,AX$13))))</f>
        <v>1000000000000</v>
      </c>
      <c r="AY145" s="212">
        <f ca="1">IF($D145&lt;&gt;"Serviço",0,IF(OR(AND(AUTOEVENTO="Manual",$M145=1),$M145&gt;(ROW(PLE.lastrow)-ROW(PLE.firstrow))),0,IF(OFFSET(PLE!$G$14,$M145,AY$13)="",10^12,OFFSET(PLE!$G$14,$M145,AY$13))))</f>
        <v>1000000000000</v>
      </c>
      <c r="AZ145" s="212">
        <f ca="1">IF($D145&lt;&gt;"Serviço",0,IF(OR(AND(AUTOEVENTO="Manual",$M145=1),$M145&gt;(ROW(PLE.lastrow)-ROW(PLE.firstrow))),0,IF(OFFSET(PLE!$G$14,$M145,AZ$13)="",10^12,OFFSET(PLE!$G$14,$M145,AZ$13))))</f>
        <v>1000000000000</v>
      </c>
      <c r="BA145" s="212">
        <f ca="1">IF($D145&lt;&gt;"Serviço",0,IF(OR(AND(AUTOEVENTO="Manual",$M145=1),$M145&gt;(ROW(PLE.lastrow)-ROW(PLE.firstrow))),0,IF(OFFSET(PLE!$G$14,$M145,BA$13)="",10^12,OFFSET(PLE!$G$14,$M145,BA$13))))</f>
        <v>1000000000000</v>
      </c>
      <c r="BB145" s="212">
        <f ca="1">IF($D145&lt;&gt;"Serviço",0,IF(OR(AND(AUTOEVENTO="Manual",$M145=1),$M145&gt;(ROW(PLE.lastrow)-ROW(PLE.firstrow))),0,IF(OFFSET(PLE!$G$14,$M145,BB$13)="",10^12,OFFSET(PLE!$G$14,$M145,BB$13))))</f>
        <v>1000000000000</v>
      </c>
      <c r="BC145" s="212">
        <f ca="1">IF($D145&lt;&gt;"Serviço",0,IF(OR(AND(AUTOEVENTO="Manual",$M145=1),$M145&gt;(ROW(PLE.lastrow)-ROW(PLE.firstrow))),0,IF(OFFSET(PLE!$G$14,$M145,BC$13)="",10^12,OFFSET(PLE!$G$14,$M145,BC$13))))</f>
        <v>1000000000000</v>
      </c>
      <c r="BD145" s="212">
        <f ca="1">IF($D145&lt;&gt;"Serviço",0,IF(OR(AND(AUTOEVENTO="Manual",$M145=1),$M145&gt;(ROW(PLE.lastrow)-ROW(PLE.firstrow))),0,IF(OFFSET(PLE!$G$14,$M145,BD$13)="",10^12,OFFSET(PLE!$G$14,$M145,BD$13))))</f>
        <v>1000000000000</v>
      </c>
      <c r="BE145" s="212">
        <f ca="1">IF($D145&lt;&gt;"Serviço",0,IF(OR(AND(AUTOEVENTO="Manual",$M145=1),$M145&gt;(ROW(PLE.lastrow)-ROW(PLE.firstrow))),0,IF(OFFSET(PLE!$G$14,$M145,BE$13)="",10^12,OFFSET(PLE!$G$14,$M145,BE$13))))</f>
        <v>1000000000000</v>
      </c>
      <c r="BF145" s="212">
        <f ca="1">IF($D145&lt;&gt;"Serviço",0,IF(OR(AND(AUTOEVENTO="Manual",$M145=1),$M145&gt;(ROW(PLE.lastrow)-ROW(PLE.firstrow))),0,IF(OFFSET(PLE!$G$14,$M145,BF$13)="",10^12,OFFSET(PLE!$G$14,$M145,BF$13))))</f>
        <v>1000000000000</v>
      </c>
      <c r="BG145" s="212">
        <f ca="1">IF($D145&lt;&gt;"Serviço",0,IF(OR(AND(AUTOEVENTO="Manual",$M145=1),$M145&gt;(ROW(PLE.lastrow)-ROW(PLE.firstrow))),0,IF(OFFSET(PLE!$G$14,$M145,BG$13)="",10^12,OFFSET(PLE!$G$14,$M145,BG$13))))</f>
        <v>1000000000000</v>
      </c>
    </row>
    <row r="146" spans="1:59" ht="13.2">
      <c r="A146" s="9" t="str">
        <f t="shared" ca="1" si="11"/>
        <v>15</v>
      </c>
      <c r="B146" s="9" t="str">
        <f ca="1">OFFSET(ORÇAMENTO!C$15,ROW(B146)-ROW(B$15),0)</f>
        <v>S</v>
      </c>
      <c r="C146" s="9" t="str">
        <f ca="1">OFFSET(ORÇAMENTO!L$15,ROW(C146)-ROW(C$15),0)</f>
        <v/>
      </c>
      <c r="D146" s="141" t="str">
        <f ca="1">OFFSET(ORÇAMENTO!N$15,ROW(D146)-ROW(D$15),0)</f>
        <v>Serviço</v>
      </c>
      <c r="E146" s="201" t="str">
        <f ca="1">OFFSET(ORÇAMENTO!O$15,ROW(E146)-ROW(E$15),0)</f>
        <v>-</v>
      </c>
      <c r="F146" s="202" t="str">
        <f ca="1">OFFSET(ORÇAMENTO!R$15,ROW(F146)-ROW(F$15),0)</f>
        <v>(abra o arquivo 'Referência 11-2024.xlsm)</v>
      </c>
      <c r="G146" s="203" t="str">
        <f ca="1">IF($D146&lt;&gt;"Serviço","",OFFSET(ORÇAMENTO!S$15,ROW(G146)-ROW(G$15),0))</f>
        <v>-</v>
      </c>
      <c r="H146" s="147">
        <f ca="1">IF($D146&lt;&gt;"Serviço",0,IF(ACOMPANHAMENTO="BM",ROUND(OFFSET(ORÇAMENTO!AJ$15,ROW(H146)-ROW(H$15),0),15-13*ORÇAMENTO!$AF$7),SUMPRODUCT(($Q$12:$AA$12&lt;&gt;"")*ROUND($Q146:$AA146,15-13*ORÇAMENTO!$AF$7))))</f>
        <v>0</v>
      </c>
      <c r="I146" s="645"/>
      <c r="K146" s="204"/>
      <c r="L146" s="205" t="s">
        <v>255</v>
      </c>
      <c r="M146" s="206">
        <f ca="1">IF($D146&lt;&gt;"Serviço","",IF(AUTOEVENTO="manual",$A146,IF(ISERROR(MATCH($A146,$A$15:OFFSET($A146,-1,0),0)),MAX($M$15:OFFSET(M146,-1,0))+1,INDEX($M$15:OFFSET(M146,-1,0),MATCH($A146,$A$15:OFFSET($A146,-1,0),0)))))</f>
        <v>6</v>
      </c>
      <c r="N146" s="207" t="str">
        <f ca="1">IF($D146&lt;&gt;"Serviço","",IF(AUTOEVENTO="Manual",IF($A146=0,"&lt;-- defina o número do agrupador",OFFSET(EVENTOS!$D$14,$A146,0)),OFFSET($F$15,$A146,0)))</f>
        <v>DRENAGEM</v>
      </c>
      <c r="O146" s="208"/>
      <c r="Q146" s="208"/>
      <c r="R146" s="209"/>
      <c r="S146" s="209"/>
      <c r="T146" s="209"/>
      <c r="U146" s="209"/>
      <c r="V146" s="209"/>
      <c r="W146" s="209"/>
      <c r="X146" s="209"/>
      <c r="Y146" s="209"/>
      <c r="Z146" s="210"/>
      <c r="AB146" s="626">
        <f ca="1">IF(AND($D146="Serviço",AB$12&lt;&gt;0,$H146&gt;0,OR(AUTOEVENTO&lt;&gt;"manual",$M146&lt;&gt;1)),
IF(Import.TipoArredondamento&lt;&gt;"TransfereGOV",
ROUND(OFFSET($P146,0,AB$13),15-13*ORÇAMENTO!$AF$7)/$H146*OFFSET(ORÇAMENTO!$X$15,ROW(AB146)-ROW(AB$15),0),
ROUND(ROUND(OFFSET($P146,0,AB$13),15-13*ORÇAMENTO!$AF$7)*OFFSET(ORÇAMENTO!$W$15,ROW(AB146)-ROW(AB$15),0),15-13*ORÇAMENTO!$AF$11)),0)</f>
        <v>0</v>
      </c>
      <c r="AC146" s="627">
        <f ca="1">IF(AND($D146="Serviço",AC$12&lt;&gt;0,$H146&gt;0,OR(AUTOEVENTO&lt;&gt;"manual",$M146&lt;&gt;1)),
IF(Import.TipoArredondamento&lt;&gt;"TransfereGOV",
ROUND(OFFSET($P146,0,AC$13),15-13*ORÇAMENTO!$AF$7)/$H146*OFFSET(ORÇAMENTO!$X$15,ROW(AC146)-ROW(AC$15),0),
ROUND(ROUND(OFFSET($P146,0,AC$13),15-13*ORÇAMENTO!$AF$7)*OFFSET(ORÇAMENTO!$W$15,ROW(AC146)-ROW(AC$15),0),15-13*ORÇAMENTO!$AF$11)),0)</f>
        <v>0</v>
      </c>
      <c r="AD146" s="627">
        <f ca="1">IF(AND($D146="Serviço",AD$12&lt;&gt;0,$H146&gt;0,OR(AUTOEVENTO&lt;&gt;"manual",$M146&lt;&gt;1)),
IF(Import.TipoArredondamento&lt;&gt;"TransfereGOV",
ROUND(OFFSET($P146,0,AD$13),15-13*ORÇAMENTO!$AF$7)/$H146*OFFSET(ORÇAMENTO!$X$15,ROW(AD146)-ROW(AD$15),0),
ROUND(ROUND(OFFSET($P146,0,AD$13),15-13*ORÇAMENTO!$AF$7)*OFFSET(ORÇAMENTO!$W$15,ROW(AD146)-ROW(AD$15),0),15-13*ORÇAMENTO!$AF$11)),0)</f>
        <v>0</v>
      </c>
      <c r="AE146" s="627">
        <f ca="1">IF(AND($D146="Serviço",AE$12&lt;&gt;0,$H146&gt;0,OR(AUTOEVENTO&lt;&gt;"manual",$M146&lt;&gt;1)),
IF(Import.TipoArredondamento&lt;&gt;"TransfereGOV",
ROUND(OFFSET($P146,0,AE$13),15-13*ORÇAMENTO!$AF$7)/$H146*OFFSET(ORÇAMENTO!$X$15,ROW(AE146)-ROW(AE$15),0),
ROUND(ROUND(OFFSET($P146,0,AE$13),15-13*ORÇAMENTO!$AF$7)*OFFSET(ORÇAMENTO!$W$15,ROW(AE146)-ROW(AE$15),0),15-13*ORÇAMENTO!$AF$11)),0)</f>
        <v>0</v>
      </c>
      <c r="AF146" s="627">
        <f ca="1">IF(AND($D146="Serviço",AF$12&lt;&gt;0,$H146&gt;0,OR(AUTOEVENTO&lt;&gt;"manual",$M146&lt;&gt;1)),
IF(Import.TipoArredondamento&lt;&gt;"TransfereGOV",
ROUND(OFFSET($P146,0,AF$13),15-13*ORÇAMENTO!$AF$7)/$H146*OFFSET(ORÇAMENTO!$X$15,ROW(AF146)-ROW(AF$15),0),
ROUND(ROUND(OFFSET($P146,0,AF$13),15-13*ORÇAMENTO!$AF$7)*OFFSET(ORÇAMENTO!$W$15,ROW(AF146)-ROW(AF$15),0),15-13*ORÇAMENTO!$AF$11)),0)</f>
        <v>0</v>
      </c>
      <c r="AG146" s="627">
        <f ca="1">IF(AND($D146="Serviço",AG$12&lt;&gt;0,$H146&gt;0,OR(AUTOEVENTO&lt;&gt;"manual",$M146&lt;&gt;1)),
IF(Import.TipoArredondamento&lt;&gt;"TransfereGOV",
ROUND(OFFSET($P146,0,AG$13),15-13*ORÇAMENTO!$AF$7)/$H146*OFFSET(ORÇAMENTO!$X$15,ROW(AG146)-ROW(AG$15),0),
ROUND(ROUND(OFFSET($P146,0,AG$13),15-13*ORÇAMENTO!$AF$7)*OFFSET(ORÇAMENTO!$W$15,ROW(AG146)-ROW(AG$15),0),15-13*ORÇAMENTO!$AF$11)),0)</f>
        <v>0</v>
      </c>
      <c r="AH146" s="627">
        <f ca="1">IF(AND($D146="Serviço",AH$12&lt;&gt;0,$H146&gt;0,OR(AUTOEVENTO&lt;&gt;"manual",$M146&lt;&gt;1)),
IF(Import.TipoArredondamento&lt;&gt;"TransfereGOV",
ROUND(OFFSET($P146,0,AH$13),15-13*ORÇAMENTO!$AF$7)/$H146*OFFSET(ORÇAMENTO!$X$15,ROW(AH146)-ROW(AH$15),0),
ROUND(ROUND(OFFSET($P146,0,AH$13),15-13*ORÇAMENTO!$AF$7)*OFFSET(ORÇAMENTO!$W$15,ROW(AH146)-ROW(AH$15),0),15-13*ORÇAMENTO!$AF$11)),0)</f>
        <v>0</v>
      </c>
      <c r="AI146" s="627">
        <f ca="1">IF(AND($D146="Serviço",AI$12&lt;&gt;0,$H146&gt;0,OR(AUTOEVENTO&lt;&gt;"manual",$M146&lt;&gt;1)),
IF(Import.TipoArredondamento&lt;&gt;"TransfereGOV",
ROUND(OFFSET($P146,0,AI$13),15-13*ORÇAMENTO!$AF$7)/$H146*OFFSET(ORÇAMENTO!$X$15,ROW(AI146)-ROW(AI$15),0),
ROUND(ROUND(OFFSET($P146,0,AI$13),15-13*ORÇAMENTO!$AF$7)*OFFSET(ORÇAMENTO!$W$15,ROW(AI146)-ROW(AI$15),0),15-13*ORÇAMENTO!$AF$11)),0)</f>
        <v>0</v>
      </c>
      <c r="AJ146" s="627">
        <f ca="1">IF(AND($D146="Serviço",AJ$12&lt;&gt;0,$H146&gt;0,OR(AUTOEVENTO&lt;&gt;"manual",$M146&lt;&gt;1)),
IF(Import.TipoArredondamento&lt;&gt;"TransfereGOV",
ROUND(OFFSET($P146,0,AJ$13),15-13*ORÇAMENTO!$AF$7)/$H146*OFFSET(ORÇAMENTO!$X$15,ROW(AJ146)-ROW(AJ$15),0),
ROUND(ROUND(OFFSET($P146,0,AJ$13),15-13*ORÇAMENTO!$AF$7)*OFFSET(ORÇAMENTO!$W$15,ROW(AJ146)-ROW(AJ$15),0),15-13*ORÇAMENTO!$AF$11)),0)</f>
        <v>0</v>
      </c>
      <c r="AK146" s="628">
        <f ca="1">IF(AND($D146="Serviço",AK$12&lt;&gt;0,$H146&gt;0,OR(AUTOEVENTO&lt;&gt;"manual",$M146&lt;&gt;1)),
IF(Import.TipoArredondamento&lt;&gt;"TransfereGOV",
ROUND(OFFSET($P146,0,AK$13),15-13*ORÇAMENTO!$AF$7)/$H146*OFFSET(ORÇAMENTO!$X$15,ROW(AK146)-ROW(AK$15),0),
ROUND(ROUND(OFFSET($P146,0,AK$13),15-13*ORÇAMENTO!$AF$7)*OFFSET(ORÇAMENTO!$W$15,ROW(AK146)-ROW(AK$15),0),15-13*ORÇAMENTO!$AF$11)),0)</f>
        <v>0</v>
      </c>
      <c r="AM146" s="211">
        <f ca="1">IF($D146&lt;&gt;"Serviço",0,IF(AND(AUTOEVENTO="Manual",$M146=1),0,IF(OFFSET(CRONOPLE!$F$14,$M146,AM$13)="",10^12,OFFSET(CRONOPLE!$F$14,$M146,AM$13))))</f>
        <v>2</v>
      </c>
      <c r="AN146" s="211">
        <f ca="1">IF($D146&lt;&gt;"Serviço",0,IF(AND(AUTOEVENTO="Manual",$M146=1),0,IF(OFFSET(CRONOPLE!$F$14,$M146,AN$13)="",10^12,OFFSET(CRONOPLE!$F$14,$M146,AN$13))))</f>
        <v>1</v>
      </c>
      <c r="AO146" s="211">
        <f ca="1">IF($D146&lt;&gt;"Serviço",0,IF(AND(AUTOEVENTO="Manual",$M146=1),0,IF(OFFSET(CRONOPLE!$F$14,$M146,AO$13)="",10^12,OFFSET(CRONOPLE!$F$14,$M146,AO$13))))</f>
        <v>2</v>
      </c>
      <c r="AP146" s="211">
        <f ca="1">IF($D146&lt;&gt;"Serviço",0,IF(AND(AUTOEVENTO="Manual",$M146=1),0,IF(OFFSET(CRONOPLE!$F$14,$M146,AP$13)="",10^12,OFFSET(CRONOPLE!$F$14,$M146,AP$13))))</f>
        <v>2</v>
      </c>
      <c r="AQ146" s="211">
        <f ca="1">IF($D146&lt;&gt;"Serviço",0,IF(AND(AUTOEVENTO="Manual",$M146=1),0,IF(OFFSET(CRONOPLE!$F$14,$M146,AQ$13)="",10^12,OFFSET(CRONOPLE!$F$14,$M146,AQ$13))))</f>
        <v>1000000000000</v>
      </c>
      <c r="AR146" s="211">
        <f ca="1">IF($D146&lt;&gt;"Serviço",0,IF(AND(AUTOEVENTO="Manual",$M146=1),0,IF(OFFSET(CRONOPLE!$F$14,$M146,AR$13)="",10^12,OFFSET(CRONOPLE!$F$14,$M146,AR$13))))</f>
        <v>1000000000000</v>
      </c>
      <c r="AS146" s="211">
        <f ca="1">IF($D146&lt;&gt;"Serviço",0,IF(AND(AUTOEVENTO="Manual",$M146=1),0,IF(OFFSET(CRONOPLE!$F$14,$M146,AS$13)="",10^12,OFFSET(CRONOPLE!$F$14,$M146,AS$13))))</f>
        <v>1000000000000</v>
      </c>
      <c r="AT146" s="211">
        <f ca="1">IF($D146&lt;&gt;"Serviço",0,IF(AND(AUTOEVENTO="Manual",$M146=1),0,IF(OFFSET(CRONOPLE!$F$14,$M146,AT$13)="",10^12,OFFSET(CRONOPLE!$F$14,$M146,AT$13))))</f>
        <v>1000000000000</v>
      </c>
      <c r="AU146" s="211">
        <f ca="1">IF($D146&lt;&gt;"Serviço",0,IF(AND(AUTOEVENTO="Manual",$M146=1),0,IF(OFFSET(CRONOPLE!$F$14,$M146,AU$13)="",10^12,OFFSET(CRONOPLE!$F$14,$M146,AU$13))))</f>
        <v>1000000000000</v>
      </c>
      <c r="AV146" s="211">
        <f ca="1">IF($D146&lt;&gt;"Serviço",0,IF(AND(AUTOEVENTO="Manual",$M146=1),0,IF(OFFSET(CRONOPLE!$F$14,$M146,AV$13)="",10^12,OFFSET(CRONOPLE!$F$14,$M146,AV$13))))</f>
        <v>1000000000000</v>
      </c>
      <c r="AX146" s="212">
        <f ca="1">IF($D146&lt;&gt;"Serviço",0,IF(OR(AND(AUTOEVENTO="Manual",$M146=1),$M146&gt;(ROW(PLE.lastrow)-ROW(PLE.firstrow))),0,IF(OFFSET(PLE!$G$14,$M146,AX$13)="",10^12,OFFSET(PLE!$G$14,$M146,AX$13))))</f>
        <v>1000000000000</v>
      </c>
      <c r="AY146" s="212">
        <f ca="1">IF($D146&lt;&gt;"Serviço",0,IF(OR(AND(AUTOEVENTO="Manual",$M146=1),$M146&gt;(ROW(PLE.lastrow)-ROW(PLE.firstrow))),0,IF(OFFSET(PLE!$G$14,$M146,AY$13)="",10^12,OFFSET(PLE!$G$14,$M146,AY$13))))</f>
        <v>1000000000000</v>
      </c>
      <c r="AZ146" s="212">
        <f ca="1">IF($D146&lt;&gt;"Serviço",0,IF(OR(AND(AUTOEVENTO="Manual",$M146=1),$M146&gt;(ROW(PLE.lastrow)-ROW(PLE.firstrow))),0,IF(OFFSET(PLE!$G$14,$M146,AZ$13)="",10^12,OFFSET(PLE!$G$14,$M146,AZ$13))))</f>
        <v>1000000000000</v>
      </c>
      <c r="BA146" s="212">
        <f ca="1">IF($D146&lt;&gt;"Serviço",0,IF(OR(AND(AUTOEVENTO="Manual",$M146=1),$M146&gt;(ROW(PLE.lastrow)-ROW(PLE.firstrow))),0,IF(OFFSET(PLE!$G$14,$M146,BA$13)="",10^12,OFFSET(PLE!$G$14,$M146,BA$13))))</f>
        <v>1000000000000</v>
      </c>
      <c r="BB146" s="212">
        <f ca="1">IF($D146&lt;&gt;"Serviço",0,IF(OR(AND(AUTOEVENTO="Manual",$M146=1),$M146&gt;(ROW(PLE.lastrow)-ROW(PLE.firstrow))),0,IF(OFFSET(PLE!$G$14,$M146,BB$13)="",10^12,OFFSET(PLE!$G$14,$M146,BB$13))))</f>
        <v>1000000000000</v>
      </c>
      <c r="BC146" s="212">
        <f ca="1">IF($D146&lt;&gt;"Serviço",0,IF(OR(AND(AUTOEVENTO="Manual",$M146=1),$M146&gt;(ROW(PLE.lastrow)-ROW(PLE.firstrow))),0,IF(OFFSET(PLE!$G$14,$M146,BC$13)="",10^12,OFFSET(PLE!$G$14,$M146,BC$13))))</f>
        <v>1000000000000</v>
      </c>
      <c r="BD146" s="212">
        <f ca="1">IF($D146&lt;&gt;"Serviço",0,IF(OR(AND(AUTOEVENTO="Manual",$M146=1),$M146&gt;(ROW(PLE.lastrow)-ROW(PLE.firstrow))),0,IF(OFFSET(PLE!$G$14,$M146,BD$13)="",10^12,OFFSET(PLE!$G$14,$M146,BD$13))))</f>
        <v>1000000000000</v>
      </c>
      <c r="BE146" s="212">
        <f ca="1">IF($D146&lt;&gt;"Serviço",0,IF(OR(AND(AUTOEVENTO="Manual",$M146=1),$M146&gt;(ROW(PLE.lastrow)-ROW(PLE.firstrow))),0,IF(OFFSET(PLE!$G$14,$M146,BE$13)="",10^12,OFFSET(PLE!$G$14,$M146,BE$13))))</f>
        <v>1000000000000</v>
      </c>
      <c r="BF146" s="212">
        <f ca="1">IF($D146&lt;&gt;"Serviço",0,IF(OR(AND(AUTOEVENTO="Manual",$M146=1),$M146&gt;(ROW(PLE.lastrow)-ROW(PLE.firstrow))),0,IF(OFFSET(PLE!$G$14,$M146,BF$13)="",10^12,OFFSET(PLE!$G$14,$M146,BF$13))))</f>
        <v>1000000000000</v>
      </c>
      <c r="BG146" s="212">
        <f ca="1">IF($D146&lt;&gt;"Serviço",0,IF(OR(AND(AUTOEVENTO="Manual",$M146=1),$M146&gt;(ROW(PLE.lastrow)-ROW(PLE.firstrow))),0,IF(OFFSET(PLE!$G$14,$M146,BG$13)="",10^12,OFFSET(PLE!$G$14,$M146,BG$13))))</f>
        <v>1000000000000</v>
      </c>
    </row>
    <row r="147" spans="1:59" ht="13.2">
      <c r="A147" s="9" t="str">
        <f t="shared" ca="1" si="11"/>
        <v>15</v>
      </c>
      <c r="B147" s="9" t="str">
        <f ca="1">OFFSET(ORÇAMENTO!C$15,ROW(B147)-ROW(B$15),0)</f>
        <v>S</v>
      </c>
      <c r="C147" s="9" t="str">
        <f ca="1">OFFSET(ORÇAMENTO!L$15,ROW(C147)-ROW(C$15),0)</f>
        <v/>
      </c>
      <c r="D147" s="141" t="str">
        <f ca="1">OFFSET(ORÇAMENTO!N$15,ROW(D147)-ROW(D$15),0)</f>
        <v>Serviço</v>
      </c>
      <c r="E147" s="201" t="str">
        <f ca="1">OFFSET(ORÇAMENTO!O$15,ROW(E147)-ROW(E$15),0)</f>
        <v>-</v>
      </c>
      <c r="F147" s="202" t="str">
        <f ca="1">OFFSET(ORÇAMENTO!R$15,ROW(F147)-ROW(F$15),0)</f>
        <v>(abra o arquivo 'Referência 11-2024.xlsm)</v>
      </c>
      <c r="G147" s="203" t="str">
        <f ca="1">IF($D147&lt;&gt;"Serviço","",OFFSET(ORÇAMENTO!S$15,ROW(G147)-ROW(G$15),0))</f>
        <v>-</v>
      </c>
      <c r="H147" s="147">
        <f ca="1">IF($D147&lt;&gt;"Serviço",0,IF(ACOMPANHAMENTO="BM",ROUND(OFFSET(ORÇAMENTO!AJ$15,ROW(H147)-ROW(H$15),0),15-13*ORÇAMENTO!$AF$7),SUMPRODUCT(($Q$12:$AA$12&lt;&gt;"")*ROUND($Q147:$AA147,15-13*ORÇAMENTO!$AF$7))))</f>
        <v>0</v>
      </c>
      <c r="I147" s="645"/>
      <c r="K147" s="204"/>
      <c r="L147" s="205" t="s">
        <v>255</v>
      </c>
      <c r="M147" s="206">
        <f ca="1">IF($D147&lt;&gt;"Serviço","",IF(AUTOEVENTO="manual",$A147,IF(ISERROR(MATCH($A147,$A$15:OFFSET($A147,-1,0),0)),MAX($M$15:OFFSET(M147,-1,0))+1,INDEX($M$15:OFFSET(M147,-1,0),MATCH($A147,$A$15:OFFSET($A147,-1,0),0)))))</f>
        <v>6</v>
      </c>
      <c r="N147" s="207" t="str">
        <f ca="1">IF($D147&lt;&gt;"Serviço","",IF(AUTOEVENTO="Manual",IF($A147=0,"&lt;-- defina o número do agrupador",OFFSET(EVENTOS!$D$14,$A147,0)),OFFSET($F$15,$A147,0)))</f>
        <v>DRENAGEM</v>
      </c>
      <c r="O147" s="208"/>
      <c r="Q147" s="208"/>
      <c r="R147" s="209"/>
      <c r="S147" s="209"/>
      <c r="T147" s="209"/>
      <c r="U147" s="209"/>
      <c r="V147" s="209"/>
      <c r="W147" s="209"/>
      <c r="X147" s="209"/>
      <c r="Y147" s="209"/>
      <c r="Z147" s="210"/>
      <c r="AB147" s="626">
        <f ca="1">IF(AND($D147="Serviço",AB$12&lt;&gt;0,$H147&gt;0,OR(AUTOEVENTO&lt;&gt;"manual",$M147&lt;&gt;1)),
IF(Import.TipoArredondamento&lt;&gt;"TransfereGOV",
ROUND(OFFSET($P147,0,AB$13),15-13*ORÇAMENTO!$AF$7)/$H147*OFFSET(ORÇAMENTO!$X$15,ROW(AB147)-ROW(AB$15),0),
ROUND(ROUND(OFFSET($P147,0,AB$13),15-13*ORÇAMENTO!$AF$7)*OFFSET(ORÇAMENTO!$W$15,ROW(AB147)-ROW(AB$15),0),15-13*ORÇAMENTO!$AF$11)),0)</f>
        <v>0</v>
      </c>
      <c r="AC147" s="627">
        <f ca="1">IF(AND($D147="Serviço",AC$12&lt;&gt;0,$H147&gt;0,OR(AUTOEVENTO&lt;&gt;"manual",$M147&lt;&gt;1)),
IF(Import.TipoArredondamento&lt;&gt;"TransfereGOV",
ROUND(OFFSET($P147,0,AC$13),15-13*ORÇAMENTO!$AF$7)/$H147*OFFSET(ORÇAMENTO!$X$15,ROW(AC147)-ROW(AC$15),0),
ROUND(ROUND(OFFSET($P147,0,AC$13),15-13*ORÇAMENTO!$AF$7)*OFFSET(ORÇAMENTO!$W$15,ROW(AC147)-ROW(AC$15),0),15-13*ORÇAMENTO!$AF$11)),0)</f>
        <v>0</v>
      </c>
      <c r="AD147" s="627">
        <f ca="1">IF(AND($D147="Serviço",AD$12&lt;&gt;0,$H147&gt;0,OR(AUTOEVENTO&lt;&gt;"manual",$M147&lt;&gt;1)),
IF(Import.TipoArredondamento&lt;&gt;"TransfereGOV",
ROUND(OFFSET($P147,0,AD$13),15-13*ORÇAMENTO!$AF$7)/$H147*OFFSET(ORÇAMENTO!$X$15,ROW(AD147)-ROW(AD$15),0),
ROUND(ROUND(OFFSET($P147,0,AD$13),15-13*ORÇAMENTO!$AF$7)*OFFSET(ORÇAMENTO!$W$15,ROW(AD147)-ROW(AD$15),0),15-13*ORÇAMENTO!$AF$11)),0)</f>
        <v>0</v>
      </c>
      <c r="AE147" s="627">
        <f ca="1">IF(AND($D147="Serviço",AE$12&lt;&gt;0,$H147&gt;0,OR(AUTOEVENTO&lt;&gt;"manual",$M147&lt;&gt;1)),
IF(Import.TipoArredondamento&lt;&gt;"TransfereGOV",
ROUND(OFFSET($P147,0,AE$13),15-13*ORÇAMENTO!$AF$7)/$H147*OFFSET(ORÇAMENTO!$X$15,ROW(AE147)-ROW(AE$15),0),
ROUND(ROUND(OFFSET($P147,0,AE$13),15-13*ORÇAMENTO!$AF$7)*OFFSET(ORÇAMENTO!$W$15,ROW(AE147)-ROW(AE$15),0),15-13*ORÇAMENTO!$AF$11)),0)</f>
        <v>0</v>
      </c>
      <c r="AF147" s="627">
        <f ca="1">IF(AND($D147="Serviço",AF$12&lt;&gt;0,$H147&gt;0,OR(AUTOEVENTO&lt;&gt;"manual",$M147&lt;&gt;1)),
IF(Import.TipoArredondamento&lt;&gt;"TransfereGOV",
ROUND(OFFSET($P147,0,AF$13),15-13*ORÇAMENTO!$AF$7)/$H147*OFFSET(ORÇAMENTO!$X$15,ROW(AF147)-ROW(AF$15),0),
ROUND(ROUND(OFFSET($P147,0,AF$13),15-13*ORÇAMENTO!$AF$7)*OFFSET(ORÇAMENTO!$W$15,ROW(AF147)-ROW(AF$15),0),15-13*ORÇAMENTO!$AF$11)),0)</f>
        <v>0</v>
      </c>
      <c r="AG147" s="627">
        <f ca="1">IF(AND($D147="Serviço",AG$12&lt;&gt;0,$H147&gt;0,OR(AUTOEVENTO&lt;&gt;"manual",$M147&lt;&gt;1)),
IF(Import.TipoArredondamento&lt;&gt;"TransfereGOV",
ROUND(OFFSET($P147,0,AG$13),15-13*ORÇAMENTO!$AF$7)/$H147*OFFSET(ORÇAMENTO!$X$15,ROW(AG147)-ROW(AG$15),0),
ROUND(ROUND(OFFSET($P147,0,AG$13),15-13*ORÇAMENTO!$AF$7)*OFFSET(ORÇAMENTO!$W$15,ROW(AG147)-ROW(AG$15),0),15-13*ORÇAMENTO!$AF$11)),0)</f>
        <v>0</v>
      </c>
      <c r="AH147" s="627">
        <f ca="1">IF(AND($D147="Serviço",AH$12&lt;&gt;0,$H147&gt;0,OR(AUTOEVENTO&lt;&gt;"manual",$M147&lt;&gt;1)),
IF(Import.TipoArredondamento&lt;&gt;"TransfereGOV",
ROUND(OFFSET($P147,0,AH$13),15-13*ORÇAMENTO!$AF$7)/$H147*OFFSET(ORÇAMENTO!$X$15,ROW(AH147)-ROW(AH$15),0),
ROUND(ROUND(OFFSET($P147,0,AH$13),15-13*ORÇAMENTO!$AF$7)*OFFSET(ORÇAMENTO!$W$15,ROW(AH147)-ROW(AH$15),0),15-13*ORÇAMENTO!$AF$11)),0)</f>
        <v>0</v>
      </c>
      <c r="AI147" s="627">
        <f ca="1">IF(AND($D147="Serviço",AI$12&lt;&gt;0,$H147&gt;0,OR(AUTOEVENTO&lt;&gt;"manual",$M147&lt;&gt;1)),
IF(Import.TipoArredondamento&lt;&gt;"TransfereGOV",
ROUND(OFFSET($P147,0,AI$13),15-13*ORÇAMENTO!$AF$7)/$H147*OFFSET(ORÇAMENTO!$X$15,ROW(AI147)-ROW(AI$15),0),
ROUND(ROUND(OFFSET($P147,0,AI$13),15-13*ORÇAMENTO!$AF$7)*OFFSET(ORÇAMENTO!$W$15,ROW(AI147)-ROW(AI$15),0),15-13*ORÇAMENTO!$AF$11)),0)</f>
        <v>0</v>
      </c>
      <c r="AJ147" s="627">
        <f ca="1">IF(AND($D147="Serviço",AJ$12&lt;&gt;0,$H147&gt;0,OR(AUTOEVENTO&lt;&gt;"manual",$M147&lt;&gt;1)),
IF(Import.TipoArredondamento&lt;&gt;"TransfereGOV",
ROUND(OFFSET($P147,0,AJ$13),15-13*ORÇAMENTO!$AF$7)/$H147*OFFSET(ORÇAMENTO!$X$15,ROW(AJ147)-ROW(AJ$15),0),
ROUND(ROUND(OFFSET($P147,0,AJ$13),15-13*ORÇAMENTO!$AF$7)*OFFSET(ORÇAMENTO!$W$15,ROW(AJ147)-ROW(AJ$15),0),15-13*ORÇAMENTO!$AF$11)),0)</f>
        <v>0</v>
      </c>
      <c r="AK147" s="628">
        <f ca="1">IF(AND($D147="Serviço",AK$12&lt;&gt;0,$H147&gt;0,OR(AUTOEVENTO&lt;&gt;"manual",$M147&lt;&gt;1)),
IF(Import.TipoArredondamento&lt;&gt;"TransfereGOV",
ROUND(OFFSET($P147,0,AK$13),15-13*ORÇAMENTO!$AF$7)/$H147*OFFSET(ORÇAMENTO!$X$15,ROW(AK147)-ROW(AK$15),0),
ROUND(ROUND(OFFSET($P147,0,AK$13),15-13*ORÇAMENTO!$AF$7)*OFFSET(ORÇAMENTO!$W$15,ROW(AK147)-ROW(AK$15),0),15-13*ORÇAMENTO!$AF$11)),0)</f>
        <v>0</v>
      </c>
      <c r="AM147" s="211">
        <f ca="1">IF($D147&lt;&gt;"Serviço",0,IF(AND(AUTOEVENTO="Manual",$M147=1),0,IF(OFFSET(CRONOPLE!$F$14,$M147,AM$13)="",10^12,OFFSET(CRONOPLE!$F$14,$M147,AM$13))))</f>
        <v>2</v>
      </c>
      <c r="AN147" s="211">
        <f ca="1">IF($D147&lt;&gt;"Serviço",0,IF(AND(AUTOEVENTO="Manual",$M147=1),0,IF(OFFSET(CRONOPLE!$F$14,$M147,AN$13)="",10^12,OFFSET(CRONOPLE!$F$14,$M147,AN$13))))</f>
        <v>1</v>
      </c>
      <c r="AO147" s="211">
        <f ca="1">IF($D147&lt;&gt;"Serviço",0,IF(AND(AUTOEVENTO="Manual",$M147=1),0,IF(OFFSET(CRONOPLE!$F$14,$M147,AO$13)="",10^12,OFFSET(CRONOPLE!$F$14,$M147,AO$13))))</f>
        <v>2</v>
      </c>
      <c r="AP147" s="211">
        <f ca="1">IF($D147&lt;&gt;"Serviço",0,IF(AND(AUTOEVENTO="Manual",$M147=1),0,IF(OFFSET(CRONOPLE!$F$14,$M147,AP$13)="",10^12,OFFSET(CRONOPLE!$F$14,$M147,AP$13))))</f>
        <v>2</v>
      </c>
      <c r="AQ147" s="211">
        <f ca="1">IF($D147&lt;&gt;"Serviço",0,IF(AND(AUTOEVENTO="Manual",$M147=1),0,IF(OFFSET(CRONOPLE!$F$14,$M147,AQ$13)="",10^12,OFFSET(CRONOPLE!$F$14,$M147,AQ$13))))</f>
        <v>1000000000000</v>
      </c>
      <c r="AR147" s="211">
        <f ca="1">IF($D147&lt;&gt;"Serviço",0,IF(AND(AUTOEVENTO="Manual",$M147=1),0,IF(OFFSET(CRONOPLE!$F$14,$M147,AR$13)="",10^12,OFFSET(CRONOPLE!$F$14,$M147,AR$13))))</f>
        <v>1000000000000</v>
      </c>
      <c r="AS147" s="211">
        <f ca="1">IF($D147&lt;&gt;"Serviço",0,IF(AND(AUTOEVENTO="Manual",$M147=1),0,IF(OFFSET(CRONOPLE!$F$14,$M147,AS$13)="",10^12,OFFSET(CRONOPLE!$F$14,$M147,AS$13))))</f>
        <v>1000000000000</v>
      </c>
      <c r="AT147" s="211">
        <f ca="1">IF($D147&lt;&gt;"Serviço",0,IF(AND(AUTOEVENTO="Manual",$M147=1),0,IF(OFFSET(CRONOPLE!$F$14,$M147,AT$13)="",10^12,OFFSET(CRONOPLE!$F$14,$M147,AT$13))))</f>
        <v>1000000000000</v>
      </c>
      <c r="AU147" s="211">
        <f ca="1">IF($D147&lt;&gt;"Serviço",0,IF(AND(AUTOEVENTO="Manual",$M147=1),0,IF(OFFSET(CRONOPLE!$F$14,$M147,AU$13)="",10^12,OFFSET(CRONOPLE!$F$14,$M147,AU$13))))</f>
        <v>1000000000000</v>
      </c>
      <c r="AV147" s="211">
        <f ca="1">IF($D147&lt;&gt;"Serviço",0,IF(AND(AUTOEVENTO="Manual",$M147=1),0,IF(OFFSET(CRONOPLE!$F$14,$M147,AV$13)="",10^12,OFFSET(CRONOPLE!$F$14,$M147,AV$13))))</f>
        <v>1000000000000</v>
      </c>
      <c r="AX147" s="212">
        <f ca="1">IF($D147&lt;&gt;"Serviço",0,IF(OR(AND(AUTOEVENTO="Manual",$M147=1),$M147&gt;(ROW(PLE.lastrow)-ROW(PLE.firstrow))),0,IF(OFFSET(PLE!$G$14,$M147,AX$13)="",10^12,OFFSET(PLE!$G$14,$M147,AX$13))))</f>
        <v>1000000000000</v>
      </c>
      <c r="AY147" s="212">
        <f ca="1">IF($D147&lt;&gt;"Serviço",0,IF(OR(AND(AUTOEVENTO="Manual",$M147=1),$M147&gt;(ROW(PLE.lastrow)-ROW(PLE.firstrow))),0,IF(OFFSET(PLE!$G$14,$M147,AY$13)="",10^12,OFFSET(PLE!$G$14,$M147,AY$13))))</f>
        <v>1000000000000</v>
      </c>
      <c r="AZ147" s="212">
        <f ca="1">IF($D147&lt;&gt;"Serviço",0,IF(OR(AND(AUTOEVENTO="Manual",$M147=1),$M147&gt;(ROW(PLE.lastrow)-ROW(PLE.firstrow))),0,IF(OFFSET(PLE!$G$14,$M147,AZ$13)="",10^12,OFFSET(PLE!$G$14,$M147,AZ$13))))</f>
        <v>1000000000000</v>
      </c>
      <c r="BA147" s="212">
        <f ca="1">IF($D147&lt;&gt;"Serviço",0,IF(OR(AND(AUTOEVENTO="Manual",$M147=1),$M147&gt;(ROW(PLE.lastrow)-ROW(PLE.firstrow))),0,IF(OFFSET(PLE!$G$14,$M147,BA$13)="",10^12,OFFSET(PLE!$G$14,$M147,BA$13))))</f>
        <v>1000000000000</v>
      </c>
      <c r="BB147" s="212">
        <f ca="1">IF($D147&lt;&gt;"Serviço",0,IF(OR(AND(AUTOEVENTO="Manual",$M147=1),$M147&gt;(ROW(PLE.lastrow)-ROW(PLE.firstrow))),0,IF(OFFSET(PLE!$G$14,$M147,BB$13)="",10^12,OFFSET(PLE!$G$14,$M147,BB$13))))</f>
        <v>1000000000000</v>
      </c>
      <c r="BC147" s="212">
        <f ca="1">IF($D147&lt;&gt;"Serviço",0,IF(OR(AND(AUTOEVENTO="Manual",$M147=1),$M147&gt;(ROW(PLE.lastrow)-ROW(PLE.firstrow))),0,IF(OFFSET(PLE!$G$14,$M147,BC$13)="",10^12,OFFSET(PLE!$G$14,$M147,BC$13))))</f>
        <v>1000000000000</v>
      </c>
      <c r="BD147" s="212">
        <f ca="1">IF($D147&lt;&gt;"Serviço",0,IF(OR(AND(AUTOEVENTO="Manual",$M147=1),$M147&gt;(ROW(PLE.lastrow)-ROW(PLE.firstrow))),0,IF(OFFSET(PLE!$G$14,$M147,BD$13)="",10^12,OFFSET(PLE!$G$14,$M147,BD$13))))</f>
        <v>1000000000000</v>
      </c>
      <c r="BE147" s="212">
        <f ca="1">IF($D147&lt;&gt;"Serviço",0,IF(OR(AND(AUTOEVENTO="Manual",$M147=1),$M147&gt;(ROW(PLE.lastrow)-ROW(PLE.firstrow))),0,IF(OFFSET(PLE!$G$14,$M147,BE$13)="",10^12,OFFSET(PLE!$G$14,$M147,BE$13))))</f>
        <v>1000000000000</v>
      </c>
      <c r="BF147" s="212">
        <f ca="1">IF($D147&lt;&gt;"Serviço",0,IF(OR(AND(AUTOEVENTO="Manual",$M147=1),$M147&gt;(ROW(PLE.lastrow)-ROW(PLE.firstrow))),0,IF(OFFSET(PLE!$G$14,$M147,BF$13)="",10^12,OFFSET(PLE!$G$14,$M147,BF$13))))</f>
        <v>1000000000000</v>
      </c>
      <c r="BG147" s="212">
        <f ca="1">IF($D147&lt;&gt;"Serviço",0,IF(OR(AND(AUTOEVENTO="Manual",$M147=1),$M147&gt;(ROW(PLE.lastrow)-ROW(PLE.firstrow))),0,IF(OFFSET(PLE!$G$14,$M147,BG$13)="",10^12,OFFSET(PLE!$G$14,$M147,BG$13))))</f>
        <v>1000000000000</v>
      </c>
    </row>
    <row r="148" spans="1:59" ht="13.2">
      <c r="A148" s="9" t="str">
        <f t="shared" ca="1" si="11"/>
        <v>15</v>
      </c>
      <c r="B148" s="9" t="str">
        <f ca="1">OFFSET(ORÇAMENTO!C$15,ROW(B148)-ROW(B$15),0)</f>
        <v>S</v>
      </c>
      <c r="C148" s="9" t="str">
        <f ca="1">OFFSET(ORÇAMENTO!L$15,ROW(C148)-ROW(C$15),0)</f>
        <v/>
      </c>
      <c r="D148" s="141" t="str">
        <f ca="1">OFFSET(ORÇAMENTO!N$15,ROW(D148)-ROW(D$15),0)</f>
        <v>Serviço</v>
      </c>
      <c r="E148" s="201" t="str">
        <f ca="1">OFFSET(ORÇAMENTO!O$15,ROW(E148)-ROW(E$15),0)</f>
        <v>-</v>
      </c>
      <c r="F148" s="202" t="str">
        <f ca="1">OFFSET(ORÇAMENTO!R$15,ROW(F148)-ROW(F$15),0)</f>
        <v>(abra o arquivo 'Referência 11-2024.xlsm)</v>
      </c>
      <c r="G148" s="203" t="str">
        <f ca="1">IF($D148&lt;&gt;"Serviço","",OFFSET(ORÇAMENTO!S$15,ROW(G148)-ROW(G$15),0))</f>
        <v>-</v>
      </c>
      <c r="H148" s="147">
        <f ca="1">IF($D148&lt;&gt;"Serviço",0,IF(ACOMPANHAMENTO="BM",ROUND(OFFSET(ORÇAMENTO!AJ$15,ROW(H148)-ROW(H$15),0),15-13*ORÇAMENTO!$AF$7),SUMPRODUCT(($Q$12:$AA$12&lt;&gt;"")*ROUND($Q148:$AA148,15-13*ORÇAMENTO!$AF$7))))</f>
        <v>0</v>
      </c>
      <c r="I148" s="645"/>
      <c r="K148" s="204"/>
      <c r="L148" s="205" t="s">
        <v>255</v>
      </c>
      <c r="M148" s="206">
        <f ca="1">IF($D148&lt;&gt;"Serviço","",IF(AUTOEVENTO="manual",$A148,IF(ISERROR(MATCH($A148,$A$15:OFFSET($A148,-1,0),0)),MAX($M$15:OFFSET(M148,-1,0))+1,INDEX($M$15:OFFSET(M148,-1,0),MATCH($A148,$A$15:OFFSET($A148,-1,0),0)))))</f>
        <v>6</v>
      </c>
      <c r="N148" s="207" t="str">
        <f ca="1">IF($D148&lt;&gt;"Serviço","",IF(AUTOEVENTO="Manual",IF($A148=0,"&lt;-- defina o número do agrupador",OFFSET(EVENTOS!$D$14,$A148,0)),OFFSET($F$15,$A148,0)))</f>
        <v>DRENAGEM</v>
      </c>
      <c r="O148" s="208"/>
      <c r="Q148" s="208"/>
      <c r="R148" s="209"/>
      <c r="S148" s="209"/>
      <c r="T148" s="209"/>
      <c r="U148" s="209"/>
      <c r="V148" s="209"/>
      <c r="W148" s="209"/>
      <c r="X148" s="209"/>
      <c r="Y148" s="209"/>
      <c r="Z148" s="210"/>
      <c r="AB148" s="626">
        <f ca="1">IF(AND($D148="Serviço",AB$12&lt;&gt;0,$H148&gt;0,OR(AUTOEVENTO&lt;&gt;"manual",$M148&lt;&gt;1)),
IF(Import.TipoArredondamento&lt;&gt;"TransfereGOV",
ROUND(OFFSET($P148,0,AB$13),15-13*ORÇAMENTO!$AF$7)/$H148*OFFSET(ORÇAMENTO!$X$15,ROW(AB148)-ROW(AB$15),0),
ROUND(ROUND(OFFSET($P148,0,AB$13),15-13*ORÇAMENTO!$AF$7)*OFFSET(ORÇAMENTO!$W$15,ROW(AB148)-ROW(AB$15),0),15-13*ORÇAMENTO!$AF$11)),0)</f>
        <v>0</v>
      </c>
      <c r="AC148" s="627">
        <f ca="1">IF(AND($D148="Serviço",AC$12&lt;&gt;0,$H148&gt;0,OR(AUTOEVENTO&lt;&gt;"manual",$M148&lt;&gt;1)),
IF(Import.TipoArredondamento&lt;&gt;"TransfereGOV",
ROUND(OFFSET($P148,0,AC$13),15-13*ORÇAMENTO!$AF$7)/$H148*OFFSET(ORÇAMENTO!$X$15,ROW(AC148)-ROW(AC$15),0),
ROUND(ROUND(OFFSET($P148,0,AC$13),15-13*ORÇAMENTO!$AF$7)*OFFSET(ORÇAMENTO!$W$15,ROW(AC148)-ROW(AC$15),0),15-13*ORÇAMENTO!$AF$11)),0)</f>
        <v>0</v>
      </c>
      <c r="AD148" s="627">
        <f ca="1">IF(AND($D148="Serviço",AD$12&lt;&gt;0,$H148&gt;0,OR(AUTOEVENTO&lt;&gt;"manual",$M148&lt;&gt;1)),
IF(Import.TipoArredondamento&lt;&gt;"TransfereGOV",
ROUND(OFFSET($P148,0,AD$13),15-13*ORÇAMENTO!$AF$7)/$H148*OFFSET(ORÇAMENTO!$X$15,ROW(AD148)-ROW(AD$15),0),
ROUND(ROUND(OFFSET($P148,0,AD$13),15-13*ORÇAMENTO!$AF$7)*OFFSET(ORÇAMENTO!$W$15,ROW(AD148)-ROW(AD$15),0),15-13*ORÇAMENTO!$AF$11)),0)</f>
        <v>0</v>
      </c>
      <c r="AE148" s="627">
        <f ca="1">IF(AND($D148="Serviço",AE$12&lt;&gt;0,$H148&gt;0,OR(AUTOEVENTO&lt;&gt;"manual",$M148&lt;&gt;1)),
IF(Import.TipoArredondamento&lt;&gt;"TransfereGOV",
ROUND(OFFSET($P148,0,AE$13),15-13*ORÇAMENTO!$AF$7)/$H148*OFFSET(ORÇAMENTO!$X$15,ROW(AE148)-ROW(AE$15),0),
ROUND(ROUND(OFFSET($P148,0,AE$13),15-13*ORÇAMENTO!$AF$7)*OFFSET(ORÇAMENTO!$W$15,ROW(AE148)-ROW(AE$15),0),15-13*ORÇAMENTO!$AF$11)),0)</f>
        <v>0</v>
      </c>
      <c r="AF148" s="627">
        <f ca="1">IF(AND($D148="Serviço",AF$12&lt;&gt;0,$H148&gt;0,OR(AUTOEVENTO&lt;&gt;"manual",$M148&lt;&gt;1)),
IF(Import.TipoArredondamento&lt;&gt;"TransfereGOV",
ROUND(OFFSET($P148,0,AF$13),15-13*ORÇAMENTO!$AF$7)/$H148*OFFSET(ORÇAMENTO!$X$15,ROW(AF148)-ROW(AF$15),0),
ROUND(ROUND(OFFSET($P148,0,AF$13),15-13*ORÇAMENTO!$AF$7)*OFFSET(ORÇAMENTO!$W$15,ROW(AF148)-ROW(AF$15),0),15-13*ORÇAMENTO!$AF$11)),0)</f>
        <v>0</v>
      </c>
      <c r="AG148" s="627">
        <f ca="1">IF(AND($D148="Serviço",AG$12&lt;&gt;0,$H148&gt;0,OR(AUTOEVENTO&lt;&gt;"manual",$M148&lt;&gt;1)),
IF(Import.TipoArredondamento&lt;&gt;"TransfereGOV",
ROUND(OFFSET($P148,0,AG$13),15-13*ORÇAMENTO!$AF$7)/$H148*OFFSET(ORÇAMENTO!$X$15,ROW(AG148)-ROW(AG$15),0),
ROUND(ROUND(OFFSET($P148,0,AG$13),15-13*ORÇAMENTO!$AF$7)*OFFSET(ORÇAMENTO!$W$15,ROW(AG148)-ROW(AG$15),0),15-13*ORÇAMENTO!$AF$11)),0)</f>
        <v>0</v>
      </c>
      <c r="AH148" s="627">
        <f ca="1">IF(AND($D148="Serviço",AH$12&lt;&gt;0,$H148&gt;0,OR(AUTOEVENTO&lt;&gt;"manual",$M148&lt;&gt;1)),
IF(Import.TipoArredondamento&lt;&gt;"TransfereGOV",
ROUND(OFFSET($P148,0,AH$13),15-13*ORÇAMENTO!$AF$7)/$H148*OFFSET(ORÇAMENTO!$X$15,ROW(AH148)-ROW(AH$15),0),
ROUND(ROUND(OFFSET($P148,0,AH$13),15-13*ORÇAMENTO!$AF$7)*OFFSET(ORÇAMENTO!$W$15,ROW(AH148)-ROW(AH$15),0),15-13*ORÇAMENTO!$AF$11)),0)</f>
        <v>0</v>
      </c>
      <c r="AI148" s="627">
        <f ca="1">IF(AND($D148="Serviço",AI$12&lt;&gt;0,$H148&gt;0,OR(AUTOEVENTO&lt;&gt;"manual",$M148&lt;&gt;1)),
IF(Import.TipoArredondamento&lt;&gt;"TransfereGOV",
ROUND(OFFSET($P148,0,AI$13),15-13*ORÇAMENTO!$AF$7)/$H148*OFFSET(ORÇAMENTO!$X$15,ROW(AI148)-ROW(AI$15),0),
ROUND(ROUND(OFFSET($P148,0,AI$13),15-13*ORÇAMENTO!$AF$7)*OFFSET(ORÇAMENTO!$W$15,ROW(AI148)-ROW(AI$15),0),15-13*ORÇAMENTO!$AF$11)),0)</f>
        <v>0</v>
      </c>
      <c r="AJ148" s="627">
        <f ca="1">IF(AND($D148="Serviço",AJ$12&lt;&gt;0,$H148&gt;0,OR(AUTOEVENTO&lt;&gt;"manual",$M148&lt;&gt;1)),
IF(Import.TipoArredondamento&lt;&gt;"TransfereGOV",
ROUND(OFFSET($P148,0,AJ$13),15-13*ORÇAMENTO!$AF$7)/$H148*OFFSET(ORÇAMENTO!$X$15,ROW(AJ148)-ROW(AJ$15),0),
ROUND(ROUND(OFFSET($P148,0,AJ$13),15-13*ORÇAMENTO!$AF$7)*OFFSET(ORÇAMENTO!$W$15,ROW(AJ148)-ROW(AJ$15),0),15-13*ORÇAMENTO!$AF$11)),0)</f>
        <v>0</v>
      </c>
      <c r="AK148" s="628">
        <f ca="1">IF(AND($D148="Serviço",AK$12&lt;&gt;0,$H148&gt;0,OR(AUTOEVENTO&lt;&gt;"manual",$M148&lt;&gt;1)),
IF(Import.TipoArredondamento&lt;&gt;"TransfereGOV",
ROUND(OFFSET($P148,0,AK$13),15-13*ORÇAMENTO!$AF$7)/$H148*OFFSET(ORÇAMENTO!$X$15,ROW(AK148)-ROW(AK$15),0),
ROUND(ROUND(OFFSET($P148,0,AK$13),15-13*ORÇAMENTO!$AF$7)*OFFSET(ORÇAMENTO!$W$15,ROW(AK148)-ROW(AK$15),0),15-13*ORÇAMENTO!$AF$11)),0)</f>
        <v>0</v>
      </c>
      <c r="AM148" s="211">
        <f ca="1">IF($D148&lt;&gt;"Serviço",0,IF(AND(AUTOEVENTO="Manual",$M148=1),0,IF(OFFSET(CRONOPLE!$F$14,$M148,AM$13)="",10^12,OFFSET(CRONOPLE!$F$14,$M148,AM$13))))</f>
        <v>2</v>
      </c>
      <c r="AN148" s="211">
        <f ca="1">IF($D148&lt;&gt;"Serviço",0,IF(AND(AUTOEVENTO="Manual",$M148=1),0,IF(OFFSET(CRONOPLE!$F$14,$M148,AN$13)="",10^12,OFFSET(CRONOPLE!$F$14,$M148,AN$13))))</f>
        <v>1</v>
      </c>
      <c r="AO148" s="211">
        <f ca="1">IF($D148&lt;&gt;"Serviço",0,IF(AND(AUTOEVENTO="Manual",$M148=1),0,IF(OFFSET(CRONOPLE!$F$14,$M148,AO$13)="",10^12,OFFSET(CRONOPLE!$F$14,$M148,AO$13))))</f>
        <v>2</v>
      </c>
      <c r="AP148" s="211">
        <f ca="1">IF($D148&lt;&gt;"Serviço",0,IF(AND(AUTOEVENTO="Manual",$M148=1),0,IF(OFFSET(CRONOPLE!$F$14,$M148,AP$13)="",10^12,OFFSET(CRONOPLE!$F$14,$M148,AP$13))))</f>
        <v>2</v>
      </c>
      <c r="AQ148" s="211">
        <f ca="1">IF($D148&lt;&gt;"Serviço",0,IF(AND(AUTOEVENTO="Manual",$M148=1),0,IF(OFFSET(CRONOPLE!$F$14,$M148,AQ$13)="",10^12,OFFSET(CRONOPLE!$F$14,$M148,AQ$13))))</f>
        <v>1000000000000</v>
      </c>
      <c r="AR148" s="211">
        <f ca="1">IF($D148&lt;&gt;"Serviço",0,IF(AND(AUTOEVENTO="Manual",$M148=1),0,IF(OFFSET(CRONOPLE!$F$14,$M148,AR$13)="",10^12,OFFSET(CRONOPLE!$F$14,$M148,AR$13))))</f>
        <v>1000000000000</v>
      </c>
      <c r="AS148" s="211">
        <f ca="1">IF($D148&lt;&gt;"Serviço",0,IF(AND(AUTOEVENTO="Manual",$M148=1),0,IF(OFFSET(CRONOPLE!$F$14,$M148,AS$13)="",10^12,OFFSET(CRONOPLE!$F$14,$M148,AS$13))))</f>
        <v>1000000000000</v>
      </c>
      <c r="AT148" s="211">
        <f ca="1">IF($D148&lt;&gt;"Serviço",0,IF(AND(AUTOEVENTO="Manual",$M148=1),0,IF(OFFSET(CRONOPLE!$F$14,$M148,AT$13)="",10^12,OFFSET(CRONOPLE!$F$14,$M148,AT$13))))</f>
        <v>1000000000000</v>
      </c>
      <c r="AU148" s="211">
        <f ca="1">IF($D148&lt;&gt;"Serviço",0,IF(AND(AUTOEVENTO="Manual",$M148=1),0,IF(OFFSET(CRONOPLE!$F$14,$M148,AU$13)="",10^12,OFFSET(CRONOPLE!$F$14,$M148,AU$13))))</f>
        <v>1000000000000</v>
      </c>
      <c r="AV148" s="211">
        <f ca="1">IF($D148&lt;&gt;"Serviço",0,IF(AND(AUTOEVENTO="Manual",$M148=1),0,IF(OFFSET(CRONOPLE!$F$14,$M148,AV$13)="",10^12,OFFSET(CRONOPLE!$F$14,$M148,AV$13))))</f>
        <v>1000000000000</v>
      </c>
      <c r="AX148" s="212">
        <f ca="1">IF($D148&lt;&gt;"Serviço",0,IF(OR(AND(AUTOEVENTO="Manual",$M148=1),$M148&gt;(ROW(PLE.lastrow)-ROW(PLE.firstrow))),0,IF(OFFSET(PLE!$G$14,$M148,AX$13)="",10^12,OFFSET(PLE!$G$14,$M148,AX$13))))</f>
        <v>1000000000000</v>
      </c>
      <c r="AY148" s="212">
        <f ca="1">IF($D148&lt;&gt;"Serviço",0,IF(OR(AND(AUTOEVENTO="Manual",$M148=1),$M148&gt;(ROW(PLE.lastrow)-ROW(PLE.firstrow))),0,IF(OFFSET(PLE!$G$14,$M148,AY$13)="",10^12,OFFSET(PLE!$G$14,$M148,AY$13))))</f>
        <v>1000000000000</v>
      </c>
      <c r="AZ148" s="212">
        <f ca="1">IF($D148&lt;&gt;"Serviço",0,IF(OR(AND(AUTOEVENTO="Manual",$M148=1),$M148&gt;(ROW(PLE.lastrow)-ROW(PLE.firstrow))),0,IF(OFFSET(PLE!$G$14,$M148,AZ$13)="",10^12,OFFSET(PLE!$G$14,$M148,AZ$13))))</f>
        <v>1000000000000</v>
      </c>
      <c r="BA148" s="212">
        <f ca="1">IF($D148&lt;&gt;"Serviço",0,IF(OR(AND(AUTOEVENTO="Manual",$M148=1),$M148&gt;(ROW(PLE.lastrow)-ROW(PLE.firstrow))),0,IF(OFFSET(PLE!$G$14,$M148,BA$13)="",10^12,OFFSET(PLE!$G$14,$M148,BA$13))))</f>
        <v>1000000000000</v>
      </c>
      <c r="BB148" s="212">
        <f ca="1">IF($D148&lt;&gt;"Serviço",0,IF(OR(AND(AUTOEVENTO="Manual",$M148=1),$M148&gt;(ROW(PLE.lastrow)-ROW(PLE.firstrow))),0,IF(OFFSET(PLE!$G$14,$M148,BB$13)="",10^12,OFFSET(PLE!$G$14,$M148,BB$13))))</f>
        <v>1000000000000</v>
      </c>
      <c r="BC148" s="212">
        <f ca="1">IF($D148&lt;&gt;"Serviço",0,IF(OR(AND(AUTOEVENTO="Manual",$M148=1),$M148&gt;(ROW(PLE.lastrow)-ROW(PLE.firstrow))),0,IF(OFFSET(PLE!$G$14,$M148,BC$13)="",10^12,OFFSET(PLE!$G$14,$M148,BC$13))))</f>
        <v>1000000000000</v>
      </c>
      <c r="BD148" s="212">
        <f ca="1">IF($D148&lt;&gt;"Serviço",0,IF(OR(AND(AUTOEVENTO="Manual",$M148=1),$M148&gt;(ROW(PLE.lastrow)-ROW(PLE.firstrow))),0,IF(OFFSET(PLE!$G$14,$M148,BD$13)="",10^12,OFFSET(PLE!$G$14,$M148,BD$13))))</f>
        <v>1000000000000</v>
      </c>
      <c r="BE148" s="212">
        <f ca="1">IF($D148&lt;&gt;"Serviço",0,IF(OR(AND(AUTOEVENTO="Manual",$M148=1),$M148&gt;(ROW(PLE.lastrow)-ROW(PLE.firstrow))),0,IF(OFFSET(PLE!$G$14,$M148,BE$13)="",10^12,OFFSET(PLE!$G$14,$M148,BE$13))))</f>
        <v>1000000000000</v>
      </c>
      <c r="BF148" s="212">
        <f ca="1">IF($D148&lt;&gt;"Serviço",0,IF(OR(AND(AUTOEVENTO="Manual",$M148=1),$M148&gt;(ROW(PLE.lastrow)-ROW(PLE.firstrow))),0,IF(OFFSET(PLE!$G$14,$M148,BF$13)="",10^12,OFFSET(PLE!$G$14,$M148,BF$13))))</f>
        <v>1000000000000</v>
      </c>
      <c r="BG148" s="212">
        <f ca="1">IF($D148&lt;&gt;"Serviço",0,IF(OR(AND(AUTOEVENTO="Manual",$M148=1),$M148&gt;(ROW(PLE.lastrow)-ROW(PLE.firstrow))),0,IF(OFFSET(PLE!$G$14,$M148,BG$13)="",10^12,OFFSET(PLE!$G$14,$M148,BG$13))))</f>
        <v>1000000000000</v>
      </c>
    </row>
    <row r="149" spans="1:59" ht="13.2">
      <c r="A149" s="9" t="str">
        <f t="shared" ca="1" si="11"/>
        <v>15</v>
      </c>
      <c r="B149" s="9" t="str">
        <f ca="1">OFFSET(ORÇAMENTO!C$15,ROW(B149)-ROW(B$15),0)</f>
        <v>S</v>
      </c>
      <c r="C149" s="9" t="str">
        <f ca="1">OFFSET(ORÇAMENTO!L$15,ROW(C149)-ROW(C$15),0)</f>
        <v/>
      </c>
      <c r="D149" s="141" t="str">
        <f ca="1">OFFSET(ORÇAMENTO!N$15,ROW(D149)-ROW(D$15),0)</f>
        <v>Serviço</v>
      </c>
      <c r="E149" s="201" t="str">
        <f ca="1">OFFSET(ORÇAMENTO!O$15,ROW(E149)-ROW(E$15),0)</f>
        <v>-</v>
      </c>
      <c r="F149" s="202" t="str">
        <f ca="1">OFFSET(ORÇAMENTO!R$15,ROW(F149)-ROW(F$15),0)</f>
        <v>(abra o arquivo 'Referência 11-2024.xlsm)</v>
      </c>
      <c r="G149" s="203" t="str">
        <f ca="1">IF($D149&lt;&gt;"Serviço","",OFFSET(ORÇAMENTO!S$15,ROW(G149)-ROW(G$15),0))</f>
        <v>-</v>
      </c>
      <c r="H149" s="147">
        <f ca="1">IF($D149&lt;&gt;"Serviço",0,IF(ACOMPANHAMENTO="BM",ROUND(OFFSET(ORÇAMENTO!AJ$15,ROW(H149)-ROW(H$15),0),15-13*ORÇAMENTO!$AF$7),SUMPRODUCT(($Q$12:$AA$12&lt;&gt;"")*ROUND($Q149:$AA149,15-13*ORÇAMENTO!$AF$7))))</f>
        <v>0</v>
      </c>
      <c r="I149" s="645"/>
      <c r="K149" s="204"/>
      <c r="L149" s="205" t="s">
        <v>255</v>
      </c>
      <c r="M149" s="206">
        <f ca="1">IF($D149&lt;&gt;"Serviço","",IF(AUTOEVENTO="manual",$A149,IF(ISERROR(MATCH($A149,$A$15:OFFSET($A149,-1,0),0)),MAX($M$15:OFFSET(M149,-1,0))+1,INDEX($M$15:OFFSET(M149,-1,0),MATCH($A149,$A$15:OFFSET($A149,-1,0),0)))))</f>
        <v>6</v>
      </c>
      <c r="N149" s="207" t="str">
        <f ca="1">IF($D149&lt;&gt;"Serviço","",IF(AUTOEVENTO="Manual",IF($A149=0,"&lt;-- defina o número do agrupador",OFFSET(EVENTOS!$D$14,$A149,0)),OFFSET($F$15,$A149,0)))</f>
        <v>DRENAGEM</v>
      </c>
      <c r="O149" s="208"/>
      <c r="Q149" s="208"/>
      <c r="R149" s="209"/>
      <c r="S149" s="209"/>
      <c r="T149" s="209"/>
      <c r="U149" s="209"/>
      <c r="V149" s="209"/>
      <c r="W149" s="209"/>
      <c r="X149" s="209"/>
      <c r="Y149" s="209"/>
      <c r="Z149" s="210"/>
      <c r="AB149" s="626">
        <f ca="1">IF(AND($D149="Serviço",AB$12&lt;&gt;0,$H149&gt;0,OR(AUTOEVENTO&lt;&gt;"manual",$M149&lt;&gt;1)),
IF(Import.TipoArredondamento&lt;&gt;"TransfereGOV",
ROUND(OFFSET($P149,0,AB$13),15-13*ORÇAMENTO!$AF$7)/$H149*OFFSET(ORÇAMENTO!$X$15,ROW(AB149)-ROW(AB$15),0),
ROUND(ROUND(OFFSET($P149,0,AB$13),15-13*ORÇAMENTO!$AF$7)*OFFSET(ORÇAMENTO!$W$15,ROW(AB149)-ROW(AB$15),0),15-13*ORÇAMENTO!$AF$11)),0)</f>
        <v>0</v>
      </c>
      <c r="AC149" s="627">
        <f ca="1">IF(AND($D149="Serviço",AC$12&lt;&gt;0,$H149&gt;0,OR(AUTOEVENTO&lt;&gt;"manual",$M149&lt;&gt;1)),
IF(Import.TipoArredondamento&lt;&gt;"TransfereGOV",
ROUND(OFFSET($P149,0,AC$13),15-13*ORÇAMENTO!$AF$7)/$H149*OFFSET(ORÇAMENTO!$X$15,ROW(AC149)-ROW(AC$15),0),
ROUND(ROUND(OFFSET($P149,0,AC$13),15-13*ORÇAMENTO!$AF$7)*OFFSET(ORÇAMENTO!$W$15,ROW(AC149)-ROW(AC$15),0),15-13*ORÇAMENTO!$AF$11)),0)</f>
        <v>0</v>
      </c>
      <c r="AD149" s="627">
        <f ca="1">IF(AND($D149="Serviço",AD$12&lt;&gt;0,$H149&gt;0,OR(AUTOEVENTO&lt;&gt;"manual",$M149&lt;&gt;1)),
IF(Import.TipoArredondamento&lt;&gt;"TransfereGOV",
ROUND(OFFSET($P149,0,AD$13),15-13*ORÇAMENTO!$AF$7)/$H149*OFFSET(ORÇAMENTO!$X$15,ROW(AD149)-ROW(AD$15),0),
ROUND(ROUND(OFFSET($P149,0,AD$13),15-13*ORÇAMENTO!$AF$7)*OFFSET(ORÇAMENTO!$W$15,ROW(AD149)-ROW(AD$15),0),15-13*ORÇAMENTO!$AF$11)),0)</f>
        <v>0</v>
      </c>
      <c r="AE149" s="627">
        <f ca="1">IF(AND($D149="Serviço",AE$12&lt;&gt;0,$H149&gt;0,OR(AUTOEVENTO&lt;&gt;"manual",$M149&lt;&gt;1)),
IF(Import.TipoArredondamento&lt;&gt;"TransfereGOV",
ROUND(OFFSET($P149,0,AE$13),15-13*ORÇAMENTO!$AF$7)/$H149*OFFSET(ORÇAMENTO!$X$15,ROW(AE149)-ROW(AE$15),0),
ROUND(ROUND(OFFSET($P149,0,AE$13),15-13*ORÇAMENTO!$AF$7)*OFFSET(ORÇAMENTO!$W$15,ROW(AE149)-ROW(AE$15),0),15-13*ORÇAMENTO!$AF$11)),0)</f>
        <v>0</v>
      </c>
      <c r="AF149" s="627">
        <f ca="1">IF(AND($D149="Serviço",AF$12&lt;&gt;0,$H149&gt;0,OR(AUTOEVENTO&lt;&gt;"manual",$M149&lt;&gt;1)),
IF(Import.TipoArredondamento&lt;&gt;"TransfereGOV",
ROUND(OFFSET($P149,0,AF$13),15-13*ORÇAMENTO!$AF$7)/$H149*OFFSET(ORÇAMENTO!$X$15,ROW(AF149)-ROW(AF$15),0),
ROUND(ROUND(OFFSET($P149,0,AF$13),15-13*ORÇAMENTO!$AF$7)*OFFSET(ORÇAMENTO!$W$15,ROW(AF149)-ROW(AF$15),0),15-13*ORÇAMENTO!$AF$11)),0)</f>
        <v>0</v>
      </c>
      <c r="AG149" s="627">
        <f ca="1">IF(AND($D149="Serviço",AG$12&lt;&gt;0,$H149&gt;0,OR(AUTOEVENTO&lt;&gt;"manual",$M149&lt;&gt;1)),
IF(Import.TipoArredondamento&lt;&gt;"TransfereGOV",
ROUND(OFFSET($P149,0,AG$13),15-13*ORÇAMENTO!$AF$7)/$H149*OFFSET(ORÇAMENTO!$X$15,ROW(AG149)-ROW(AG$15),0),
ROUND(ROUND(OFFSET($P149,0,AG$13),15-13*ORÇAMENTO!$AF$7)*OFFSET(ORÇAMENTO!$W$15,ROW(AG149)-ROW(AG$15),0),15-13*ORÇAMENTO!$AF$11)),0)</f>
        <v>0</v>
      </c>
      <c r="AH149" s="627">
        <f ca="1">IF(AND($D149="Serviço",AH$12&lt;&gt;0,$H149&gt;0,OR(AUTOEVENTO&lt;&gt;"manual",$M149&lt;&gt;1)),
IF(Import.TipoArredondamento&lt;&gt;"TransfereGOV",
ROUND(OFFSET($P149,0,AH$13),15-13*ORÇAMENTO!$AF$7)/$H149*OFFSET(ORÇAMENTO!$X$15,ROW(AH149)-ROW(AH$15),0),
ROUND(ROUND(OFFSET($P149,0,AH$13),15-13*ORÇAMENTO!$AF$7)*OFFSET(ORÇAMENTO!$W$15,ROW(AH149)-ROW(AH$15),0),15-13*ORÇAMENTO!$AF$11)),0)</f>
        <v>0</v>
      </c>
      <c r="AI149" s="627">
        <f ca="1">IF(AND($D149="Serviço",AI$12&lt;&gt;0,$H149&gt;0,OR(AUTOEVENTO&lt;&gt;"manual",$M149&lt;&gt;1)),
IF(Import.TipoArredondamento&lt;&gt;"TransfereGOV",
ROUND(OFFSET($P149,0,AI$13),15-13*ORÇAMENTO!$AF$7)/$H149*OFFSET(ORÇAMENTO!$X$15,ROW(AI149)-ROW(AI$15),0),
ROUND(ROUND(OFFSET($P149,0,AI$13),15-13*ORÇAMENTO!$AF$7)*OFFSET(ORÇAMENTO!$W$15,ROW(AI149)-ROW(AI$15),0),15-13*ORÇAMENTO!$AF$11)),0)</f>
        <v>0</v>
      </c>
      <c r="AJ149" s="627">
        <f ca="1">IF(AND($D149="Serviço",AJ$12&lt;&gt;0,$H149&gt;0,OR(AUTOEVENTO&lt;&gt;"manual",$M149&lt;&gt;1)),
IF(Import.TipoArredondamento&lt;&gt;"TransfereGOV",
ROUND(OFFSET($P149,0,AJ$13),15-13*ORÇAMENTO!$AF$7)/$H149*OFFSET(ORÇAMENTO!$X$15,ROW(AJ149)-ROW(AJ$15),0),
ROUND(ROUND(OFFSET($P149,0,AJ$13),15-13*ORÇAMENTO!$AF$7)*OFFSET(ORÇAMENTO!$W$15,ROW(AJ149)-ROW(AJ$15),0),15-13*ORÇAMENTO!$AF$11)),0)</f>
        <v>0</v>
      </c>
      <c r="AK149" s="628">
        <f ca="1">IF(AND($D149="Serviço",AK$12&lt;&gt;0,$H149&gt;0,OR(AUTOEVENTO&lt;&gt;"manual",$M149&lt;&gt;1)),
IF(Import.TipoArredondamento&lt;&gt;"TransfereGOV",
ROUND(OFFSET($P149,0,AK$13),15-13*ORÇAMENTO!$AF$7)/$H149*OFFSET(ORÇAMENTO!$X$15,ROW(AK149)-ROW(AK$15),0),
ROUND(ROUND(OFFSET($P149,0,AK$13),15-13*ORÇAMENTO!$AF$7)*OFFSET(ORÇAMENTO!$W$15,ROW(AK149)-ROW(AK$15),0),15-13*ORÇAMENTO!$AF$11)),0)</f>
        <v>0</v>
      </c>
      <c r="AM149" s="211">
        <f ca="1">IF($D149&lt;&gt;"Serviço",0,IF(AND(AUTOEVENTO="Manual",$M149=1),0,IF(OFFSET(CRONOPLE!$F$14,$M149,AM$13)="",10^12,OFFSET(CRONOPLE!$F$14,$M149,AM$13))))</f>
        <v>2</v>
      </c>
      <c r="AN149" s="211">
        <f ca="1">IF($D149&lt;&gt;"Serviço",0,IF(AND(AUTOEVENTO="Manual",$M149=1),0,IF(OFFSET(CRONOPLE!$F$14,$M149,AN$13)="",10^12,OFFSET(CRONOPLE!$F$14,$M149,AN$13))))</f>
        <v>1</v>
      </c>
      <c r="AO149" s="211">
        <f ca="1">IF($D149&lt;&gt;"Serviço",0,IF(AND(AUTOEVENTO="Manual",$M149=1),0,IF(OFFSET(CRONOPLE!$F$14,$M149,AO$13)="",10^12,OFFSET(CRONOPLE!$F$14,$M149,AO$13))))</f>
        <v>2</v>
      </c>
      <c r="AP149" s="211">
        <f ca="1">IF($D149&lt;&gt;"Serviço",0,IF(AND(AUTOEVENTO="Manual",$M149=1),0,IF(OFFSET(CRONOPLE!$F$14,$M149,AP$13)="",10^12,OFFSET(CRONOPLE!$F$14,$M149,AP$13))))</f>
        <v>2</v>
      </c>
      <c r="AQ149" s="211">
        <f ca="1">IF($D149&lt;&gt;"Serviço",0,IF(AND(AUTOEVENTO="Manual",$M149=1),0,IF(OFFSET(CRONOPLE!$F$14,$M149,AQ$13)="",10^12,OFFSET(CRONOPLE!$F$14,$M149,AQ$13))))</f>
        <v>1000000000000</v>
      </c>
      <c r="AR149" s="211">
        <f ca="1">IF($D149&lt;&gt;"Serviço",0,IF(AND(AUTOEVENTO="Manual",$M149=1),0,IF(OFFSET(CRONOPLE!$F$14,$M149,AR$13)="",10^12,OFFSET(CRONOPLE!$F$14,$M149,AR$13))))</f>
        <v>1000000000000</v>
      </c>
      <c r="AS149" s="211">
        <f ca="1">IF($D149&lt;&gt;"Serviço",0,IF(AND(AUTOEVENTO="Manual",$M149=1),0,IF(OFFSET(CRONOPLE!$F$14,$M149,AS$13)="",10^12,OFFSET(CRONOPLE!$F$14,$M149,AS$13))))</f>
        <v>1000000000000</v>
      </c>
      <c r="AT149" s="211">
        <f ca="1">IF($D149&lt;&gt;"Serviço",0,IF(AND(AUTOEVENTO="Manual",$M149=1),0,IF(OFFSET(CRONOPLE!$F$14,$M149,AT$13)="",10^12,OFFSET(CRONOPLE!$F$14,$M149,AT$13))))</f>
        <v>1000000000000</v>
      </c>
      <c r="AU149" s="211">
        <f ca="1">IF($D149&lt;&gt;"Serviço",0,IF(AND(AUTOEVENTO="Manual",$M149=1),0,IF(OFFSET(CRONOPLE!$F$14,$M149,AU$13)="",10^12,OFFSET(CRONOPLE!$F$14,$M149,AU$13))))</f>
        <v>1000000000000</v>
      </c>
      <c r="AV149" s="211">
        <f ca="1">IF($D149&lt;&gt;"Serviço",0,IF(AND(AUTOEVENTO="Manual",$M149=1),0,IF(OFFSET(CRONOPLE!$F$14,$M149,AV$13)="",10^12,OFFSET(CRONOPLE!$F$14,$M149,AV$13))))</f>
        <v>1000000000000</v>
      </c>
      <c r="AX149" s="212">
        <f ca="1">IF($D149&lt;&gt;"Serviço",0,IF(OR(AND(AUTOEVENTO="Manual",$M149=1),$M149&gt;(ROW(PLE.lastrow)-ROW(PLE.firstrow))),0,IF(OFFSET(PLE!$G$14,$M149,AX$13)="",10^12,OFFSET(PLE!$G$14,$M149,AX$13))))</f>
        <v>1000000000000</v>
      </c>
      <c r="AY149" s="212">
        <f ca="1">IF($D149&lt;&gt;"Serviço",0,IF(OR(AND(AUTOEVENTO="Manual",$M149=1),$M149&gt;(ROW(PLE.lastrow)-ROW(PLE.firstrow))),0,IF(OFFSET(PLE!$G$14,$M149,AY$13)="",10^12,OFFSET(PLE!$G$14,$M149,AY$13))))</f>
        <v>1000000000000</v>
      </c>
      <c r="AZ149" s="212">
        <f ca="1">IF($D149&lt;&gt;"Serviço",0,IF(OR(AND(AUTOEVENTO="Manual",$M149=1),$M149&gt;(ROW(PLE.lastrow)-ROW(PLE.firstrow))),0,IF(OFFSET(PLE!$G$14,$M149,AZ$13)="",10^12,OFFSET(PLE!$G$14,$M149,AZ$13))))</f>
        <v>1000000000000</v>
      </c>
      <c r="BA149" s="212">
        <f ca="1">IF($D149&lt;&gt;"Serviço",0,IF(OR(AND(AUTOEVENTO="Manual",$M149=1),$M149&gt;(ROW(PLE.lastrow)-ROW(PLE.firstrow))),0,IF(OFFSET(PLE!$G$14,$M149,BA$13)="",10^12,OFFSET(PLE!$G$14,$M149,BA$13))))</f>
        <v>1000000000000</v>
      </c>
      <c r="BB149" s="212">
        <f ca="1">IF($D149&lt;&gt;"Serviço",0,IF(OR(AND(AUTOEVENTO="Manual",$M149=1),$M149&gt;(ROW(PLE.lastrow)-ROW(PLE.firstrow))),0,IF(OFFSET(PLE!$G$14,$M149,BB$13)="",10^12,OFFSET(PLE!$G$14,$M149,BB$13))))</f>
        <v>1000000000000</v>
      </c>
      <c r="BC149" s="212">
        <f ca="1">IF($D149&lt;&gt;"Serviço",0,IF(OR(AND(AUTOEVENTO="Manual",$M149=1),$M149&gt;(ROW(PLE.lastrow)-ROW(PLE.firstrow))),0,IF(OFFSET(PLE!$G$14,$M149,BC$13)="",10^12,OFFSET(PLE!$G$14,$M149,BC$13))))</f>
        <v>1000000000000</v>
      </c>
      <c r="BD149" s="212">
        <f ca="1">IF($D149&lt;&gt;"Serviço",0,IF(OR(AND(AUTOEVENTO="Manual",$M149=1),$M149&gt;(ROW(PLE.lastrow)-ROW(PLE.firstrow))),0,IF(OFFSET(PLE!$G$14,$M149,BD$13)="",10^12,OFFSET(PLE!$G$14,$M149,BD$13))))</f>
        <v>1000000000000</v>
      </c>
      <c r="BE149" s="212">
        <f ca="1">IF($D149&lt;&gt;"Serviço",0,IF(OR(AND(AUTOEVENTO="Manual",$M149=1),$M149&gt;(ROW(PLE.lastrow)-ROW(PLE.firstrow))),0,IF(OFFSET(PLE!$G$14,$M149,BE$13)="",10^12,OFFSET(PLE!$G$14,$M149,BE$13))))</f>
        <v>1000000000000</v>
      </c>
      <c r="BF149" s="212">
        <f ca="1">IF($D149&lt;&gt;"Serviço",0,IF(OR(AND(AUTOEVENTO="Manual",$M149=1),$M149&gt;(ROW(PLE.lastrow)-ROW(PLE.firstrow))),0,IF(OFFSET(PLE!$G$14,$M149,BF$13)="",10^12,OFFSET(PLE!$G$14,$M149,BF$13))))</f>
        <v>1000000000000</v>
      </c>
      <c r="BG149" s="212">
        <f ca="1">IF($D149&lt;&gt;"Serviço",0,IF(OR(AND(AUTOEVENTO="Manual",$M149=1),$M149&gt;(ROW(PLE.lastrow)-ROW(PLE.firstrow))),0,IF(OFFSET(PLE!$G$14,$M149,BG$13)="",10^12,OFFSET(PLE!$G$14,$M149,BG$13))))</f>
        <v>1000000000000</v>
      </c>
    </row>
    <row r="150" spans="1:59" ht="13.2">
      <c r="A150" s="9" t="str">
        <f t="shared" ca="1" si="11"/>
        <v>15</v>
      </c>
      <c r="B150" s="9" t="str">
        <f ca="1">OFFSET(ORÇAMENTO!C$15,ROW(B150)-ROW(B$15),0)</f>
        <v>S</v>
      </c>
      <c r="C150" s="9" t="str">
        <f ca="1">OFFSET(ORÇAMENTO!L$15,ROW(C150)-ROW(C$15),0)</f>
        <v/>
      </c>
      <c r="D150" s="141" t="str">
        <f ca="1">OFFSET(ORÇAMENTO!N$15,ROW(D150)-ROW(D$15),0)</f>
        <v>Serviço</v>
      </c>
      <c r="E150" s="201" t="str">
        <f ca="1">OFFSET(ORÇAMENTO!O$15,ROW(E150)-ROW(E$15),0)</f>
        <v>-</v>
      </c>
      <c r="F150" s="202" t="str">
        <f ca="1">OFFSET(ORÇAMENTO!R$15,ROW(F150)-ROW(F$15),0)</f>
        <v>(abra o arquivo 'Referência 11-2024.xlsm)</v>
      </c>
      <c r="G150" s="203" t="str">
        <f ca="1">IF($D150&lt;&gt;"Serviço","",OFFSET(ORÇAMENTO!S$15,ROW(G150)-ROW(G$15),0))</f>
        <v>-</v>
      </c>
      <c r="H150" s="147">
        <f ca="1">IF($D150&lt;&gt;"Serviço",0,IF(ACOMPANHAMENTO="BM",ROUND(OFFSET(ORÇAMENTO!AJ$15,ROW(H150)-ROW(H$15),0),15-13*ORÇAMENTO!$AF$7),SUMPRODUCT(($Q$12:$AA$12&lt;&gt;"")*ROUND($Q150:$AA150,15-13*ORÇAMENTO!$AF$7))))</f>
        <v>0</v>
      </c>
      <c r="I150" s="645"/>
      <c r="K150" s="204"/>
      <c r="L150" s="205" t="s">
        <v>255</v>
      </c>
      <c r="M150" s="206">
        <f ca="1">IF($D150&lt;&gt;"Serviço","",IF(AUTOEVENTO="manual",$A150,IF(ISERROR(MATCH($A150,$A$15:OFFSET($A150,-1,0),0)),MAX($M$15:OFFSET(M150,-1,0))+1,INDEX($M$15:OFFSET(M150,-1,0),MATCH($A150,$A$15:OFFSET($A150,-1,0),0)))))</f>
        <v>6</v>
      </c>
      <c r="N150" s="207" t="str">
        <f ca="1">IF($D150&lt;&gt;"Serviço","",IF(AUTOEVENTO="Manual",IF($A150=0,"&lt;-- defina o número do agrupador",OFFSET(EVENTOS!$D$14,$A150,0)),OFFSET($F$15,$A150,0)))</f>
        <v>DRENAGEM</v>
      </c>
      <c r="O150" s="208"/>
      <c r="Q150" s="208"/>
      <c r="R150" s="209"/>
      <c r="S150" s="209"/>
      <c r="T150" s="209"/>
      <c r="U150" s="209"/>
      <c r="V150" s="209"/>
      <c r="W150" s="209"/>
      <c r="X150" s="209"/>
      <c r="Y150" s="209"/>
      <c r="Z150" s="210"/>
      <c r="AB150" s="626">
        <f ca="1">IF(AND($D150="Serviço",AB$12&lt;&gt;0,$H150&gt;0,OR(AUTOEVENTO&lt;&gt;"manual",$M150&lt;&gt;1)),
IF(Import.TipoArredondamento&lt;&gt;"TransfereGOV",
ROUND(OFFSET($P150,0,AB$13),15-13*ORÇAMENTO!$AF$7)/$H150*OFFSET(ORÇAMENTO!$X$15,ROW(AB150)-ROW(AB$15),0),
ROUND(ROUND(OFFSET($P150,0,AB$13),15-13*ORÇAMENTO!$AF$7)*OFFSET(ORÇAMENTO!$W$15,ROW(AB150)-ROW(AB$15),0),15-13*ORÇAMENTO!$AF$11)),0)</f>
        <v>0</v>
      </c>
      <c r="AC150" s="627">
        <f ca="1">IF(AND($D150="Serviço",AC$12&lt;&gt;0,$H150&gt;0,OR(AUTOEVENTO&lt;&gt;"manual",$M150&lt;&gt;1)),
IF(Import.TipoArredondamento&lt;&gt;"TransfereGOV",
ROUND(OFFSET($P150,0,AC$13),15-13*ORÇAMENTO!$AF$7)/$H150*OFFSET(ORÇAMENTO!$X$15,ROW(AC150)-ROW(AC$15),0),
ROUND(ROUND(OFFSET($P150,0,AC$13),15-13*ORÇAMENTO!$AF$7)*OFFSET(ORÇAMENTO!$W$15,ROW(AC150)-ROW(AC$15),0),15-13*ORÇAMENTO!$AF$11)),0)</f>
        <v>0</v>
      </c>
      <c r="AD150" s="627">
        <f ca="1">IF(AND($D150="Serviço",AD$12&lt;&gt;0,$H150&gt;0,OR(AUTOEVENTO&lt;&gt;"manual",$M150&lt;&gt;1)),
IF(Import.TipoArredondamento&lt;&gt;"TransfereGOV",
ROUND(OFFSET($P150,0,AD$13),15-13*ORÇAMENTO!$AF$7)/$H150*OFFSET(ORÇAMENTO!$X$15,ROW(AD150)-ROW(AD$15),0),
ROUND(ROUND(OFFSET($P150,0,AD$13),15-13*ORÇAMENTO!$AF$7)*OFFSET(ORÇAMENTO!$W$15,ROW(AD150)-ROW(AD$15),0),15-13*ORÇAMENTO!$AF$11)),0)</f>
        <v>0</v>
      </c>
      <c r="AE150" s="627">
        <f ca="1">IF(AND($D150="Serviço",AE$12&lt;&gt;0,$H150&gt;0,OR(AUTOEVENTO&lt;&gt;"manual",$M150&lt;&gt;1)),
IF(Import.TipoArredondamento&lt;&gt;"TransfereGOV",
ROUND(OFFSET($P150,0,AE$13),15-13*ORÇAMENTO!$AF$7)/$H150*OFFSET(ORÇAMENTO!$X$15,ROW(AE150)-ROW(AE$15),0),
ROUND(ROUND(OFFSET($P150,0,AE$13),15-13*ORÇAMENTO!$AF$7)*OFFSET(ORÇAMENTO!$W$15,ROW(AE150)-ROW(AE$15),0),15-13*ORÇAMENTO!$AF$11)),0)</f>
        <v>0</v>
      </c>
      <c r="AF150" s="627">
        <f ca="1">IF(AND($D150="Serviço",AF$12&lt;&gt;0,$H150&gt;0,OR(AUTOEVENTO&lt;&gt;"manual",$M150&lt;&gt;1)),
IF(Import.TipoArredondamento&lt;&gt;"TransfereGOV",
ROUND(OFFSET($P150,0,AF$13),15-13*ORÇAMENTO!$AF$7)/$H150*OFFSET(ORÇAMENTO!$X$15,ROW(AF150)-ROW(AF$15),0),
ROUND(ROUND(OFFSET($P150,0,AF$13),15-13*ORÇAMENTO!$AF$7)*OFFSET(ORÇAMENTO!$W$15,ROW(AF150)-ROW(AF$15),0),15-13*ORÇAMENTO!$AF$11)),0)</f>
        <v>0</v>
      </c>
      <c r="AG150" s="627">
        <f ca="1">IF(AND($D150="Serviço",AG$12&lt;&gt;0,$H150&gt;0,OR(AUTOEVENTO&lt;&gt;"manual",$M150&lt;&gt;1)),
IF(Import.TipoArredondamento&lt;&gt;"TransfereGOV",
ROUND(OFFSET($P150,0,AG$13),15-13*ORÇAMENTO!$AF$7)/$H150*OFFSET(ORÇAMENTO!$X$15,ROW(AG150)-ROW(AG$15),0),
ROUND(ROUND(OFFSET($P150,0,AG$13),15-13*ORÇAMENTO!$AF$7)*OFFSET(ORÇAMENTO!$W$15,ROW(AG150)-ROW(AG$15),0),15-13*ORÇAMENTO!$AF$11)),0)</f>
        <v>0</v>
      </c>
      <c r="AH150" s="627">
        <f ca="1">IF(AND($D150="Serviço",AH$12&lt;&gt;0,$H150&gt;0,OR(AUTOEVENTO&lt;&gt;"manual",$M150&lt;&gt;1)),
IF(Import.TipoArredondamento&lt;&gt;"TransfereGOV",
ROUND(OFFSET($P150,0,AH$13),15-13*ORÇAMENTO!$AF$7)/$H150*OFFSET(ORÇAMENTO!$X$15,ROW(AH150)-ROW(AH$15),0),
ROUND(ROUND(OFFSET($P150,0,AH$13),15-13*ORÇAMENTO!$AF$7)*OFFSET(ORÇAMENTO!$W$15,ROW(AH150)-ROW(AH$15),0),15-13*ORÇAMENTO!$AF$11)),0)</f>
        <v>0</v>
      </c>
      <c r="AI150" s="627">
        <f ca="1">IF(AND($D150="Serviço",AI$12&lt;&gt;0,$H150&gt;0,OR(AUTOEVENTO&lt;&gt;"manual",$M150&lt;&gt;1)),
IF(Import.TipoArredondamento&lt;&gt;"TransfereGOV",
ROUND(OFFSET($P150,0,AI$13),15-13*ORÇAMENTO!$AF$7)/$H150*OFFSET(ORÇAMENTO!$X$15,ROW(AI150)-ROW(AI$15),0),
ROUND(ROUND(OFFSET($P150,0,AI$13),15-13*ORÇAMENTO!$AF$7)*OFFSET(ORÇAMENTO!$W$15,ROW(AI150)-ROW(AI$15),0),15-13*ORÇAMENTO!$AF$11)),0)</f>
        <v>0</v>
      </c>
      <c r="AJ150" s="627">
        <f ca="1">IF(AND($D150="Serviço",AJ$12&lt;&gt;0,$H150&gt;0,OR(AUTOEVENTO&lt;&gt;"manual",$M150&lt;&gt;1)),
IF(Import.TipoArredondamento&lt;&gt;"TransfereGOV",
ROUND(OFFSET($P150,0,AJ$13),15-13*ORÇAMENTO!$AF$7)/$H150*OFFSET(ORÇAMENTO!$X$15,ROW(AJ150)-ROW(AJ$15),0),
ROUND(ROUND(OFFSET($P150,0,AJ$13),15-13*ORÇAMENTO!$AF$7)*OFFSET(ORÇAMENTO!$W$15,ROW(AJ150)-ROW(AJ$15),0),15-13*ORÇAMENTO!$AF$11)),0)</f>
        <v>0</v>
      </c>
      <c r="AK150" s="628">
        <f ca="1">IF(AND($D150="Serviço",AK$12&lt;&gt;0,$H150&gt;0,OR(AUTOEVENTO&lt;&gt;"manual",$M150&lt;&gt;1)),
IF(Import.TipoArredondamento&lt;&gt;"TransfereGOV",
ROUND(OFFSET($P150,0,AK$13),15-13*ORÇAMENTO!$AF$7)/$H150*OFFSET(ORÇAMENTO!$X$15,ROW(AK150)-ROW(AK$15),0),
ROUND(ROUND(OFFSET($P150,0,AK$13),15-13*ORÇAMENTO!$AF$7)*OFFSET(ORÇAMENTO!$W$15,ROW(AK150)-ROW(AK$15),0),15-13*ORÇAMENTO!$AF$11)),0)</f>
        <v>0</v>
      </c>
      <c r="AM150" s="211">
        <f ca="1">IF($D150&lt;&gt;"Serviço",0,IF(AND(AUTOEVENTO="Manual",$M150=1),0,IF(OFFSET(CRONOPLE!$F$14,$M150,AM$13)="",10^12,OFFSET(CRONOPLE!$F$14,$M150,AM$13))))</f>
        <v>2</v>
      </c>
      <c r="AN150" s="211">
        <f ca="1">IF($D150&lt;&gt;"Serviço",0,IF(AND(AUTOEVENTO="Manual",$M150=1),0,IF(OFFSET(CRONOPLE!$F$14,$M150,AN$13)="",10^12,OFFSET(CRONOPLE!$F$14,$M150,AN$13))))</f>
        <v>1</v>
      </c>
      <c r="AO150" s="211">
        <f ca="1">IF($D150&lt;&gt;"Serviço",0,IF(AND(AUTOEVENTO="Manual",$M150=1),0,IF(OFFSET(CRONOPLE!$F$14,$M150,AO$13)="",10^12,OFFSET(CRONOPLE!$F$14,$M150,AO$13))))</f>
        <v>2</v>
      </c>
      <c r="AP150" s="211">
        <f ca="1">IF($D150&lt;&gt;"Serviço",0,IF(AND(AUTOEVENTO="Manual",$M150=1),0,IF(OFFSET(CRONOPLE!$F$14,$M150,AP$13)="",10^12,OFFSET(CRONOPLE!$F$14,$M150,AP$13))))</f>
        <v>2</v>
      </c>
      <c r="AQ150" s="211">
        <f ca="1">IF($D150&lt;&gt;"Serviço",0,IF(AND(AUTOEVENTO="Manual",$M150=1),0,IF(OFFSET(CRONOPLE!$F$14,$M150,AQ$13)="",10^12,OFFSET(CRONOPLE!$F$14,$M150,AQ$13))))</f>
        <v>1000000000000</v>
      </c>
      <c r="AR150" s="211">
        <f ca="1">IF($D150&lt;&gt;"Serviço",0,IF(AND(AUTOEVENTO="Manual",$M150=1),0,IF(OFFSET(CRONOPLE!$F$14,$M150,AR$13)="",10^12,OFFSET(CRONOPLE!$F$14,$M150,AR$13))))</f>
        <v>1000000000000</v>
      </c>
      <c r="AS150" s="211">
        <f ca="1">IF($D150&lt;&gt;"Serviço",0,IF(AND(AUTOEVENTO="Manual",$M150=1),0,IF(OFFSET(CRONOPLE!$F$14,$M150,AS$13)="",10^12,OFFSET(CRONOPLE!$F$14,$M150,AS$13))))</f>
        <v>1000000000000</v>
      </c>
      <c r="AT150" s="211">
        <f ca="1">IF($D150&lt;&gt;"Serviço",0,IF(AND(AUTOEVENTO="Manual",$M150=1),0,IF(OFFSET(CRONOPLE!$F$14,$M150,AT$13)="",10^12,OFFSET(CRONOPLE!$F$14,$M150,AT$13))))</f>
        <v>1000000000000</v>
      </c>
      <c r="AU150" s="211">
        <f ca="1">IF($D150&lt;&gt;"Serviço",0,IF(AND(AUTOEVENTO="Manual",$M150=1),0,IF(OFFSET(CRONOPLE!$F$14,$M150,AU$13)="",10^12,OFFSET(CRONOPLE!$F$14,$M150,AU$13))))</f>
        <v>1000000000000</v>
      </c>
      <c r="AV150" s="211">
        <f ca="1">IF($D150&lt;&gt;"Serviço",0,IF(AND(AUTOEVENTO="Manual",$M150=1),0,IF(OFFSET(CRONOPLE!$F$14,$M150,AV$13)="",10^12,OFFSET(CRONOPLE!$F$14,$M150,AV$13))))</f>
        <v>1000000000000</v>
      </c>
      <c r="AX150" s="212">
        <f ca="1">IF($D150&lt;&gt;"Serviço",0,IF(OR(AND(AUTOEVENTO="Manual",$M150=1),$M150&gt;(ROW(PLE.lastrow)-ROW(PLE.firstrow))),0,IF(OFFSET(PLE!$G$14,$M150,AX$13)="",10^12,OFFSET(PLE!$G$14,$M150,AX$13))))</f>
        <v>1000000000000</v>
      </c>
      <c r="AY150" s="212">
        <f ca="1">IF($D150&lt;&gt;"Serviço",0,IF(OR(AND(AUTOEVENTO="Manual",$M150=1),$M150&gt;(ROW(PLE.lastrow)-ROW(PLE.firstrow))),0,IF(OFFSET(PLE!$G$14,$M150,AY$13)="",10^12,OFFSET(PLE!$G$14,$M150,AY$13))))</f>
        <v>1000000000000</v>
      </c>
      <c r="AZ150" s="212">
        <f ca="1">IF($D150&lt;&gt;"Serviço",0,IF(OR(AND(AUTOEVENTO="Manual",$M150=1),$M150&gt;(ROW(PLE.lastrow)-ROW(PLE.firstrow))),0,IF(OFFSET(PLE!$G$14,$M150,AZ$13)="",10^12,OFFSET(PLE!$G$14,$M150,AZ$13))))</f>
        <v>1000000000000</v>
      </c>
      <c r="BA150" s="212">
        <f ca="1">IF($D150&lt;&gt;"Serviço",0,IF(OR(AND(AUTOEVENTO="Manual",$M150=1),$M150&gt;(ROW(PLE.lastrow)-ROW(PLE.firstrow))),0,IF(OFFSET(PLE!$G$14,$M150,BA$13)="",10^12,OFFSET(PLE!$G$14,$M150,BA$13))))</f>
        <v>1000000000000</v>
      </c>
      <c r="BB150" s="212">
        <f ca="1">IF($D150&lt;&gt;"Serviço",0,IF(OR(AND(AUTOEVENTO="Manual",$M150=1),$M150&gt;(ROW(PLE.lastrow)-ROW(PLE.firstrow))),0,IF(OFFSET(PLE!$G$14,$M150,BB$13)="",10^12,OFFSET(PLE!$G$14,$M150,BB$13))))</f>
        <v>1000000000000</v>
      </c>
      <c r="BC150" s="212">
        <f ca="1">IF($D150&lt;&gt;"Serviço",0,IF(OR(AND(AUTOEVENTO="Manual",$M150=1),$M150&gt;(ROW(PLE.lastrow)-ROW(PLE.firstrow))),0,IF(OFFSET(PLE!$G$14,$M150,BC$13)="",10^12,OFFSET(PLE!$G$14,$M150,BC$13))))</f>
        <v>1000000000000</v>
      </c>
      <c r="BD150" s="212">
        <f ca="1">IF($D150&lt;&gt;"Serviço",0,IF(OR(AND(AUTOEVENTO="Manual",$M150=1),$M150&gt;(ROW(PLE.lastrow)-ROW(PLE.firstrow))),0,IF(OFFSET(PLE!$G$14,$M150,BD$13)="",10^12,OFFSET(PLE!$G$14,$M150,BD$13))))</f>
        <v>1000000000000</v>
      </c>
      <c r="BE150" s="212">
        <f ca="1">IF($D150&lt;&gt;"Serviço",0,IF(OR(AND(AUTOEVENTO="Manual",$M150=1),$M150&gt;(ROW(PLE.lastrow)-ROW(PLE.firstrow))),0,IF(OFFSET(PLE!$G$14,$M150,BE$13)="",10^12,OFFSET(PLE!$G$14,$M150,BE$13))))</f>
        <v>1000000000000</v>
      </c>
      <c r="BF150" s="212">
        <f ca="1">IF($D150&lt;&gt;"Serviço",0,IF(OR(AND(AUTOEVENTO="Manual",$M150=1),$M150&gt;(ROW(PLE.lastrow)-ROW(PLE.firstrow))),0,IF(OFFSET(PLE!$G$14,$M150,BF$13)="",10^12,OFFSET(PLE!$G$14,$M150,BF$13))))</f>
        <v>1000000000000</v>
      </c>
      <c r="BG150" s="212">
        <f ca="1">IF($D150&lt;&gt;"Serviço",0,IF(OR(AND(AUTOEVENTO="Manual",$M150=1),$M150&gt;(ROW(PLE.lastrow)-ROW(PLE.firstrow))),0,IF(OFFSET(PLE!$G$14,$M150,BG$13)="",10^12,OFFSET(PLE!$G$14,$M150,BG$13))))</f>
        <v>1000000000000</v>
      </c>
    </row>
    <row r="151" spans="1:59" ht="13.2">
      <c r="A151" s="9" t="str">
        <f t="shared" ca="1" si="11"/>
        <v>15</v>
      </c>
      <c r="B151" s="9" t="str">
        <f ca="1">OFFSET(ORÇAMENTO!C$15,ROW(B151)-ROW(B$15),0)</f>
        <v>S</v>
      </c>
      <c r="C151" s="9" t="str">
        <f ca="1">OFFSET(ORÇAMENTO!L$15,ROW(C151)-ROW(C$15),0)</f>
        <v/>
      </c>
      <c r="D151" s="141" t="str">
        <f ca="1">OFFSET(ORÇAMENTO!N$15,ROW(D151)-ROW(D$15),0)</f>
        <v>Serviço</v>
      </c>
      <c r="E151" s="201" t="str">
        <f ca="1">OFFSET(ORÇAMENTO!O$15,ROW(E151)-ROW(E$15),0)</f>
        <v>-</v>
      </c>
      <c r="F151" s="202" t="str">
        <f ca="1">OFFSET(ORÇAMENTO!R$15,ROW(F151)-ROW(F$15),0)</f>
        <v>(abra o arquivo 'Referência 11-2024.xlsm)</v>
      </c>
      <c r="G151" s="203" t="str">
        <f ca="1">IF($D151&lt;&gt;"Serviço","",OFFSET(ORÇAMENTO!S$15,ROW(G151)-ROW(G$15),0))</f>
        <v>-</v>
      </c>
      <c r="H151" s="147">
        <f ca="1">IF($D151&lt;&gt;"Serviço",0,IF(ACOMPANHAMENTO="BM",ROUND(OFFSET(ORÇAMENTO!AJ$15,ROW(H151)-ROW(H$15),0),15-13*ORÇAMENTO!$AF$7),SUMPRODUCT(($Q$12:$AA$12&lt;&gt;"")*ROUND($Q151:$AA151,15-13*ORÇAMENTO!$AF$7))))</f>
        <v>0</v>
      </c>
      <c r="I151" s="645"/>
      <c r="K151" s="204"/>
      <c r="L151" s="205" t="s">
        <v>255</v>
      </c>
      <c r="M151" s="206">
        <f ca="1">IF($D151&lt;&gt;"Serviço","",IF(AUTOEVENTO="manual",$A151,IF(ISERROR(MATCH($A151,$A$15:OFFSET($A151,-1,0),0)),MAX($M$15:OFFSET(M151,-1,0))+1,INDEX($M$15:OFFSET(M151,-1,0),MATCH($A151,$A$15:OFFSET($A151,-1,0),0)))))</f>
        <v>6</v>
      </c>
      <c r="N151" s="207" t="str">
        <f ca="1">IF($D151&lt;&gt;"Serviço","",IF(AUTOEVENTO="Manual",IF($A151=0,"&lt;-- defina o número do agrupador",OFFSET(EVENTOS!$D$14,$A151,0)),OFFSET($F$15,$A151,0)))</f>
        <v>DRENAGEM</v>
      </c>
      <c r="O151" s="208"/>
      <c r="Q151" s="208"/>
      <c r="R151" s="209"/>
      <c r="S151" s="209"/>
      <c r="T151" s="209"/>
      <c r="U151" s="209"/>
      <c r="V151" s="209"/>
      <c r="W151" s="209"/>
      <c r="X151" s="209"/>
      <c r="Y151" s="209"/>
      <c r="Z151" s="210"/>
      <c r="AB151" s="626">
        <f ca="1">IF(AND($D151="Serviço",AB$12&lt;&gt;0,$H151&gt;0,OR(AUTOEVENTO&lt;&gt;"manual",$M151&lt;&gt;1)),
IF(Import.TipoArredondamento&lt;&gt;"TransfereGOV",
ROUND(OFFSET($P151,0,AB$13),15-13*ORÇAMENTO!$AF$7)/$H151*OFFSET(ORÇAMENTO!$X$15,ROW(AB151)-ROW(AB$15),0),
ROUND(ROUND(OFFSET($P151,0,AB$13),15-13*ORÇAMENTO!$AF$7)*OFFSET(ORÇAMENTO!$W$15,ROW(AB151)-ROW(AB$15),0),15-13*ORÇAMENTO!$AF$11)),0)</f>
        <v>0</v>
      </c>
      <c r="AC151" s="627">
        <f ca="1">IF(AND($D151="Serviço",AC$12&lt;&gt;0,$H151&gt;0,OR(AUTOEVENTO&lt;&gt;"manual",$M151&lt;&gt;1)),
IF(Import.TipoArredondamento&lt;&gt;"TransfereGOV",
ROUND(OFFSET($P151,0,AC$13),15-13*ORÇAMENTO!$AF$7)/$H151*OFFSET(ORÇAMENTO!$X$15,ROW(AC151)-ROW(AC$15),0),
ROUND(ROUND(OFFSET($P151,0,AC$13),15-13*ORÇAMENTO!$AF$7)*OFFSET(ORÇAMENTO!$W$15,ROW(AC151)-ROW(AC$15),0),15-13*ORÇAMENTO!$AF$11)),0)</f>
        <v>0</v>
      </c>
      <c r="AD151" s="627">
        <f ca="1">IF(AND($D151="Serviço",AD$12&lt;&gt;0,$H151&gt;0,OR(AUTOEVENTO&lt;&gt;"manual",$M151&lt;&gt;1)),
IF(Import.TipoArredondamento&lt;&gt;"TransfereGOV",
ROUND(OFFSET($P151,0,AD$13),15-13*ORÇAMENTO!$AF$7)/$H151*OFFSET(ORÇAMENTO!$X$15,ROW(AD151)-ROW(AD$15),0),
ROUND(ROUND(OFFSET($P151,0,AD$13),15-13*ORÇAMENTO!$AF$7)*OFFSET(ORÇAMENTO!$W$15,ROW(AD151)-ROW(AD$15),0),15-13*ORÇAMENTO!$AF$11)),0)</f>
        <v>0</v>
      </c>
      <c r="AE151" s="627">
        <f ca="1">IF(AND($D151="Serviço",AE$12&lt;&gt;0,$H151&gt;0,OR(AUTOEVENTO&lt;&gt;"manual",$M151&lt;&gt;1)),
IF(Import.TipoArredondamento&lt;&gt;"TransfereGOV",
ROUND(OFFSET($P151,0,AE$13),15-13*ORÇAMENTO!$AF$7)/$H151*OFFSET(ORÇAMENTO!$X$15,ROW(AE151)-ROW(AE$15),0),
ROUND(ROUND(OFFSET($P151,0,AE$13),15-13*ORÇAMENTO!$AF$7)*OFFSET(ORÇAMENTO!$W$15,ROW(AE151)-ROW(AE$15),0),15-13*ORÇAMENTO!$AF$11)),0)</f>
        <v>0</v>
      </c>
      <c r="AF151" s="627">
        <f ca="1">IF(AND($D151="Serviço",AF$12&lt;&gt;0,$H151&gt;0,OR(AUTOEVENTO&lt;&gt;"manual",$M151&lt;&gt;1)),
IF(Import.TipoArredondamento&lt;&gt;"TransfereGOV",
ROUND(OFFSET($P151,0,AF$13),15-13*ORÇAMENTO!$AF$7)/$H151*OFFSET(ORÇAMENTO!$X$15,ROW(AF151)-ROW(AF$15),0),
ROUND(ROUND(OFFSET($P151,0,AF$13),15-13*ORÇAMENTO!$AF$7)*OFFSET(ORÇAMENTO!$W$15,ROW(AF151)-ROW(AF$15),0),15-13*ORÇAMENTO!$AF$11)),0)</f>
        <v>0</v>
      </c>
      <c r="AG151" s="627">
        <f ca="1">IF(AND($D151="Serviço",AG$12&lt;&gt;0,$H151&gt;0,OR(AUTOEVENTO&lt;&gt;"manual",$M151&lt;&gt;1)),
IF(Import.TipoArredondamento&lt;&gt;"TransfereGOV",
ROUND(OFFSET($P151,0,AG$13),15-13*ORÇAMENTO!$AF$7)/$H151*OFFSET(ORÇAMENTO!$X$15,ROW(AG151)-ROW(AG$15),0),
ROUND(ROUND(OFFSET($P151,0,AG$13),15-13*ORÇAMENTO!$AF$7)*OFFSET(ORÇAMENTO!$W$15,ROW(AG151)-ROW(AG$15),0),15-13*ORÇAMENTO!$AF$11)),0)</f>
        <v>0</v>
      </c>
      <c r="AH151" s="627">
        <f ca="1">IF(AND($D151="Serviço",AH$12&lt;&gt;0,$H151&gt;0,OR(AUTOEVENTO&lt;&gt;"manual",$M151&lt;&gt;1)),
IF(Import.TipoArredondamento&lt;&gt;"TransfereGOV",
ROUND(OFFSET($P151,0,AH$13),15-13*ORÇAMENTO!$AF$7)/$H151*OFFSET(ORÇAMENTO!$X$15,ROW(AH151)-ROW(AH$15),0),
ROUND(ROUND(OFFSET($P151,0,AH$13),15-13*ORÇAMENTO!$AF$7)*OFFSET(ORÇAMENTO!$W$15,ROW(AH151)-ROW(AH$15),0),15-13*ORÇAMENTO!$AF$11)),0)</f>
        <v>0</v>
      </c>
      <c r="AI151" s="627">
        <f ca="1">IF(AND($D151="Serviço",AI$12&lt;&gt;0,$H151&gt;0,OR(AUTOEVENTO&lt;&gt;"manual",$M151&lt;&gt;1)),
IF(Import.TipoArredondamento&lt;&gt;"TransfereGOV",
ROUND(OFFSET($P151,0,AI$13),15-13*ORÇAMENTO!$AF$7)/$H151*OFFSET(ORÇAMENTO!$X$15,ROW(AI151)-ROW(AI$15),0),
ROUND(ROUND(OFFSET($P151,0,AI$13),15-13*ORÇAMENTO!$AF$7)*OFFSET(ORÇAMENTO!$W$15,ROW(AI151)-ROW(AI$15),0),15-13*ORÇAMENTO!$AF$11)),0)</f>
        <v>0</v>
      </c>
      <c r="AJ151" s="627">
        <f ca="1">IF(AND($D151="Serviço",AJ$12&lt;&gt;0,$H151&gt;0,OR(AUTOEVENTO&lt;&gt;"manual",$M151&lt;&gt;1)),
IF(Import.TipoArredondamento&lt;&gt;"TransfereGOV",
ROUND(OFFSET($P151,0,AJ$13),15-13*ORÇAMENTO!$AF$7)/$H151*OFFSET(ORÇAMENTO!$X$15,ROW(AJ151)-ROW(AJ$15),0),
ROUND(ROUND(OFFSET($P151,0,AJ$13),15-13*ORÇAMENTO!$AF$7)*OFFSET(ORÇAMENTO!$W$15,ROW(AJ151)-ROW(AJ$15),0),15-13*ORÇAMENTO!$AF$11)),0)</f>
        <v>0</v>
      </c>
      <c r="AK151" s="628">
        <f ca="1">IF(AND($D151="Serviço",AK$12&lt;&gt;0,$H151&gt;0,OR(AUTOEVENTO&lt;&gt;"manual",$M151&lt;&gt;1)),
IF(Import.TipoArredondamento&lt;&gt;"TransfereGOV",
ROUND(OFFSET($P151,0,AK$13),15-13*ORÇAMENTO!$AF$7)/$H151*OFFSET(ORÇAMENTO!$X$15,ROW(AK151)-ROW(AK$15),0),
ROUND(ROUND(OFFSET($P151,0,AK$13),15-13*ORÇAMENTO!$AF$7)*OFFSET(ORÇAMENTO!$W$15,ROW(AK151)-ROW(AK$15),0),15-13*ORÇAMENTO!$AF$11)),0)</f>
        <v>0</v>
      </c>
      <c r="AM151" s="211">
        <f ca="1">IF($D151&lt;&gt;"Serviço",0,IF(AND(AUTOEVENTO="Manual",$M151=1),0,IF(OFFSET(CRONOPLE!$F$14,$M151,AM$13)="",10^12,OFFSET(CRONOPLE!$F$14,$M151,AM$13))))</f>
        <v>2</v>
      </c>
      <c r="AN151" s="211">
        <f ca="1">IF($D151&lt;&gt;"Serviço",0,IF(AND(AUTOEVENTO="Manual",$M151=1),0,IF(OFFSET(CRONOPLE!$F$14,$M151,AN$13)="",10^12,OFFSET(CRONOPLE!$F$14,$M151,AN$13))))</f>
        <v>1</v>
      </c>
      <c r="AO151" s="211">
        <f ca="1">IF($D151&lt;&gt;"Serviço",0,IF(AND(AUTOEVENTO="Manual",$M151=1),0,IF(OFFSET(CRONOPLE!$F$14,$M151,AO$13)="",10^12,OFFSET(CRONOPLE!$F$14,$M151,AO$13))))</f>
        <v>2</v>
      </c>
      <c r="AP151" s="211">
        <f ca="1">IF($D151&lt;&gt;"Serviço",0,IF(AND(AUTOEVENTO="Manual",$M151=1),0,IF(OFFSET(CRONOPLE!$F$14,$M151,AP$13)="",10^12,OFFSET(CRONOPLE!$F$14,$M151,AP$13))))</f>
        <v>2</v>
      </c>
      <c r="AQ151" s="211">
        <f ca="1">IF($D151&lt;&gt;"Serviço",0,IF(AND(AUTOEVENTO="Manual",$M151=1),0,IF(OFFSET(CRONOPLE!$F$14,$M151,AQ$13)="",10^12,OFFSET(CRONOPLE!$F$14,$M151,AQ$13))))</f>
        <v>1000000000000</v>
      </c>
      <c r="AR151" s="211">
        <f ca="1">IF($D151&lt;&gt;"Serviço",0,IF(AND(AUTOEVENTO="Manual",$M151=1),0,IF(OFFSET(CRONOPLE!$F$14,$M151,AR$13)="",10^12,OFFSET(CRONOPLE!$F$14,$M151,AR$13))))</f>
        <v>1000000000000</v>
      </c>
      <c r="AS151" s="211">
        <f ca="1">IF($D151&lt;&gt;"Serviço",0,IF(AND(AUTOEVENTO="Manual",$M151=1),0,IF(OFFSET(CRONOPLE!$F$14,$M151,AS$13)="",10^12,OFFSET(CRONOPLE!$F$14,$M151,AS$13))))</f>
        <v>1000000000000</v>
      </c>
      <c r="AT151" s="211">
        <f ca="1">IF($D151&lt;&gt;"Serviço",0,IF(AND(AUTOEVENTO="Manual",$M151=1),0,IF(OFFSET(CRONOPLE!$F$14,$M151,AT$13)="",10^12,OFFSET(CRONOPLE!$F$14,$M151,AT$13))))</f>
        <v>1000000000000</v>
      </c>
      <c r="AU151" s="211">
        <f ca="1">IF($D151&lt;&gt;"Serviço",0,IF(AND(AUTOEVENTO="Manual",$M151=1),0,IF(OFFSET(CRONOPLE!$F$14,$M151,AU$13)="",10^12,OFFSET(CRONOPLE!$F$14,$M151,AU$13))))</f>
        <v>1000000000000</v>
      </c>
      <c r="AV151" s="211">
        <f ca="1">IF($D151&lt;&gt;"Serviço",0,IF(AND(AUTOEVENTO="Manual",$M151=1),0,IF(OFFSET(CRONOPLE!$F$14,$M151,AV$13)="",10^12,OFFSET(CRONOPLE!$F$14,$M151,AV$13))))</f>
        <v>1000000000000</v>
      </c>
      <c r="AX151" s="212">
        <f ca="1">IF($D151&lt;&gt;"Serviço",0,IF(OR(AND(AUTOEVENTO="Manual",$M151=1),$M151&gt;(ROW(PLE.lastrow)-ROW(PLE.firstrow))),0,IF(OFFSET(PLE!$G$14,$M151,AX$13)="",10^12,OFFSET(PLE!$G$14,$M151,AX$13))))</f>
        <v>1000000000000</v>
      </c>
      <c r="AY151" s="212">
        <f ca="1">IF($D151&lt;&gt;"Serviço",0,IF(OR(AND(AUTOEVENTO="Manual",$M151=1),$M151&gt;(ROW(PLE.lastrow)-ROW(PLE.firstrow))),0,IF(OFFSET(PLE!$G$14,$M151,AY$13)="",10^12,OFFSET(PLE!$G$14,$M151,AY$13))))</f>
        <v>1000000000000</v>
      </c>
      <c r="AZ151" s="212">
        <f ca="1">IF($D151&lt;&gt;"Serviço",0,IF(OR(AND(AUTOEVENTO="Manual",$M151=1),$M151&gt;(ROW(PLE.lastrow)-ROW(PLE.firstrow))),0,IF(OFFSET(PLE!$G$14,$M151,AZ$13)="",10^12,OFFSET(PLE!$G$14,$M151,AZ$13))))</f>
        <v>1000000000000</v>
      </c>
      <c r="BA151" s="212">
        <f ca="1">IF($D151&lt;&gt;"Serviço",0,IF(OR(AND(AUTOEVENTO="Manual",$M151=1),$M151&gt;(ROW(PLE.lastrow)-ROW(PLE.firstrow))),0,IF(OFFSET(PLE!$G$14,$M151,BA$13)="",10^12,OFFSET(PLE!$G$14,$M151,BA$13))))</f>
        <v>1000000000000</v>
      </c>
      <c r="BB151" s="212">
        <f ca="1">IF($D151&lt;&gt;"Serviço",0,IF(OR(AND(AUTOEVENTO="Manual",$M151=1),$M151&gt;(ROW(PLE.lastrow)-ROW(PLE.firstrow))),0,IF(OFFSET(PLE!$G$14,$M151,BB$13)="",10^12,OFFSET(PLE!$G$14,$M151,BB$13))))</f>
        <v>1000000000000</v>
      </c>
      <c r="BC151" s="212">
        <f ca="1">IF($D151&lt;&gt;"Serviço",0,IF(OR(AND(AUTOEVENTO="Manual",$M151=1),$M151&gt;(ROW(PLE.lastrow)-ROW(PLE.firstrow))),0,IF(OFFSET(PLE!$G$14,$M151,BC$13)="",10^12,OFFSET(PLE!$G$14,$M151,BC$13))))</f>
        <v>1000000000000</v>
      </c>
      <c r="BD151" s="212">
        <f ca="1">IF($D151&lt;&gt;"Serviço",0,IF(OR(AND(AUTOEVENTO="Manual",$M151=1),$M151&gt;(ROW(PLE.lastrow)-ROW(PLE.firstrow))),0,IF(OFFSET(PLE!$G$14,$M151,BD$13)="",10^12,OFFSET(PLE!$G$14,$M151,BD$13))))</f>
        <v>1000000000000</v>
      </c>
      <c r="BE151" s="212">
        <f ca="1">IF($D151&lt;&gt;"Serviço",0,IF(OR(AND(AUTOEVENTO="Manual",$M151=1),$M151&gt;(ROW(PLE.lastrow)-ROW(PLE.firstrow))),0,IF(OFFSET(PLE!$G$14,$M151,BE$13)="",10^12,OFFSET(PLE!$G$14,$M151,BE$13))))</f>
        <v>1000000000000</v>
      </c>
      <c r="BF151" s="212">
        <f ca="1">IF($D151&lt;&gt;"Serviço",0,IF(OR(AND(AUTOEVENTO="Manual",$M151=1),$M151&gt;(ROW(PLE.lastrow)-ROW(PLE.firstrow))),0,IF(OFFSET(PLE!$G$14,$M151,BF$13)="",10^12,OFFSET(PLE!$G$14,$M151,BF$13))))</f>
        <v>1000000000000</v>
      </c>
      <c r="BG151" s="212">
        <f ca="1">IF($D151&lt;&gt;"Serviço",0,IF(OR(AND(AUTOEVENTO="Manual",$M151=1),$M151&gt;(ROW(PLE.lastrow)-ROW(PLE.firstrow))),0,IF(OFFSET(PLE!$G$14,$M151,BG$13)="",10^12,OFFSET(PLE!$G$14,$M151,BG$13))))</f>
        <v>1000000000000</v>
      </c>
    </row>
    <row r="152" spans="1:59" ht="13.2">
      <c r="A152" s="9" t="str">
        <f t="shared" ca="1" si="11"/>
        <v>15</v>
      </c>
      <c r="B152" s="9" t="str">
        <f ca="1">OFFSET(ORÇAMENTO!C$15,ROW(B152)-ROW(B$15),0)</f>
        <v>S</v>
      </c>
      <c r="C152" s="9" t="str">
        <f ca="1">OFFSET(ORÇAMENTO!L$15,ROW(C152)-ROW(C$15),0)</f>
        <v/>
      </c>
      <c r="D152" s="141" t="str">
        <f ca="1">OFFSET(ORÇAMENTO!N$15,ROW(D152)-ROW(D$15),0)</f>
        <v>Serviço</v>
      </c>
      <c r="E152" s="201" t="str">
        <f ca="1">OFFSET(ORÇAMENTO!O$15,ROW(E152)-ROW(E$15),0)</f>
        <v>-</v>
      </c>
      <c r="F152" s="202" t="str">
        <f ca="1">OFFSET(ORÇAMENTO!R$15,ROW(F152)-ROW(F$15),0)</f>
        <v>(abra o arquivo 'Referência 11-2024.xlsm)</v>
      </c>
      <c r="G152" s="203" t="str">
        <f ca="1">IF($D152&lt;&gt;"Serviço","",OFFSET(ORÇAMENTO!S$15,ROW(G152)-ROW(G$15),0))</f>
        <v>-</v>
      </c>
      <c r="H152" s="147">
        <f ca="1">IF($D152&lt;&gt;"Serviço",0,IF(ACOMPANHAMENTO="BM",ROUND(OFFSET(ORÇAMENTO!AJ$15,ROW(H152)-ROW(H$15),0),15-13*ORÇAMENTO!$AF$7),SUMPRODUCT(($Q$12:$AA$12&lt;&gt;"")*ROUND($Q152:$AA152,15-13*ORÇAMENTO!$AF$7))))</f>
        <v>0</v>
      </c>
      <c r="I152" s="645"/>
      <c r="K152" s="204"/>
      <c r="L152" s="205" t="s">
        <v>255</v>
      </c>
      <c r="M152" s="206">
        <f ca="1">IF($D152&lt;&gt;"Serviço","",IF(AUTOEVENTO="manual",$A152,IF(ISERROR(MATCH($A152,$A$15:OFFSET($A152,-1,0),0)),MAX($M$15:OFFSET(M152,-1,0))+1,INDEX($M$15:OFFSET(M152,-1,0),MATCH($A152,$A$15:OFFSET($A152,-1,0),0)))))</f>
        <v>6</v>
      </c>
      <c r="N152" s="207" t="str">
        <f ca="1">IF($D152&lt;&gt;"Serviço","",IF(AUTOEVENTO="Manual",IF($A152=0,"&lt;-- defina o número do agrupador",OFFSET(EVENTOS!$D$14,$A152,0)),OFFSET($F$15,$A152,0)))</f>
        <v>DRENAGEM</v>
      </c>
      <c r="O152" s="208"/>
      <c r="Q152" s="208"/>
      <c r="R152" s="209"/>
      <c r="S152" s="209"/>
      <c r="T152" s="209"/>
      <c r="U152" s="209"/>
      <c r="V152" s="209"/>
      <c r="W152" s="209"/>
      <c r="X152" s="209"/>
      <c r="Y152" s="209"/>
      <c r="Z152" s="210"/>
      <c r="AB152" s="626">
        <f ca="1">IF(AND($D152="Serviço",AB$12&lt;&gt;0,$H152&gt;0,OR(AUTOEVENTO&lt;&gt;"manual",$M152&lt;&gt;1)),
IF(Import.TipoArredondamento&lt;&gt;"TransfereGOV",
ROUND(OFFSET($P152,0,AB$13),15-13*ORÇAMENTO!$AF$7)/$H152*OFFSET(ORÇAMENTO!$X$15,ROW(AB152)-ROW(AB$15),0),
ROUND(ROUND(OFFSET($P152,0,AB$13),15-13*ORÇAMENTO!$AF$7)*OFFSET(ORÇAMENTO!$W$15,ROW(AB152)-ROW(AB$15),0),15-13*ORÇAMENTO!$AF$11)),0)</f>
        <v>0</v>
      </c>
      <c r="AC152" s="627">
        <f ca="1">IF(AND($D152="Serviço",AC$12&lt;&gt;0,$H152&gt;0,OR(AUTOEVENTO&lt;&gt;"manual",$M152&lt;&gt;1)),
IF(Import.TipoArredondamento&lt;&gt;"TransfereGOV",
ROUND(OFFSET($P152,0,AC$13),15-13*ORÇAMENTO!$AF$7)/$H152*OFFSET(ORÇAMENTO!$X$15,ROW(AC152)-ROW(AC$15),0),
ROUND(ROUND(OFFSET($P152,0,AC$13),15-13*ORÇAMENTO!$AF$7)*OFFSET(ORÇAMENTO!$W$15,ROW(AC152)-ROW(AC$15),0),15-13*ORÇAMENTO!$AF$11)),0)</f>
        <v>0</v>
      </c>
      <c r="AD152" s="627">
        <f ca="1">IF(AND($D152="Serviço",AD$12&lt;&gt;0,$H152&gt;0,OR(AUTOEVENTO&lt;&gt;"manual",$M152&lt;&gt;1)),
IF(Import.TipoArredondamento&lt;&gt;"TransfereGOV",
ROUND(OFFSET($P152,0,AD$13),15-13*ORÇAMENTO!$AF$7)/$H152*OFFSET(ORÇAMENTO!$X$15,ROW(AD152)-ROW(AD$15),0),
ROUND(ROUND(OFFSET($P152,0,AD$13),15-13*ORÇAMENTO!$AF$7)*OFFSET(ORÇAMENTO!$W$15,ROW(AD152)-ROW(AD$15),0),15-13*ORÇAMENTO!$AF$11)),0)</f>
        <v>0</v>
      </c>
      <c r="AE152" s="627">
        <f ca="1">IF(AND($D152="Serviço",AE$12&lt;&gt;0,$H152&gt;0,OR(AUTOEVENTO&lt;&gt;"manual",$M152&lt;&gt;1)),
IF(Import.TipoArredondamento&lt;&gt;"TransfereGOV",
ROUND(OFFSET($P152,0,AE$13),15-13*ORÇAMENTO!$AF$7)/$H152*OFFSET(ORÇAMENTO!$X$15,ROW(AE152)-ROW(AE$15),0),
ROUND(ROUND(OFFSET($P152,0,AE$13),15-13*ORÇAMENTO!$AF$7)*OFFSET(ORÇAMENTO!$W$15,ROW(AE152)-ROW(AE$15),0),15-13*ORÇAMENTO!$AF$11)),0)</f>
        <v>0</v>
      </c>
      <c r="AF152" s="627">
        <f ca="1">IF(AND($D152="Serviço",AF$12&lt;&gt;0,$H152&gt;0,OR(AUTOEVENTO&lt;&gt;"manual",$M152&lt;&gt;1)),
IF(Import.TipoArredondamento&lt;&gt;"TransfereGOV",
ROUND(OFFSET($P152,0,AF$13),15-13*ORÇAMENTO!$AF$7)/$H152*OFFSET(ORÇAMENTO!$X$15,ROW(AF152)-ROW(AF$15),0),
ROUND(ROUND(OFFSET($P152,0,AF$13),15-13*ORÇAMENTO!$AF$7)*OFFSET(ORÇAMENTO!$W$15,ROW(AF152)-ROW(AF$15),0),15-13*ORÇAMENTO!$AF$11)),0)</f>
        <v>0</v>
      </c>
      <c r="AG152" s="627">
        <f ca="1">IF(AND($D152="Serviço",AG$12&lt;&gt;0,$H152&gt;0,OR(AUTOEVENTO&lt;&gt;"manual",$M152&lt;&gt;1)),
IF(Import.TipoArredondamento&lt;&gt;"TransfereGOV",
ROUND(OFFSET($P152,0,AG$13),15-13*ORÇAMENTO!$AF$7)/$H152*OFFSET(ORÇAMENTO!$X$15,ROW(AG152)-ROW(AG$15),0),
ROUND(ROUND(OFFSET($P152,0,AG$13),15-13*ORÇAMENTO!$AF$7)*OFFSET(ORÇAMENTO!$W$15,ROW(AG152)-ROW(AG$15),0),15-13*ORÇAMENTO!$AF$11)),0)</f>
        <v>0</v>
      </c>
      <c r="AH152" s="627">
        <f ca="1">IF(AND($D152="Serviço",AH$12&lt;&gt;0,$H152&gt;0,OR(AUTOEVENTO&lt;&gt;"manual",$M152&lt;&gt;1)),
IF(Import.TipoArredondamento&lt;&gt;"TransfereGOV",
ROUND(OFFSET($P152,0,AH$13),15-13*ORÇAMENTO!$AF$7)/$H152*OFFSET(ORÇAMENTO!$X$15,ROW(AH152)-ROW(AH$15),0),
ROUND(ROUND(OFFSET($P152,0,AH$13),15-13*ORÇAMENTO!$AF$7)*OFFSET(ORÇAMENTO!$W$15,ROW(AH152)-ROW(AH$15),0),15-13*ORÇAMENTO!$AF$11)),0)</f>
        <v>0</v>
      </c>
      <c r="AI152" s="627">
        <f ca="1">IF(AND($D152="Serviço",AI$12&lt;&gt;0,$H152&gt;0,OR(AUTOEVENTO&lt;&gt;"manual",$M152&lt;&gt;1)),
IF(Import.TipoArredondamento&lt;&gt;"TransfereGOV",
ROUND(OFFSET($P152,0,AI$13),15-13*ORÇAMENTO!$AF$7)/$H152*OFFSET(ORÇAMENTO!$X$15,ROW(AI152)-ROW(AI$15),0),
ROUND(ROUND(OFFSET($P152,0,AI$13),15-13*ORÇAMENTO!$AF$7)*OFFSET(ORÇAMENTO!$W$15,ROW(AI152)-ROW(AI$15),0),15-13*ORÇAMENTO!$AF$11)),0)</f>
        <v>0</v>
      </c>
      <c r="AJ152" s="627">
        <f ca="1">IF(AND($D152="Serviço",AJ$12&lt;&gt;0,$H152&gt;0,OR(AUTOEVENTO&lt;&gt;"manual",$M152&lt;&gt;1)),
IF(Import.TipoArredondamento&lt;&gt;"TransfereGOV",
ROUND(OFFSET($P152,0,AJ$13),15-13*ORÇAMENTO!$AF$7)/$H152*OFFSET(ORÇAMENTO!$X$15,ROW(AJ152)-ROW(AJ$15),0),
ROUND(ROUND(OFFSET($P152,0,AJ$13),15-13*ORÇAMENTO!$AF$7)*OFFSET(ORÇAMENTO!$W$15,ROW(AJ152)-ROW(AJ$15),0),15-13*ORÇAMENTO!$AF$11)),0)</f>
        <v>0</v>
      </c>
      <c r="AK152" s="628">
        <f ca="1">IF(AND($D152="Serviço",AK$12&lt;&gt;0,$H152&gt;0,OR(AUTOEVENTO&lt;&gt;"manual",$M152&lt;&gt;1)),
IF(Import.TipoArredondamento&lt;&gt;"TransfereGOV",
ROUND(OFFSET($P152,0,AK$13),15-13*ORÇAMENTO!$AF$7)/$H152*OFFSET(ORÇAMENTO!$X$15,ROW(AK152)-ROW(AK$15),0),
ROUND(ROUND(OFFSET($P152,0,AK$13),15-13*ORÇAMENTO!$AF$7)*OFFSET(ORÇAMENTO!$W$15,ROW(AK152)-ROW(AK$15),0),15-13*ORÇAMENTO!$AF$11)),0)</f>
        <v>0</v>
      </c>
      <c r="AM152" s="211">
        <f ca="1">IF($D152&lt;&gt;"Serviço",0,IF(AND(AUTOEVENTO="Manual",$M152=1),0,IF(OFFSET(CRONOPLE!$F$14,$M152,AM$13)="",10^12,OFFSET(CRONOPLE!$F$14,$M152,AM$13))))</f>
        <v>2</v>
      </c>
      <c r="AN152" s="211">
        <f ca="1">IF($D152&lt;&gt;"Serviço",0,IF(AND(AUTOEVENTO="Manual",$M152=1),0,IF(OFFSET(CRONOPLE!$F$14,$M152,AN$13)="",10^12,OFFSET(CRONOPLE!$F$14,$M152,AN$13))))</f>
        <v>1</v>
      </c>
      <c r="AO152" s="211">
        <f ca="1">IF($D152&lt;&gt;"Serviço",0,IF(AND(AUTOEVENTO="Manual",$M152=1),0,IF(OFFSET(CRONOPLE!$F$14,$M152,AO$13)="",10^12,OFFSET(CRONOPLE!$F$14,$M152,AO$13))))</f>
        <v>2</v>
      </c>
      <c r="AP152" s="211">
        <f ca="1">IF($D152&lt;&gt;"Serviço",0,IF(AND(AUTOEVENTO="Manual",$M152=1),0,IF(OFFSET(CRONOPLE!$F$14,$M152,AP$13)="",10^12,OFFSET(CRONOPLE!$F$14,$M152,AP$13))))</f>
        <v>2</v>
      </c>
      <c r="AQ152" s="211">
        <f ca="1">IF($D152&lt;&gt;"Serviço",0,IF(AND(AUTOEVENTO="Manual",$M152=1),0,IF(OFFSET(CRONOPLE!$F$14,$M152,AQ$13)="",10^12,OFFSET(CRONOPLE!$F$14,$M152,AQ$13))))</f>
        <v>1000000000000</v>
      </c>
      <c r="AR152" s="211">
        <f ca="1">IF($D152&lt;&gt;"Serviço",0,IF(AND(AUTOEVENTO="Manual",$M152=1),0,IF(OFFSET(CRONOPLE!$F$14,$M152,AR$13)="",10^12,OFFSET(CRONOPLE!$F$14,$M152,AR$13))))</f>
        <v>1000000000000</v>
      </c>
      <c r="AS152" s="211">
        <f ca="1">IF($D152&lt;&gt;"Serviço",0,IF(AND(AUTOEVENTO="Manual",$M152=1),0,IF(OFFSET(CRONOPLE!$F$14,$M152,AS$13)="",10^12,OFFSET(CRONOPLE!$F$14,$M152,AS$13))))</f>
        <v>1000000000000</v>
      </c>
      <c r="AT152" s="211">
        <f ca="1">IF($D152&lt;&gt;"Serviço",0,IF(AND(AUTOEVENTO="Manual",$M152=1),0,IF(OFFSET(CRONOPLE!$F$14,$M152,AT$13)="",10^12,OFFSET(CRONOPLE!$F$14,$M152,AT$13))))</f>
        <v>1000000000000</v>
      </c>
      <c r="AU152" s="211">
        <f ca="1">IF($D152&lt;&gt;"Serviço",0,IF(AND(AUTOEVENTO="Manual",$M152=1),0,IF(OFFSET(CRONOPLE!$F$14,$M152,AU$13)="",10^12,OFFSET(CRONOPLE!$F$14,$M152,AU$13))))</f>
        <v>1000000000000</v>
      </c>
      <c r="AV152" s="211">
        <f ca="1">IF($D152&lt;&gt;"Serviço",0,IF(AND(AUTOEVENTO="Manual",$M152=1),0,IF(OFFSET(CRONOPLE!$F$14,$M152,AV$13)="",10^12,OFFSET(CRONOPLE!$F$14,$M152,AV$13))))</f>
        <v>1000000000000</v>
      </c>
      <c r="AX152" s="212">
        <f ca="1">IF($D152&lt;&gt;"Serviço",0,IF(OR(AND(AUTOEVENTO="Manual",$M152=1),$M152&gt;(ROW(PLE.lastrow)-ROW(PLE.firstrow))),0,IF(OFFSET(PLE!$G$14,$M152,AX$13)="",10^12,OFFSET(PLE!$G$14,$M152,AX$13))))</f>
        <v>1000000000000</v>
      </c>
      <c r="AY152" s="212">
        <f ca="1">IF($D152&lt;&gt;"Serviço",0,IF(OR(AND(AUTOEVENTO="Manual",$M152=1),$M152&gt;(ROW(PLE.lastrow)-ROW(PLE.firstrow))),0,IF(OFFSET(PLE!$G$14,$M152,AY$13)="",10^12,OFFSET(PLE!$G$14,$M152,AY$13))))</f>
        <v>1000000000000</v>
      </c>
      <c r="AZ152" s="212">
        <f ca="1">IF($D152&lt;&gt;"Serviço",0,IF(OR(AND(AUTOEVENTO="Manual",$M152=1),$M152&gt;(ROW(PLE.lastrow)-ROW(PLE.firstrow))),0,IF(OFFSET(PLE!$G$14,$M152,AZ$13)="",10^12,OFFSET(PLE!$G$14,$M152,AZ$13))))</f>
        <v>1000000000000</v>
      </c>
      <c r="BA152" s="212">
        <f ca="1">IF($D152&lt;&gt;"Serviço",0,IF(OR(AND(AUTOEVENTO="Manual",$M152=1),$M152&gt;(ROW(PLE.lastrow)-ROW(PLE.firstrow))),0,IF(OFFSET(PLE!$G$14,$M152,BA$13)="",10^12,OFFSET(PLE!$G$14,$M152,BA$13))))</f>
        <v>1000000000000</v>
      </c>
      <c r="BB152" s="212">
        <f ca="1">IF($D152&lt;&gt;"Serviço",0,IF(OR(AND(AUTOEVENTO="Manual",$M152=1),$M152&gt;(ROW(PLE.lastrow)-ROW(PLE.firstrow))),0,IF(OFFSET(PLE!$G$14,$M152,BB$13)="",10^12,OFFSET(PLE!$G$14,$M152,BB$13))))</f>
        <v>1000000000000</v>
      </c>
      <c r="BC152" s="212">
        <f ca="1">IF($D152&lt;&gt;"Serviço",0,IF(OR(AND(AUTOEVENTO="Manual",$M152=1),$M152&gt;(ROW(PLE.lastrow)-ROW(PLE.firstrow))),0,IF(OFFSET(PLE!$G$14,$M152,BC$13)="",10^12,OFFSET(PLE!$G$14,$M152,BC$13))))</f>
        <v>1000000000000</v>
      </c>
      <c r="BD152" s="212">
        <f ca="1">IF($D152&lt;&gt;"Serviço",0,IF(OR(AND(AUTOEVENTO="Manual",$M152=1),$M152&gt;(ROW(PLE.lastrow)-ROW(PLE.firstrow))),0,IF(OFFSET(PLE!$G$14,$M152,BD$13)="",10^12,OFFSET(PLE!$G$14,$M152,BD$13))))</f>
        <v>1000000000000</v>
      </c>
      <c r="BE152" s="212">
        <f ca="1">IF($D152&lt;&gt;"Serviço",0,IF(OR(AND(AUTOEVENTO="Manual",$M152=1),$M152&gt;(ROW(PLE.lastrow)-ROW(PLE.firstrow))),0,IF(OFFSET(PLE!$G$14,$M152,BE$13)="",10^12,OFFSET(PLE!$G$14,$M152,BE$13))))</f>
        <v>1000000000000</v>
      </c>
      <c r="BF152" s="212">
        <f ca="1">IF($D152&lt;&gt;"Serviço",0,IF(OR(AND(AUTOEVENTO="Manual",$M152=1),$M152&gt;(ROW(PLE.lastrow)-ROW(PLE.firstrow))),0,IF(OFFSET(PLE!$G$14,$M152,BF$13)="",10^12,OFFSET(PLE!$G$14,$M152,BF$13))))</f>
        <v>1000000000000</v>
      </c>
      <c r="BG152" s="212">
        <f ca="1">IF($D152&lt;&gt;"Serviço",0,IF(OR(AND(AUTOEVENTO="Manual",$M152=1),$M152&gt;(ROW(PLE.lastrow)-ROW(PLE.firstrow))),0,IF(OFFSET(PLE!$G$14,$M152,BG$13)="",10^12,OFFSET(PLE!$G$14,$M152,BG$13))))</f>
        <v>1000000000000</v>
      </c>
    </row>
    <row r="153" spans="1:59" ht="13.2">
      <c r="A153" s="9" t="str">
        <f t="shared" ca="1" si="11"/>
        <v>15</v>
      </c>
      <c r="B153" s="9" t="str">
        <f ca="1">OFFSET(ORÇAMENTO!C$15,ROW(B153)-ROW(B$15),0)</f>
        <v>S</v>
      </c>
      <c r="C153" s="9" t="str">
        <f ca="1">OFFSET(ORÇAMENTO!L$15,ROW(C153)-ROW(C$15),0)</f>
        <v/>
      </c>
      <c r="D153" s="141" t="str">
        <f ca="1">OFFSET(ORÇAMENTO!N$15,ROW(D153)-ROW(D$15),0)</f>
        <v>Serviço</v>
      </c>
      <c r="E153" s="201" t="str">
        <f ca="1">OFFSET(ORÇAMENTO!O$15,ROW(E153)-ROW(E$15),0)</f>
        <v>-</v>
      </c>
      <c r="F153" s="202" t="str">
        <f ca="1">OFFSET(ORÇAMENTO!R$15,ROW(F153)-ROW(F$15),0)</f>
        <v>(abra o arquivo 'Referência 11-2024.xlsm)</v>
      </c>
      <c r="G153" s="203" t="str">
        <f ca="1">IF($D153&lt;&gt;"Serviço","",OFFSET(ORÇAMENTO!S$15,ROW(G153)-ROW(G$15),0))</f>
        <v>-</v>
      </c>
      <c r="H153" s="147">
        <f ca="1">IF($D153&lt;&gt;"Serviço",0,IF(ACOMPANHAMENTO="BM",ROUND(OFFSET(ORÇAMENTO!AJ$15,ROW(H153)-ROW(H$15),0),15-13*ORÇAMENTO!$AF$7),SUMPRODUCT(($Q$12:$AA$12&lt;&gt;"")*ROUND($Q153:$AA153,15-13*ORÇAMENTO!$AF$7))))</f>
        <v>0</v>
      </c>
      <c r="I153" s="645"/>
      <c r="K153" s="204"/>
      <c r="L153" s="205" t="s">
        <v>255</v>
      </c>
      <c r="M153" s="206">
        <f ca="1">IF($D153&lt;&gt;"Serviço","",IF(AUTOEVENTO="manual",$A153,IF(ISERROR(MATCH($A153,$A$15:OFFSET($A153,-1,0),0)),MAX($M$15:OFFSET(M153,-1,0))+1,INDEX($M$15:OFFSET(M153,-1,0),MATCH($A153,$A$15:OFFSET($A153,-1,0),0)))))</f>
        <v>6</v>
      </c>
      <c r="N153" s="207" t="str">
        <f ca="1">IF($D153&lt;&gt;"Serviço","",IF(AUTOEVENTO="Manual",IF($A153=0,"&lt;-- defina o número do agrupador",OFFSET(EVENTOS!$D$14,$A153,0)),OFFSET($F$15,$A153,0)))</f>
        <v>DRENAGEM</v>
      </c>
      <c r="O153" s="208"/>
      <c r="Q153" s="208"/>
      <c r="R153" s="209"/>
      <c r="S153" s="209"/>
      <c r="T153" s="209"/>
      <c r="U153" s="209"/>
      <c r="V153" s="209"/>
      <c r="W153" s="209"/>
      <c r="X153" s="209"/>
      <c r="Y153" s="209"/>
      <c r="Z153" s="210"/>
      <c r="AB153" s="626">
        <f ca="1">IF(AND($D153="Serviço",AB$12&lt;&gt;0,$H153&gt;0,OR(AUTOEVENTO&lt;&gt;"manual",$M153&lt;&gt;1)),
IF(Import.TipoArredondamento&lt;&gt;"TransfereGOV",
ROUND(OFFSET($P153,0,AB$13),15-13*ORÇAMENTO!$AF$7)/$H153*OFFSET(ORÇAMENTO!$X$15,ROW(AB153)-ROW(AB$15),0),
ROUND(ROUND(OFFSET($P153,0,AB$13),15-13*ORÇAMENTO!$AF$7)*OFFSET(ORÇAMENTO!$W$15,ROW(AB153)-ROW(AB$15),0),15-13*ORÇAMENTO!$AF$11)),0)</f>
        <v>0</v>
      </c>
      <c r="AC153" s="627">
        <f ca="1">IF(AND($D153="Serviço",AC$12&lt;&gt;0,$H153&gt;0,OR(AUTOEVENTO&lt;&gt;"manual",$M153&lt;&gt;1)),
IF(Import.TipoArredondamento&lt;&gt;"TransfereGOV",
ROUND(OFFSET($P153,0,AC$13),15-13*ORÇAMENTO!$AF$7)/$H153*OFFSET(ORÇAMENTO!$X$15,ROW(AC153)-ROW(AC$15),0),
ROUND(ROUND(OFFSET($P153,0,AC$13),15-13*ORÇAMENTO!$AF$7)*OFFSET(ORÇAMENTO!$W$15,ROW(AC153)-ROW(AC$15),0),15-13*ORÇAMENTO!$AF$11)),0)</f>
        <v>0</v>
      </c>
      <c r="AD153" s="627">
        <f ca="1">IF(AND($D153="Serviço",AD$12&lt;&gt;0,$H153&gt;0,OR(AUTOEVENTO&lt;&gt;"manual",$M153&lt;&gt;1)),
IF(Import.TipoArredondamento&lt;&gt;"TransfereGOV",
ROUND(OFFSET($P153,0,AD$13),15-13*ORÇAMENTO!$AF$7)/$H153*OFFSET(ORÇAMENTO!$X$15,ROW(AD153)-ROW(AD$15),0),
ROUND(ROUND(OFFSET($P153,0,AD$13),15-13*ORÇAMENTO!$AF$7)*OFFSET(ORÇAMENTO!$W$15,ROW(AD153)-ROW(AD$15),0),15-13*ORÇAMENTO!$AF$11)),0)</f>
        <v>0</v>
      </c>
      <c r="AE153" s="627">
        <f ca="1">IF(AND($D153="Serviço",AE$12&lt;&gt;0,$H153&gt;0,OR(AUTOEVENTO&lt;&gt;"manual",$M153&lt;&gt;1)),
IF(Import.TipoArredondamento&lt;&gt;"TransfereGOV",
ROUND(OFFSET($P153,0,AE$13),15-13*ORÇAMENTO!$AF$7)/$H153*OFFSET(ORÇAMENTO!$X$15,ROW(AE153)-ROW(AE$15),0),
ROUND(ROUND(OFFSET($P153,0,AE$13),15-13*ORÇAMENTO!$AF$7)*OFFSET(ORÇAMENTO!$W$15,ROW(AE153)-ROW(AE$15),0),15-13*ORÇAMENTO!$AF$11)),0)</f>
        <v>0</v>
      </c>
      <c r="AF153" s="627">
        <f ca="1">IF(AND($D153="Serviço",AF$12&lt;&gt;0,$H153&gt;0,OR(AUTOEVENTO&lt;&gt;"manual",$M153&lt;&gt;1)),
IF(Import.TipoArredondamento&lt;&gt;"TransfereGOV",
ROUND(OFFSET($P153,0,AF$13),15-13*ORÇAMENTO!$AF$7)/$H153*OFFSET(ORÇAMENTO!$X$15,ROW(AF153)-ROW(AF$15),0),
ROUND(ROUND(OFFSET($P153,0,AF$13),15-13*ORÇAMENTO!$AF$7)*OFFSET(ORÇAMENTO!$W$15,ROW(AF153)-ROW(AF$15),0),15-13*ORÇAMENTO!$AF$11)),0)</f>
        <v>0</v>
      </c>
      <c r="AG153" s="627">
        <f ca="1">IF(AND($D153="Serviço",AG$12&lt;&gt;0,$H153&gt;0,OR(AUTOEVENTO&lt;&gt;"manual",$M153&lt;&gt;1)),
IF(Import.TipoArredondamento&lt;&gt;"TransfereGOV",
ROUND(OFFSET($P153,0,AG$13),15-13*ORÇAMENTO!$AF$7)/$H153*OFFSET(ORÇAMENTO!$X$15,ROW(AG153)-ROW(AG$15),0),
ROUND(ROUND(OFFSET($P153,0,AG$13),15-13*ORÇAMENTO!$AF$7)*OFFSET(ORÇAMENTO!$W$15,ROW(AG153)-ROW(AG$15),0),15-13*ORÇAMENTO!$AF$11)),0)</f>
        <v>0</v>
      </c>
      <c r="AH153" s="627">
        <f ca="1">IF(AND($D153="Serviço",AH$12&lt;&gt;0,$H153&gt;0,OR(AUTOEVENTO&lt;&gt;"manual",$M153&lt;&gt;1)),
IF(Import.TipoArredondamento&lt;&gt;"TransfereGOV",
ROUND(OFFSET($P153,0,AH$13),15-13*ORÇAMENTO!$AF$7)/$H153*OFFSET(ORÇAMENTO!$X$15,ROW(AH153)-ROW(AH$15),0),
ROUND(ROUND(OFFSET($P153,0,AH$13),15-13*ORÇAMENTO!$AF$7)*OFFSET(ORÇAMENTO!$W$15,ROW(AH153)-ROW(AH$15),0),15-13*ORÇAMENTO!$AF$11)),0)</f>
        <v>0</v>
      </c>
      <c r="AI153" s="627">
        <f ca="1">IF(AND($D153="Serviço",AI$12&lt;&gt;0,$H153&gt;0,OR(AUTOEVENTO&lt;&gt;"manual",$M153&lt;&gt;1)),
IF(Import.TipoArredondamento&lt;&gt;"TransfereGOV",
ROUND(OFFSET($P153,0,AI$13),15-13*ORÇAMENTO!$AF$7)/$H153*OFFSET(ORÇAMENTO!$X$15,ROW(AI153)-ROW(AI$15),0),
ROUND(ROUND(OFFSET($P153,0,AI$13),15-13*ORÇAMENTO!$AF$7)*OFFSET(ORÇAMENTO!$W$15,ROW(AI153)-ROW(AI$15),0),15-13*ORÇAMENTO!$AF$11)),0)</f>
        <v>0</v>
      </c>
      <c r="AJ153" s="627">
        <f ca="1">IF(AND($D153="Serviço",AJ$12&lt;&gt;0,$H153&gt;0,OR(AUTOEVENTO&lt;&gt;"manual",$M153&lt;&gt;1)),
IF(Import.TipoArredondamento&lt;&gt;"TransfereGOV",
ROUND(OFFSET($P153,0,AJ$13),15-13*ORÇAMENTO!$AF$7)/$H153*OFFSET(ORÇAMENTO!$X$15,ROW(AJ153)-ROW(AJ$15),0),
ROUND(ROUND(OFFSET($P153,0,AJ$13),15-13*ORÇAMENTO!$AF$7)*OFFSET(ORÇAMENTO!$W$15,ROW(AJ153)-ROW(AJ$15),0),15-13*ORÇAMENTO!$AF$11)),0)</f>
        <v>0</v>
      </c>
      <c r="AK153" s="628">
        <f ca="1">IF(AND($D153="Serviço",AK$12&lt;&gt;0,$H153&gt;0,OR(AUTOEVENTO&lt;&gt;"manual",$M153&lt;&gt;1)),
IF(Import.TipoArredondamento&lt;&gt;"TransfereGOV",
ROUND(OFFSET($P153,0,AK$13),15-13*ORÇAMENTO!$AF$7)/$H153*OFFSET(ORÇAMENTO!$X$15,ROW(AK153)-ROW(AK$15),0),
ROUND(ROUND(OFFSET($P153,0,AK$13),15-13*ORÇAMENTO!$AF$7)*OFFSET(ORÇAMENTO!$W$15,ROW(AK153)-ROW(AK$15),0),15-13*ORÇAMENTO!$AF$11)),0)</f>
        <v>0</v>
      </c>
      <c r="AM153" s="211">
        <f ca="1">IF($D153&lt;&gt;"Serviço",0,IF(AND(AUTOEVENTO="Manual",$M153=1),0,IF(OFFSET(CRONOPLE!$F$14,$M153,AM$13)="",10^12,OFFSET(CRONOPLE!$F$14,$M153,AM$13))))</f>
        <v>2</v>
      </c>
      <c r="AN153" s="211">
        <f ca="1">IF($D153&lt;&gt;"Serviço",0,IF(AND(AUTOEVENTO="Manual",$M153=1),0,IF(OFFSET(CRONOPLE!$F$14,$M153,AN$13)="",10^12,OFFSET(CRONOPLE!$F$14,$M153,AN$13))))</f>
        <v>1</v>
      </c>
      <c r="AO153" s="211">
        <f ca="1">IF($D153&lt;&gt;"Serviço",0,IF(AND(AUTOEVENTO="Manual",$M153=1),0,IF(OFFSET(CRONOPLE!$F$14,$M153,AO$13)="",10^12,OFFSET(CRONOPLE!$F$14,$M153,AO$13))))</f>
        <v>2</v>
      </c>
      <c r="AP153" s="211">
        <f ca="1">IF($D153&lt;&gt;"Serviço",0,IF(AND(AUTOEVENTO="Manual",$M153=1),0,IF(OFFSET(CRONOPLE!$F$14,$M153,AP$13)="",10^12,OFFSET(CRONOPLE!$F$14,$M153,AP$13))))</f>
        <v>2</v>
      </c>
      <c r="AQ153" s="211">
        <f ca="1">IF($D153&lt;&gt;"Serviço",0,IF(AND(AUTOEVENTO="Manual",$M153=1),0,IF(OFFSET(CRONOPLE!$F$14,$M153,AQ$13)="",10^12,OFFSET(CRONOPLE!$F$14,$M153,AQ$13))))</f>
        <v>1000000000000</v>
      </c>
      <c r="AR153" s="211">
        <f ca="1">IF($D153&lt;&gt;"Serviço",0,IF(AND(AUTOEVENTO="Manual",$M153=1),0,IF(OFFSET(CRONOPLE!$F$14,$M153,AR$13)="",10^12,OFFSET(CRONOPLE!$F$14,$M153,AR$13))))</f>
        <v>1000000000000</v>
      </c>
      <c r="AS153" s="211">
        <f ca="1">IF($D153&lt;&gt;"Serviço",0,IF(AND(AUTOEVENTO="Manual",$M153=1),0,IF(OFFSET(CRONOPLE!$F$14,$M153,AS$13)="",10^12,OFFSET(CRONOPLE!$F$14,$M153,AS$13))))</f>
        <v>1000000000000</v>
      </c>
      <c r="AT153" s="211">
        <f ca="1">IF($D153&lt;&gt;"Serviço",0,IF(AND(AUTOEVENTO="Manual",$M153=1),0,IF(OFFSET(CRONOPLE!$F$14,$M153,AT$13)="",10^12,OFFSET(CRONOPLE!$F$14,$M153,AT$13))))</f>
        <v>1000000000000</v>
      </c>
      <c r="AU153" s="211">
        <f ca="1">IF($D153&lt;&gt;"Serviço",0,IF(AND(AUTOEVENTO="Manual",$M153=1),0,IF(OFFSET(CRONOPLE!$F$14,$M153,AU$13)="",10^12,OFFSET(CRONOPLE!$F$14,$M153,AU$13))))</f>
        <v>1000000000000</v>
      </c>
      <c r="AV153" s="211">
        <f ca="1">IF($D153&lt;&gt;"Serviço",0,IF(AND(AUTOEVENTO="Manual",$M153=1),0,IF(OFFSET(CRONOPLE!$F$14,$M153,AV$13)="",10^12,OFFSET(CRONOPLE!$F$14,$M153,AV$13))))</f>
        <v>1000000000000</v>
      </c>
      <c r="AX153" s="212">
        <f ca="1">IF($D153&lt;&gt;"Serviço",0,IF(OR(AND(AUTOEVENTO="Manual",$M153=1),$M153&gt;(ROW(PLE.lastrow)-ROW(PLE.firstrow))),0,IF(OFFSET(PLE!$G$14,$M153,AX$13)="",10^12,OFFSET(PLE!$G$14,$M153,AX$13))))</f>
        <v>1000000000000</v>
      </c>
      <c r="AY153" s="212">
        <f ca="1">IF($D153&lt;&gt;"Serviço",0,IF(OR(AND(AUTOEVENTO="Manual",$M153=1),$M153&gt;(ROW(PLE.lastrow)-ROW(PLE.firstrow))),0,IF(OFFSET(PLE!$G$14,$M153,AY$13)="",10^12,OFFSET(PLE!$G$14,$M153,AY$13))))</f>
        <v>1000000000000</v>
      </c>
      <c r="AZ153" s="212">
        <f ca="1">IF($D153&lt;&gt;"Serviço",0,IF(OR(AND(AUTOEVENTO="Manual",$M153=1),$M153&gt;(ROW(PLE.lastrow)-ROW(PLE.firstrow))),0,IF(OFFSET(PLE!$G$14,$M153,AZ$13)="",10^12,OFFSET(PLE!$G$14,$M153,AZ$13))))</f>
        <v>1000000000000</v>
      </c>
      <c r="BA153" s="212">
        <f ca="1">IF($D153&lt;&gt;"Serviço",0,IF(OR(AND(AUTOEVENTO="Manual",$M153=1),$M153&gt;(ROW(PLE.lastrow)-ROW(PLE.firstrow))),0,IF(OFFSET(PLE!$G$14,$M153,BA$13)="",10^12,OFFSET(PLE!$G$14,$M153,BA$13))))</f>
        <v>1000000000000</v>
      </c>
      <c r="BB153" s="212">
        <f ca="1">IF($D153&lt;&gt;"Serviço",0,IF(OR(AND(AUTOEVENTO="Manual",$M153=1),$M153&gt;(ROW(PLE.lastrow)-ROW(PLE.firstrow))),0,IF(OFFSET(PLE!$G$14,$M153,BB$13)="",10^12,OFFSET(PLE!$G$14,$M153,BB$13))))</f>
        <v>1000000000000</v>
      </c>
      <c r="BC153" s="212">
        <f ca="1">IF($D153&lt;&gt;"Serviço",0,IF(OR(AND(AUTOEVENTO="Manual",$M153=1),$M153&gt;(ROW(PLE.lastrow)-ROW(PLE.firstrow))),0,IF(OFFSET(PLE!$G$14,$M153,BC$13)="",10^12,OFFSET(PLE!$G$14,$M153,BC$13))))</f>
        <v>1000000000000</v>
      </c>
      <c r="BD153" s="212">
        <f ca="1">IF($D153&lt;&gt;"Serviço",0,IF(OR(AND(AUTOEVENTO="Manual",$M153=1),$M153&gt;(ROW(PLE.lastrow)-ROW(PLE.firstrow))),0,IF(OFFSET(PLE!$G$14,$M153,BD$13)="",10^12,OFFSET(PLE!$G$14,$M153,BD$13))))</f>
        <v>1000000000000</v>
      </c>
      <c r="BE153" s="212">
        <f ca="1">IF($D153&lt;&gt;"Serviço",0,IF(OR(AND(AUTOEVENTO="Manual",$M153=1),$M153&gt;(ROW(PLE.lastrow)-ROW(PLE.firstrow))),0,IF(OFFSET(PLE!$G$14,$M153,BE$13)="",10^12,OFFSET(PLE!$G$14,$M153,BE$13))))</f>
        <v>1000000000000</v>
      </c>
      <c r="BF153" s="212">
        <f ca="1">IF($D153&lt;&gt;"Serviço",0,IF(OR(AND(AUTOEVENTO="Manual",$M153=1),$M153&gt;(ROW(PLE.lastrow)-ROW(PLE.firstrow))),0,IF(OFFSET(PLE!$G$14,$M153,BF$13)="",10^12,OFFSET(PLE!$G$14,$M153,BF$13))))</f>
        <v>1000000000000</v>
      </c>
      <c r="BG153" s="212">
        <f ca="1">IF($D153&lt;&gt;"Serviço",0,IF(OR(AND(AUTOEVENTO="Manual",$M153=1),$M153&gt;(ROW(PLE.lastrow)-ROW(PLE.firstrow))),0,IF(OFFSET(PLE!$G$14,$M153,BG$13)="",10^12,OFFSET(PLE!$G$14,$M153,BG$13))))</f>
        <v>1000000000000</v>
      </c>
    </row>
    <row r="154" spans="1:59" ht="13.2">
      <c r="A154" s="9" t="str">
        <f t="shared" ca="1" si="11"/>
        <v>15</v>
      </c>
      <c r="B154" s="9" t="str">
        <f ca="1">OFFSET(ORÇAMENTO!C$15,ROW(B154)-ROW(B$15),0)</f>
        <v>S</v>
      </c>
      <c r="C154" s="9" t="str">
        <f ca="1">OFFSET(ORÇAMENTO!L$15,ROW(C154)-ROW(C$15),0)</f>
        <v/>
      </c>
      <c r="D154" s="141" t="str">
        <f ca="1">OFFSET(ORÇAMENTO!N$15,ROW(D154)-ROW(D$15),0)</f>
        <v>Serviço</v>
      </c>
      <c r="E154" s="201" t="str">
        <f ca="1">OFFSET(ORÇAMENTO!O$15,ROW(E154)-ROW(E$15),0)</f>
        <v>-</v>
      </c>
      <c r="F154" s="202" t="str">
        <f ca="1">OFFSET(ORÇAMENTO!R$15,ROW(F154)-ROW(F$15),0)</f>
        <v>(abra o arquivo 'Referência 11-2024.xlsm)</v>
      </c>
      <c r="G154" s="203" t="str">
        <f ca="1">IF($D154&lt;&gt;"Serviço","",OFFSET(ORÇAMENTO!S$15,ROW(G154)-ROW(G$15),0))</f>
        <v>-</v>
      </c>
      <c r="H154" s="147">
        <f ca="1">IF($D154&lt;&gt;"Serviço",0,IF(ACOMPANHAMENTO="BM",ROUND(OFFSET(ORÇAMENTO!AJ$15,ROW(H154)-ROW(H$15),0),15-13*ORÇAMENTO!$AF$7),SUMPRODUCT(($Q$12:$AA$12&lt;&gt;"")*ROUND($Q154:$AA154,15-13*ORÇAMENTO!$AF$7))))</f>
        <v>0</v>
      </c>
      <c r="I154" s="645"/>
      <c r="K154" s="204"/>
      <c r="L154" s="205" t="s">
        <v>255</v>
      </c>
      <c r="M154" s="206">
        <f ca="1">IF($D154&lt;&gt;"Serviço","",IF(AUTOEVENTO="manual",$A154,IF(ISERROR(MATCH($A154,$A$15:OFFSET($A154,-1,0),0)),MAX($M$15:OFFSET(M154,-1,0))+1,INDEX($M$15:OFFSET(M154,-1,0),MATCH($A154,$A$15:OFFSET($A154,-1,0),0)))))</f>
        <v>6</v>
      </c>
      <c r="N154" s="207" t="str">
        <f ca="1">IF($D154&lt;&gt;"Serviço","",IF(AUTOEVENTO="Manual",IF($A154=0,"&lt;-- defina o número do agrupador",OFFSET(EVENTOS!$D$14,$A154,0)),OFFSET($F$15,$A154,0)))</f>
        <v>DRENAGEM</v>
      </c>
      <c r="O154" s="208"/>
      <c r="Q154" s="208"/>
      <c r="R154" s="209"/>
      <c r="S154" s="209"/>
      <c r="T154" s="209"/>
      <c r="U154" s="209"/>
      <c r="V154" s="209"/>
      <c r="W154" s="209"/>
      <c r="X154" s="209"/>
      <c r="Y154" s="209"/>
      <c r="Z154" s="210"/>
      <c r="AB154" s="626">
        <f ca="1">IF(AND($D154="Serviço",AB$12&lt;&gt;0,$H154&gt;0,OR(AUTOEVENTO&lt;&gt;"manual",$M154&lt;&gt;1)),
IF(Import.TipoArredondamento&lt;&gt;"TransfereGOV",
ROUND(OFFSET($P154,0,AB$13),15-13*ORÇAMENTO!$AF$7)/$H154*OFFSET(ORÇAMENTO!$X$15,ROW(AB154)-ROW(AB$15),0),
ROUND(ROUND(OFFSET($P154,0,AB$13),15-13*ORÇAMENTO!$AF$7)*OFFSET(ORÇAMENTO!$W$15,ROW(AB154)-ROW(AB$15),0),15-13*ORÇAMENTO!$AF$11)),0)</f>
        <v>0</v>
      </c>
      <c r="AC154" s="627">
        <f ca="1">IF(AND($D154="Serviço",AC$12&lt;&gt;0,$H154&gt;0,OR(AUTOEVENTO&lt;&gt;"manual",$M154&lt;&gt;1)),
IF(Import.TipoArredondamento&lt;&gt;"TransfereGOV",
ROUND(OFFSET($P154,0,AC$13),15-13*ORÇAMENTO!$AF$7)/$H154*OFFSET(ORÇAMENTO!$X$15,ROW(AC154)-ROW(AC$15),0),
ROUND(ROUND(OFFSET($P154,0,AC$13),15-13*ORÇAMENTO!$AF$7)*OFFSET(ORÇAMENTO!$W$15,ROW(AC154)-ROW(AC$15),0),15-13*ORÇAMENTO!$AF$11)),0)</f>
        <v>0</v>
      </c>
      <c r="AD154" s="627">
        <f ca="1">IF(AND($D154="Serviço",AD$12&lt;&gt;0,$H154&gt;0,OR(AUTOEVENTO&lt;&gt;"manual",$M154&lt;&gt;1)),
IF(Import.TipoArredondamento&lt;&gt;"TransfereGOV",
ROUND(OFFSET($P154,0,AD$13),15-13*ORÇAMENTO!$AF$7)/$H154*OFFSET(ORÇAMENTO!$X$15,ROW(AD154)-ROW(AD$15),0),
ROUND(ROUND(OFFSET($P154,0,AD$13),15-13*ORÇAMENTO!$AF$7)*OFFSET(ORÇAMENTO!$W$15,ROW(AD154)-ROW(AD$15),0),15-13*ORÇAMENTO!$AF$11)),0)</f>
        <v>0</v>
      </c>
      <c r="AE154" s="627">
        <f ca="1">IF(AND($D154="Serviço",AE$12&lt;&gt;0,$H154&gt;0,OR(AUTOEVENTO&lt;&gt;"manual",$M154&lt;&gt;1)),
IF(Import.TipoArredondamento&lt;&gt;"TransfereGOV",
ROUND(OFFSET($P154,0,AE$13),15-13*ORÇAMENTO!$AF$7)/$H154*OFFSET(ORÇAMENTO!$X$15,ROW(AE154)-ROW(AE$15),0),
ROUND(ROUND(OFFSET($P154,0,AE$13),15-13*ORÇAMENTO!$AF$7)*OFFSET(ORÇAMENTO!$W$15,ROW(AE154)-ROW(AE$15),0),15-13*ORÇAMENTO!$AF$11)),0)</f>
        <v>0</v>
      </c>
      <c r="AF154" s="627">
        <f ca="1">IF(AND($D154="Serviço",AF$12&lt;&gt;0,$H154&gt;0,OR(AUTOEVENTO&lt;&gt;"manual",$M154&lt;&gt;1)),
IF(Import.TipoArredondamento&lt;&gt;"TransfereGOV",
ROUND(OFFSET($P154,0,AF$13),15-13*ORÇAMENTO!$AF$7)/$H154*OFFSET(ORÇAMENTO!$X$15,ROW(AF154)-ROW(AF$15),0),
ROUND(ROUND(OFFSET($P154,0,AF$13),15-13*ORÇAMENTO!$AF$7)*OFFSET(ORÇAMENTO!$W$15,ROW(AF154)-ROW(AF$15),0),15-13*ORÇAMENTO!$AF$11)),0)</f>
        <v>0</v>
      </c>
      <c r="AG154" s="627">
        <f ca="1">IF(AND($D154="Serviço",AG$12&lt;&gt;0,$H154&gt;0,OR(AUTOEVENTO&lt;&gt;"manual",$M154&lt;&gt;1)),
IF(Import.TipoArredondamento&lt;&gt;"TransfereGOV",
ROUND(OFFSET($P154,0,AG$13),15-13*ORÇAMENTO!$AF$7)/$H154*OFFSET(ORÇAMENTO!$X$15,ROW(AG154)-ROW(AG$15),0),
ROUND(ROUND(OFFSET($P154,0,AG$13),15-13*ORÇAMENTO!$AF$7)*OFFSET(ORÇAMENTO!$W$15,ROW(AG154)-ROW(AG$15),0),15-13*ORÇAMENTO!$AF$11)),0)</f>
        <v>0</v>
      </c>
      <c r="AH154" s="627">
        <f ca="1">IF(AND($D154="Serviço",AH$12&lt;&gt;0,$H154&gt;0,OR(AUTOEVENTO&lt;&gt;"manual",$M154&lt;&gt;1)),
IF(Import.TipoArredondamento&lt;&gt;"TransfereGOV",
ROUND(OFFSET($P154,0,AH$13),15-13*ORÇAMENTO!$AF$7)/$H154*OFFSET(ORÇAMENTO!$X$15,ROW(AH154)-ROW(AH$15),0),
ROUND(ROUND(OFFSET($P154,0,AH$13),15-13*ORÇAMENTO!$AF$7)*OFFSET(ORÇAMENTO!$W$15,ROW(AH154)-ROW(AH$15),0),15-13*ORÇAMENTO!$AF$11)),0)</f>
        <v>0</v>
      </c>
      <c r="AI154" s="627">
        <f ca="1">IF(AND($D154="Serviço",AI$12&lt;&gt;0,$H154&gt;0,OR(AUTOEVENTO&lt;&gt;"manual",$M154&lt;&gt;1)),
IF(Import.TipoArredondamento&lt;&gt;"TransfereGOV",
ROUND(OFFSET($P154,0,AI$13),15-13*ORÇAMENTO!$AF$7)/$H154*OFFSET(ORÇAMENTO!$X$15,ROW(AI154)-ROW(AI$15),0),
ROUND(ROUND(OFFSET($P154,0,AI$13),15-13*ORÇAMENTO!$AF$7)*OFFSET(ORÇAMENTO!$W$15,ROW(AI154)-ROW(AI$15),0),15-13*ORÇAMENTO!$AF$11)),0)</f>
        <v>0</v>
      </c>
      <c r="AJ154" s="627">
        <f ca="1">IF(AND($D154="Serviço",AJ$12&lt;&gt;0,$H154&gt;0,OR(AUTOEVENTO&lt;&gt;"manual",$M154&lt;&gt;1)),
IF(Import.TipoArredondamento&lt;&gt;"TransfereGOV",
ROUND(OFFSET($P154,0,AJ$13),15-13*ORÇAMENTO!$AF$7)/$H154*OFFSET(ORÇAMENTO!$X$15,ROW(AJ154)-ROW(AJ$15),0),
ROUND(ROUND(OFFSET($P154,0,AJ$13),15-13*ORÇAMENTO!$AF$7)*OFFSET(ORÇAMENTO!$W$15,ROW(AJ154)-ROW(AJ$15),0),15-13*ORÇAMENTO!$AF$11)),0)</f>
        <v>0</v>
      </c>
      <c r="AK154" s="628">
        <f ca="1">IF(AND($D154="Serviço",AK$12&lt;&gt;0,$H154&gt;0,OR(AUTOEVENTO&lt;&gt;"manual",$M154&lt;&gt;1)),
IF(Import.TipoArredondamento&lt;&gt;"TransfereGOV",
ROUND(OFFSET($P154,0,AK$13),15-13*ORÇAMENTO!$AF$7)/$H154*OFFSET(ORÇAMENTO!$X$15,ROW(AK154)-ROW(AK$15),0),
ROUND(ROUND(OFFSET($P154,0,AK$13),15-13*ORÇAMENTO!$AF$7)*OFFSET(ORÇAMENTO!$W$15,ROW(AK154)-ROW(AK$15),0),15-13*ORÇAMENTO!$AF$11)),0)</f>
        <v>0</v>
      </c>
      <c r="AM154" s="211">
        <f ca="1">IF($D154&lt;&gt;"Serviço",0,IF(AND(AUTOEVENTO="Manual",$M154=1),0,IF(OFFSET(CRONOPLE!$F$14,$M154,AM$13)="",10^12,OFFSET(CRONOPLE!$F$14,$M154,AM$13))))</f>
        <v>2</v>
      </c>
      <c r="AN154" s="211">
        <f ca="1">IF($D154&lt;&gt;"Serviço",0,IF(AND(AUTOEVENTO="Manual",$M154=1),0,IF(OFFSET(CRONOPLE!$F$14,$M154,AN$13)="",10^12,OFFSET(CRONOPLE!$F$14,$M154,AN$13))))</f>
        <v>1</v>
      </c>
      <c r="AO154" s="211">
        <f ca="1">IF($D154&lt;&gt;"Serviço",0,IF(AND(AUTOEVENTO="Manual",$M154=1),0,IF(OFFSET(CRONOPLE!$F$14,$M154,AO$13)="",10^12,OFFSET(CRONOPLE!$F$14,$M154,AO$13))))</f>
        <v>2</v>
      </c>
      <c r="AP154" s="211">
        <f ca="1">IF($D154&lt;&gt;"Serviço",0,IF(AND(AUTOEVENTO="Manual",$M154=1),0,IF(OFFSET(CRONOPLE!$F$14,$M154,AP$13)="",10^12,OFFSET(CRONOPLE!$F$14,$M154,AP$13))))</f>
        <v>2</v>
      </c>
      <c r="AQ154" s="211">
        <f ca="1">IF($D154&lt;&gt;"Serviço",0,IF(AND(AUTOEVENTO="Manual",$M154=1),0,IF(OFFSET(CRONOPLE!$F$14,$M154,AQ$13)="",10^12,OFFSET(CRONOPLE!$F$14,$M154,AQ$13))))</f>
        <v>1000000000000</v>
      </c>
      <c r="AR154" s="211">
        <f ca="1">IF($D154&lt;&gt;"Serviço",0,IF(AND(AUTOEVENTO="Manual",$M154=1),0,IF(OFFSET(CRONOPLE!$F$14,$M154,AR$13)="",10^12,OFFSET(CRONOPLE!$F$14,$M154,AR$13))))</f>
        <v>1000000000000</v>
      </c>
      <c r="AS154" s="211">
        <f ca="1">IF($D154&lt;&gt;"Serviço",0,IF(AND(AUTOEVENTO="Manual",$M154=1),0,IF(OFFSET(CRONOPLE!$F$14,$M154,AS$13)="",10^12,OFFSET(CRONOPLE!$F$14,$M154,AS$13))))</f>
        <v>1000000000000</v>
      </c>
      <c r="AT154" s="211">
        <f ca="1">IF($D154&lt;&gt;"Serviço",0,IF(AND(AUTOEVENTO="Manual",$M154=1),0,IF(OFFSET(CRONOPLE!$F$14,$M154,AT$13)="",10^12,OFFSET(CRONOPLE!$F$14,$M154,AT$13))))</f>
        <v>1000000000000</v>
      </c>
      <c r="AU154" s="211">
        <f ca="1">IF($D154&lt;&gt;"Serviço",0,IF(AND(AUTOEVENTO="Manual",$M154=1),0,IF(OFFSET(CRONOPLE!$F$14,$M154,AU$13)="",10^12,OFFSET(CRONOPLE!$F$14,$M154,AU$13))))</f>
        <v>1000000000000</v>
      </c>
      <c r="AV154" s="211">
        <f ca="1">IF($D154&lt;&gt;"Serviço",0,IF(AND(AUTOEVENTO="Manual",$M154=1),0,IF(OFFSET(CRONOPLE!$F$14,$M154,AV$13)="",10^12,OFFSET(CRONOPLE!$F$14,$M154,AV$13))))</f>
        <v>1000000000000</v>
      </c>
      <c r="AX154" s="212">
        <f ca="1">IF($D154&lt;&gt;"Serviço",0,IF(OR(AND(AUTOEVENTO="Manual",$M154=1),$M154&gt;(ROW(PLE.lastrow)-ROW(PLE.firstrow))),0,IF(OFFSET(PLE!$G$14,$M154,AX$13)="",10^12,OFFSET(PLE!$G$14,$M154,AX$13))))</f>
        <v>1000000000000</v>
      </c>
      <c r="AY154" s="212">
        <f ca="1">IF($D154&lt;&gt;"Serviço",0,IF(OR(AND(AUTOEVENTO="Manual",$M154=1),$M154&gt;(ROW(PLE.lastrow)-ROW(PLE.firstrow))),0,IF(OFFSET(PLE!$G$14,$M154,AY$13)="",10^12,OFFSET(PLE!$G$14,$M154,AY$13))))</f>
        <v>1000000000000</v>
      </c>
      <c r="AZ154" s="212">
        <f ca="1">IF($D154&lt;&gt;"Serviço",0,IF(OR(AND(AUTOEVENTO="Manual",$M154=1),$M154&gt;(ROW(PLE.lastrow)-ROW(PLE.firstrow))),0,IF(OFFSET(PLE!$G$14,$M154,AZ$13)="",10^12,OFFSET(PLE!$G$14,$M154,AZ$13))))</f>
        <v>1000000000000</v>
      </c>
      <c r="BA154" s="212">
        <f ca="1">IF($D154&lt;&gt;"Serviço",0,IF(OR(AND(AUTOEVENTO="Manual",$M154=1),$M154&gt;(ROW(PLE.lastrow)-ROW(PLE.firstrow))),0,IF(OFFSET(PLE!$G$14,$M154,BA$13)="",10^12,OFFSET(PLE!$G$14,$M154,BA$13))))</f>
        <v>1000000000000</v>
      </c>
      <c r="BB154" s="212">
        <f ca="1">IF($D154&lt;&gt;"Serviço",0,IF(OR(AND(AUTOEVENTO="Manual",$M154=1),$M154&gt;(ROW(PLE.lastrow)-ROW(PLE.firstrow))),0,IF(OFFSET(PLE!$G$14,$M154,BB$13)="",10^12,OFFSET(PLE!$G$14,$M154,BB$13))))</f>
        <v>1000000000000</v>
      </c>
      <c r="BC154" s="212">
        <f ca="1">IF($D154&lt;&gt;"Serviço",0,IF(OR(AND(AUTOEVENTO="Manual",$M154=1),$M154&gt;(ROW(PLE.lastrow)-ROW(PLE.firstrow))),0,IF(OFFSET(PLE!$G$14,$M154,BC$13)="",10^12,OFFSET(PLE!$G$14,$M154,BC$13))))</f>
        <v>1000000000000</v>
      </c>
      <c r="BD154" s="212">
        <f ca="1">IF($D154&lt;&gt;"Serviço",0,IF(OR(AND(AUTOEVENTO="Manual",$M154=1),$M154&gt;(ROW(PLE.lastrow)-ROW(PLE.firstrow))),0,IF(OFFSET(PLE!$G$14,$M154,BD$13)="",10^12,OFFSET(PLE!$G$14,$M154,BD$13))))</f>
        <v>1000000000000</v>
      </c>
      <c r="BE154" s="212">
        <f ca="1">IF($D154&lt;&gt;"Serviço",0,IF(OR(AND(AUTOEVENTO="Manual",$M154=1),$M154&gt;(ROW(PLE.lastrow)-ROW(PLE.firstrow))),0,IF(OFFSET(PLE!$G$14,$M154,BE$13)="",10^12,OFFSET(PLE!$G$14,$M154,BE$13))))</f>
        <v>1000000000000</v>
      </c>
      <c r="BF154" s="212">
        <f ca="1">IF($D154&lt;&gt;"Serviço",0,IF(OR(AND(AUTOEVENTO="Manual",$M154=1),$M154&gt;(ROW(PLE.lastrow)-ROW(PLE.firstrow))),0,IF(OFFSET(PLE!$G$14,$M154,BF$13)="",10^12,OFFSET(PLE!$G$14,$M154,BF$13))))</f>
        <v>1000000000000</v>
      </c>
      <c r="BG154" s="212">
        <f ca="1">IF($D154&lt;&gt;"Serviço",0,IF(OR(AND(AUTOEVENTO="Manual",$M154=1),$M154&gt;(ROW(PLE.lastrow)-ROW(PLE.firstrow))),0,IF(OFFSET(PLE!$G$14,$M154,BG$13)="",10^12,OFFSET(PLE!$G$14,$M154,BG$13))))</f>
        <v>1000000000000</v>
      </c>
    </row>
    <row r="155" spans="1:59" ht="13.2">
      <c r="A155" s="9" t="str">
        <f t="shared" ca="1" si="11"/>
        <v>15</v>
      </c>
      <c r="B155" s="9" t="str">
        <f ca="1">OFFSET(ORÇAMENTO!C$15,ROW(B155)-ROW(B$15),0)</f>
        <v>S</v>
      </c>
      <c r="C155" s="9" t="str">
        <f ca="1">OFFSET(ORÇAMENTO!L$15,ROW(C155)-ROW(C$15),0)</f>
        <v/>
      </c>
      <c r="D155" s="141" t="str">
        <f ca="1">OFFSET(ORÇAMENTO!N$15,ROW(D155)-ROW(D$15),0)</f>
        <v>Serviço</v>
      </c>
      <c r="E155" s="201" t="str">
        <f ca="1">OFFSET(ORÇAMENTO!O$15,ROW(E155)-ROW(E$15),0)</f>
        <v>-</v>
      </c>
      <c r="F155" s="202" t="str">
        <f ca="1">OFFSET(ORÇAMENTO!R$15,ROW(F155)-ROW(F$15),0)</f>
        <v>(abra o arquivo 'Referência 11-2024.xlsm)</v>
      </c>
      <c r="G155" s="203" t="str">
        <f ca="1">IF($D155&lt;&gt;"Serviço","",OFFSET(ORÇAMENTO!S$15,ROW(G155)-ROW(G$15),0))</f>
        <v>-</v>
      </c>
      <c r="H155" s="147">
        <f ca="1">IF($D155&lt;&gt;"Serviço",0,IF(ACOMPANHAMENTO="BM",ROUND(OFFSET(ORÇAMENTO!AJ$15,ROW(H155)-ROW(H$15),0),15-13*ORÇAMENTO!$AF$7),SUMPRODUCT(($Q$12:$AA$12&lt;&gt;"")*ROUND($Q155:$AA155,15-13*ORÇAMENTO!$AF$7))))</f>
        <v>0</v>
      </c>
      <c r="I155" s="645"/>
      <c r="K155" s="204"/>
      <c r="L155" s="205" t="s">
        <v>255</v>
      </c>
      <c r="M155" s="206">
        <f ca="1">IF($D155&lt;&gt;"Serviço","",IF(AUTOEVENTO="manual",$A155,IF(ISERROR(MATCH($A155,$A$15:OFFSET($A155,-1,0),0)),MAX($M$15:OFFSET(M155,-1,0))+1,INDEX($M$15:OFFSET(M155,-1,0),MATCH($A155,$A$15:OFFSET($A155,-1,0),0)))))</f>
        <v>6</v>
      </c>
      <c r="N155" s="207" t="str">
        <f ca="1">IF($D155&lt;&gt;"Serviço","",IF(AUTOEVENTO="Manual",IF($A155=0,"&lt;-- defina o número do agrupador",OFFSET(EVENTOS!$D$14,$A155,0)),OFFSET($F$15,$A155,0)))</f>
        <v>DRENAGEM</v>
      </c>
      <c r="O155" s="208"/>
      <c r="Q155" s="208"/>
      <c r="R155" s="209"/>
      <c r="S155" s="209"/>
      <c r="T155" s="209"/>
      <c r="U155" s="209"/>
      <c r="V155" s="209"/>
      <c r="W155" s="209"/>
      <c r="X155" s="209"/>
      <c r="Y155" s="209"/>
      <c r="Z155" s="210"/>
      <c r="AB155" s="626">
        <f ca="1">IF(AND($D155="Serviço",AB$12&lt;&gt;0,$H155&gt;0,OR(AUTOEVENTO&lt;&gt;"manual",$M155&lt;&gt;1)),
IF(Import.TipoArredondamento&lt;&gt;"TransfereGOV",
ROUND(OFFSET($P155,0,AB$13),15-13*ORÇAMENTO!$AF$7)/$H155*OFFSET(ORÇAMENTO!$X$15,ROW(AB155)-ROW(AB$15),0),
ROUND(ROUND(OFFSET($P155,0,AB$13),15-13*ORÇAMENTO!$AF$7)*OFFSET(ORÇAMENTO!$W$15,ROW(AB155)-ROW(AB$15),0),15-13*ORÇAMENTO!$AF$11)),0)</f>
        <v>0</v>
      </c>
      <c r="AC155" s="627">
        <f ca="1">IF(AND($D155="Serviço",AC$12&lt;&gt;0,$H155&gt;0,OR(AUTOEVENTO&lt;&gt;"manual",$M155&lt;&gt;1)),
IF(Import.TipoArredondamento&lt;&gt;"TransfereGOV",
ROUND(OFFSET($P155,0,AC$13),15-13*ORÇAMENTO!$AF$7)/$H155*OFFSET(ORÇAMENTO!$X$15,ROW(AC155)-ROW(AC$15),0),
ROUND(ROUND(OFFSET($P155,0,AC$13),15-13*ORÇAMENTO!$AF$7)*OFFSET(ORÇAMENTO!$W$15,ROW(AC155)-ROW(AC$15),0),15-13*ORÇAMENTO!$AF$11)),0)</f>
        <v>0</v>
      </c>
      <c r="AD155" s="627">
        <f ca="1">IF(AND($D155="Serviço",AD$12&lt;&gt;0,$H155&gt;0,OR(AUTOEVENTO&lt;&gt;"manual",$M155&lt;&gt;1)),
IF(Import.TipoArredondamento&lt;&gt;"TransfereGOV",
ROUND(OFFSET($P155,0,AD$13),15-13*ORÇAMENTO!$AF$7)/$H155*OFFSET(ORÇAMENTO!$X$15,ROW(AD155)-ROW(AD$15),0),
ROUND(ROUND(OFFSET($P155,0,AD$13),15-13*ORÇAMENTO!$AF$7)*OFFSET(ORÇAMENTO!$W$15,ROW(AD155)-ROW(AD$15),0),15-13*ORÇAMENTO!$AF$11)),0)</f>
        <v>0</v>
      </c>
      <c r="AE155" s="627">
        <f ca="1">IF(AND($D155="Serviço",AE$12&lt;&gt;0,$H155&gt;0,OR(AUTOEVENTO&lt;&gt;"manual",$M155&lt;&gt;1)),
IF(Import.TipoArredondamento&lt;&gt;"TransfereGOV",
ROUND(OFFSET($P155,0,AE$13),15-13*ORÇAMENTO!$AF$7)/$H155*OFFSET(ORÇAMENTO!$X$15,ROW(AE155)-ROW(AE$15),0),
ROUND(ROUND(OFFSET($P155,0,AE$13),15-13*ORÇAMENTO!$AF$7)*OFFSET(ORÇAMENTO!$W$15,ROW(AE155)-ROW(AE$15),0),15-13*ORÇAMENTO!$AF$11)),0)</f>
        <v>0</v>
      </c>
      <c r="AF155" s="627">
        <f ca="1">IF(AND($D155="Serviço",AF$12&lt;&gt;0,$H155&gt;0,OR(AUTOEVENTO&lt;&gt;"manual",$M155&lt;&gt;1)),
IF(Import.TipoArredondamento&lt;&gt;"TransfereGOV",
ROUND(OFFSET($P155,0,AF$13),15-13*ORÇAMENTO!$AF$7)/$H155*OFFSET(ORÇAMENTO!$X$15,ROW(AF155)-ROW(AF$15),0),
ROUND(ROUND(OFFSET($P155,0,AF$13),15-13*ORÇAMENTO!$AF$7)*OFFSET(ORÇAMENTO!$W$15,ROW(AF155)-ROW(AF$15),0),15-13*ORÇAMENTO!$AF$11)),0)</f>
        <v>0</v>
      </c>
      <c r="AG155" s="627">
        <f ca="1">IF(AND($D155="Serviço",AG$12&lt;&gt;0,$H155&gt;0,OR(AUTOEVENTO&lt;&gt;"manual",$M155&lt;&gt;1)),
IF(Import.TipoArredondamento&lt;&gt;"TransfereGOV",
ROUND(OFFSET($P155,0,AG$13),15-13*ORÇAMENTO!$AF$7)/$H155*OFFSET(ORÇAMENTO!$X$15,ROW(AG155)-ROW(AG$15),0),
ROUND(ROUND(OFFSET($P155,0,AG$13),15-13*ORÇAMENTO!$AF$7)*OFFSET(ORÇAMENTO!$W$15,ROW(AG155)-ROW(AG$15),0),15-13*ORÇAMENTO!$AF$11)),0)</f>
        <v>0</v>
      </c>
      <c r="AH155" s="627">
        <f ca="1">IF(AND($D155="Serviço",AH$12&lt;&gt;0,$H155&gt;0,OR(AUTOEVENTO&lt;&gt;"manual",$M155&lt;&gt;1)),
IF(Import.TipoArredondamento&lt;&gt;"TransfereGOV",
ROUND(OFFSET($P155,0,AH$13),15-13*ORÇAMENTO!$AF$7)/$H155*OFFSET(ORÇAMENTO!$X$15,ROW(AH155)-ROW(AH$15),0),
ROUND(ROUND(OFFSET($P155,0,AH$13),15-13*ORÇAMENTO!$AF$7)*OFFSET(ORÇAMENTO!$W$15,ROW(AH155)-ROW(AH$15),0),15-13*ORÇAMENTO!$AF$11)),0)</f>
        <v>0</v>
      </c>
      <c r="AI155" s="627">
        <f ca="1">IF(AND($D155="Serviço",AI$12&lt;&gt;0,$H155&gt;0,OR(AUTOEVENTO&lt;&gt;"manual",$M155&lt;&gt;1)),
IF(Import.TipoArredondamento&lt;&gt;"TransfereGOV",
ROUND(OFFSET($P155,0,AI$13),15-13*ORÇAMENTO!$AF$7)/$H155*OFFSET(ORÇAMENTO!$X$15,ROW(AI155)-ROW(AI$15),0),
ROUND(ROUND(OFFSET($P155,0,AI$13),15-13*ORÇAMENTO!$AF$7)*OFFSET(ORÇAMENTO!$W$15,ROW(AI155)-ROW(AI$15),0),15-13*ORÇAMENTO!$AF$11)),0)</f>
        <v>0</v>
      </c>
      <c r="AJ155" s="627">
        <f ca="1">IF(AND($D155="Serviço",AJ$12&lt;&gt;0,$H155&gt;0,OR(AUTOEVENTO&lt;&gt;"manual",$M155&lt;&gt;1)),
IF(Import.TipoArredondamento&lt;&gt;"TransfereGOV",
ROUND(OFFSET($P155,0,AJ$13),15-13*ORÇAMENTO!$AF$7)/$H155*OFFSET(ORÇAMENTO!$X$15,ROW(AJ155)-ROW(AJ$15),0),
ROUND(ROUND(OFFSET($P155,0,AJ$13),15-13*ORÇAMENTO!$AF$7)*OFFSET(ORÇAMENTO!$W$15,ROW(AJ155)-ROW(AJ$15),0),15-13*ORÇAMENTO!$AF$11)),0)</f>
        <v>0</v>
      </c>
      <c r="AK155" s="628">
        <f ca="1">IF(AND($D155="Serviço",AK$12&lt;&gt;0,$H155&gt;0,OR(AUTOEVENTO&lt;&gt;"manual",$M155&lt;&gt;1)),
IF(Import.TipoArredondamento&lt;&gt;"TransfereGOV",
ROUND(OFFSET($P155,0,AK$13),15-13*ORÇAMENTO!$AF$7)/$H155*OFFSET(ORÇAMENTO!$X$15,ROW(AK155)-ROW(AK$15),0),
ROUND(ROUND(OFFSET($P155,0,AK$13),15-13*ORÇAMENTO!$AF$7)*OFFSET(ORÇAMENTO!$W$15,ROW(AK155)-ROW(AK$15),0),15-13*ORÇAMENTO!$AF$11)),0)</f>
        <v>0</v>
      </c>
      <c r="AM155" s="211">
        <f ca="1">IF($D155&lt;&gt;"Serviço",0,IF(AND(AUTOEVENTO="Manual",$M155=1),0,IF(OFFSET(CRONOPLE!$F$14,$M155,AM$13)="",10^12,OFFSET(CRONOPLE!$F$14,$M155,AM$13))))</f>
        <v>2</v>
      </c>
      <c r="AN155" s="211">
        <f ca="1">IF($D155&lt;&gt;"Serviço",0,IF(AND(AUTOEVENTO="Manual",$M155=1),0,IF(OFFSET(CRONOPLE!$F$14,$M155,AN$13)="",10^12,OFFSET(CRONOPLE!$F$14,$M155,AN$13))))</f>
        <v>1</v>
      </c>
      <c r="AO155" s="211">
        <f ca="1">IF($D155&lt;&gt;"Serviço",0,IF(AND(AUTOEVENTO="Manual",$M155=1),0,IF(OFFSET(CRONOPLE!$F$14,$M155,AO$13)="",10^12,OFFSET(CRONOPLE!$F$14,$M155,AO$13))))</f>
        <v>2</v>
      </c>
      <c r="AP155" s="211">
        <f ca="1">IF($D155&lt;&gt;"Serviço",0,IF(AND(AUTOEVENTO="Manual",$M155=1),0,IF(OFFSET(CRONOPLE!$F$14,$M155,AP$13)="",10^12,OFFSET(CRONOPLE!$F$14,$M155,AP$13))))</f>
        <v>2</v>
      </c>
      <c r="AQ155" s="211">
        <f ca="1">IF($D155&lt;&gt;"Serviço",0,IF(AND(AUTOEVENTO="Manual",$M155=1),0,IF(OFFSET(CRONOPLE!$F$14,$M155,AQ$13)="",10^12,OFFSET(CRONOPLE!$F$14,$M155,AQ$13))))</f>
        <v>1000000000000</v>
      </c>
      <c r="AR155" s="211">
        <f ca="1">IF($D155&lt;&gt;"Serviço",0,IF(AND(AUTOEVENTO="Manual",$M155=1),0,IF(OFFSET(CRONOPLE!$F$14,$M155,AR$13)="",10^12,OFFSET(CRONOPLE!$F$14,$M155,AR$13))))</f>
        <v>1000000000000</v>
      </c>
      <c r="AS155" s="211">
        <f ca="1">IF($D155&lt;&gt;"Serviço",0,IF(AND(AUTOEVENTO="Manual",$M155=1),0,IF(OFFSET(CRONOPLE!$F$14,$M155,AS$13)="",10^12,OFFSET(CRONOPLE!$F$14,$M155,AS$13))))</f>
        <v>1000000000000</v>
      </c>
      <c r="AT155" s="211">
        <f ca="1">IF($D155&lt;&gt;"Serviço",0,IF(AND(AUTOEVENTO="Manual",$M155=1),0,IF(OFFSET(CRONOPLE!$F$14,$M155,AT$13)="",10^12,OFFSET(CRONOPLE!$F$14,$M155,AT$13))))</f>
        <v>1000000000000</v>
      </c>
      <c r="AU155" s="211">
        <f ca="1">IF($D155&lt;&gt;"Serviço",0,IF(AND(AUTOEVENTO="Manual",$M155=1),0,IF(OFFSET(CRONOPLE!$F$14,$M155,AU$13)="",10^12,OFFSET(CRONOPLE!$F$14,$M155,AU$13))))</f>
        <v>1000000000000</v>
      </c>
      <c r="AV155" s="211">
        <f ca="1">IF($D155&lt;&gt;"Serviço",0,IF(AND(AUTOEVENTO="Manual",$M155=1),0,IF(OFFSET(CRONOPLE!$F$14,$M155,AV$13)="",10^12,OFFSET(CRONOPLE!$F$14,$M155,AV$13))))</f>
        <v>1000000000000</v>
      </c>
      <c r="AX155" s="212">
        <f ca="1">IF($D155&lt;&gt;"Serviço",0,IF(OR(AND(AUTOEVENTO="Manual",$M155=1),$M155&gt;(ROW(PLE.lastrow)-ROW(PLE.firstrow))),0,IF(OFFSET(PLE!$G$14,$M155,AX$13)="",10^12,OFFSET(PLE!$G$14,$M155,AX$13))))</f>
        <v>1000000000000</v>
      </c>
      <c r="AY155" s="212">
        <f ca="1">IF($D155&lt;&gt;"Serviço",0,IF(OR(AND(AUTOEVENTO="Manual",$M155=1),$M155&gt;(ROW(PLE.lastrow)-ROW(PLE.firstrow))),0,IF(OFFSET(PLE!$G$14,$M155,AY$13)="",10^12,OFFSET(PLE!$G$14,$M155,AY$13))))</f>
        <v>1000000000000</v>
      </c>
      <c r="AZ155" s="212">
        <f ca="1">IF($D155&lt;&gt;"Serviço",0,IF(OR(AND(AUTOEVENTO="Manual",$M155=1),$M155&gt;(ROW(PLE.lastrow)-ROW(PLE.firstrow))),0,IF(OFFSET(PLE!$G$14,$M155,AZ$13)="",10^12,OFFSET(PLE!$G$14,$M155,AZ$13))))</f>
        <v>1000000000000</v>
      </c>
      <c r="BA155" s="212">
        <f ca="1">IF($D155&lt;&gt;"Serviço",0,IF(OR(AND(AUTOEVENTO="Manual",$M155=1),$M155&gt;(ROW(PLE.lastrow)-ROW(PLE.firstrow))),0,IF(OFFSET(PLE!$G$14,$M155,BA$13)="",10^12,OFFSET(PLE!$G$14,$M155,BA$13))))</f>
        <v>1000000000000</v>
      </c>
      <c r="BB155" s="212">
        <f ca="1">IF($D155&lt;&gt;"Serviço",0,IF(OR(AND(AUTOEVENTO="Manual",$M155=1),$M155&gt;(ROW(PLE.lastrow)-ROW(PLE.firstrow))),0,IF(OFFSET(PLE!$G$14,$M155,BB$13)="",10^12,OFFSET(PLE!$G$14,$M155,BB$13))))</f>
        <v>1000000000000</v>
      </c>
      <c r="BC155" s="212">
        <f ca="1">IF($D155&lt;&gt;"Serviço",0,IF(OR(AND(AUTOEVENTO="Manual",$M155=1),$M155&gt;(ROW(PLE.lastrow)-ROW(PLE.firstrow))),0,IF(OFFSET(PLE!$G$14,$M155,BC$13)="",10^12,OFFSET(PLE!$G$14,$M155,BC$13))))</f>
        <v>1000000000000</v>
      </c>
      <c r="BD155" s="212">
        <f ca="1">IF($D155&lt;&gt;"Serviço",0,IF(OR(AND(AUTOEVENTO="Manual",$M155=1),$M155&gt;(ROW(PLE.lastrow)-ROW(PLE.firstrow))),0,IF(OFFSET(PLE!$G$14,$M155,BD$13)="",10^12,OFFSET(PLE!$G$14,$M155,BD$13))))</f>
        <v>1000000000000</v>
      </c>
      <c r="BE155" s="212">
        <f ca="1">IF($D155&lt;&gt;"Serviço",0,IF(OR(AND(AUTOEVENTO="Manual",$M155=1),$M155&gt;(ROW(PLE.lastrow)-ROW(PLE.firstrow))),0,IF(OFFSET(PLE!$G$14,$M155,BE$13)="",10^12,OFFSET(PLE!$G$14,$M155,BE$13))))</f>
        <v>1000000000000</v>
      </c>
      <c r="BF155" s="212">
        <f ca="1">IF($D155&lt;&gt;"Serviço",0,IF(OR(AND(AUTOEVENTO="Manual",$M155=1),$M155&gt;(ROW(PLE.lastrow)-ROW(PLE.firstrow))),0,IF(OFFSET(PLE!$G$14,$M155,BF$13)="",10^12,OFFSET(PLE!$G$14,$M155,BF$13))))</f>
        <v>1000000000000</v>
      </c>
      <c r="BG155" s="212">
        <f ca="1">IF($D155&lt;&gt;"Serviço",0,IF(OR(AND(AUTOEVENTO="Manual",$M155=1),$M155&gt;(ROW(PLE.lastrow)-ROW(PLE.firstrow))),0,IF(OFFSET(PLE!$G$14,$M155,BG$13)="",10^12,OFFSET(PLE!$G$14,$M155,BG$13))))</f>
        <v>1000000000000</v>
      </c>
    </row>
    <row r="156" spans="1:59" ht="13.2">
      <c r="A156" s="9" t="str">
        <f t="shared" ca="1" si="11"/>
        <v>15</v>
      </c>
      <c r="B156" s="9" t="str">
        <f ca="1">OFFSET(ORÇAMENTO!C$15,ROW(B156)-ROW(B$15),0)</f>
        <v>S</v>
      </c>
      <c r="C156" s="9" t="str">
        <f ca="1">OFFSET(ORÇAMENTO!L$15,ROW(C156)-ROW(C$15),0)</f>
        <v/>
      </c>
      <c r="D156" s="141" t="str">
        <f ca="1">OFFSET(ORÇAMENTO!N$15,ROW(D156)-ROW(D$15),0)</f>
        <v>Serviço</v>
      </c>
      <c r="E156" s="201" t="str">
        <f ca="1">OFFSET(ORÇAMENTO!O$15,ROW(E156)-ROW(E$15),0)</f>
        <v>-</v>
      </c>
      <c r="F156" s="202" t="str">
        <f ca="1">OFFSET(ORÇAMENTO!R$15,ROW(F156)-ROW(F$15),0)</f>
        <v>(abra o arquivo 'Referência 11-2024.xlsm)</v>
      </c>
      <c r="G156" s="203" t="str">
        <f ca="1">IF($D156&lt;&gt;"Serviço","",OFFSET(ORÇAMENTO!S$15,ROW(G156)-ROW(G$15),0))</f>
        <v>-</v>
      </c>
      <c r="H156" s="147">
        <f ca="1">IF($D156&lt;&gt;"Serviço",0,IF(ACOMPANHAMENTO="BM",ROUND(OFFSET(ORÇAMENTO!AJ$15,ROW(H156)-ROW(H$15),0),15-13*ORÇAMENTO!$AF$7),SUMPRODUCT(($Q$12:$AA$12&lt;&gt;"")*ROUND($Q156:$AA156,15-13*ORÇAMENTO!$AF$7))))</f>
        <v>0</v>
      </c>
      <c r="I156" s="645"/>
      <c r="K156" s="204"/>
      <c r="L156" s="205" t="s">
        <v>255</v>
      </c>
      <c r="M156" s="206">
        <f ca="1">IF($D156&lt;&gt;"Serviço","",IF(AUTOEVENTO="manual",$A156,IF(ISERROR(MATCH($A156,$A$15:OFFSET($A156,-1,0),0)),MAX($M$15:OFFSET(M156,-1,0))+1,INDEX($M$15:OFFSET(M156,-1,0),MATCH($A156,$A$15:OFFSET($A156,-1,0),0)))))</f>
        <v>6</v>
      </c>
      <c r="N156" s="207" t="str">
        <f ca="1">IF($D156&lt;&gt;"Serviço","",IF(AUTOEVENTO="Manual",IF($A156=0,"&lt;-- defina o número do agrupador",OFFSET(EVENTOS!$D$14,$A156,0)),OFFSET($F$15,$A156,0)))</f>
        <v>DRENAGEM</v>
      </c>
      <c r="O156" s="208"/>
      <c r="Q156" s="208"/>
      <c r="R156" s="209"/>
      <c r="S156" s="209"/>
      <c r="T156" s="209"/>
      <c r="U156" s="209"/>
      <c r="V156" s="209"/>
      <c r="W156" s="209"/>
      <c r="X156" s="209"/>
      <c r="Y156" s="209"/>
      <c r="Z156" s="210"/>
      <c r="AB156" s="626">
        <f ca="1">IF(AND($D156="Serviço",AB$12&lt;&gt;0,$H156&gt;0,OR(AUTOEVENTO&lt;&gt;"manual",$M156&lt;&gt;1)),
IF(Import.TipoArredondamento&lt;&gt;"TransfereGOV",
ROUND(OFFSET($P156,0,AB$13),15-13*ORÇAMENTO!$AF$7)/$H156*OFFSET(ORÇAMENTO!$X$15,ROW(AB156)-ROW(AB$15),0),
ROUND(ROUND(OFFSET($P156,0,AB$13),15-13*ORÇAMENTO!$AF$7)*OFFSET(ORÇAMENTO!$W$15,ROW(AB156)-ROW(AB$15),0),15-13*ORÇAMENTO!$AF$11)),0)</f>
        <v>0</v>
      </c>
      <c r="AC156" s="627">
        <f ca="1">IF(AND($D156="Serviço",AC$12&lt;&gt;0,$H156&gt;0,OR(AUTOEVENTO&lt;&gt;"manual",$M156&lt;&gt;1)),
IF(Import.TipoArredondamento&lt;&gt;"TransfereGOV",
ROUND(OFFSET($P156,0,AC$13),15-13*ORÇAMENTO!$AF$7)/$H156*OFFSET(ORÇAMENTO!$X$15,ROW(AC156)-ROW(AC$15),0),
ROUND(ROUND(OFFSET($P156,0,AC$13),15-13*ORÇAMENTO!$AF$7)*OFFSET(ORÇAMENTO!$W$15,ROW(AC156)-ROW(AC$15),0),15-13*ORÇAMENTO!$AF$11)),0)</f>
        <v>0</v>
      </c>
      <c r="AD156" s="627">
        <f ca="1">IF(AND($D156="Serviço",AD$12&lt;&gt;0,$H156&gt;0,OR(AUTOEVENTO&lt;&gt;"manual",$M156&lt;&gt;1)),
IF(Import.TipoArredondamento&lt;&gt;"TransfereGOV",
ROUND(OFFSET($P156,0,AD$13),15-13*ORÇAMENTO!$AF$7)/$H156*OFFSET(ORÇAMENTO!$X$15,ROW(AD156)-ROW(AD$15),0),
ROUND(ROUND(OFFSET($P156,0,AD$13),15-13*ORÇAMENTO!$AF$7)*OFFSET(ORÇAMENTO!$W$15,ROW(AD156)-ROW(AD$15),0),15-13*ORÇAMENTO!$AF$11)),0)</f>
        <v>0</v>
      </c>
      <c r="AE156" s="627">
        <f ca="1">IF(AND($D156="Serviço",AE$12&lt;&gt;0,$H156&gt;0,OR(AUTOEVENTO&lt;&gt;"manual",$M156&lt;&gt;1)),
IF(Import.TipoArredondamento&lt;&gt;"TransfereGOV",
ROUND(OFFSET($P156,0,AE$13),15-13*ORÇAMENTO!$AF$7)/$H156*OFFSET(ORÇAMENTO!$X$15,ROW(AE156)-ROW(AE$15),0),
ROUND(ROUND(OFFSET($P156,0,AE$13),15-13*ORÇAMENTO!$AF$7)*OFFSET(ORÇAMENTO!$W$15,ROW(AE156)-ROW(AE$15),0),15-13*ORÇAMENTO!$AF$11)),0)</f>
        <v>0</v>
      </c>
      <c r="AF156" s="627">
        <f ca="1">IF(AND($D156="Serviço",AF$12&lt;&gt;0,$H156&gt;0,OR(AUTOEVENTO&lt;&gt;"manual",$M156&lt;&gt;1)),
IF(Import.TipoArredondamento&lt;&gt;"TransfereGOV",
ROUND(OFFSET($P156,0,AF$13),15-13*ORÇAMENTO!$AF$7)/$H156*OFFSET(ORÇAMENTO!$X$15,ROW(AF156)-ROW(AF$15),0),
ROUND(ROUND(OFFSET($P156,0,AF$13),15-13*ORÇAMENTO!$AF$7)*OFFSET(ORÇAMENTO!$W$15,ROW(AF156)-ROW(AF$15),0),15-13*ORÇAMENTO!$AF$11)),0)</f>
        <v>0</v>
      </c>
      <c r="AG156" s="627">
        <f ca="1">IF(AND($D156="Serviço",AG$12&lt;&gt;0,$H156&gt;0,OR(AUTOEVENTO&lt;&gt;"manual",$M156&lt;&gt;1)),
IF(Import.TipoArredondamento&lt;&gt;"TransfereGOV",
ROUND(OFFSET($P156,0,AG$13),15-13*ORÇAMENTO!$AF$7)/$H156*OFFSET(ORÇAMENTO!$X$15,ROW(AG156)-ROW(AG$15),0),
ROUND(ROUND(OFFSET($P156,0,AG$13),15-13*ORÇAMENTO!$AF$7)*OFFSET(ORÇAMENTO!$W$15,ROW(AG156)-ROW(AG$15),0),15-13*ORÇAMENTO!$AF$11)),0)</f>
        <v>0</v>
      </c>
      <c r="AH156" s="627">
        <f ca="1">IF(AND($D156="Serviço",AH$12&lt;&gt;0,$H156&gt;0,OR(AUTOEVENTO&lt;&gt;"manual",$M156&lt;&gt;1)),
IF(Import.TipoArredondamento&lt;&gt;"TransfereGOV",
ROUND(OFFSET($P156,0,AH$13),15-13*ORÇAMENTO!$AF$7)/$H156*OFFSET(ORÇAMENTO!$X$15,ROW(AH156)-ROW(AH$15),0),
ROUND(ROUND(OFFSET($P156,0,AH$13),15-13*ORÇAMENTO!$AF$7)*OFFSET(ORÇAMENTO!$W$15,ROW(AH156)-ROW(AH$15),0),15-13*ORÇAMENTO!$AF$11)),0)</f>
        <v>0</v>
      </c>
      <c r="AI156" s="627">
        <f ca="1">IF(AND($D156="Serviço",AI$12&lt;&gt;0,$H156&gt;0,OR(AUTOEVENTO&lt;&gt;"manual",$M156&lt;&gt;1)),
IF(Import.TipoArredondamento&lt;&gt;"TransfereGOV",
ROUND(OFFSET($P156,0,AI$13),15-13*ORÇAMENTO!$AF$7)/$H156*OFFSET(ORÇAMENTO!$X$15,ROW(AI156)-ROW(AI$15),0),
ROUND(ROUND(OFFSET($P156,0,AI$13),15-13*ORÇAMENTO!$AF$7)*OFFSET(ORÇAMENTO!$W$15,ROW(AI156)-ROW(AI$15),0),15-13*ORÇAMENTO!$AF$11)),0)</f>
        <v>0</v>
      </c>
      <c r="AJ156" s="627">
        <f ca="1">IF(AND($D156="Serviço",AJ$12&lt;&gt;0,$H156&gt;0,OR(AUTOEVENTO&lt;&gt;"manual",$M156&lt;&gt;1)),
IF(Import.TipoArredondamento&lt;&gt;"TransfereGOV",
ROUND(OFFSET($P156,0,AJ$13),15-13*ORÇAMENTO!$AF$7)/$H156*OFFSET(ORÇAMENTO!$X$15,ROW(AJ156)-ROW(AJ$15),0),
ROUND(ROUND(OFFSET($P156,0,AJ$13),15-13*ORÇAMENTO!$AF$7)*OFFSET(ORÇAMENTO!$W$15,ROW(AJ156)-ROW(AJ$15),0),15-13*ORÇAMENTO!$AF$11)),0)</f>
        <v>0</v>
      </c>
      <c r="AK156" s="628">
        <f ca="1">IF(AND($D156="Serviço",AK$12&lt;&gt;0,$H156&gt;0,OR(AUTOEVENTO&lt;&gt;"manual",$M156&lt;&gt;1)),
IF(Import.TipoArredondamento&lt;&gt;"TransfereGOV",
ROUND(OFFSET($P156,0,AK$13),15-13*ORÇAMENTO!$AF$7)/$H156*OFFSET(ORÇAMENTO!$X$15,ROW(AK156)-ROW(AK$15),0),
ROUND(ROUND(OFFSET($P156,0,AK$13),15-13*ORÇAMENTO!$AF$7)*OFFSET(ORÇAMENTO!$W$15,ROW(AK156)-ROW(AK$15),0),15-13*ORÇAMENTO!$AF$11)),0)</f>
        <v>0</v>
      </c>
      <c r="AM156" s="211">
        <f ca="1">IF($D156&lt;&gt;"Serviço",0,IF(AND(AUTOEVENTO="Manual",$M156=1),0,IF(OFFSET(CRONOPLE!$F$14,$M156,AM$13)="",10^12,OFFSET(CRONOPLE!$F$14,$M156,AM$13))))</f>
        <v>2</v>
      </c>
      <c r="AN156" s="211">
        <f ca="1">IF($D156&lt;&gt;"Serviço",0,IF(AND(AUTOEVENTO="Manual",$M156=1),0,IF(OFFSET(CRONOPLE!$F$14,$M156,AN$13)="",10^12,OFFSET(CRONOPLE!$F$14,$M156,AN$13))))</f>
        <v>1</v>
      </c>
      <c r="AO156" s="211">
        <f ca="1">IF($D156&lt;&gt;"Serviço",0,IF(AND(AUTOEVENTO="Manual",$M156=1),0,IF(OFFSET(CRONOPLE!$F$14,$M156,AO$13)="",10^12,OFFSET(CRONOPLE!$F$14,$M156,AO$13))))</f>
        <v>2</v>
      </c>
      <c r="AP156" s="211">
        <f ca="1">IF($D156&lt;&gt;"Serviço",0,IF(AND(AUTOEVENTO="Manual",$M156=1),0,IF(OFFSET(CRONOPLE!$F$14,$M156,AP$13)="",10^12,OFFSET(CRONOPLE!$F$14,$M156,AP$13))))</f>
        <v>2</v>
      </c>
      <c r="AQ156" s="211">
        <f ca="1">IF($D156&lt;&gt;"Serviço",0,IF(AND(AUTOEVENTO="Manual",$M156=1),0,IF(OFFSET(CRONOPLE!$F$14,$M156,AQ$13)="",10^12,OFFSET(CRONOPLE!$F$14,$M156,AQ$13))))</f>
        <v>1000000000000</v>
      </c>
      <c r="AR156" s="211">
        <f ca="1">IF($D156&lt;&gt;"Serviço",0,IF(AND(AUTOEVENTO="Manual",$M156=1),0,IF(OFFSET(CRONOPLE!$F$14,$M156,AR$13)="",10^12,OFFSET(CRONOPLE!$F$14,$M156,AR$13))))</f>
        <v>1000000000000</v>
      </c>
      <c r="AS156" s="211">
        <f ca="1">IF($D156&lt;&gt;"Serviço",0,IF(AND(AUTOEVENTO="Manual",$M156=1),0,IF(OFFSET(CRONOPLE!$F$14,$M156,AS$13)="",10^12,OFFSET(CRONOPLE!$F$14,$M156,AS$13))))</f>
        <v>1000000000000</v>
      </c>
      <c r="AT156" s="211">
        <f ca="1">IF($D156&lt;&gt;"Serviço",0,IF(AND(AUTOEVENTO="Manual",$M156=1),0,IF(OFFSET(CRONOPLE!$F$14,$M156,AT$13)="",10^12,OFFSET(CRONOPLE!$F$14,$M156,AT$13))))</f>
        <v>1000000000000</v>
      </c>
      <c r="AU156" s="211">
        <f ca="1">IF($D156&lt;&gt;"Serviço",0,IF(AND(AUTOEVENTO="Manual",$M156=1),0,IF(OFFSET(CRONOPLE!$F$14,$M156,AU$13)="",10^12,OFFSET(CRONOPLE!$F$14,$M156,AU$13))))</f>
        <v>1000000000000</v>
      </c>
      <c r="AV156" s="211">
        <f ca="1">IF($D156&lt;&gt;"Serviço",0,IF(AND(AUTOEVENTO="Manual",$M156=1),0,IF(OFFSET(CRONOPLE!$F$14,$M156,AV$13)="",10^12,OFFSET(CRONOPLE!$F$14,$M156,AV$13))))</f>
        <v>1000000000000</v>
      </c>
      <c r="AX156" s="212">
        <f ca="1">IF($D156&lt;&gt;"Serviço",0,IF(OR(AND(AUTOEVENTO="Manual",$M156=1),$M156&gt;(ROW(PLE.lastrow)-ROW(PLE.firstrow))),0,IF(OFFSET(PLE!$G$14,$M156,AX$13)="",10^12,OFFSET(PLE!$G$14,$M156,AX$13))))</f>
        <v>1000000000000</v>
      </c>
      <c r="AY156" s="212">
        <f ca="1">IF($D156&lt;&gt;"Serviço",0,IF(OR(AND(AUTOEVENTO="Manual",$M156=1),$M156&gt;(ROW(PLE.lastrow)-ROW(PLE.firstrow))),0,IF(OFFSET(PLE!$G$14,$M156,AY$13)="",10^12,OFFSET(PLE!$G$14,$M156,AY$13))))</f>
        <v>1000000000000</v>
      </c>
      <c r="AZ156" s="212">
        <f ca="1">IF($D156&lt;&gt;"Serviço",0,IF(OR(AND(AUTOEVENTO="Manual",$M156=1),$M156&gt;(ROW(PLE.lastrow)-ROW(PLE.firstrow))),0,IF(OFFSET(PLE!$G$14,$M156,AZ$13)="",10^12,OFFSET(PLE!$G$14,$M156,AZ$13))))</f>
        <v>1000000000000</v>
      </c>
      <c r="BA156" s="212">
        <f ca="1">IF($D156&lt;&gt;"Serviço",0,IF(OR(AND(AUTOEVENTO="Manual",$M156=1),$M156&gt;(ROW(PLE.lastrow)-ROW(PLE.firstrow))),0,IF(OFFSET(PLE!$G$14,$M156,BA$13)="",10^12,OFFSET(PLE!$G$14,$M156,BA$13))))</f>
        <v>1000000000000</v>
      </c>
      <c r="BB156" s="212">
        <f ca="1">IF($D156&lt;&gt;"Serviço",0,IF(OR(AND(AUTOEVENTO="Manual",$M156=1),$M156&gt;(ROW(PLE.lastrow)-ROW(PLE.firstrow))),0,IF(OFFSET(PLE!$G$14,$M156,BB$13)="",10^12,OFFSET(PLE!$G$14,$M156,BB$13))))</f>
        <v>1000000000000</v>
      </c>
      <c r="BC156" s="212">
        <f ca="1">IF($D156&lt;&gt;"Serviço",0,IF(OR(AND(AUTOEVENTO="Manual",$M156=1),$M156&gt;(ROW(PLE.lastrow)-ROW(PLE.firstrow))),0,IF(OFFSET(PLE!$G$14,$M156,BC$13)="",10^12,OFFSET(PLE!$G$14,$M156,BC$13))))</f>
        <v>1000000000000</v>
      </c>
      <c r="BD156" s="212">
        <f ca="1">IF($D156&lt;&gt;"Serviço",0,IF(OR(AND(AUTOEVENTO="Manual",$M156=1),$M156&gt;(ROW(PLE.lastrow)-ROW(PLE.firstrow))),0,IF(OFFSET(PLE!$G$14,$M156,BD$13)="",10^12,OFFSET(PLE!$G$14,$M156,BD$13))))</f>
        <v>1000000000000</v>
      </c>
      <c r="BE156" s="212">
        <f ca="1">IF($D156&lt;&gt;"Serviço",0,IF(OR(AND(AUTOEVENTO="Manual",$M156=1),$M156&gt;(ROW(PLE.lastrow)-ROW(PLE.firstrow))),0,IF(OFFSET(PLE!$G$14,$M156,BE$13)="",10^12,OFFSET(PLE!$G$14,$M156,BE$13))))</f>
        <v>1000000000000</v>
      </c>
      <c r="BF156" s="212">
        <f ca="1">IF($D156&lt;&gt;"Serviço",0,IF(OR(AND(AUTOEVENTO="Manual",$M156=1),$M156&gt;(ROW(PLE.lastrow)-ROW(PLE.firstrow))),0,IF(OFFSET(PLE!$G$14,$M156,BF$13)="",10^12,OFFSET(PLE!$G$14,$M156,BF$13))))</f>
        <v>1000000000000</v>
      </c>
      <c r="BG156" s="212">
        <f ca="1">IF($D156&lt;&gt;"Serviço",0,IF(OR(AND(AUTOEVENTO="Manual",$M156=1),$M156&gt;(ROW(PLE.lastrow)-ROW(PLE.firstrow))),0,IF(OFFSET(PLE!$G$14,$M156,BG$13)="",10^12,OFFSET(PLE!$G$14,$M156,BG$13))))</f>
        <v>1000000000000</v>
      </c>
    </row>
    <row r="157" spans="1:59" ht="13.2">
      <c r="A157" s="9" t="str">
        <f t="shared" ca="1" si="11"/>
        <v>15</v>
      </c>
      <c r="B157" s="9" t="str">
        <f ca="1">OFFSET(ORÇAMENTO!C$15,ROW(B157)-ROW(B$15),0)</f>
        <v>S</v>
      </c>
      <c r="C157" s="9" t="str">
        <f ca="1">OFFSET(ORÇAMENTO!L$15,ROW(C157)-ROW(C$15),0)</f>
        <v/>
      </c>
      <c r="D157" s="141" t="str">
        <f ca="1">OFFSET(ORÇAMENTO!N$15,ROW(D157)-ROW(D$15),0)</f>
        <v>Serviço</v>
      </c>
      <c r="E157" s="201" t="str">
        <f ca="1">OFFSET(ORÇAMENTO!O$15,ROW(E157)-ROW(E$15),0)</f>
        <v>-</v>
      </c>
      <c r="F157" s="202" t="str">
        <f ca="1">OFFSET(ORÇAMENTO!R$15,ROW(F157)-ROW(F$15),0)</f>
        <v>(abra o arquivo 'Referência 11-2024.xlsm)</v>
      </c>
      <c r="G157" s="203" t="str">
        <f ca="1">IF($D157&lt;&gt;"Serviço","",OFFSET(ORÇAMENTO!S$15,ROW(G157)-ROW(G$15),0))</f>
        <v>-</v>
      </c>
      <c r="H157" s="147">
        <f ca="1">IF($D157&lt;&gt;"Serviço",0,IF(ACOMPANHAMENTO="BM",ROUND(OFFSET(ORÇAMENTO!AJ$15,ROW(H157)-ROW(H$15),0),15-13*ORÇAMENTO!$AF$7),SUMPRODUCT(($Q$12:$AA$12&lt;&gt;"")*ROUND($Q157:$AA157,15-13*ORÇAMENTO!$AF$7))))</f>
        <v>0</v>
      </c>
      <c r="I157" s="645"/>
      <c r="K157" s="204"/>
      <c r="L157" s="205" t="s">
        <v>255</v>
      </c>
      <c r="M157" s="206">
        <f ca="1">IF($D157&lt;&gt;"Serviço","",IF(AUTOEVENTO="manual",$A157,IF(ISERROR(MATCH($A157,$A$15:OFFSET($A157,-1,0),0)),MAX($M$15:OFFSET(M157,-1,0))+1,INDEX($M$15:OFFSET(M157,-1,0),MATCH($A157,$A$15:OFFSET($A157,-1,0),0)))))</f>
        <v>6</v>
      </c>
      <c r="N157" s="207" t="str">
        <f ca="1">IF($D157&lt;&gt;"Serviço","",IF(AUTOEVENTO="Manual",IF($A157=0,"&lt;-- defina o número do agrupador",OFFSET(EVENTOS!$D$14,$A157,0)),OFFSET($F$15,$A157,0)))</f>
        <v>DRENAGEM</v>
      </c>
      <c r="O157" s="208"/>
      <c r="Q157" s="208"/>
      <c r="R157" s="209"/>
      <c r="S157" s="209"/>
      <c r="T157" s="209"/>
      <c r="U157" s="209"/>
      <c r="V157" s="209"/>
      <c r="W157" s="209"/>
      <c r="X157" s="209"/>
      <c r="Y157" s="209"/>
      <c r="Z157" s="210"/>
      <c r="AB157" s="626">
        <f ca="1">IF(AND($D157="Serviço",AB$12&lt;&gt;0,$H157&gt;0,OR(AUTOEVENTO&lt;&gt;"manual",$M157&lt;&gt;1)),
IF(Import.TipoArredondamento&lt;&gt;"TransfereGOV",
ROUND(OFFSET($P157,0,AB$13),15-13*ORÇAMENTO!$AF$7)/$H157*OFFSET(ORÇAMENTO!$X$15,ROW(AB157)-ROW(AB$15),0),
ROUND(ROUND(OFFSET($P157,0,AB$13),15-13*ORÇAMENTO!$AF$7)*OFFSET(ORÇAMENTO!$W$15,ROW(AB157)-ROW(AB$15),0),15-13*ORÇAMENTO!$AF$11)),0)</f>
        <v>0</v>
      </c>
      <c r="AC157" s="627">
        <f ca="1">IF(AND($D157="Serviço",AC$12&lt;&gt;0,$H157&gt;0,OR(AUTOEVENTO&lt;&gt;"manual",$M157&lt;&gt;1)),
IF(Import.TipoArredondamento&lt;&gt;"TransfereGOV",
ROUND(OFFSET($P157,0,AC$13),15-13*ORÇAMENTO!$AF$7)/$H157*OFFSET(ORÇAMENTO!$X$15,ROW(AC157)-ROW(AC$15),0),
ROUND(ROUND(OFFSET($P157,0,AC$13),15-13*ORÇAMENTO!$AF$7)*OFFSET(ORÇAMENTO!$W$15,ROW(AC157)-ROW(AC$15),0),15-13*ORÇAMENTO!$AF$11)),0)</f>
        <v>0</v>
      </c>
      <c r="AD157" s="627">
        <f ca="1">IF(AND($D157="Serviço",AD$12&lt;&gt;0,$H157&gt;0,OR(AUTOEVENTO&lt;&gt;"manual",$M157&lt;&gt;1)),
IF(Import.TipoArredondamento&lt;&gt;"TransfereGOV",
ROUND(OFFSET($P157,0,AD$13),15-13*ORÇAMENTO!$AF$7)/$H157*OFFSET(ORÇAMENTO!$X$15,ROW(AD157)-ROW(AD$15),0),
ROUND(ROUND(OFFSET($P157,0,AD$13),15-13*ORÇAMENTO!$AF$7)*OFFSET(ORÇAMENTO!$W$15,ROW(AD157)-ROW(AD$15),0),15-13*ORÇAMENTO!$AF$11)),0)</f>
        <v>0</v>
      </c>
      <c r="AE157" s="627">
        <f ca="1">IF(AND($D157="Serviço",AE$12&lt;&gt;0,$H157&gt;0,OR(AUTOEVENTO&lt;&gt;"manual",$M157&lt;&gt;1)),
IF(Import.TipoArredondamento&lt;&gt;"TransfereGOV",
ROUND(OFFSET($P157,0,AE$13),15-13*ORÇAMENTO!$AF$7)/$H157*OFFSET(ORÇAMENTO!$X$15,ROW(AE157)-ROW(AE$15),0),
ROUND(ROUND(OFFSET($P157,0,AE$13),15-13*ORÇAMENTO!$AF$7)*OFFSET(ORÇAMENTO!$W$15,ROW(AE157)-ROW(AE$15),0),15-13*ORÇAMENTO!$AF$11)),0)</f>
        <v>0</v>
      </c>
      <c r="AF157" s="627">
        <f ca="1">IF(AND($D157="Serviço",AF$12&lt;&gt;0,$H157&gt;0,OR(AUTOEVENTO&lt;&gt;"manual",$M157&lt;&gt;1)),
IF(Import.TipoArredondamento&lt;&gt;"TransfereGOV",
ROUND(OFFSET($P157,0,AF$13),15-13*ORÇAMENTO!$AF$7)/$H157*OFFSET(ORÇAMENTO!$X$15,ROW(AF157)-ROW(AF$15),0),
ROUND(ROUND(OFFSET($P157,0,AF$13),15-13*ORÇAMENTO!$AF$7)*OFFSET(ORÇAMENTO!$W$15,ROW(AF157)-ROW(AF$15),0),15-13*ORÇAMENTO!$AF$11)),0)</f>
        <v>0</v>
      </c>
      <c r="AG157" s="627">
        <f ca="1">IF(AND($D157="Serviço",AG$12&lt;&gt;0,$H157&gt;0,OR(AUTOEVENTO&lt;&gt;"manual",$M157&lt;&gt;1)),
IF(Import.TipoArredondamento&lt;&gt;"TransfereGOV",
ROUND(OFFSET($P157,0,AG$13),15-13*ORÇAMENTO!$AF$7)/$H157*OFFSET(ORÇAMENTO!$X$15,ROW(AG157)-ROW(AG$15),0),
ROUND(ROUND(OFFSET($P157,0,AG$13),15-13*ORÇAMENTO!$AF$7)*OFFSET(ORÇAMENTO!$W$15,ROW(AG157)-ROW(AG$15),0),15-13*ORÇAMENTO!$AF$11)),0)</f>
        <v>0</v>
      </c>
      <c r="AH157" s="627">
        <f ca="1">IF(AND($D157="Serviço",AH$12&lt;&gt;0,$H157&gt;0,OR(AUTOEVENTO&lt;&gt;"manual",$M157&lt;&gt;1)),
IF(Import.TipoArredondamento&lt;&gt;"TransfereGOV",
ROUND(OFFSET($P157,0,AH$13),15-13*ORÇAMENTO!$AF$7)/$H157*OFFSET(ORÇAMENTO!$X$15,ROW(AH157)-ROW(AH$15),0),
ROUND(ROUND(OFFSET($P157,0,AH$13),15-13*ORÇAMENTO!$AF$7)*OFFSET(ORÇAMENTO!$W$15,ROW(AH157)-ROW(AH$15),0),15-13*ORÇAMENTO!$AF$11)),0)</f>
        <v>0</v>
      </c>
      <c r="AI157" s="627">
        <f ca="1">IF(AND($D157="Serviço",AI$12&lt;&gt;0,$H157&gt;0,OR(AUTOEVENTO&lt;&gt;"manual",$M157&lt;&gt;1)),
IF(Import.TipoArredondamento&lt;&gt;"TransfereGOV",
ROUND(OFFSET($P157,0,AI$13),15-13*ORÇAMENTO!$AF$7)/$H157*OFFSET(ORÇAMENTO!$X$15,ROW(AI157)-ROW(AI$15),0),
ROUND(ROUND(OFFSET($P157,0,AI$13),15-13*ORÇAMENTO!$AF$7)*OFFSET(ORÇAMENTO!$W$15,ROW(AI157)-ROW(AI$15),0),15-13*ORÇAMENTO!$AF$11)),0)</f>
        <v>0</v>
      </c>
      <c r="AJ157" s="627">
        <f ca="1">IF(AND($D157="Serviço",AJ$12&lt;&gt;0,$H157&gt;0,OR(AUTOEVENTO&lt;&gt;"manual",$M157&lt;&gt;1)),
IF(Import.TipoArredondamento&lt;&gt;"TransfereGOV",
ROUND(OFFSET($P157,0,AJ$13),15-13*ORÇAMENTO!$AF$7)/$H157*OFFSET(ORÇAMENTO!$X$15,ROW(AJ157)-ROW(AJ$15),0),
ROUND(ROUND(OFFSET($P157,0,AJ$13),15-13*ORÇAMENTO!$AF$7)*OFFSET(ORÇAMENTO!$W$15,ROW(AJ157)-ROW(AJ$15),0),15-13*ORÇAMENTO!$AF$11)),0)</f>
        <v>0</v>
      </c>
      <c r="AK157" s="628">
        <f ca="1">IF(AND($D157="Serviço",AK$12&lt;&gt;0,$H157&gt;0,OR(AUTOEVENTO&lt;&gt;"manual",$M157&lt;&gt;1)),
IF(Import.TipoArredondamento&lt;&gt;"TransfereGOV",
ROUND(OFFSET($P157,0,AK$13),15-13*ORÇAMENTO!$AF$7)/$H157*OFFSET(ORÇAMENTO!$X$15,ROW(AK157)-ROW(AK$15),0),
ROUND(ROUND(OFFSET($P157,0,AK$13),15-13*ORÇAMENTO!$AF$7)*OFFSET(ORÇAMENTO!$W$15,ROW(AK157)-ROW(AK$15),0),15-13*ORÇAMENTO!$AF$11)),0)</f>
        <v>0</v>
      </c>
      <c r="AM157" s="211">
        <f ca="1">IF($D157&lt;&gt;"Serviço",0,IF(AND(AUTOEVENTO="Manual",$M157=1),0,IF(OFFSET(CRONOPLE!$F$14,$M157,AM$13)="",10^12,OFFSET(CRONOPLE!$F$14,$M157,AM$13))))</f>
        <v>2</v>
      </c>
      <c r="AN157" s="211">
        <f ca="1">IF($D157&lt;&gt;"Serviço",0,IF(AND(AUTOEVENTO="Manual",$M157=1),0,IF(OFFSET(CRONOPLE!$F$14,$M157,AN$13)="",10^12,OFFSET(CRONOPLE!$F$14,$M157,AN$13))))</f>
        <v>1</v>
      </c>
      <c r="AO157" s="211">
        <f ca="1">IF($D157&lt;&gt;"Serviço",0,IF(AND(AUTOEVENTO="Manual",$M157=1),0,IF(OFFSET(CRONOPLE!$F$14,$M157,AO$13)="",10^12,OFFSET(CRONOPLE!$F$14,$M157,AO$13))))</f>
        <v>2</v>
      </c>
      <c r="AP157" s="211">
        <f ca="1">IF($D157&lt;&gt;"Serviço",0,IF(AND(AUTOEVENTO="Manual",$M157=1),0,IF(OFFSET(CRONOPLE!$F$14,$M157,AP$13)="",10^12,OFFSET(CRONOPLE!$F$14,$M157,AP$13))))</f>
        <v>2</v>
      </c>
      <c r="AQ157" s="211">
        <f ca="1">IF($D157&lt;&gt;"Serviço",0,IF(AND(AUTOEVENTO="Manual",$M157=1),0,IF(OFFSET(CRONOPLE!$F$14,$M157,AQ$13)="",10^12,OFFSET(CRONOPLE!$F$14,$M157,AQ$13))))</f>
        <v>1000000000000</v>
      </c>
      <c r="AR157" s="211">
        <f ca="1">IF($D157&lt;&gt;"Serviço",0,IF(AND(AUTOEVENTO="Manual",$M157=1),0,IF(OFFSET(CRONOPLE!$F$14,$M157,AR$13)="",10^12,OFFSET(CRONOPLE!$F$14,$M157,AR$13))))</f>
        <v>1000000000000</v>
      </c>
      <c r="AS157" s="211">
        <f ca="1">IF($D157&lt;&gt;"Serviço",0,IF(AND(AUTOEVENTO="Manual",$M157=1),0,IF(OFFSET(CRONOPLE!$F$14,$M157,AS$13)="",10^12,OFFSET(CRONOPLE!$F$14,$M157,AS$13))))</f>
        <v>1000000000000</v>
      </c>
      <c r="AT157" s="211">
        <f ca="1">IF($D157&lt;&gt;"Serviço",0,IF(AND(AUTOEVENTO="Manual",$M157=1),0,IF(OFFSET(CRONOPLE!$F$14,$M157,AT$13)="",10^12,OFFSET(CRONOPLE!$F$14,$M157,AT$13))))</f>
        <v>1000000000000</v>
      </c>
      <c r="AU157" s="211">
        <f ca="1">IF($D157&lt;&gt;"Serviço",0,IF(AND(AUTOEVENTO="Manual",$M157=1),0,IF(OFFSET(CRONOPLE!$F$14,$M157,AU$13)="",10^12,OFFSET(CRONOPLE!$F$14,$M157,AU$13))))</f>
        <v>1000000000000</v>
      </c>
      <c r="AV157" s="211">
        <f ca="1">IF($D157&lt;&gt;"Serviço",0,IF(AND(AUTOEVENTO="Manual",$M157=1),0,IF(OFFSET(CRONOPLE!$F$14,$M157,AV$13)="",10^12,OFFSET(CRONOPLE!$F$14,$M157,AV$13))))</f>
        <v>1000000000000</v>
      </c>
      <c r="AX157" s="212">
        <f ca="1">IF($D157&lt;&gt;"Serviço",0,IF(OR(AND(AUTOEVENTO="Manual",$M157=1),$M157&gt;(ROW(PLE.lastrow)-ROW(PLE.firstrow))),0,IF(OFFSET(PLE!$G$14,$M157,AX$13)="",10^12,OFFSET(PLE!$G$14,$M157,AX$13))))</f>
        <v>1000000000000</v>
      </c>
      <c r="AY157" s="212">
        <f ca="1">IF($D157&lt;&gt;"Serviço",0,IF(OR(AND(AUTOEVENTO="Manual",$M157=1),$M157&gt;(ROW(PLE.lastrow)-ROW(PLE.firstrow))),0,IF(OFFSET(PLE!$G$14,$M157,AY$13)="",10^12,OFFSET(PLE!$G$14,$M157,AY$13))))</f>
        <v>1000000000000</v>
      </c>
      <c r="AZ157" s="212">
        <f ca="1">IF($D157&lt;&gt;"Serviço",0,IF(OR(AND(AUTOEVENTO="Manual",$M157=1),$M157&gt;(ROW(PLE.lastrow)-ROW(PLE.firstrow))),0,IF(OFFSET(PLE!$G$14,$M157,AZ$13)="",10^12,OFFSET(PLE!$G$14,$M157,AZ$13))))</f>
        <v>1000000000000</v>
      </c>
      <c r="BA157" s="212">
        <f ca="1">IF($D157&lt;&gt;"Serviço",0,IF(OR(AND(AUTOEVENTO="Manual",$M157=1),$M157&gt;(ROW(PLE.lastrow)-ROW(PLE.firstrow))),0,IF(OFFSET(PLE!$G$14,$M157,BA$13)="",10^12,OFFSET(PLE!$G$14,$M157,BA$13))))</f>
        <v>1000000000000</v>
      </c>
      <c r="BB157" s="212">
        <f ca="1">IF($D157&lt;&gt;"Serviço",0,IF(OR(AND(AUTOEVENTO="Manual",$M157=1),$M157&gt;(ROW(PLE.lastrow)-ROW(PLE.firstrow))),0,IF(OFFSET(PLE!$G$14,$M157,BB$13)="",10^12,OFFSET(PLE!$G$14,$M157,BB$13))))</f>
        <v>1000000000000</v>
      </c>
      <c r="BC157" s="212">
        <f ca="1">IF($D157&lt;&gt;"Serviço",0,IF(OR(AND(AUTOEVENTO="Manual",$M157=1),$M157&gt;(ROW(PLE.lastrow)-ROW(PLE.firstrow))),0,IF(OFFSET(PLE!$G$14,$M157,BC$13)="",10^12,OFFSET(PLE!$G$14,$M157,BC$13))))</f>
        <v>1000000000000</v>
      </c>
      <c r="BD157" s="212">
        <f ca="1">IF($D157&lt;&gt;"Serviço",0,IF(OR(AND(AUTOEVENTO="Manual",$M157=1),$M157&gt;(ROW(PLE.lastrow)-ROW(PLE.firstrow))),0,IF(OFFSET(PLE!$G$14,$M157,BD$13)="",10^12,OFFSET(PLE!$G$14,$M157,BD$13))))</f>
        <v>1000000000000</v>
      </c>
      <c r="BE157" s="212">
        <f ca="1">IF($D157&lt;&gt;"Serviço",0,IF(OR(AND(AUTOEVENTO="Manual",$M157=1),$M157&gt;(ROW(PLE.lastrow)-ROW(PLE.firstrow))),0,IF(OFFSET(PLE!$G$14,$M157,BE$13)="",10^12,OFFSET(PLE!$G$14,$M157,BE$13))))</f>
        <v>1000000000000</v>
      </c>
      <c r="BF157" s="212">
        <f ca="1">IF($D157&lt;&gt;"Serviço",0,IF(OR(AND(AUTOEVENTO="Manual",$M157=1),$M157&gt;(ROW(PLE.lastrow)-ROW(PLE.firstrow))),0,IF(OFFSET(PLE!$G$14,$M157,BF$13)="",10^12,OFFSET(PLE!$G$14,$M157,BF$13))))</f>
        <v>1000000000000</v>
      </c>
      <c r="BG157" s="212">
        <f ca="1">IF($D157&lt;&gt;"Serviço",0,IF(OR(AND(AUTOEVENTO="Manual",$M157=1),$M157&gt;(ROW(PLE.lastrow)-ROW(PLE.firstrow))),0,IF(OFFSET(PLE!$G$14,$M157,BG$13)="",10^12,OFFSET(PLE!$G$14,$M157,BG$13))))</f>
        <v>1000000000000</v>
      </c>
    </row>
    <row r="158" spans="1:59" ht="13.2">
      <c r="A158" s="9" t="str">
        <f t="shared" ca="1" si="11"/>
        <v>15</v>
      </c>
      <c r="B158" s="9" t="str">
        <f ca="1">OFFSET(ORÇAMENTO!C$15,ROW(B158)-ROW(B$15),0)</f>
        <v>S</v>
      </c>
      <c r="C158" s="9" t="str">
        <f ca="1">OFFSET(ORÇAMENTO!L$15,ROW(C158)-ROW(C$15),0)</f>
        <v/>
      </c>
      <c r="D158" s="141" t="str">
        <f ca="1">OFFSET(ORÇAMENTO!N$15,ROW(D158)-ROW(D$15),0)</f>
        <v>Serviço</v>
      </c>
      <c r="E158" s="201" t="str">
        <f ca="1">OFFSET(ORÇAMENTO!O$15,ROW(E158)-ROW(E$15),0)</f>
        <v>-</v>
      </c>
      <c r="F158" s="202" t="str">
        <f ca="1">OFFSET(ORÇAMENTO!R$15,ROW(F158)-ROW(F$15),0)</f>
        <v>(abra o arquivo 'Referência 11-2024.xlsm)</v>
      </c>
      <c r="G158" s="203" t="str">
        <f ca="1">IF($D158&lt;&gt;"Serviço","",OFFSET(ORÇAMENTO!S$15,ROW(G158)-ROW(G$15),0))</f>
        <v>-</v>
      </c>
      <c r="H158" s="147">
        <f ca="1">IF($D158&lt;&gt;"Serviço",0,IF(ACOMPANHAMENTO="BM",ROUND(OFFSET(ORÇAMENTO!AJ$15,ROW(H158)-ROW(H$15),0),15-13*ORÇAMENTO!$AF$7),SUMPRODUCT(($Q$12:$AA$12&lt;&gt;"")*ROUND($Q158:$AA158,15-13*ORÇAMENTO!$AF$7))))</f>
        <v>0</v>
      </c>
      <c r="I158" s="645"/>
      <c r="K158" s="204"/>
      <c r="L158" s="205" t="s">
        <v>255</v>
      </c>
      <c r="M158" s="206">
        <f ca="1">IF($D158&lt;&gt;"Serviço","",IF(AUTOEVENTO="manual",$A158,IF(ISERROR(MATCH($A158,$A$15:OFFSET($A158,-1,0),0)),MAX($M$15:OFFSET(M158,-1,0))+1,INDEX($M$15:OFFSET(M158,-1,0),MATCH($A158,$A$15:OFFSET($A158,-1,0),0)))))</f>
        <v>6</v>
      </c>
      <c r="N158" s="207" t="str">
        <f ca="1">IF($D158&lt;&gt;"Serviço","",IF(AUTOEVENTO="Manual",IF($A158=0,"&lt;-- defina o número do agrupador",OFFSET(EVENTOS!$D$14,$A158,0)),OFFSET($F$15,$A158,0)))</f>
        <v>DRENAGEM</v>
      </c>
      <c r="O158" s="208"/>
      <c r="Q158" s="208"/>
      <c r="R158" s="209"/>
      <c r="S158" s="209"/>
      <c r="T158" s="209"/>
      <c r="U158" s="209"/>
      <c r="V158" s="209"/>
      <c r="W158" s="209"/>
      <c r="X158" s="209"/>
      <c r="Y158" s="209"/>
      <c r="Z158" s="210"/>
      <c r="AB158" s="626">
        <f ca="1">IF(AND($D158="Serviço",AB$12&lt;&gt;0,$H158&gt;0,OR(AUTOEVENTO&lt;&gt;"manual",$M158&lt;&gt;1)),
IF(Import.TipoArredondamento&lt;&gt;"TransfereGOV",
ROUND(OFFSET($P158,0,AB$13),15-13*ORÇAMENTO!$AF$7)/$H158*OFFSET(ORÇAMENTO!$X$15,ROW(AB158)-ROW(AB$15),0),
ROUND(ROUND(OFFSET($P158,0,AB$13),15-13*ORÇAMENTO!$AF$7)*OFFSET(ORÇAMENTO!$W$15,ROW(AB158)-ROW(AB$15),0),15-13*ORÇAMENTO!$AF$11)),0)</f>
        <v>0</v>
      </c>
      <c r="AC158" s="627">
        <f ca="1">IF(AND($D158="Serviço",AC$12&lt;&gt;0,$H158&gt;0,OR(AUTOEVENTO&lt;&gt;"manual",$M158&lt;&gt;1)),
IF(Import.TipoArredondamento&lt;&gt;"TransfereGOV",
ROUND(OFFSET($P158,0,AC$13),15-13*ORÇAMENTO!$AF$7)/$H158*OFFSET(ORÇAMENTO!$X$15,ROW(AC158)-ROW(AC$15),0),
ROUND(ROUND(OFFSET($P158,0,AC$13),15-13*ORÇAMENTO!$AF$7)*OFFSET(ORÇAMENTO!$W$15,ROW(AC158)-ROW(AC$15),0),15-13*ORÇAMENTO!$AF$11)),0)</f>
        <v>0</v>
      </c>
      <c r="AD158" s="627">
        <f ca="1">IF(AND($D158="Serviço",AD$12&lt;&gt;0,$H158&gt;0,OR(AUTOEVENTO&lt;&gt;"manual",$M158&lt;&gt;1)),
IF(Import.TipoArredondamento&lt;&gt;"TransfereGOV",
ROUND(OFFSET($P158,0,AD$13),15-13*ORÇAMENTO!$AF$7)/$H158*OFFSET(ORÇAMENTO!$X$15,ROW(AD158)-ROW(AD$15),0),
ROUND(ROUND(OFFSET($P158,0,AD$13),15-13*ORÇAMENTO!$AF$7)*OFFSET(ORÇAMENTO!$W$15,ROW(AD158)-ROW(AD$15),0),15-13*ORÇAMENTO!$AF$11)),0)</f>
        <v>0</v>
      </c>
      <c r="AE158" s="627">
        <f ca="1">IF(AND($D158="Serviço",AE$12&lt;&gt;0,$H158&gt;0,OR(AUTOEVENTO&lt;&gt;"manual",$M158&lt;&gt;1)),
IF(Import.TipoArredondamento&lt;&gt;"TransfereGOV",
ROUND(OFFSET($P158,0,AE$13),15-13*ORÇAMENTO!$AF$7)/$H158*OFFSET(ORÇAMENTO!$X$15,ROW(AE158)-ROW(AE$15),0),
ROUND(ROUND(OFFSET($P158,0,AE$13),15-13*ORÇAMENTO!$AF$7)*OFFSET(ORÇAMENTO!$W$15,ROW(AE158)-ROW(AE$15),0),15-13*ORÇAMENTO!$AF$11)),0)</f>
        <v>0</v>
      </c>
      <c r="AF158" s="627">
        <f ca="1">IF(AND($D158="Serviço",AF$12&lt;&gt;0,$H158&gt;0,OR(AUTOEVENTO&lt;&gt;"manual",$M158&lt;&gt;1)),
IF(Import.TipoArredondamento&lt;&gt;"TransfereGOV",
ROUND(OFFSET($P158,0,AF$13),15-13*ORÇAMENTO!$AF$7)/$H158*OFFSET(ORÇAMENTO!$X$15,ROW(AF158)-ROW(AF$15),0),
ROUND(ROUND(OFFSET($P158,0,AF$13),15-13*ORÇAMENTO!$AF$7)*OFFSET(ORÇAMENTO!$W$15,ROW(AF158)-ROW(AF$15),0),15-13*ORÇAMENTO!$AF$11)),0)</f>
        <v>0</v>
      </c>
      <c r="AG158" s="627">
        <f ca="1">IF(AND($D158="Serviço",AG$12&lt;&gt;0,$H158&gt;0,OR(AUTOEVENTO&lt;&gt;"manual",$M158&lt;&gt;1)),
IF(Import.TipoArredondamento&lt;&gt;"TransfereGOV",
ROUND(OFFSET($P158,0,AG$13),15-13*ORÇAMENTO!$AF$7)/$H158*OFFSET(ORÇAMENTO!$X$15,ROW(AG158)-ROW(AG$15),0),
ROUND(ROUND(OFFSET($P158,0,AG$13),15-13*ORÇAMENTO!$AF$7)*OFFSET(ORÇAMENTO!$W$15,ROW(AG158)-ROW(AG$15),0),15-13*ORÇAMENTO!$AF$11)),0)</f>
        <v>0</v>
      </c>
      <c r="AH158" s="627">
        <f ca="1">IF(AND($D158="Serviço",AH$12&lt;&gt;0,$H158&gt;0,OR(AUTOEVENTO&lt;&gt;"manual",$M158&lt;&gt;1)),
IF(Import.TipoArredondamento&lt;&gt;"TransfereGOV",
ROUND(OFFSET($P158,0,AH$13),15-13*ORÇAMENTO!$AF$7)/$H158*OFFSET(ORÇAMENTO!$X$15,ROW(AH158)-ROW(AH$15),0),
ROUND(ROUND(OFFSET($P158,0,AH$13),15-13*ORÇAMENTO!$AF$7)*OFFSET(ORÇAMENTO!$W$15,ROW(AH158)-ROW(AH$15),0),15-13*ORÇAMENTO!$AF$11)),0)</f>
        <v>0</v>
      </c>
      <c r="AI158" s="627">
        <f ca="1">IF(AND($D158="Serviço",AI$12&lt;&gt;0,$H158&gt;0,OR(AUTOEVENTO&lt;&gt;"manual",$M158&lt;&gt;1)),
IF(Import.TipoArredondamento&lt;&gt;"TransfereGOV",
ROUND(OFFSET($P158,0,AI$13),15-13*ORÇAMENTO!$AF$7)/$H158*OFFSET(ORÇAMENTO!$X$15,ROW(AI158)-ROW(AI$15),0),
ROUND(ROUND(OFFSET($P158,0,AI$13),15-13*ORÇAMENTO!$AF$7)*OFFSET(ORÇAMENTO!$W$15,ROW(AI158)-ROW(AI$15),0),15-13*ORÇAMENTO!$AF$11)),0)</f>
        <v>0</v>
      </c>
      <c r="AJ158" s="627">
        <f ca="1">IF(AND($D158="Serviço",AJ$12&lt;&gt;0,$H158&gt;0,OR(AUTOEVENTO&lt;&gt;"manual",$M158&lt;&gt;1)),
IF(Import.TipoArredondamento&lt;&gt;"TransfereGOV",
ROUND(OFFSET($P158,0,AJ$13),15-13*ORÇAMENTO!$AF$7)/$H158*OFFSET(ORÇAMENTO!$X$15,ROW(AJ158)-ROW(AJ$15),0),
ROUND(ROUND(OFFSET($P158,0,AJ$13),15-13*ORÇAMENTO!$AF$7)*OFFSET(ORÇAMENTO!$W$15,ROW(AJ158)-ROW(AJ$15),0),15-13*ORÇAMENTO!$AF$11)),0)</f>
        <v>0</v>
      </c>
      <c r="AK158" s="628">
        <f ca="1">IF(AND($D158="Serviço",AK$12&lt;&gt;0,$H158&gt;0,OR(AUTOEVENTO&lt;&gt;"manual",$M158&lt;&gt;1)),
IF(Import.TipoArredondamento&lt;&gt;"TransfereGOV",
ROUND(OFFSET($P158,0,AK$13),15-13*ORÇAMENTO!$AF$7)/$H158*OFFSET(ORÇAMENTO!$X$15,ROW(AK158)-ROW(AK$15),0),
ROUND(ROUND(OFFSET($P158,0,AK$13),15-13*ORÇAMENTO!$AF$7)*OFFSET(ORÇAMENTO!$W$15,ROW(AK158)-ROW(AK$15),0),15-13*ORÇAMENTO!$AF$11)),0)</f>
        <v>0</v>
      </c>
      <c r="AM158" s="211">
        <f ca="1">IF($D158&lt;&gt;"Serviço",0,IF(AND(AUTOEVENTO="Manual",$M158=1),0,IF(OFFSET(CRONOPLE!$F$14,$M158,AM$13)="",10^12,OFFSET(CRONOPLE!$F$14,$M158,AM$13))))</f>
        <v>2</v>
      </c>
      <c r="AN158" s="211">
        <f ca="1">IF($D158&lt;&gt;"Serviço",0,IF(AND(AUTOEVENTO="Manual",$M158=1),0,IF(OFFSET(CRONOPLE!$F$14,$M158,AN$13)="",10^12,OFFSET(CRONOPLE!$F$14,$M158,AN$13))))</f>
        <v>1</v>
      </c>
      <c r="AO158" s="211">
        <f ca="1">IF($D158&lt;&gt;"Serviço",0,IF(AND(AUTOEVENTO="Manual",$M158=1),0,IF(OFFSET(CRONOPLE!$F$14,$M158,AO$13)="",10^12,OFFSET(CRONOPLE!$F$14,$M158,AO$13))))</f>
        <v>2</v>
      </c>
      <c r="AP158" s="211">
        <f ca="1">IF($D158&lt;&gt;"Serviço",0,IF(AND(AUTOEVENTO="Manual",$M158=1),0,IF(OFFSET(CRONOPLE!$F$14,$M158,AP$13)="",10^12,OFFSET(CRONOPLE!$F$14,$M158,AP$13))))</f>
        <v>2</v>
      </c>
      <c r="AQ158" s="211">
        <f ca="1">IF($D158&lt;&gt;"Serviço",0,IF(AND(AUTOEVENTO="Manual",$M158=1),0,IF(OFFSET(CRONOPLE!$F$14,$M158,AQ$13)="",10^12,OFFSET(CRONOPLE!$F$14,$M158,AQ$13))))</f>
        <v>1000000000000</v>
      </c>
      <c r="AR158" s="211">
        <f ca="1">IF($D158&lt;&gt;"Serviço",0,IF(AND(AUTOEVENTO="Manual",$M158=1),0,IF(OFFSET(CRONOPLE!$F$14,$M158,AR$13)="",10^12,OFFSET(CRONOPLE!$F$14,$M158,AR$13))))</f>
        <v>1000000000000</v>
      </c>
      <c r="AS158" s="211">
        <f ca="1">IF($D158&lt;&gt;"Serviço",0,IF(AND(AUTOEVENTO="Manual",$M158=1),0,IF(OFFSET(CRONOPLE!$F$14,$M158,AS$13)="",10^12,OFFSET(CRONOPLE!$F$14,$M158,AS$13))))</f>
        <v>1000000000000</v>
      </c>
      <c r="AT158" s="211">
        <f ca="1">IF($D158&lt;&gt;"Serviço",0,IF(AND(AUTOEVENTO="Manual",$M158=1),0,IF(OFFSET(CRONOPLE!$F$14,$M158,AT$13)="",10^12,OFFSET(CRONOPLE!$F$14,$M158,AT$13))))</f>
        <v>1000000000000</v>
      </c>
      <c r="AU158" s="211">
        <f ca="1">IF($D158&lt;&gt;"Serviço",0,IF(AND(AUTOEVENTO="Manual",$M158=1),0,IF(OFFSET(CRONOPLE!$F$14,$M158,AU$13)="",10^12,OFFSET(CRONOPLE!$F$14,$M158,AU$13))))</f>
        <v>1000000000000</v>
      </c>
      <c r="AV158" s="211">
        <f ca="1">IF($D158&lt;&gt;"Serviço",0,IF(AND(AUTOEVENTO="Manual",$M158=1),0,IF(OFFSET(CRONOPLE!$F$14,$M158,AV$13)="",10^12,OFFSET(CRONOPLE!$F$14,$M158,AV$13))))</f>
        <v>1000000000000</v>
      </c>
      <c r="AX158" s="212">
        <f ca="1">IF($D158&lt;&gt;"Serviço",0,IF(OR(AND(AUTOEVENTO="Manual",$M158=1),$M158&gt;(ROW(PLE.lastrow)-ROW(PLE.firstrow))),0,IF(OFFSET(PLE!$G$14,$M158,AX$13)="",10^12,OFFSET(PLE!$G$14,$M158,AX$13))))</f>
        <v>1000000000000</v>
      </c>
      <c r="AY158" s="212">
        <f ca="1">IF($D158&lt;&gt;"Serviço",0,IF(OR(AND(AUTOEVENTO="Manual",$M158=1),$M158&gt;(ROW(PLE.lastrow)-ROW(PLE.firstrow))),0,IF(OFFSET(PLE!$G$14,$M158,AY$13)="",10^12,OFFSET(PLE!$G$14,$M158,AY$13))))</f>
        <v>1000000000000</v>
      </c>
      <c r="AZ158" s="212">
        <f ca="1">IF($D158&lt;&gt;"Serviço",0,IF(OR(AND(AUTOEVENTO="Manual",$M158=1),$M158&gt;(ROW(PLE.lastrow)-ROW(PLE.firstrow))),0,IF(OFFSET(PLE!$G$14,$M158,AZ$13)="",10^12,OFFSET(PLE!$G$14,$M158,AZ$13))))</f>
        <v>1000000000000</v>
      </c>
      <c r="BA158" s="212">
        <f ca="1">IF($D158&lt;&gt;"Serviço",0,IF(OR(AND(AUTOEVENTO="Manual",$M158=1),$M158&gt;(ROW(PLE.lastrow)-ROW(PLE.firstrow))),0,IF(OFFSET(PLE!$G$14,$M158,BA$13)="",10^12,OFFSET(PLE!$G$14,$M158,BA$13))))</f>
        <v>1000000000000</v>
      </c>
      <c r="BB158" s="212">
        <f ca="1">IF($D158&lt;&gt;"Serviço",0,IF(OR(AND(AUTOEVENTO="Manual",$M158=1),$M158&gt;(ROW(PLE.lastrow)-ROW(PLE.firstrow))),0,IF(OFFSET(PLE!$G$14,$M158,BB$13)="",10^12,OFFSET(PLE!$G$14,$M158,BB$13))))</f>
        <v>1000000000000</v>
      </c>
      <c r="BC158" s="212">
        <f ca="1">IF($D158&lt;&gt;"Serviço",0,IF(OR(AND(AUTOEVENTO="Manual",$M158=1),$M158&gt;(ROW(PLE.lastrow)-ROW(PLE.firstrow))),0,IF(OFFSET(PLE!$G$14,$M158,BC$13)="",10^12,OFFSET(PLE!$G$14,$M158,BC$13))))</f>
        <v>1000000000000</v>
      </c>
      <c r="BD158" s="212">
        <f ca="1">IF($D158&lt;&gt;"Serviço",0,IF(OR(AND(AUTOEVENTO="Manual",$M158=1),$M158&gt;(ROW(PLE.lastrow)-ROW(PLE.firstrow))),0,IF(OFFSET(PLE!$G$14,$M158,BD$13)="",10^12,OFFSET(PLE!$G$14,$M158,BD$13))))</f>
        <v>1000000000000</v>
      </c>
      <c r="BE158" s="212">
        <f ca="1">IF($D158&lt;&gt;"Serviço",0,IF(OR(AND(AUTOEVENTO="Manual",$M158=1),$M158&gt;(ROW(PLE.lastrow)-ROW(PLE.firstrow))),0,IF(OFFSET(PLE!$G$14,$M158,BE$13)="",10^12,OFFSET(PLE!$G$14,$M158,BE$13))))</f>
        <v>1000000000000</v>
      </c>
      <c r="BF158" s="212">
        <f ca="1">IF($D158&lt;&gt;"Serviço",0,IF(OR(AND(AUTOEVENTO="Manual",$M158=1),$M158&gt;(ROW(PLE.lastrow)-ROW(PLE.firstrow))),0,IF(OFFSET(PLE!$G$14,$M158,BF$13)="",10^12,OFFSET(PLE!$G$14,$M158,BF$13))))</f>
        <v>1000000000000</v>
      </c>
      <c r="BG158" s="212">
        <f ca="1">IF($D158&lt;&gt;"Serviço",0,IF(OR(AND(AUTOEVENTO="Manual",$M158=1),$M158&gt;(ROW(PLE.lastrow)-ROW(PLE.firstrow))),0,IF(OFFSET(PLE!$G$14,$M158,BG$13)="",10^12,OFFSET(PLE!$G$14,$M158,BG$13))))</f>
        <v>1000000000000</v>
      </c>
    </row>
    <row r="159" spans="1:59" ht="13.2">
      <c r="A159" s="9" t="str">
        <f t="shared" ca="1" si="11"/>
        <v>15</v>
      </c>
      <c r="B159" s="9" t="str">
        <f ca="1">OFFSET(ORÇAMENTO!C$15,ROW(B159)-ROW(B$15),0)</f>
        <v>S</v>
      </c>
      <c r="C159" s="9" t="str">
        <f ca="1">OFFSET(ORÇAMENTO!L$15,ROW(C159)-ROW(C$15),0)</f>
        <v/>
      </c>
      <c r="D159" s="141" t="str">
        <f ca="1">OFFSET(ORÇAMENTO!N$15,ROW(D159)-ROW(D$15),0)</f>
        <v>Serviço</v>
      </c>
      <c r="E159" s="201" t="str">
        <f ca="1">OFFSET(ORÇAMENTO!O$15,ROW(E159)-ROW(E$15),0)</f>
        <v>-</v>
      </c>
      <c r="F159" s="202" t="str">
        <f ca="1">OFFSET(ORÇAMENTO!R$15,ROW(F159)-ROW(F$15),0)</f>
        <v>(abra o arquivo 'Referência 11-2024.xlsm)</v>
      </c>
      <c r="G159" s="203" t="str">
        <f ca="1">IF($D159&lt;&gt;"Serviço","",OFFSET(ORÇAMENTO!S$15,ROW(G159)-ROW(G$15),0))</f>
        <v>-</v>
      </c>
      <c r="H159" s="147">
        <f ca="1">IF($D159&lt;&gt;"Serviço",0,IF(ACOMPANHAMENTO="BM",ROUND(OFFSET(ORÇAMENTO!AJ$15,ROW(H159)-ROW(H$15),0),15-13*ORÇAMENTO!$AF$7),SUMPRODUCT(($Q$12:$AA$12&lt;&gt;"")*ROUND($Q159:$AA159,15-13*ORÇAMENTO!$AF$7))))</f>
        <v>0</v>
      </c>
      <c r="I159" s="645"/>
      <c r="K159" s="204"/>
      <c r="L159" s="205" t="s">
        <v>255</v>
      </c>
      <c r="M159" s="206">
        <f ca="1">IF($D159&lt;&gt;"Serviço","",IF(AUTOEVENTO="manual",$A159,IF(ISERROR(MATCH($A159,$A$15:OFFSET($A159,-1,0),0)),MAX($M$15:OFFSET(M159,-1,0))+1,INDEX($M$15:OFFSET(M159,-1,0),MATCH($A159,$A$15:OFFSET($A159,-1,0),0)))))</f>
        <v>6</v>
      </c>
      <c r="N159" s="207" t="str">
        <f ca="1">IF($D159&lt;&gt;"Serviço","",IF(AUTOEVENTO="Manual",IF($A159=0,"&lt;-- defina o número do agrupador",OFFSET(EVENTOS!$D$14,$A159,0)),OFFSET($F$15,$A159,0)))</f>
        <v>DRENAGEM</v>
      </c>
      <c r="O159" s="208"/>
      <c r="Q159" s="208"/>
      <c r="R159" s="209"/>
      <c r="S159" s="209"/>
      <c r="T159" s="209"/>
      <c r="U159" s="209"/>
      <c r="V159" s="209"/>
      <c r="W159" s="209"/>
      <c r="X159" s="209"/>
      <c r="Y159" s="209"/>
      <c r="Z159" s="210"/>
      <c r="AB159" s="626">
        <f ca="1">IF(AND($D159="Serviço",AB$12&lt;&gt;0,$H159&gt;0,OR(AUTOEVENTO&lt;&gt;"manual",$M159&lt;&gt;1)),
IF(Import.TipoArredondamento&lt;&gt;"TransfereGOV",
ROUND(OFFSET($P159,0,AB$13),15-13*ORÇAMENTO!$AF$7)/$H159*OFFSET(ORÇAMENTO!$X$15,ROW(AB159)-ROW(AB$15),0),
ROUND(ROUND(OFFSET($P159,0,AB$13),15-13*ORÇAMENTO!$AF$7)*OFFSET(ORÇAMENTO!$W$15,ROW(AB159)-ROW(AB$15),0),15-13*ORÇAMENTO!$AF$11)),0)</f>
        <v>0</v>
      </c>
      <c r="AC159" s="627">
        <f ca="1">IF(AND($D159="Serviço",AC$12&lt;&gt;0,$H159&gt;0,OR(AUTOEVENTO&lt;&gt;"manual",$M159&lt;&gt;1)),
IF(Import.TipoArredondamento&lt;&gt;"TransfereGOV",
ROUND(OFFSET($P159,0,AC$13),15-13*ORÇAMENTO!$AF$7)/$H159*OFFSET(ORÇAMENTO!$X$15,ROW(AC159)-ROW(AC$15),0),
ROUND(ROUND(OFFSET($P159,0,AC$13),15-13*ORÇAMENTO!$AF$7)*OFFSET(ORÇAMENTO!$W$15,ROW(AC159)-ROW(AC$15),0),15-13*ORÇAMENTO!$AF$11)),0)</f>
        <v>0</v>
      </c>
      <c r="AD159" s="627">
        <f ca="1">IF(AND($D159="Serviço",AD$12&lt;&gt;0,$H159&gt;0,OR(AUTOEVENTO&lt;&gt;"manual",$M159&lt;&gt;1)),
IF(Import.TipoArredondamento&lt;&gt;"TransfereGOV",
ROUND(OFFSET($P159,0,AD$13),15-13*ORÇAMENTO!$AF$7)/$H159*OFFSET(ORÇAMENTO!$X$15,ROW(AD159)-ROW(AD$15),0),
ROUND(ROUND(OFFSET($P159,0,AD$13),15-13*ORÇAMENTO!$AF$7)*OFFSET(ORÇAMENTO!$W$15,ROW(AD159)-ROW(AD$15),0),15-13*ORÇAMENTO!$AF$11)),0)</f>
        <v>0</v>
      </c>
      <c r="AE159" s="627">
        <f ca="1">IF(AND($D159="Serviço",AE$12&lt;&gt;0,$H159&gt;0,OR(AUTOEVENTO&lt;&gt;"manual",$M159&lt;&gt;1)),
IF(Import.TipoArredondamento&lt;&gt;"TransfereGOV",
ROUND(OFFSET($P159,0,AE$13),15-13*ORÇAMENTO!$AF$7)/$H159*OFFSET(ORÇAMENTO!$X$15,ROW(AE159)-ROW(AE$15),0),
ROUND(ROUND(OFFSET($P159,0,AE$13),15-13*ORÇAMENTO!$AF$7)*OFFSET(ORÇAMENTO!$W$15,ROW(AE159)-ROW(AE$15),0),15-13*ORÇAMENTO!$AF$11)),0)</f>
        <v>0</v>
      </c>
      <c r="AF159" s="627">
        <f ca="1">IF(AND($D159="Serviço",AF$12&lt;&gt;0,$H159&gt;0,OR(AUTOEVENTO&lt;&gt;"manual",$M159&lt;&gt;1)),
IF(Import.TipoArredondamento&lt;&gt;"TransfereGOV",
ROUND(OFFSET($P159,0,AF$13),15-13*ORÇAMENTO!$AF$7)/$H159*OFFSET(ORÇAMENTO!$X$15,ROW(AF159)-ROW(AF$15),0),
ROUND(ROUND(OFFSET($P159,0,AF$13),15-13*ORÇAMENTO!$AF$7)*OFFSET(ORÇAMENTO!$W$15,ROW(AF159)-ROW(AF$15),0),15-13*ORÇAMENTO!$AF$11)),0)</f>
        <v>0</v>
      </c>
      <c r="AG159" s="627">
        <f ca="1">IF(AND($D159="Serviço",AG$12&lt;&gt;0,$H159&gt;0,OR(AUTOEVENTO&lt;&gt;"manual",$M159&lt;&gt;1)),
IF(Import.TipoArredondamento&lt;&gt;"TransfereGOV",
ROUND(OFFSET($P159,0,AG$13),15-13*ORÇAMENTO!$AF$7)/$H159*OFFSET(ORÇAMENTO!$X$15,ROW(AG159)-ROW(AG$15),0),
ROUND(ROUND(OFFSET($P159,0,AG$13),15-13*ORÇAMENTO!$AF$7)*OFFSET(ORÇAMENTO!$W$15,ROW(AG159)-ROW(AG$15),0),15-13*ORÇAMENTO!$AF$11)),0)</f>
        <v>0</v>
      </c>
      <c r="AH159" s="627">
        <f ca="1">IF(AND($D159="Serviço",AH$12&lt;&gt;0,$H159&gt;0,OR(AUTOEVENTO&lt;&gt;"manual",$M159&lt;&gt;1)),
IF(Import.TipoArredondamento&lt;&gt;"TransfereGOV",
ROUND(OFFSET($P159,0,AH$13),15-13*ORÇAMENTO!$AF$7)/$H159*OFFSET(ORÇAMENTO!$X$15,ROW(AH159)-ROW(AH$15),0),
ROUND(ROUND(OFFSET($P159,0,AH$13),15-13*ORÇAMENTO!$AF$7)*OFFSET(ORÇAMENTO!$W$15,ROW(AH159)-ROW(AH$15),0),15-13*ORÇAMENTO!$AF$11)),0)</f>
        <v>0</v>
      </c>
      <c r="AI159" s="627">
        <f ca="1">IF(AND($D159="Serviço",AI$12&lt;&gt;0,$H159&gt;0,OR(AUTOEVENTO&lt;&gt;"manual",$M159&lt;&gt;1)),
IF(Import.TipoArredondamento&lt;&gt;"TransfereGOV",
ROUND(OFFSET($P159,0,AI$13),15-13*ORÇAMENTO!$AF$7)/$H159*OFFSET(ORÇAMENTO!$X$15,ROW(AI159)-ROW(AI$15),0),
ROUND(ROUND(OFFSET($P159,0,AI$13),15-13*ORÇAMENTO!$AF$7)*OFFSET(ORÇAMENTO!$W$15,ROW(AI159)-ROW(AI$15),0),15-13*ORÇAMENTO!$AF$11)),0)</f>
        <v>0</v>
      </c>
      <c r="AJ159" s="627">
        <f ca="1">IF(AND($D159="Serviço",AJ$12&lt;&gt;0,$H159&gt;0,OR(AUTOEVENTO&lt;&gt;"manual",$M159&lt;&gt;1)),
IF(Import.TipoArredondamento&lt;&gt;"TransfereGOV",
ROUND(OFFSET($P159,0,AJ$13),15-13*ORÇAMENTO!$AF$7)/$H159*OFFSET(ORÇAMENTO!$X$15,ROW(AJ159)-ROW(AJ$15),0),
ROUND(ROUND(OFFSET($P159,0,AJ$13),15-13*ORÇAMENTO!$AF$7)*OFFSET(ORÇAMENTO!$W$15,ROW(AJ159)-ROW(AJ$15),0),15-13*ORÇAMENTO!$AF$11)),0)</f>
        <v>0</v>
      </c>
      <c r="AK159" s="628">
        <f ca="1">IF(AND($D159="Serviço",AK$12&lt;&gt;0,$H159&gt;0,OR(AUTOEVENTO&lt;&gt;"manual",$M159&lt;&gt;1)),
IF(Import.TipoArredondamento&lt;&gt;"TransfereGOV",
ROUND(OFFSET($P159,0,AK$13),15-13*ORÇAMENTO!$AF$7)/$H159*OFFSET(ORÇAMENTO!$X$15,ROW(AK159)-ROW(AK$15),0),
ROUND(ROUND(OFFSET($P159,0,AK$13),15-13*ORÇAMENTO!$AF$7)*OFFSET(ORÇAMENTO!$W$15,ROW(AK159)-ROW(AK$15),0),15-13*ORÇAMENTO!$AF$11)),0)</f>
        <v>0</v>
      </c>
      <c r="AM159" s="211">
        <f ca="1">IF($D159&lt;&gt;"Serviço",0,IF(AND(AUTOEVENTO="Manual",$M159=1),0,IF(OFFSET(CRONOPLE!$F$14,$M159,AM$13)="",10^12,OFFSET(CRONOPLE!$F$14,$M159,AM$13))))</f>
        <v>2</v>
      </c>
      <c r="AN159" s="211">
        <f ca="1">IF($D159&lt;&gt;"Serviço",0,IF(AND(AUTOEVENTO="Manual",$M159=1),0,IF(OFFSET(CRONOPLE!$F$14,$M159,AN$13)="",10^12,OFFSET(CRONOPLE!$F$14,$M159,AN$13))))</f>
        <v>1</v>
      </c>
      <c r="AO159" s="211">
        <f ca="1">IF($D159&lt;&gt;"Serviço",0,IF(AND(AUTOEVENTO="Manual",$M159=1),0,IF(OFFSET(CRONOPLE!$F$14,$M159,AO$13)="",10^12,OFFSET(CRONOPLE!$F$14,$M159,AO$13))))</f>
        <v>2</v>
      </c>
      <c r="AP159" s="211">
        <f ca="1">IF($D159&lt;&gt;"Serviço",0,IF(AND(AUTOEVENTO="Manual",$M159=1),0,IF(OFFSET(CRONOPLE!$F$14,$M159,AP$13)="",10^12,OFFSET(CRONOPLE!$F$14,$M159,AP$13))))</f>
        <v>2</v>
      </c>
      <c r="AQ159" s="211">
        <f ca="1">IF($D159&lt;&gt;"Serviço",0,IF(AND(AUTOEVENTO="Manual",$M159=1),0,IF(OFFSET(CRONOPLE!$F$14,$M159,AQ$13)="",10^12,OFFSET(CRONOPLE!$F$14,$M159,AQ$13))))</f>
        <v>1000000000000</v>
      </c>
      <c r="AR159" s="211">
        <f ca="1">IF($D159&lt;&gt;"Serviço",0,IF(AND(AUTOEVENTO="Manual",$M159=1),0,IF(OFFSET(CRONOPLE!$F$14,$M159,AR$13)="",10^12,OFFSET(CRONOPLE!$F$14,$M159,AR$13))))</f>
        <v>1000000000000</v>
      </c>
      <c r="AS159" s="211">
        <f ca="1">IF($D159&lt;&gt;"Serviço",0,IF(AND(AUTOEVENTO="Manual",$M159=1),0,IF(OFFSET(CRONOPLE!$F$14,$M159,AS$13)="",10^12,OFFSET(CRONOPLE!$F$14,$M159,AS$13))))</f>
        <v>1000000000000</v>
      </c>
      <c r="AT159" s="211">
        <f ca="1">IF($D159&lt;&gt;"Serviço",0,IF(AND(AUTOEVENTO="Manual",$M159=1),0,IF(OFFSET(CRONOPLE!$F$14,$M159,AT$13)="",10^12,OFFSET(CRONOPLE!$F$14,$M159,AT$13))))</f>
        <v>1000000000000</v>
      </c>
      <c r="AU159" s="211">
        <f ca="1">IF($D159&lt;&gt;"Serviço",0,IF(AND(AUTOEVENTO="Manual",$M159=1),0,IF(OFFSET(CRONOPLE!$F$14,$M159,AU$13)="",10^12,OFFSET(CRONOPLE!$F$14,$M159,AU$13))))</f>
        <v>1000000000000</v>
      </c>
      <c r="AV159" s="211">
        <f ca="1">IF($D159&lt;&gt;"Serviço",0,IF(AND(AUTOEVENTO="Manual",$M159=1),0,IF(OFFSET(CRONOPLE!$F$14,$M159,AV$13)="",10^12,OFFSET(CRONOPLE!$F$14,$M159,AV$13))))</f>
        <v>1000000000000</v>
      </c>
      <c r="AX159" s="212">
        <f ca="1">IF($D159&lt;&gt;"Serviço",0,IF(OR(AND(AUTOEVENTO="Manual",$M159=1),$M159&gt;(ROW(PLE.lastrow)-ROW(PLE.firstrow))),0,IF(OFFSET(PLE!$G$14,$M159,AX$13)="",10^12,OFFSET(PLE!$G$14,$M159,AX$13))))</f>
        <v>1000000000000</v>
      </c>
      <c r="AY159" s="212">
        <f ca="1">IF($D159&lt;&gt;"Serviço",0,IF(OR(AND(AUTOEVENTO="Manual",$M159=1),$M159&gt;(ROW(PLE.lastrow)-ROW(PLE.firstrow))),0,IF(OFFSET(PLE!$G$14,$M159,AY$13)="",10^12,OFFSET(PLE!$G$14,$M159,AY$13))))</f>
        <v>1000000000000</v>
      </c>
      <c r="AZ159" s="212">
        <f ca="1">IF($D159&lt;&gt;"Serviço",0,IF(OR(AND(AUTOEVENTO="Manual",$M159=1),$M159&gt;(ROW(PLE.lastrow)-ROW(PLE.firstrow))),0,IF(OFFSET(PLE!$G$14,$M159,AZ$13)="",10^12,OFFSET(PLE!$G$14,$M159,AZ$13))))</f>
        <v>1000000000000</v>
      </c>
      <c r="BA159" s="212">
        <f ca="1">IF($D159&lt;&gt;"Serviço",0,IF(OR(AND(AUTOEVENTO="Manual",$M159=1),$M159&gt;(ROW(PLE.lastrow)-ROW(PLE.firstrow))),0,IF(OFFSET(PLE!$G$14,$M159,BA$13)="",10^12,OFFSET(PLE!$G$14,$M159,BA$13))))</f>
        <v>1000000000000</v>
      </c>
      <c r="BB159" s="212">
        <f ca="1">IF($D159&lt;&gt;"Serviço",0,IF(OR(AND(AUTOEVENTO="Manual",$M159=1),$M159&gt;(ROW(PLE.lastrow)-ROW(PLE.firstrow))),0,IF(OFFSET(PLE!$G$14,$M159,BB$13)="",10^12,OFFSET(PLE!$G$14,$M159,BB$13))))</f>
        <v>1000000000000</v>
      </c>
      <c r="BC159" s="212">
        <f ca="1">IF($D159&lt;&gt;"Serviço",0,IF(OR(AND(AUTOEVENTO="Manual",$M159=1),$M159&gt;(ROW(PLE.lastrow)-ROW(PLE.firstrow))),0,IF(OFFSET(PLE!$G$14,$M159,BC$13)="",10^12,OFFSET(PLE!$G$14,$M159,BC$13))))</f>
        <v>1000000000000</v>
      </c>
      <c r="BD159" s="212">
        <f ca="1">IF($D159&lt;&gt;"Serviço",0,IF(OR(AND(AUTOEVENTO="Manual",$M159=1),$M159&gt;(ROW(PLE.lastrow)-ROW(PLE.firstrow))),0,IF(OFFSET(PLE!$G$14,$M159,BD$13)="",10^12,OFFSET(PLE!$G$14,$M159,BD$13))))</f>
        <v>1000000000000</v>
      </c>
      <c r="BE159" s="212">
        <f ca="1">IF($D159&lt;&gt;"Serviço",0,IF(OR(AND(AUTOEVENTO="Manual",$M159=1),$M159&gt;(ROW(PLE.lastrow)-ROW(PLE.firstrow))),0,IF(OFFSET(PLE!$G$14,$M159,BE$13)="",10^12,OFFSET(PLE!$G$14,$M159,BE$13))))</f>
        <v>1000000000000</v>
      </c>
      <c r="BF159" s="212">
        <f ca="1">IF($D159&lt;&gt;"Serviço",0,IF(OR(AND(AUTOEVENTO="Manual",$M159=1),$M159&gt;(ROW(PLE.lastrow)-ROW(PLE.firstrow))),0,IF(OFFSET(PLE!$G$14,$M159,BF$13)="",10^12,OFFSET(PLE!$G$14,$M159,BF$13))))</f>
        <v>1000000000000</v>
      </c>
      <c r="BG159" s="212">
        <f ca="1">IF($D159&lt;&gt;"Serviço",0,IF(OR(AND(AUTOEVENTO="Manual",$M159=1),$M159&gt;(ROW(PLE.lastrow)-ROW(PLE.firstrow))),0,IF(OFFSET(PLE!$G$14,$M159,BG$13)="",10^12,OFFSET(PLE!$G$14,$M159,BG$13))))</f>
        <v>1000000000000</v>
      </c>
    </row>
    <row r="160" spans="1:59" ht="13.2">
      <c r="A160" s="9" t="str">
        <f t="shared" ca="1" si="11"/>
        <v>15</v>
      </c>
      <c r="B160" s="9" t="str">
        <f ca="1">OFFSET(ORÇAMENTO!C$15,ROW(B160)-ROW(B$15),0)</f>
        <v>S</v>
      </c>
      <c r="C160" s="9" t="str">
        <f ca="1">OFFSET(ORÇAMENTO!L$15,ROW(C160)-ROW(C$15),0)</f>
        <v/>
      </c>
      <c r="D160" s="141" t="str">
        <f ca="1">OFFSET(ORÇAMENTO!N$15,ROW(D160)-ROW(D$15),0)</f>
        <v>Serviço</v>
      </c>
      <c r="E160" s="201" t="str">
        <f ca="1">OFFSET(ORÇAMENTO!O$15,ROW(E160)-ROW(E$15),0)</f>
        <v>-</v>
      </c>
      <c r="F160" s="202" t="str">
        <f ca="1">OFFSET(ORÇAMENTO!R$15,ROW(F160)-ROW(F$15),0)</f>
        <v>(abra o arquivo 'Referência 11-2024.xlsm)</v>
      </c>
      <c r="G160" s="203" t="str">
        <f ca="1">IF($D160&lt;&gt;"Serviço","",OFFSET(ORÇAMENTO!S$15,ROW(G160)-ROW(G$15),0))</f>
        <v>-</v>
      </c>
      <c r="H160" s="147">
        <f ca="1">IF($D160&lt;&gt;"Serviço",0,IF(ACOMPANHAMENTO="BM",ROUND(OFFSET(ORÇAMENTO!AJ$15,ROW(H160)-ROW(H$15),0),15-13*ORÇAMENTO!$AF$7),SUMPRODUCT(($Q$12:$AA$12&lt;&gt;"")*ROUND($Q160:$AA160,15-13*ORÇAMENTO!$AF$7))))</f>
        <v>0</v>
      </c>
      <c r="I160" s="645"/>
      <c r="K160" s="204"/>
      <c r="L160" s="205" t="s">
        <v>255</v>
      </c>
      <c r="M160" s="206">
        <f ca="1">IF($D160&lt;&gt;"Serviço","",IF(AUTOEVENTO="manual",$A160,IF(ISERROR(MATCH($A160,$A$15:OFFSET($A160,-1,0),0)),MAX($M$15:OFFSET(M160,-1,0))+1,INDEX($M$15:OFFSET(M160,-1,0),MATCH($A160,$A$15:OFFSET($A160,-1,0),0)))))</f>
        <v>6</v>
      </c>
      <c r="N160" s="207" t="str">
        <f ca="1">IF($D160&lt;&gt;"Serviço","",IF(AUTOEVENTO="Manual",IF($A160=0,"&lt;-- defina o número do agrupador",OFFSET(EVENTOS!$D$14,$A160,0)),OFFSET($F$15,$A160,0)))</f>
        <v>DRENAGEM</v>
      </c>
      <c r="O160" s="208"/>
      <c r="Q160" s="208"/>
      <c r="R160" s="209"/>
      <c r="S160" s="209"/>
      <c r="T160" s="209"/>
      <c r="U160" s="209"/>
      <c r="V160" s="209"/>
      <c r="W160" s="209"/>
      <c r="X160" s="209"/>
      <c r="Y160" s="209"/>
      <c r="Z160" s="210"/>
      <c r="AB160" s="626">
        <f ca="1">IF(AND($D160="Serviço",AB$12&lt;&gt;0,$H160&gt;0,OR(AUTOEVENTO&lt;&gt;"manual",$M160&lt;&gt;1)),
IF(Import.TipoArredondamento&lt;&gt;"TransfereGOV",
ROUND(OFFSET($P160,0,AB$13),15-13*ORÇAMENTO!$AF$7)/$H160*OFFSET(ORÇAMENTO!$X$15,ROW(AB160)-ROW(AB$15),0),
ROUND(ROUND(OFFSET($P160,0,AB$13),15-13*ORÇAMENTO!$AF$7)*OFFSET(ORÇAMENTO!$W$15,ROW(AB160)-ROW(AB$15),0),15-13*ORÇAMENTO!$AF$11)),0)</f>
        <v>0</v>
      </c>
      <c r="AC160" s="627">
        <f ca="1">IF(AND($D160="Serviço",AC$12&lt;&gt;0,$H160&gt;0,OR(AUTOEVENTO&lt;&gt;"manual",$M160&lt;&gt;1)),
IF(Import.TipoArredondamento&lt;&gt;"TransfereGOV",
ROUND(OFFSET($P160,0,AC$13),15-13*ORÇAMENTO!$AF$7)/$H160*OFFSET(ORÇAMENTO!$X$15,ROW(AC160)-ROW(AC$15),0),
ROUND(ROUND(OFFSET($P160,0,AC$13),15-13*ORÇAMENTO!$AF$7)*OFFSET(ORÇAMENTO!$W$15,ROW(AC160)-ROW(AC$15),0),15-13*ORÇAMENTO!$AF$11)),0)</f>
        <v>0</v>
      </c>
      <c r="AD160" s="627">
        <f ca="1">IF(AND($D160="Serviço",AD$12&lt;&gt;0,$H160&gt;0,OR(AUTOEVENTO&lt;&gt;"manual",$M160&lt;&gt;1)),
IF(Import.TipoArredondamento&lt;&gt;"TransfereGOV",
ROUND(OFFSET($P160,0,AD$13),15-13*ORÇAMENTO!$AF$7)/$H160*OFFSET(ORÇAMENTO!$X$15,ROW(AD160)-ROW(AD$15),0),
ROUND(ROUND(OFFSET($P160,0,AD$13),15-13*ORÇAMENTO!$AF$7)*OFFSET(ORÇAMENTO!$W$15,ROW(AD160)-ROW(AD$15),0),15-13*ORÇAMENTO!$AF$11)),0)</f>
        <v>0</v>
      </c>
      <c r="AE160" s="627">
        <f ca="1">IF(AND($D160="Serviço",AE$12&lt;&gt;0,$H160&gt;0,OR(AUTOEVENTO&lt;&gt;"manual",$M160&lt;&gt;1)),
IF(Import.TipoArredondamento&lt;&gt;"TransfereGOV",
ROUND(OFFSET($P160,0,AE$13),15-13*ORÇAMENTO!$AF$7)/$H160*OFFSET(ORÇAMENTO!$X$15,ROW(AE160)-ROW(AE$15),0),
ROUND(ROUND(OFFSET($P160,0,AE$13),15-13*ORÇAMENTO!$AF$7)*OFFSET(ORÇAMENTO!$W$15,ROW(AE160)-ROW(AE$15),0),15-13*ORÇAMENTO!$AF$11)),0)</f>
        <v>0</v>
      </c>
      <c r="AF160" s="627">
        <f ca="1">IF(AND($D160="Serviço",AF$12&lt;&gt;0,$H160&gt;0,OR(AUTOEVENTO&lt;&gt;"manual",$M160&lt;&gt;1)),
IF(Import.TipoArredondamento&lt;&gt;"TransfereGOV",
ROUND(OFFSET($P160,0,AF$13),15-13*ORÇAMENTO!$AF$7)/$H160*OFFSET(ORÇAMENTO!$X$15,ROW(AF160)-ROW(AF$15),0),
ROUND(ROUND(OFFSET($P160,0,AF$13),15-13*ORÇAMENTO!$AF$7)*OFFSET(ORÇAMENTO!$W$15,ROW(AF160)-ROW(AF$15),0),15-13*ORÇAMENTO!$AF$11)),0)</f>
        <v>0</v>
      </c>
      <c r="AG160" s="627">
        <f ca="1">IF(AND($D160="Serviço",AG$12&lt;&gt;0,$H160&gt;0,OR(AUTOEVENTO&lt;&gt;"manual",$M160&lt;&gt;1)),
IF(Import.TipoArredondamento&lt;&gt;"TransfereGOV",
ROUND(OFFSET($P160,0,AG$13),15-13*ORÇAMENTO!$AF$7)/$H160*OFFSET(ORÇAMENTO!$X$15,ROW(AG160)-ROW(AG$15),0),
ROUND(ROUND(OFFSET($P160,0,AG$13),15-13*ORÇAMENTO!$AF$7)*OFFSET(ORÇAMENTO!$W$15,ROW(AG160)-ROW(AG$15),0),15-13*ORÇAMENTO!$AF$11)),0)</f>
        <v>0</v>
      </c>
      <c r="AH160" s="627">
        <f ca="1">IF(AND($D160="Serviço",AH$12&lt;&gt;0,$H160&gt;0,OR(AUTOEVENTO&lt;&gt;"manual",$M160&lt;&gt;1)),
IF(Import.TipoArredondamento&lt;&gt;"TransfereGOV",
ROUND(OFFSET($P160,0,AH$13),15-13*ORÇAMENTO!$AF$7)/$H160*OFFSET(ORÇAMENTO!$X$15,ROW(AH160)-ROW(AH$15),0),
ROUND(ROUND(OFFSET($P160,0,AH$13),15-13*ORÇAMENTO!$AF$7)*OFFSET(ORÇAMENTO!$W$15,ROW(AH160)-ROW(AH$15),0),15-13*ORÇAMENTO!$AF$11)),0)</f>
        <v>0</v>
      </c>
      <c r="AI160" s="627">
        <f ca="1">IF(AND($D160="Serviço",AI$12&lt;&gt;0,$H160&gt;0,OR(AUTOEVENTO&lt;&gt;"manual",$M160&lt;&gt;1)),
IF(Import.TipoArredondamento&lt;&gt;"TransfereGOV",
ROUND(OFFSET($P160,0,AI$13),15-13*ORÇAMENTO!$AF$7)/$H160*OFFSET(ORÇAMENTO!$X$15,ROW(AI160)-ROW(AI$15),0),
ROUND(ROUND(OFFSET($P160,0,AI$13),15-13*ORÇAMENTO!$AF$7)*OFFSET(ORÇAMENTO!$W$15,ROW(AI160)-ROW(AI$15),0),15-13*ORÇAMENTO!$AF$11)),0)</f>
        <v>0</v>
      </c>
      <c r="AJ160" s="627">
        <f ca="1">IF(AND($D160="Serviço",AJ$12&lt;&gt;0,$H160&gt;0,OR(AUTOEVENTO&lt;&gt;"manual",$M160&lt;&gt;1)),
IF(Import.TipoArredondamento&lt;&gt;"TransfereGOV",
ROUND(OFFSET($P160,0,AJ$13),15-13*ORÇAMENTO!$AF$7)/$H160*OFFSET(ORÇAMENTO!$X$15,ROW(AJ160)-ROW(AJ$15),0),
ROUND(ROUND(OFFSET($P160,0,AJ$13),15-13*ORÇAMENTO!$AF$7)*OFFSET(ORÇAMENTO!$W$15,ROW(AJ160)-ROW(AJ$15),0),15-13*ORÇAMENTO!$AF$11)),0)</f>
        <v>0</v>
      </c>
      <c r="AK160" s="628">
        <f ca="1">IF(AND($D160="Serviço",AK$12&lt;&gt;0,$H160&gt;0,OR(AUTOEVENTO&lt;&gt;"manual",$M160&lt;&gt;1)),
IF(Import.TipoArredondamento&lt;&gt;"TransfereGOV",
ROUND(OFFSET($P160,0,AK$13),15-13*ORÇAMENTO!$AF$7)/$H160*OFFSET(ORÇAMENTO!$X$15,ROW(AK160)-ROW(AK$15),0),
ROUND(ROUND(OFFSET($P160,0,AK$13),15-13*ORÇAMENTO!$AF$7)*OFFSET(ORÇAMENTO!$W$15,ROW(AK160)-ROW(AK$15),0),15-13*ORÇAMENTO!$AF$11)),0)</f>
        <v>0</v>
      </c>
      <c r="AM160" s="211">
        <f ca="1">IF($D160&lt;&gt;"Serviço",0,IF(AND(AUTOEVENTO="Manual",$M160=1),0,IF(OFFSET(CRONOPLE!$F$14,$M160,AM$13)="",10^12,OFFSET(CRONOPLE!$F$14,$M160,AM$13))))</f>
        <v>2</v>
      </c>
      <c r="AN160" s="211">
        <f ca="1">IF($D160&lt;&gt;"Serviço",0,IF(AND(AUTOEVENTO="Manual",$M160=1),0,IF(OFFSET(CRONOPLE!$F$14,$M160,AN$13)="",10^12,OFFSET(CRONOPLE!$F$14,$M160,AN$13))))</f>
        <v>1</v>
      </c>
      <c r="AO160" s="211">
        <f ca="1">IF($D160&lt;&gt;"Serviço",0,IF(AND(AUTOEVENTO="Manual",$M160=1),0,IF(OFFSET(CRONOPLE!$F$14,$M160,AO$13)="",10^12,OFFSET(CRONOPLE!$F$14,$M160,AO$13))))</f>
        <v>2</v>
      </c>
      <c r="AP160" s="211">
        <f ca="1">IF($D160&lt;&gt;"Serviço",0,IF(AND(AUTOEVENTO="Manual",$M160=1),0,IF(OFFSET(CRONOPLE!$F$14,$M160,AP$13)="",10^12,OFFSET(CRONOPLE!$F$14,$M160,AP$13))))</f>
        <v>2</v>
      </c>
      <c r="AQ160" s="211">
        <f ca="1">IF($D160&lt;&gt;"Serviço",0,IF(AND(AUTOEVENTO="Manual",$M160=1),0,IF(OFFSET(CRONOPLE!$F$14,$M160,AQ$13)="",10^12,OFFSET(CRONOPLE!$F$14,$M160,AQ$13))))</f>
        <v>1000000000000</v>
      </c>
      <c r="AR160" s="211">
        <f ca="1">IF($D160&lt;&gt;"Serviço",0,IF(AND(AUTOEVENTO="Manual",$M160=1),0,IF(OFFSET(CRONOPLE!$F$14,$M160,AR$13)="",10^12,OFFSET(CRONOPLE!$F$14,$M160,AR$13))))</f>
        <v>1000000000000</v>
      </c>
      <c r="AS160" s="211">
        <f ca="1">IF($D160&lt;&gt;"Serviço",0,IF(AND(AUTOEVENTO="Manual",$M160=1),0,IF(OFFSET(CRONOPLE!$F$14,$M160,AS$13)="",10^12,OFFSET(CRONOPLE!$F$14,$M160,AS$13))))</f>
        <v>1000000000000</v>
      </c>
      <c r="AT160" s="211">
        <f ca="1">IF($D160&lt;&gt;"Serviço",0,IF(AND(AUTOEVENTO="Manual",$M160=1),0,IF(OFFSET(CRONOPLE!$F$14,$M160,AT$13)="",10^12,OFFSET(CRONOPLE!$F$14,$M160,AT$13))))</f>
        <v>1000000000000</v>
      </c>
      <c r="AU160" s="211">
        <f ca="1">IF($D160&lt;&gt;"Serviço",0,IF(AND(AUTOEVENTO="Manual",$M160=1),0,IF(OFFSET(CRONOPLE!$F$14,$M160,AU$13)="",10^12,OFFSET(CRONOPLE!$F$14,$M160,AU$13))))</f>
        <v>1000000000000</v>
      </c>
      <c r="AV160" s="211">
        <f ca="1">IF($D160&lt;&gt;"Serviço",0,IF(AND(AUTOEVENTO="Manual",$M160=1),0,IF(OFFSET(CRONOPLE!$F$14,$M160,AV$13)="",10^12,OFFSET(CRONOPLE!$F$14,$M160,AV$13))))</f>
        <v>1000000000000</v>
      </c>
      <c r="AX160" s="212">
        <f ca="1">IF($D160&lt;&gt;"Serviço",0,IF(OR(AND(AUTOEVENTO="Manual",$M160=1),$M160&gt;(ROW(PLE.lastrow)-ROW(PLE.firstrow))),0,IF(OFFSET(PLE!$G$14,$M160,AX$13)="",10^12,OFFSET(PLE!$G$14,$M160,AX$13))))</f>
        <v>1000000000000</v>
      </c>
      <c r="AY160" s="212">
        <f ca="1">IF($D160&lt;&gt;"Serviço",0,IF(OR(AND(AUTOEVENTO="Manual",$M160=1),$M160&gt;(ROW(PLE.lastrow)-ROW(PLE.firstrow))),0,IF(OFFSET(PLE!$G$14,$M160,AY$13)="",10^12,OFFSET(PLE!$G$14,$M160,AY$13))))</f>
        <v>1000000000000</v>
      </c>
      <c r="AZ160" s="212">
        <f ca="1">IF($D160&lt;&gt;"Serviço",0,IF(OR(AND(AUTOEVENTO="Manual",$M160=1),$M160&gt;(ROW(PLE.lastrow)-ROW(PLE.firstrow))),0,IF(OFFSET(PLE!$G$14,$M160,AZ$13)="",10^12,OFFSET(PLE!$G$14,$M160,AZ$13))))</f>
        <v>1000000000000</v>
      </c>
      <c r="BA160" s="212">
        <f ca="1">IF($D160&lt;&gt;"Serviço",0,IF(OR(AND(AUTOEVENTO="Manual",$M160=1),$M160&gt;(ROW(PLE.lastrow)-ROW(PLE.firstrow))),0,IF(OFFSET(PLE!$G$14,$M160,BA$13)="",10^12,OFFSET(PLE!$G$14,$M160,BA$13))))</f>
        <v>1000000000000</v>
      </c>
      <c r="BB160" s="212">
        <f ca="1">IF($D160&lt;&gt;"Serviço",0,IF(OR(AND(AUTOEVENTO="Manual",$M160=1),$M160&gt;(ROW(PLE.lastrow)-ROW(PLE.firstrow))),0,IF(OFFSET(PLE!$G$14,$M160,BB$13)="",10^12,OFFSET(PLE!$G$14,$M160,BB$13))))</f>
        <v>1000000000000</v>
      </c>
      <c r="BC160" s="212">
        <f ca="1">IF($D160&lt;&gt;"Serviço",0,IF(OR(AND(AUTOEVENTO="Manual",$M160=1),$M160&gt;(ROW(PLE.lastrow)-ROW(PLE.firstrow))),0,IF(OFFSET(PLE!$G$14,$M160,BC$13)="",10^12,OFFSET(PLE!$G$14,$M160,BC$13))))</f>
        <v>1000000000000</v>
      </c>
      <c r="BD160" s="212">
        <f ca="1">IF($D160&lt;&gt;"Serviço",0,IF(OR(AND(AUTOEVENTO="Manual",$M160=1),$M160&gt;(ROW(PLE.lastrow)-ROW(PLE.firstrow))),0,IF(OFFSET(PLE!$G$14,$M160,BD$13)="",10^12,OFFSET(PLE!$G$14,$M160,BD$13))))</f>
        <v>1000000000000</v>
      </c>
      <c r="BE160" s="212">
        <f ca="1">IF($D160&lt;&gt;"Serviço",0,IF(OR(AND(AUTOEVENTO="Manual",$M160=1),$M160&gt;(ROW(PLE.lastrow)-ROW(PLE.firstrow))),0,IF(OFFSET(PLE!$G$14,$M160,BE$13)="",10^12,OFFSET(PLE!$G$14,$M160,BE$13))))</f>
        <v>1000000000000</v>
      </c>
      <c r="BF160" s="212">
        <f ca="1">IF($D160&lt;&gt;"Serviço",0,IF(OR(AND(AUTOEVENTO="Manual",$M160=1),$M160&gt;(ROW(PLE.lastrow)-ROW(PLE.firstrow))),0,IF(OFFSET(PLE!$G$14,$M160,BF$13)="",10^12,OFFSET(PLE!$G$14,$M160,BF$13))))</f>
        <v>1000000000000</v>
      </c>
      <c r="BG160" s="212">
        <f ca="1">IF($D160&lt;&gt;"Serviço",0,IF(OR(AND(AUTOEVENTO="Manual",$M160=1),$M160&gt;(ROW(PLE.lastrow)-ROW(PLE.firstrow))),0,IF(OFFSET(PLE!$G$14,$M160,BG$13)="",10^12,OFFSET(PLE!$G$14,$M160,BG$13))))</f>
        <v>1000000000000</v>
      </c>
    </row>
    <row r="161" spans="1:59" ht="13.2">
      <c r="A161" s="9" t="str">
        <f t="shared" ca="1" si="11"/>
        <v>15</v>
      </c>
      <c r="B161" s="9" t="str">
        <f ca="1">OFFSET(ORÇAMENTO!C$15,ROW(B161)-ROW(B$15),0)</f>
        <v>S</v>
      </c>
      <c r="C161" s="9" t="str">
        <f ca="1">OFFSET(ORÇAMENTO!L$15,ROW(C161)-ROW(C$15),0)</f>
        <v/>
      </c>
      <c r="D161" s="141" t="str">
        <f ca="1">OFFSET(ORÇAMENTO!N$15,ROW(D161)-ROW(D$15),0)</f>
        <v>Serviço</v>
      </c>
      <c r="E161" s="201" t="str">
        <f ca="1">OFFSET(ORÇAMENTO!O$15,ROW(E161)-ROW(E$15),0)</f>
        <v>-</v>
      </c>
      <c r="F161" s="202" t="str">
        <f ca="1">OFFSET(ORÇAMENTO!R$15,ROW(F161)-ROW(F$15),0)</f>
        <v>(abra o arquivo 'Referência 11-2024.xlsm)</v>
      </c>
      <c r="G161" s="203" t="str">
        <f ca="1">IF($D161&lt;&gt;"Serviço","",OFFSET(ORÇAMENTO!S$15,ROW(G161)-ROW(G$15),0))</f>
        <v>-</v>
      </c>
      <c r="H161" s="147">
        <f ca="1">IF($D161&lt;&gt;"Serviço",0,IF(ACOMPANHAMENTO="BM",ROUND(OFFSET(ORÇAMENTO!AJ$15,ROW(H161)-ROW(H$15),0),15-13*ORÇAMENTO!$AF$7),SUMPRODUCT(($Q$12:$AA$12&lt;&gt;"")*ROUND($Q161:$AA161,15-13*ORÇAMENTO!$AF$7))))</f>
        <v>0</v>
      </c>
      <c r="I161" s="645"/>
      <c r="K161" s="204"/>
      <c r="L161" s="205" t="s">
        <v>255</v>
      </c>
      <c r="M161" s="206">
        <f ca="1">IF($D161&lt;&gt;"Serviço","",IF(AUTOEVENTO="manual",$A161,IF(ISERROR(MATCH($A161,$A$15:OFFSET($A161,-1,0),0)),MAX($M$15:OFFSET(M161,-1,0))+1,INDEX($M$15:OFFSET(M161,-1,0),MATCH($A161,$A$15:OFFSET($A161,-1,0),0)))))</f>
        <v>6</v>
      </c>
      <c r="N161" s="207" t="str">
        <f ca="1">IF($D161&lt;&gt;"Serviço","",IF(AUTOEVENTO="Manual",IF($A161=0,"&lt;-- defina o número do agrupador",OFFSET(EVENTOS!$D$14,$A161,0)),OFFSET($F$15,$A161,0)))</f>
        <v>DRENAGEM</v>
      </c>
      <c r="O161" s="208"/>
      <c r="Q161" s="208"/>
      <c r="R161" s="209"/>
      <c r="S161" s="209"/>
      <c r="T161" s="209"/>
      <c r="U161" s="209"/>
      <c r="V161" s="209"/>
      <c r="W161" s="209"/>
      <c r="X161" s="209"/>
      <c r="Y161" s="209"/>
      <c r="Z161" s="210"/>
      <c r="AB161" s="626">
        <f ca="1">IF(AND($D161="Serviço",AB$12&lt;&gt;0,$H161&gt;0,OR(AUTOEVENTO&lt;&gt;"manual",$M161&lt;&gt;1)),
IF(Import.TipoArredondamento&lt;&gt;"TransfereGOV",
ROUND(OFFSET($P161,0,AB$13),15-13*ORÇAMENTO!$AF$7)/$H161*OFFSET(ORÇAMENTO!$X$15,ROW(AB161)-ROW(AB$15),0),
ROUND(ROUND(OFFSET($P161,0,AB$13),15-13*ORÇAMENTO!$AF$7)*OFFSET(ORÇAMENTO!$W$15,ROW(AB161)-ROW(AB$15),0),15-13*ORÇAMENTO!$AF$11)),0)</f>
        <v>0</v>
      </c>
      <c r="AC161" s="627">
        <f ca="1">IF(AND($D161="Serviço",AC$12&lt;&gt;0,$H161&gt;0,OR(AUTOEVENTO&lt;&gt;"manual",$M161&lt;&gt;1)),
IF(Import.TipoArredondamento&lt;&gt;"TransfereGOV",
ROUND(OFFSET($P161,0,AC$13),15-13*ORÇAMENTO!$AF$7)/$H161*OFFSET(ORÇAMENTO!$X$15,ROW(AC161)-ROW(AC$15),0),
ROUND(ROUND(OFFSET($P161,0,AC$13),15-13*ORÇAMENTO!$AF$7)*OFFSET(ORÇAMENTO!$W$15,ROW(AC161)-ROW(AC$15),0),15-13*ORÇAMENTO!$AF$11)),0)</f>
        <v>0</v>
      </c>
      <c r="AD161" s="627">
        <f ca="1">IF(AND($D161="Serviço",AD$12&lt;&gt;0,$H161&gt;0,OR(AUTOEVENTO&lt;&gt;"manual",$M161&lt;&gt;1)),
IF(Import.TipoArredondamento&lt;&gt;"TransfereGOV",
ROUND(OFFSET($P161,0,AD$13),15-13*ORÇAMENTO!$AF$7)/$H161*OFFSET(ORÇAMENTO!$X$15,ROW(AD161)-ROW(AD$15),0),
ROUND(ROUND(OFFSET($P161,0,AD$13),15-13*ORÇAMENTO!$AF$7)*OFFSET(ORÇAMENTO!$W$15,ROW(AD161)-ROW(AD$15),0),15-13*ORÇAMENTO!$AF$11)),0)</f>
        <v>0</v>
      </c>
      <c r="AE161" s="627">
        <f ca="1">IF(AND($D161="Serviço",AE$12&lt;&gt;0,$H161&gt;0,OR(AUTOEVENTO&lt;&gt;"manual",$M161&lt;&gt;1)),
IF(Import.TipoArredondamento&lt;&gt;"TransfereGOV",
ROUND(OFFSET($P161,0,AE$13),15-13*ORÇAMENTO!$AF$7)/$H161*OFFSET(ORÇAMENTO!$X$15,ROW(AE161)-ROW(AE$15),0),
ROUND(ROUND(OFFSET($P161,0,AE$13),15-13*ORÇAMENTO!$AF$7)*OFFSET(ORÇAMENTO!$W$15,ROW(AE161)-ROW(AE$15),0),15-13*ORÇAMENTO!$AF$11)),0)</f>
        <v>0</v>
      </c>
      <c r="AF161" s="627">
        <f ca="1">IF(AND($D161="Serviço",AF$12&lt;&gt;0,$H161&gt;0,OR(AUTOEVENTO&lt;&gt;"manual",$M161&lt;&gt;1)),
IF(Import.TipoArredondamento&lt;&gt;"TransfereGOV",
ROUND(OFFSET($P161,0,AF$13),15-13*ORÇAMENTO!$AF$7)/$H161*OFFSET(ORÇAMENTO!$X$15,ROW(AF161)-ROW(AF$15),0),
ROUND(ROUND(OFFSET($P161,0,AF$13),15-13*ORÇAMENTO!$AF$7)*OFFSET(ORÇAMENTO!$W$15,ROW(AF161)-ROW(AF$15),0),15-13*ORÇAMENTO!$AF$11)),0)</f>
        <v>0</v>
      </c>
      <c r="AG161" s="627">
        <f ca="1">IF(AND($D161="Serviço",AG$12&lt;&gt;0,$H161&gt;0,OR(AUTOEVENTO&lt;&gt;"manual",$M161&lt;&gt;1)),
IF(Import.TipoArredondamento&lt;&gt;"TransfereGOV",
ROUND(OFFSET($P161,0,AG$13),15-13*ORÇAMENTO!$AF$7)/$H161*OFFSET(ORÇAMENTO!$X$15,ROW(AG161)-ROW(AG$15),0),
ROUND(ROUND(OFFSET($P161,0,AG$13),15-13*ORÇAMENTO!$AF$7)*OFFSET(ORÇAMENTO!$W$15,ROW(AG161)-ROW(AG$15),0),15-13*ORÇAMENTO!$AF$11)),0)</f>
        <v>0</v>
      </c>
      <c r="AH161" s="627">
        <f ca="1">IF(AND($D161="Serviço",AH$12&lt;&gt;0,$H161&gt;0,OR(AUTOEVENTO&lt;&gt;"manual",$M161&lt;&gt;1)),
IF(Import.TipoArredondamento&lt;&gt;"TransfereGOV",
ROUND(OFFSET($P161,0,AH$13),15-13*ORÇAMENTO!$AF$7)/$H161*OFFSET(ORÇAMENTO!$X$15,ROW(AH161)-ROW(AH$15),0),
ROUND(ROUND(OFFSET($P161,0,AH$13),15-13*ORÇAMENTO!$AF$7)*OFFSET(ORÇAMENTO!$W$15,ROW(AH161)-ROW(AH$15),0),15-13*ORÇAMENTO!$AF$11)),0)</f>
        <v>0</v>
      </c>
      <c r="AI161" s="627">
        <f ca="1">IF(AND($D161="Serviço",AI$12&lt;&gt;0,$H161&gt;0,OR(AUTOEVENTO&lt;&gt;"manual",$M161&lt;&gt;1)),
IF(Import.TipoArredondamento&lt;&gt;"TransfereGOV",
ROUND(OFFSET($P161,0,AI$13),15-13*ORÇAMENTO!$AF$7)/$H161*OFFSET(ORÇAMENTO!$X$15,ROW(AI161)-ROW(AI$15),0),
ROUND(ROUND(OFFSET($P161,0,AI$13),15-13*ORÇAMENTO!$AF$7)*OFFSET(ORÇAMENTO!$W$15,ROW(AI161)-ROW(AI$15),0),15-13*ORÇAMENTO!$AF$11)),0)</f>
        <v>0</v>
      </c>
      <c r="AJ161" s="627">
        <f ca="1">IF(AND($D161="Serviço",AJ$12&lt;&gt;0,$H161&gt;0,OR(AUTOEVENTO&lt;&gt;"manual",$M161&lt;&gt;1)),
IF(Import.TipoArredondamento&lt;&gt;"TransfereGOV",
ROUND(OFFSET($P161,0,AJ$13),15-13*ORÇAMENTO!$AF$7)/$H161*OFFSET(ORÇAMENTO!$X$15,ROW(AJ161)-ROW(AJ$15),0),
ROUND(ROUND(OFFSET($P161,0,AJ$13),15-13*ORÇAMENTO!$AF$7)*OFFSET(ORÇAMENTO!$W$15,ROW(AJ161)-ROW(AJ$15),0),15-13*ORÇAMENTO!$AF$11)),0)</f>
        <v>0</v>
      </c>
      <c r="AK161" s="628">
        <f ca="1">IF(AND($D161="Serviço",AK$12&lt;&gt;0,$H161&gt;0,OR(AUTOEVENTO&lt;&gt;"manual",$M161&lt;&gt;1)),
IF(Import.TipoArredondamento&lt;&gt;"TransfereGOV",
ROUND(OFFSET($P161,0,AK$13),15-13*ORÇAMENTO!$AF$7)/$H161*OFFSET(ORÇAMENTO!$X$15,ROW(AK161)-ROW(AK$15),0),
ROUND(ROUND(OFFSET($P161,0,AK$13),15-13*ORÇAMENTO!$AF$7)*OFFSET(ORÇAMENTO!$W$15,ROW(AK161)-ROW(AK$15),0),15-13*ORÇAMENTO!$AF$11)),0)</f>
        <v>0</v>
      </c>
      <c r="AM161" s="211">
        <f ca="1">IF($D161&lt;&gt;"Serviço",0,IF(AND(AUTOEVENTO="Manual",$M161=1),0,IF(OFFSET(CRONOPLE!$F$14,$M161,AM$13)="",10^12,OFFSET(CRONOPLE!$F$14,$M161,AM$13))))</f>
        <v>2</v>
      </c>
      <c r="AN161" s="211">
        <f ca="1">IF($D161&lt;&gt;"Serviço",0,IF(AND(AUTOEVENTO="Manual",$M161=1),0,IF(OFFSET(CRONOPLE!$F$14,$M161,AN$13)="",10^12,OFFSET(CRONOPLE!$F$14,$M161,AN$13))))</f>
        <v>1</v>
      </c>
      <c r="AO161" s="211">
        <f ca="1">IF($D161&lt;&gt;"Serviço",0,IF(AND(AUTOEVENTO="Manual",$M161=1),0,IF(OFFSET(CRONOPLE!$F$14,$M161,AO$13)="",10^12,OFFSET(CRONOPLE!$F$14,$M161,AO$13))))</f>
        <v>2</v>
      </c>
      <c r="AP161" s="211">
        <f ca="1">IF($D161&lt;&gt;"Serviço",0,IF(AND(AUTOEVENTO="Manual",$M161=1),0,IF(OFFSET(CRONOPLE!$F$14,$M161,AP$13)="",10^12,OFFSET(CRONOPLE!$F$14,$M161,AP$13))))</f>
        <v>2</v>
      </c>
      <c r="AQ161" s="211">
        <f ca="1">IF($D161&lt;&gt;"Serviço",0,IF(AND(AUTOEVENTO="Manual",$M161=1),0,IF(OFFSET(CRONOPLE!$F$14,$M161,AQ$13)="",10^12,OFFSET(CRONOPLE!$F$14,$M161,AQ$13))))</f>
        <v>1000000000000</v>
      </c>
      <c r="AR161" s="211">
        <f ca="1">IF($D161&lt;&gt;"Serviço",0,IF(AND(AUTOEVENTO="Manual",$M161=1),0,IF(OFFSET(CRONOPLE!$F$14,$M161,AR$13)="",10^12,OFFSET(CRONOPLE!$F$14,$M161,AR$13))))</f>
        <v>1000000000000</v>
      </c>
      <c r="AS161" s="211">
        <f ca="1">IF($D161&lt;&gt;"Serviço",0,IF(AND(AUTOEVENTO="Manual",$M161=1),0,IF(OFFSET(CRONOPLE!$F$14,$M161,AS$13)="",10^12,OFFSET(CRONOPLE!$F$14,$M161,AS$13))))</f>
        <v>1000000000000</v>
      </c>
      <c r="AT161" s="211">
        <f ca="1">IF($D161&lt;&gt;"Serviço",0,IF(AND(AUTOEVENTO="Manual",$M161=1),0,IF(OFFSET(CRONOPLE!$F$14,$M161,AT$13)="",10^12,OFFSET(CRONOPLE!$F$14,$M161,AT$13))))</f>
        <v>1000000000000</v>
      </c>
      <c r="AU161" s="211">
        <f ca="1">IF($D161&lt;&gt;"Serviço",0,IF(AND(AUTOEVENTO="Manual",$M161=1),0,IF(OFFSET(CRONOPLE!$F$14,$M161,AU$13)="",10^12,OFFSET(CRONOPLE!$F$14,$M161,AU$13))))</f>
        <v>1000000000000</v>
      </c>
      <c r="AV161" s="211">
        <f ca="1">IF($D161&lt;&gt;"Serviço",0,IF(AND(AUTOEVENTO="Manual",$M161=1),0,IF(OFFSET(CRONOPLE!$F$14,$M161,AV$13)="",10^12,OFFSET(CRONOPLE!$F$14,$M161,AV$13))))</f>
        <v>1000000000000</v>
      </c>
      <c r="AX161" s="212">
        <f ca="1">IF($D161&lt;&gt;"Serviço",0,IF(OR(AND(AUTOEVENTO="Manual",$M161=1),$M161&gt;(ROW(PLE.lastrow)-ROW(PLE.firstrow))),0,IF(OFFSET(PLE!$G$14,$M161,AX$13)="",10^12,OFFSET(PLE!$G$14,$M161,AX$13))))</f>
        <v>1000000000000</v>
      </c>
      <c r="AY161" s="212">
        <f ca="1">IF($D161&lt;&gt;"Serviço",0,IF(OR(AND(AUTOEVENTO="Manual",$M161=1),$M161&gt;(ROW(PLE.lastrow)-ROW(PLE.firstrow))),0,IF(OFFSET(PLE!$G$14,$M161,AY$13)="",10^12,OFFSET(PLE!$G$14,$M161,AY$13))))</f>
        <v>1000000000000</v>
      </c>
      <c r="AZ161" s="212">
        <f ca="1">IF($D161&lt;&gt;"Serviço",0,IF(OR(AND(AUTOEVENTO="Manual",$M161=1),$M161&gt;(ROW(PLE.lastrow)-ROW(PLE.firstrow))),0,IF(OFFSET(PLE!$G$14,$M161,AZ$13)="",10^12,OFFSET(PLE!$G$14,$M161,AZ$13))))</f>
        <v>1000000000000</v>
      </c>
      <c r="BA161" s="212">
        <f ca="1">IF($D161&lt;&gt;"Serviço",0,IF(OR(AND(AUTOEVENTO="Manual",$M161=1),$M161&gt;(ROW(PLE.lastrow)-ROW(PLE.firstrow))),0,IF(OFFSET(PLE!$G$14,$M161,BA$13)="",10^12,OFFSET(PLE!$G$14,$M161,BA$13))))</f>
        <v>1000000000000</v>
      </c>
      <c r="BB161" s="212">
        <f ca="1">IF($D161&lt;&gt;"Serviço",0,IF(OR(AND(AUTOEVENTO="Manual",$M161=1),$M161&gt;(ROW(PLE.lastrow)-ROW(PLE.firstrow))),0,IF(OFFSET(PLE!$G$14,$M161,BB$13)="",10^12,OFFSET(PLE!$G$14,$M161,BB$13))))</f>
        <v>1000000000000</v>
      </c>
      <c r="BC161" s="212">
        <f ca="1">IF($D161&lt;&gt;"Serviço",0,IF(OR(AND(AUTOEVENTO="Manual",$M161=1),$M161&gt;(ROW(PLE.lastrow)-ROW(PLE.firstrow))),0,IF(OFFSET(PLE!$G$14,$M161,BC$13)="",10^12,OFFSET(PLE!$G$14,$M161,BC$13))))</f>
        <v>1000000000000</v>
      </c>
      <c r="BD161" s="212">
        <f ca="1">IF($D161&lt;&gt;"Serviço",0,IF(OR(AND(AUTOEVENTO="Manual",$M161=1),$M161&gt;(ROW(PLE.lastrow)-ROW(PLE.firstrow))),0,IF(OFFSET(PLE!$G$14,$M161,BD$13)="",10^12,OFFSET(PLE!$G$14,$M161,BD$13))))</f>
        <v>1000000000000</v>
      </c>
      <c r="BE161" s="212">
        <f ca="1">IF($D161&lt;&gt;"Serviço",0,IF(OR(AND(AUTOEVENTO="Manual",$M161=1),$M161&gt;(ROW(PLE.lastrow)-ROW(PLE.firstrow))),0,IF(OFFSET(PLE!$G$14,$M161,BE$13)="",10^12,OFFSET(PLE!$G$14,$M161,BE$13))))</f>
        <v>1000000000000</v>
      </c>
      <c r="BF161" s="212">
        <f ca="1">IF($D161&lt;&gt;"Serviço",0,IF(OR(AND(AUTOEVENTO="Manual",$M161=1),$M161&gt;(ROW(PLE.lastrow)-ROW(PLE.firstrow))),0,IF(OFFSET(PLE!$G$14,$M161,BF$13)="",10^12,OFFSET(PLE!$G$14,$M161,BF$13))))</f>
        <v>1000000000000</v>
      </c>
      <c r="BG161" s="212">
        <f ca="1">IF($D161&lt;&gt;"Serviço",0,IF(OR(AND(AUTOEVENTO="Manual",$M161=1),$M161&gt;(ROW(PLE.lastrow)-ROW(PLE.firstrow))),0,IF(OFFSET(PLE!$G$14,$M161,BG$13)="",10^12,OFFSET(PLE!$G$14,$M161,BG$13))))</f>
        <v>1000000000000</v>
      </c>
    </row>
    <row r="162" spans="1:59" ht="13.2">
      <c r="A162" s="9" t="str">
        <f t="shared" ca="1" si="11"/>
        <v>15</v>
      </c>
      <c r="B162" s="9" t="str">
        <f ca="1">OFFSET(ORÇAMENTO!C$15,ROW(B162)-ROW(B$15),0)</f>
        <v>S</v>
      </c>
      <c r="C162" s="9" t="str">
        <f ca="1">OFFSET(ORÇAMENTO!L$15,ROW(C162)-ROW(C$15),0)</f>
        <v/>
      </c>
      <c r="D162" s="141" t="str">
        <f ca="1">OFFSET(ORÇAMENTO!N$15,ROW(D162)-ROW(D$15),0)</f>
        <v>Serviço</v>
      </c>
      <c r="E162" s="201" t="str">
        <f ca="1">OFFSET(ORÇAMENTO!O$15,ROW(E162)-ROW(E$15),0)</f>
        <v>-</v>
      </c>
      <c r="F162" s="202" t="str">
        <f ca="1">OFFSET(ORÇAMENTO!R$15,ROW(F162)-ROW(F$15),0)</f>
        <v>(abra o arquivo 'Referência 11-2024.xlsm)</v>
      </c>
      <c r="G162" s="203" t="str">
        <f ca="1">IF($D162&lt;&gt;"Serviço","",OFFSET(ORÇAMENTO!S$15,ROW(G162)-ROW(G$15),0))</f>
        <v>-</v>
      </c>
      <c r="H162" s="147">
        <f ca="1">IF($D162&lt;&gt;"Serviço",0,IF(ACOMPANHAMENTO="BM",ROUND(OFFSET(ORÇAMENTO!AJ$15,ROW(H162)-ROW(H$15),0),15-13*ORÇAMENTO!$AF$7),SUMPRODUCT(($Q$12:$AA$12&lt;&gt;"")*ROUND($Q162:$AA162,15-13*ORÇAMENTO!$AF$7))))</f>
        <v>0</v>
      </c>
      <c r="I162" s="645"/>
      <c r="K162" s="204"/>
      <c r="L162" s="205" t="s">
        <v>255</v>
      </c>
      <c r="M162" s="206">
        <f ca="1">IF($D162&lt;&gt;"Serviço","",IF(AUTOEVENTO="manual",$A162,IF(ISERROR(MATCH($A162,$A$15:OFFSET($A162,-1,0),0)),MAX($M$15:OFFSET(M162,-1,0))+1,INDEX($M$15:OFFSET(M162,-1,0),MATCH($A162,$A$15:OFFSET($A162,-1,0),0)))))</f>
        <v>6</v>
      </c>
      <c r="N162" s="207" t="str">
        <f ca="1">IF($D162&lt;&gt;"Serviço","",IF(AUTOEVENTO="Manual",IF($A162=0,"&lt;-- defina o número do agrupador",OFFSET(EVENTOS!$D$14,$A162,0)),OFFSET($F$15,$A162,0)))</f>
        <v>DRENAGEM</v>
      </c>
      <c r="O162" s="208"/>
      <c r="Q162" s="208"/>
      <c r="R162" s="209"/>
      <c r="S162" s="209"/>
      <c r="T162" s="209"/>
      <c r="U162" s="209"/>
      <c r="V162" s="209"/>
      <c r="W162" s="209"/>
      <c r="X162" s="209"/>
      <c r="Y162" s="209"/>
      <c r="Z162" s="210"/>
      <c r="AB162" s="626">
        <f ca="1">IF(AND($D162="Serviço",AB$12&lt;&gt;0,$H162&gt;0,OR(AUTOEVENTO&lt;&gt;"manual",$M162&lt;&gt;1)),
IF(Import.TipoArredondamento&lt;&gt;"TransfereGOV",
ROUND(OFFSET($P162,0,AB$13),15-13*ORÇAMENTO!$AF$7)/$H162*OFFSET(ORÇAMENTO!$X$15,ROW(AB162)-ROW(AB$15),0),
ROUND(ROUND(OFFSET($P162,0,AB$13),15-13*ORÇAMENTO!$AF$7)*OFFSET(ORÇAMENTO!$W$15,ROW(AB162)-ROW(AB$15),0),15-13*ORÇAMENTO!$AF$11)),0)</f>
        <v>0</v>
      </c>
      <c r="AC162" s="627">
        <f ca="1">IF(AND($D162="Serviço",AC$12&lt;&gt;0,$H162&gt;0,OR(AUTOEVENTO&lt;&gt;"manual",$M162&lt;&gt;1)),
IF(Import.TipoArredondamento&lt;&gt;"TransfereGOV",
ROUND(OFFSET($P162,0,AC$13),15-13*ORÇAMENTO!$AF$7)/$H162*OFFSET(ORÇAMENTO!$X$15,ROW(AC162)-ROW(AC$15),0),
ROUND(ROUND(OFFSET($P162,0,AC$13),15-13*ORÇAMENTO!$AF$7)*OFFSET(ORÇAMENTO!$W$15,ROW(AC162)-ROW(AC$15),0),15-13*ORÇAMENTO!$AF$11)),0)</f>
        <v>0</v>
      </c>
      <c r="AD162" s="627">
        <f ca="1">IF(AND($D162="Serviço",AD$12&lt;&gt;0,$H162&gt;0,OR(AUTOEVENTO&lt;&gt;"manual",$M162&lt;&gt;1)),
IF(Import.TipoArredondamento&lt;&gt;"TransfereGOV",
ROUND(OFFSET($P162,0,AD$13),15-13*ORÇAMENTO!$AF$7)/$H162*OFFSET(ORÇAMENTO!$X$15,ROW(AD162)-ROW(AD$15),0),
ROUND(ROUND(OFFSET($P162,0,AD$13),15-13*ORÇAMENTO!$AF$7)*OFFSET(ORÇAMENTO!$W$15,ROW(AD162)-ROW(AD$15),0),15-13*ORÇAMENTO!$AF$11)),0)</f>
        <v>0</v>
      </c>
      <c r="AE162" s="627">
        <f ca="1">IF(AND($D162="Serviço",AE$12&lt;&gt;0,$H162&gt;0,OR(AUTOEVENTO&lt;&gt;"manual",$M162&lt;&gt;1)),
IF(Import.TipoArredondamento&lt;&gt;"TransfereGOV",
ROUND(OFFSET($P162,0,AE$13),15-13*ORÇAMENTO!$AF$7)/$H162*OFFSET(ORÇAMENTO!$X$15,ROW(AE162)-ROW(AE$15),0),
ROUND(ROUND(OFFSET($P162,0,AE$13),15-13*ORÇAMENTO!$AF$7)*OFFSET(ORÇAMENTO!$W$15,ROW(AE162)-ROW(AE$15),0),15-13*ORÇAMENTO!$AF$11)),0)</f>
        <v>0</v>
      </c>
      <c r="AF162" s="627">
        <f ca="1">IF(AND($D162="Serviço",AF$12&lt;&gt;0,$H162&gt;0,OR(AUTOEVENTO&lt;&gt;"manual",$M162&lt;&gt;1)),
IF(Import.TipoArredondamento&lt;&gt;"TransfereGOV",
ROUND(OFFSET($P162,0,AF$13),15-13*ORÇAMENTO!$AF$7)/$H162*OFFSET(ORÇAMENTO!$X$15,ROW(AF162)-ROW(AF$15),0),
ROUND(ROUND(OFFSET($P162,0,AF$13),15-13*ORÇAMENTO!$AF$7)*OFFSET(ORÇAMENTO!$W$15,ROW(AF162)-ROW(AF$15),0),15-13*ORÇAMENTO!$AF$11)),0)</f>
        <v>0</v>
      </c>
      <c r="AG162" s="627">
        <f ca="1">IF(AND($D162="Serviço",AG$12&lt;&gt;0,$H162&gt;0,OR(AUTOEVENTO&lt;&gt;"manual",$M162&lt;&gt;1)),
IF(Import.TipoArredondamento&lt;&gt;"TransfereGOV",
ROUND(OFFSET($P162,0,AG$13),15-13*ORÇAMENTO!$AF$7)/$H162*OFFSET(ORÇAMENTO!$X$15,ROW(AG162)-ROW(AG$15),0),
ROUND(ROUND(OFFSET($P162,0,AG$13),15-13*ORÇAMENTO!$AF$7)*OFFSET(ORÇAMENTO!$W$15,ROW(AG162)-ROW(AG$15),0),15-13*ORÇAMENTO!$AF$11)),0)</f>
        <v>0</v>
      </c>
      <c r="AH162" s="627">
        <f ca="1">IF(AND($D162="Serviço",AH$12&lt;&gt;0,$H162&gt;0,OR(AUTOEVENTO&lt;&gt;"manual",$M162&lt;&gt;1)),
IF(Import.TipoArredondamento&lt;&gt;"TransfereGOV",
ROUND(OFFSET($P162,0,AH$13),15-13*ORÇAMENTO!$AF$7)/$H162*OFFSET(ORÇAMENTO!$X$15,ROW(AH162)-ROW(AH$15),0),
ROUND(ROUND(OFFSET($P162,0,AH$13),15-13*ORÇAMENTO!$AF$7)*OFFSET(ORÇAMENTO!$W$15,ROW(AH162)-ROW(AH$15),0),15-13*ORÇAMENTO!$AF$11)),0)</f>
        <v>0</v>
      </c>
      <c r="AI162" s="627">
        <f ca="1">IF(AND($D162="Serviço",AI$12&lt;&gt;0,$H162&gt;0,OR(AUTOEVENTO&lt;&gt;"manual",$M162&lt;&gt;1)),
IF(Import.TipoArredondamento&lt;&gt;"TransfereGOV",
ROUND(OFFSET($P162,0,AI$13),15-13*ORÇAMENTO!$AF$7)/$H162*OFFSET(ORÇAMENTO!$X$15,ROW(AI162)-ROW(AI$15),0),
ROUND(ROUND(OFFSET($P162,0,AI$13),15-13*ORÇAMENTO!$AF$7)*OFFSET(ORÇAMENTO!$W$15,ROW(AI162)-ROW(AI$15),0),15-13*ORÇAMENTO!$AF$11)),0)</f>
        <v>0</v>
      </c>
      <c r="AJ162" s="627">
        <f ca="1">IF(AND($D162="Serviço",AJ$12&lt;&gt;0,$H162&gt;0,OR(AUTOEVENTO&lt;&gt;"manual",$M162&lt;&gt;1)),
IF(Import.TipoArredondamento&lt;&gt;"TransfereGOV",
ROUND(OFFSET($P162,0,AJ$13),15-13*ORÇAMENTO!$AF$7)/$H162*OFFSET(ORÇAMENTO!$X$15,ROW(AJ162)-ROW(AJ$15),0),
ROUND(ROUND(OFFSET($P162,0,AJ$13),15-13*ORÇAMENTO!$AF$7)*OFFSET(ORÇAMENTO!$W$15,ROW(AJ162)-ROW(AJ$15),0),15-13*ORÇAMENTO!$AF$11)),0)</f>
        <v>0</v>
      </c>
      <c r="AK162" s="628">
        <f ca="1">IF(AND($D162="Serviço",AK$12&lt;&gt;0,$H162&gt;0,OR(AUTOEVENTO&lt;&gt;"manual",$M162&lt;&gt;1)),
IF(Import.TipoArredondamento&lt;&gt;"TransfereGOV",
ROUND(OFFSET($P162,0,AK$13),15-13*ORÇAMENTO!$AF$7)/$H162*OFFSET(ORÇAMENTO!$X$15,ROW(AK162)-ROW(AK$15),0),
ROUND(ROUND(OFFSET($P162,0,AK$13),15-13*ORÇAMENTO!$AF$7)*OFFSET(ORÇAMENTO!$W$15,ROW(AK162)-ROW(AK$15),0),15-13*ORÇAMENTO!$AF$11)),0)</f>
        <v>0</v>
      </c>
      <c r="AM162" s="211">
        <f ca="1">IF($D162&lt;&gt;"Serviço",0,IF(AND(AUTOEVENTO="Manual",$M162=1),0,IF(OFFSET(CRONOPLE!$F$14,$M162,AM$13)="",10^12,OFFSET(CRONOPLE!$F$14,$M162,AM$13))))</f>
        <v>2</v>
      </c>
      <c r="AN162" s="211">
        <f ca="1">IF($D162&lt;&gt;"Serviço",0,IF(AND(AUTOEVENTO="Manual",$M162=1),0,IF(OFFSET(CRONOPLE!$F$14,$M162,AN$13)="",10^12,OFFSET(CRONOPLE!$F$14,$M162,AN$13))))</f>
        <v>1</v>
      </c>
      <c r="AO162" s="211">
        <f ca="1">IF($D162&lt;&gt;"Serviço",0,IF(AND(AUTOEVENTO="Manual",$M162=1),0,IF(OFFSET(CRONOPLE!$F$14,$M162,AO$13)="",10^12,OFFSET(CRONOPLE!$F$14,$M162,AO$13))))</f>
        <v>2</v>
      </c>
      <c r="AP162" s="211">
        <f ca="1">IF($D162&lt;&gt;"Serviço",0,IF(AND(AUTOEVENTO="Manual",$M162=1),0,IF(OFFSET(CRONOPLE!$F$14,$M162,AP$13)="",10^12,OFFSET(CRONOPLE!$F$14,$M162,AP$13))))</f>
        <v>2</v>
      </c>
      <c r="AQ162" s="211">
        <f ca="1">IF($D162&lt;&gt;"Serviço",0,IF(AND(AUTOEVENTO="Manual",$M162=1),0,IF(OFFSET(CRONOPLE!$F$14,$M162,AQ$13)="",10^12,OFFSET(CRONOPLE!$F$14,$M162,AQ$13))))</f>
        <v>1000000000000</v>
      </c>
      <c r="AR162" s="211">
        <f ca="1">IF($D162&lt;&gt;"Serviço",0,IF(AND(AUTOEVENTO="Manual",$M162=1),0,IF(OFFSET(CRONOPLE!$F$14,$M162,AR$13)="",10^12,OFFSET(CRONOPLE!$F$14,$M162,AR$13))))</f>
        <v>1000000000000</v>
      </c>
      <c r="AS162" s="211">
        <f ca="1">IF($D162&lt;&gt;"Serviço",0,IF(AND(AUTOEVENTO="Manual",$M162=1),0,IF(OFFSET(CRONOPLE!$F$14,$M162,AS$13)="",10^12,OFFSET(CRONOPLE!$F$14,$M162,AS$13))))</f>
        <v>1000000000000</v>
      </c>
      <c r="AT162" s="211">
        <f ca="1">IF($D162&lt;&gt;"Serviço",0,IF(AND(AUTOEVENTO="Manual",$M162=1),0,IF(OFFSET(CRONOPLE!$F$14,$M162,AT$13)="",10^12,OFFSET(CRONOPLE!$F$14,$M162,AT$13))))</f>
        <v>1000000000000</v>
      </c>
      <c r="AU162" s="211">
        <f ca="1">IF($D162&lt;&gt;"Serviço",0,IF(AND(AUTOEVENTO="Manual",$M162=1),0,IF(OFFSET(CRONOPLE!$F$14,$M162,AU$13)="",10^12,OFFSET(CRONOPLE!$F$14,$M162,AU$13))))</f>
        <v>1000000000000</v>
      </c>
      <c r="AV162" s="211">
        <f ca="1">IF($D162&lt;&gt;"Serviço",0,IF(AND(AUTOEVENTO="Manual",$M162=1),0,IF(OFFSET(CRONOPLE!$F$14,$M162,AV$13)="",10^12,OFFSET(CRONOPLE!$F$14,$M162,AV$13))))</f>
        <v>1000000000000</v>
      </c>
      <c r="AX162" s="212">
        <f ca="1">IF($D162&lt;&gt;"Serviço",0,IF(OR(AND(AUTOEVENTO="Manual",$M162=1),$M162&gt;(ROW(PLE.lastrow)-ROW(PLE.firstrow))),0,IF(OFFSET(PLE!$G$14,$M162,AX$13)="",10^12,OFFSET(PLE!$G$14,$M162,AX$13))))</f>
        <v>1000000000000</v>
      </c>
      <c r="AY162" s="212">
        <f ca="1">IF($D162&lt;&gt;"Serviço",0,IF(OR(AND(AUTOEVENTO="Manual",$M162=1),$M162&gt;(ROW(PLE.lastrow)-ROW(PLE.firstrow))),0,IF(OFFSET(PLE!$G$14,$M162,AY$13)="",10^12,OFFSET(PLE!$G$14,$M162,AY$13))))</f>
        <v>1000000000000</v>
      </c>
      <c r="AZ162" s="212">
        <f ca="1">IF($D162&lt;&gt;"Serviço",0,IF(OR(AND(AUTOEVENTO="Manual",$M162=1),$M162&gt;(ROW(PLE.lastrow)-ROW(PLE.firstrow))),0,IF(OFFSET(PLE!$G$14,$M162,AZ$13)="",10^12,OFFSET(PLE!$G$14,$M162,AZ$13))))</f>
        <v>1000000000000</v>
      </c>
      <c r="BA162" s="212">
        <f ca="1">IF($D162&lt;&gt;"Serviço",0,IF(OR(AND(AUTOEVENTO="Manual",$M162=1),$M162&gt;(ROW(PLE.lastrow)-ROW(PLE.firstrow))),0,IF(OFFSET(PLE!$G$14,$M162,BA$13)="",10^12,OFFSET(PLE!$G$14,$M162,BA$13))))</f>
        <v>1000000000000</v>
      </c>
      <c r="BB162" s="212">
        <f ca="1">IF($D162&lt;&gt;"Serviço",0,IF(OR(AND(AUTOEVENTO="Manual",$M162=1),$M162&gt;(ROW(PLE.lastrow)-ROW(PLE.firstrow))),0,IF(OFFSET(PLE!$G$14,$M162,BB$13)="",10^12,OFFSET(PLE!$G$14,$M162,BB$13))))</f>
        <v>1000000000000</v>
      </c>
      <c r="BC162" s="212">
        <f ca="1">IF($D162&lt;&gt;"Serviço",0,IF(OR(AND(AUTOEVENTO="Manual",$M162=1),$M162&gt;(ROW(PLE.lastrow)-ROW(PLE.firstrow))),0,IF(OFFSET(PLE!$G$14,$M162,BC$13)="",10^12,OFFSET(PLE!$G$14,$M162,BC$13))))</f>
        <v>1000000000000</v>
      </c>
      <c r="BD162" s="212">
        <f ca="1">IF($D162&lt;&gt;"Serviço",0,IF(OR(AND(AUTOEVENTO="Manual",$M162=1),$M162&gt;(ROW(PLE.lastrow)-ROW(PLE.firstrow))),0,IF(OFFSET(PLE!$G$14,$M162,BD$13)="",10^12,OFFSET(PLE!$G$14,$M162,BD$13))))</f>
        <v>1000000000000</v>
      </c>
      <c r="BE162" s="212">
        <f ca="1">IF($D162&lt;&gt;"Serviço",0,IF(OR(AND(AUTOEVENTO="Manual",$M162=1),$M162&gt;(ROW(PLE.lastrow)-ROW(PLE.firstrow))),0,IF(OFFSET(PLE!$G$14,$M162,BE$13)="",10^12,OFFSET(PLE!$G$14,$M162,BE$13))))</f>
        <v>1000000000000</v>
      </c>
      <c r="BF162" s="212">
        <f ca="1">IF($D162&lt;&gt;"Serviço",0,IF(OR(AND(AUTOEVENTO="Manual",$M162=1),$M162&gt;(ROW(PLE.lastrow)-ROW(PLE.firstrow))),0,IF(OFFSET(PLE!$G$14,$M162,BF$13)="",10^12,OFFSET(PLE!$G$14,$M162,BF$13))))</f>
        <v>1000000000000</v>
      </c>
      <c r="BG162" s="212">
        <f ca="1">IF($D162&lt;&gt;"Serviço",0,IF(OR(AND(AUTOEVENTO="Manual",$M162=1),$M162&gt;(ROW(PLE.lastrow)-ROW(PLE.firstrow))),0,IF(OFFSET(PLE!$G$14,$M162,BG$13)="",10^12,OFFSET(PLE!$G$14,$M162,BG$13))))</f>
        <v>1000000000000</v>
      </c>
    </row>
    <row r="163" spans="1:59" ht="13.2">
      <c r="A163" s="9" t="str">
        <f t="shared" ca="1" si="11"/>
        <v>15</v>
      </c>
      <c r="B163" s="9" t="str">
        <f ca="1">OFFSET(ORÇAMENTO!C$15,ROW(B163)-ROW(B$15),0)</f>
        <v>S</v>
      </c>
      <c r="C163" s="9" t="str">
        <f ca="1">OFFSET(ORÇAMENTO!L$15,ROW(C163)-ROW(C$15),0)</f>
        <v/>
      </c>
      <c r="D163" s="141" t="str">
        <f ca="1">OFFSET(ORÇAMENTO!N$15,ROW(D163)-ROW(D$15),0)</f>
        <v>Serviço</v>
      </c>
      <c r="E163" s="201" t="str">
        <f ca="1">OFFSET(ORÇAMENTO!O$15,ROW(E163)-ROW(E$15),0)</f>
        <v>-</v>
      </c>
      <c r="F163" s="202" t="str">
        <f ca="1">OFFSET(ORÇAMENTO!R$15,ROW(F163)-ROW(F$15),0)</f>
        <v>(abra o arquivo 'Referência 11-2024.xlsm)</v>
      </c>
      <c r="G163" s="203" t="str">
        <f ca="1">IF($D163&lt;&gt;"Serviço","",OFFSET(ORÇAMENTO!S$15,ROW(G163)-ROW(G$15),0))</f>
        <v>-</v>
      </c>
      <c r="H163" s="147">
        <f ca="1">IF($D163&lt;&gt;"Serviço",0,IF(ACOMPANHAMENTO="BM",ROUND(OFFSET(ORÇAMENTO!AJ$15,ROW(H163)-ROW(H$15),0),15-13*ORÇAMENTO!$AF$7),SUMPRODUCT(($Q$12:$AA$12&lt;&gt;"")*ROUND($Q163:$AA163,15-13*ORÇAMENTO!$AF$7))))</f>
        <v>0</v>
      </c>
      <c r="I163" s="645"/>
      <c r="K163" s="204"/>
      <c r="L163" s="205" t="s">
        <v>255</v>
      </c>
      <c r="M163" s="206">
        <f ca="1">IF($D163&lt;&gt;"Serviço","",IF(AUTOEVENTO="manual",$A163,IF(ISERROR(MATCH($A163,$A$15:OFFSET($A163,-1,0),0)),MAX($M$15:OFFSET(M163,-1,0))+1,INDEX($M$15:OFFSET(M163,-1,0),MATCH($A163,$A$15:OFFSET($A163,-1,0),0)))))</f>
        <v>6</v>
      </c>
      <c r="N163" s="207" t="str">
        <f ca="1">IF($D163&lt;&gt;"Serviço","",IF(AUTOEVENTO="Manual",IF($A163=0,"&lt;-- defina o número do agrupador",OFFSET(EVENTOS!$D$14,$A163,0)),OFFSET($F$15,$A163,0)))</f>
        <v>DRENAGEM</v>
      </c>
      <c r="O163" s="208"/>
      <c r="Q163" s="208"/>
      <c r="R163" s="209"/>
      <c r="S163" s="209"/>
      <c r="T163" s="209"/>
      <c r="U163" s="209"/>
      <c r="V163" s="209"/>
      <c r="W163" s="209"/>
      <c r="X163" s="209"/>
      <c r="Y163" s="209"/>
      <c r="Z163" s="210"/>
      <c r="AB163" s="626">
        <f ca="1">IF(AND($D163="Serviço",AB$12&lt;&gt;0,$H163&gt;0,OR(AUTOEVENTO&lt;&gt;"manual",$M163&lt;&gt;1)),
IF(Import.TipoArredondamento&lt;&gt;"TransfereGOV",
ROUND(OFFSET($P163,0,AB$13),15-13*ORÇAMENTO!$AF$7)/$H163*OFFSET(ORÇAMENTO!$X$15,ROW(AB163)-ROW(AB$15),0),
ROUND(ROUND(OFFSET($P163,0,AB$13),15-13*ORÇAMENTO!$AF$7)*OFFSET(ORÇAMENTO!$W$15,ROW(AB163)-ROW(AB$15),0),15-13*ORÇAMENTO!$AF$11)),0)</f>
        <v>0</v>
      </c>
      <c r="AC163" s="627">
        <f ca="1">IF(AND($D163="Serviço",AC$12&lt;&gt;0,$H163&gt;0,OR(AUTOEVENTO&lt;&gt;"manual",$M163&lt;&gt;1)),
IF(Import.TipoArredondamento&lt;&gt;"TransfereGOV",
ROUND(OFFSET($P163,0,AC$13),15-13*ORÇAMENTO!$AF$7)/$H163*OFFSET(ORÇAMENTO!$X$15,ROW(AC163)-ROW(AC$15),0),
ROUND(ROUND(OFFSET($P163,0,AC$13),15-13*ORÇAMENTO!$AF$7)*OFFSET(ORÇAMENTO!$W$15,ROW(AC163)-ROW(AC$15),0),15-13*ORÇAMENTO!$AF$11)),0)</f>
        <v>0</v>
      </c>
      <c r="AD163" s="627">
        <f ca="1">IF(AND($D163="Serviço",AD$12&lt;&gt;0,$H163&gt;0,OR(AUTOEVENTO&lt;&gt;"manual",$M163&lt;&gt;1)),
IF(Import.TipoArredondamento&lt;&gt;"TransfereGOV",
ROUND(OFFSET($P163,0,AD$13),15-13*ORÇAMENTO!$AF$7)/$H163*OFFSET(ORÇAMENTO!$X$15,ROW(AD163)-ROW(AD$15),0),
ROUND(ROUND(OFFSET($P163,0,AD$13),15-13*ORÇAMENTO!$AF$7)*OFFSET(ORÇAMENTO!$W$15,ROW(AD163)-ROW(AD$15),0),15-13*ORÇAMENTO!$AF$11)),0)</f>
        <v>0</v>
      </c>
      <c r="AE163" s="627">
        <f ca="1">IF(AND($D163="Serviço",AE$12&lt;&gt;0,$H163&gt;0,OR(AUTOEVENTO&lt;&gt;"manual",$M163&lt;&gt;1)),
IF(Import.TipoArredondamento&lt;&gt;"TransfereGOV",
ROUND(OFFSET($P163,0,AE$13),15-13*ORÇAMENTO!$AF$7)/$H163*OFFSET(ORÇAMENTO!$X$15,ROW(AE163)-ROW(AE$15),0),
ROUND(ROUND(OFFSET($P163,0,AE$13),15-13*ORÇAMENTO!$AF$7)*OFFSET(ORÇAMENTO!$W$15,ROW(AE163)-ROW(AE$15),0),15-13*ORÇAMENTO!$AF$11)),0)</f>
        <v>0</v>
      </c>
      <c r="AF163" s="627">
        <f ca="1">IF(AND($D163="Serviço",AF$12&lt;&gt;0,$H163&gt;0,OR(AUTOEVENTO&lt;&gt;"manual",$M163&lt;&gt;1)),
IF(Import.TipoArredondamento&lt;&gt;"TransfereGOV",
ROUND(OFFSET($P163,0,AF$13),15-13*ORÇAMENTO!$AF$7)/$H163*OFFSET(ORÇAMENTO!$X$15,ROW(AF163)-ROW(AF$15),0),
ROUND(ROUND(OFFSET($P163,0,AF$13),15-13*ORÇAMENTO!$AF$7)*OFFSET(ORÇAMENTO!$W$15,ROW(AF163)-ROW(AF$15),0),15-13*ORÇAMENTO!$AF$11)),0)</f>
        <v>0</v>
      </c>
      <c r="AG163" s="627">
        <f ca="1">IF(AND($D163="Serviço",AG$12&lt;&gt;0,$H163&gt;0,OR(AUTOEVENTO&lt;&gt;"manual",$M163&lt;&gt;1)),
IF(Import.TipoArredondamento&lt;&gt;"TransfereGOV",
ROUND(OFFSET($P163,0,AG$13),15-13*ORÇAMENTO!$AF$7)/$H163*OFFSET(ORÇAMENTO!$X$15,ROW(AG163)-ROW(AG$15),0),
ROUND(ROUND(OFFSET($P163,0,AG$13),15-13*ORÇAMENTO!$AF$7)*OFFSET(ORÇAMENTO!$W$15,ROW(AG163)-ROW(AG$15),0),15-13*ORÇAMENTO!$AF$11)),0)</f>
        <v>0</v>
      </c>
      <c r="AH163" s="627">
        <f ca="1">IF(AND($D163="Serviço",AH$12&lt;&gt;0,$H163&gt;0,OR(AUTOEVENTO&lt;&gt;"manual",$M163&lt;&gt;1)),
IF(Import.TipoArredondamento&lt;&gt;"TransfereGOV",
ROUND(OFFSET($P163,0,AH$13),15-13*ORÇAMENTO!$AF$7)/$H163*OFFSET(ORÇAMENTO!$X$15,ROW(AH163)-ROW(AH$15),0),
ROUND(ROUND(OFFSET($P163,0,AH$13),15-13*ORÇAMENTO!$AF$7)*OFFSET(ORÇAMENTO!$W$15,ROW(AH163)-ROW(AH$15),0),15-13*ORÇAMENTO!$AF$11)),0)</f>
        <v>0</v>
      </c>
      <c r="AI163" s="627">
        <f ca="1">IF(AND($D163="Serviço",AI$12&lt;&gt;0,$H163&gt;0,OR(AUTOEVENTO&lt;&gt;"manual",$M163&lt;&gt;1)),
IF(Import.TipoArredondamento&lt;&gt;"TransfereGOV",
ROUND(OFFSET($P163,0,AI$13),15-13*ORÇAMENTO!$AF$7)/$H163*OFFSET(ORÇAMENTO!$X$15,ROW(AI163)-ROW(AI$15),0),
ROUND(ROUND(OFFSET($P163,0,AI$13),15-13*ORÇAMENTO!$AF$7)*OFFSET(ORÇAMENTO!$W$15,ROW(AI163)-ROW(AI$15),0),15-13*ORÇAMENTO!$AF$11)),0)</f>
        <v>0</v>
      </c>
      <c r="AJ163" s="627">
        <f ca="1">IF(AND($D163="Serviço",AJ$12&lt;&gt;0,$H163&gt;0,OR(AUTOEVENTO&lt;&gt;"manual",$M163&lt;&gt;1)),
IF(Import.TipoArredondamento&lt;&gt;"TransfereGOV",
ROUND(OFFSET($P163,0,AJ$13),15-13*ORÇAMENTO!$AF$7)/$H163*OFFSET(ORÇAMENTO!$X$15,ROW(AJ163)-ROW(AJ$15),0),
ROUND(ROUND(OFFSET($P163,0,AJ$13),15-13*ORÇAMENTO!$AF$7)*OFFSET(ORÇAMENTO!$W$15,ROW(AJ163)-ROW(AJ$15),0),15-13*ORÇAMENTO!$AF$11)),0)</f>
        <v>0</v>
      </c>
      <c r="AK163" s="628">
        <f ca="1">IF(AND($D163="Serviço",AK$12&lt;&gt;0,$H163&gt;0,OR(AUTOEVENTO&lt;&gt;"manual",$M163&lt;&gt;1)),
IF(Import.TipoArredondamento&lt;&gt;"TransfereGOV",
ROUND(OFFSET($P163,0,AK$13),15-13*ORÇAMENTO!$AF$7)/$H163*OFFSET(ORÇAMENTO!$X$15,ROW(AK163)-ROW(AK$15),0),
ROUND(ROUND(OFFSET($P163,0,AK$13),15-13*ORÇAMENTO!$AF$7)*OFFSET(ORÇAMENTO!$W$15,ROW(AK163)-ROW(AK$15),0),15-13*ORÇAMENTO!$AF$11)),0)</f>
        <v>0</v>
      </c>
      <c r="AM163" s="211">
        <f ca="1">IF($D163&lt;&gt;"Serviço",0,IF(AND(AUTOEVENTO="Manual",$M163=1),0,IF(OFFSET(CRONOPLE!$F$14,$M163,AM$13)="",10^12,OFFSET(CRONOPLE!$F$14,$M163,AM$13))))</f>
        <v>2</v>
      </c>
      <c r="AN163" s="211">
        <f ca="1">IF($D163&lt;&gt;"Serviço",0,IF(AND(AUTOEVENTO="Manual",$M163=1),0,IF(OFFSET(CRONOPLE!$F$14,$M163,AN$13)="",10^12,OFFSET(CRONOPLE!$F$14,$M163,AN$13))))</f>
        <v>1</v>
      </c>
      <c r="AO163" s="211">
        <f ca="1">IF($D163&lt;&gt;"Serviço",0,IF(AND(AUTOEVENTO="Manual",$M163=1),0,IF(OFFSET(CRONOPLE!$F$14,$M163,AO$13)="",10^12,OFFSET(CRONOPLE!$F$14,$M163,AO$13))))</f>
        <v>2</v>
      </c>
      <c r="AP163" s="211">
        <f ca="1">IF($D163&lt;&gt;"Serviço",0,IF(AND(AUTOEVENTO="Manual",$M163=1),0,IF(OFFSET(CRONOPLE!$F$14,$M163,AP$13)="",10^12,OFFSET(CRONOPLE!$F$14,$M163,AP$13))))</f>
        <v>2</v>
      </c>
      <c r="AQ163" s="211">
        <f ca="1">IF($D163&lt;&gt;"Serviço",0,IF(AND(AUTOEVENTO="Manual",$M163=1),0,IF(OFFSET(CRONOPLE!$F$14,$M163,AQ$13)="",10^12,OFFSET(CRONOPLE!$F$14,$M163,AQ$13))))</f>
        <v>1000000000000</v>
      </c>
      <c r="AR163" s="211">
        <f ca="1">IF($D163&lt;&gt;"Serviço",0,IF(AND(AUTOEVENTO="Manual",$M163=1),0,IF(OFFSET(CRONOPLE!$F$14,$M163,AR$13)="",10^12,OFFSET(CRONOPLE!$F$14,$M163,AR$13))))</f>
        <v>1000000000000</v>
      </c>
      <c r="AS163" s="211">
        <f ca="1">IF($D163&lt;&gt;"Serviço",0,IF(AND(AUTOEVENTO="Manual",$M163=1),0,IF(OFFSET(CRONOPLE!$F$14,$M163,AS$13)="",10^12,OFFSET(CRONOPLE!$F$14,$M163,AS$13))))</f>
        <v>1000000000000</v>
      </c>
      <c r="AT163" s="211">
        <f ca="1">IF($D163&lt;&gt;"Serviço",0,IF(AND(AUTOEVENTO="Manual",$M163=1),0,IF(OFFSET(CRONOPLE!$F$14,$M163,AT$13)="",10^12,OFFSET(CRONOPLE!$F$14,$M163,AT$13))))</f>
        <v>1000000000000</v>
      </c>
      <c r="AU163" s="211">
        <f ca="1">IF($D163&lt;&gt;"Serviço",0,IF(AND(AUTOEVENTO="Manual",$M163=1),0,IF(OFFSET(CRONOPLE!$F$14,$M163,AU$13)="",10^12,OFFSET(CRONOPLE!$F$14,$M163,AU$13))))</f>
        <v>1000000000000</v>
      </c>
      <c r="AV163" s="211">
        <f ca="1">IF($D163&lt;&gt;"Serviço",0,IF(AND(AUTOEVENTO="Manual",$M163=1),0,IF(OFFSET(CRONOPLE!$F$14,$M163,AV$13)="",10^12,OFFSET(CRONOPLE!$F$14,$M163,AV$13))))</f>
        <v>1000000000000</v>
      </c>
      <c r="AX163" s="212">
        <f ca="1">IF($D163&lt;&gt;"Serviço",0,IF(OR(AND(AUTOEVENTO="Manual",$M163=1),$M163&gt;(ROW(PLE.lastrow)-ROW(PLE.firstrow))),0,IF(OFFSET(PLE!$G$14,$M163,AX$13)="",10^12,OFFSET(PLE!$G$14,$M163,AX$13))))</f>
        <v>1000000000000</v>
      </c>
      <c r="AY163" s="212">
        <f ca="1">IF($D163&lt;&gt;"Serviço",0,IF(OR(AND(AUTOEVENTO="Manual",$M163=1),$M163&gt;(ROW(PLE.lastrow)-ROW(PLE.firstrow))),0,IF(OFFSET(PLE!$G$14,$M163,AY$13)="",10^12,OFFSET(PLE!$G$14,$M163,AY$13))))</f>
        <v>1000000000000</v>
      </c>
      <c r="AZ163" s="212">
        <f ca="1">IF($D163&lt;&gt;"Serviço",0,IF(OR(AND(AUTOEVENTO="Manual",$M163=1),$M163&gt;(ROW(PLE.lastrow)-ROW(PLE.firstrow))),0,IF(OFFSET(PLE!$G$14,$M163,AZ$13)="",10^12,OFFSET(PLE!$G$14,$M163,AZ$13))))</f>
        <v>1000000000000</v>
      </c>
      <c r="BA163" s="212">
        <f ca="1">IF($D163&lt;&gt;"Serviço",0,IF(OR(AND(AUTOEVENTO="Manual",$M163=1),$M163&gt;(ROW(PLE.lastrow)-ROW(PLE.firstrow))),0,IF(OFFSET(PLE!$G$14,$M163,BA$13)="",10^12,OFFSET(PLE!$G$14,$M163,BA$13))))</f>
        <v>1000000000000</v>
      </c>
      <c r="BB163" s="212">
        <f ca="1">IF($D163&lt;&gt;"Serviço",0,IF(OR(AND(AUTOEVENTO="Manual",$M163=1),$M163&gt;(ROW(PLE.lastrow)-ROW(PLE.firstrow))),0,IF(OFFSET(PLE!$G$14,$M163,BB$13)="",10^12,OFFSET(PLE!$G$14,$M163,BB$13))))</f>
        <v>1000000000000</v>
      </c>
      <c r="BC163" s="212">
        <f ca="1">IF($D163&lt;&gt;"Serviço",0,IF(OR(AND(AUTOEVENTO="Manual",$M163=1),$M163&gt;(ROW(PLE.lastrow)-ROW(PLE.firstrow))),0,IF(OFFSET(PLE!$G$14,$M163,BC$13)="",10^12,OFFSET(PLE!$G$14,$M163,BC$13))))</f>
        <v>1000000000000</v>
      </c>
      <c r="BD163" s="212">
        <f ca="1">IF($D163&lt;&gt;"Serviço",0,IF(OR(AND(AUTOEVENTO="Manual",$M163=1),$M163&gt;(ROW(PLE.lastrow)-ROW(PLE.firstrow))),0,IF(OFFSET(PLE!$G$14,$M163,BD$13)="",10^12,OFFSET(PLE!$G$14,$M163,BD$13))))</f>
        <v>1000000000000</v>
      </c>
      <c r="BE163" s="212">
        <f ca="1">IF($D163&lt;&gt;"Serviço",0,IF(OR(AND(AUTOEVENTO="Manual",$M163=1),$M163&gt;(ROW(PLE.lastrow)-ROW(PLE.firstrow))),0,IF(OFFSET(PLE!$G$14,$M163,BE$13)="",10^12,OFFSET(PLE!$G$14,$M163,BE$13))))</f>
        <v>1000000000000</v>
      </c>
      <c r="BF163" s="212">
        <f ca="1">IF($D163&lt;&gt;"Serviço",0,IF(OR(AND(AUTOEVENTO="Manual",$M163=1),$M163&gt;(ROW(PLE.lastrow)-ROW(PLE.firstrow))),0,IF(OFFSET(PLE!$G$14,$M163,BF$13)="",10^12,OFFSET(PLE!$G$14,$M163,BF$13))))</f>
        <v>1000000000000</v>
      </c>
      <c r="BG163" s="212">
        <f ca="1">IF($D163&lt;&gt;"Serviço",0,IF(OR(AND(AUTOEVENTO="Manual",$M163=1),$M163&gt;(ROW(PLE.lastrow)-ROW(PLE.firstrow))),0,IF(OFFSET(PLE!$G$14,$M163,BG$13)="",10^12,OFFSET(PLE!$G$14,$M163,BG$13))))</f>
        <v>1000000000000</v>
      </c>
    </row>
    <row r="164" spans="1:59" ht="13.2">
      <c r="A164" s="9" t="str">
        <f t="shared" ca="1" si="11"/>
        <v>15</v>
      </c>
      <c r="B164" s="9" t="str">
        <f ca="1">OFFSET(ORÇAMENTO!C$15,ROW(B164)-ROW(B$15),0)</f>
        <v>S</v>
      </c>
      <c r="C164" s="9" t="str">
        <f ca="1">OFFSET(ORÇAMENTO!L$15,ROW(C164)-ROW(C$15),0)</f>
        <v/>
      </c>
      <c r="D164" s="141" t="str">
        <f ca="1">OFFSET(ORÇAMENTO!N$15,ROW(D164)-ROW(D$15),0)</f>
        <v>Serviço</v>
      </c>
      <c r="E164" s="201" t="str">
        <f ca="1">OFFSET(ORÇAMENTO!O$15,ROW(E164)-ROW(E$15),0)</f>
        <v>-</v>
      </c>
      <c r="F164" s="202" t="str">
        <f ca="1">OFFSET(ORÇAMENTO!R$15,ROW(F164)-ROW(F$15),0)</f>
        <v>(abra o arquivo 'Referência 11-2024.xlsm)</v>
      </c>
      <c r="G164" s="203" t="str">
        <f ca="1">IF($D164&lt;&gt;"Serviço","",OFFSET(ORÇAMENTO!S$15,ROW(G164)-ROW(G$15),0))</f>
        <v>-</v>
      </c>
      <c r="H164" s="147">
        <f ca="1">IF($D164&lt;&gt;"Serviço",0,IF(ACOMPANHAMENTO="BM",ROUND(OFFSET(ORÇAMENTO!AJ$15,ROW(H164)-ROW(H$15),0),15-13*ORÇAMENTO!$AF$7),SUMPRODUCT(($Q$12:$AA$12&lt;&gt;"")*ROUND($Q164:$AA164,15-13*ORÇAMENTO!$AF$7))))</f>
        <v>0</v>
      </c>
      <c r="I164" s="645"/>
      <c r="K164" s="204"/>
      <c r="L164" s="205" t="s">
        <v>255</v>
      </c>
      <c r="M164" s="206">
        <f ca="1">IF($D164&lt;&gt;"Serviço","",IF(AUTOEVENTO="manual",$A164,IF(ISERROR(MATCH($A164,$A$15:OFFSET($A164,-1,0),0)),MAX($M$15:OFFSET(M164,-1,0))+1,INDEX($M$15:OFFSET(M164,-1,0),MATCH($A164,$A$15:OFFSET($A164,-1,0),0)))))</f>
        <v>6</v>
      </c>
      <c r="N164" s="207" t="str">
        <f ca="1">IF($D164&lt;&gt;"Serviço","",IF(AUTOEVENTO="Manual",IF($A164=0,"&lt;-- defina o número do agrupador",OFFSET(EVENTOS!$D$14,$A164,0)),OFFSET($F$15,$A164,0)))</f>
        <v>DRENAGEM</v>
      </c>
      <c r="O164" s="208"/>
      <c r="Q164" s="208"/>
      <c r="R164" s="209"/>
      <c r="S164" s="209"/>
      <c r="T164" s="209"/>
      <c r="U164" s="209"/>
      <c r="V164" s="209"/>
      <c r="W164" s="209"/>
      <c r="X164" s="209"/>
      <c r="Y164" s="209"/>
      <c r="Z164" s="210"/>
      <c r="AB164" s="626">
        <f ca="1">IF(AND($D164="Serviço",AB$12&lt;&gt;0,$H164&gt;0,OR(AUTOEVENTO&lt;&gt;"manual",$M164&lt;&gt;1)),
IF(Import.TipoArredondamento&lt;&gt;"TransfereGOV",
ROUND(OFFSET($P164,0,AB$13),15-13*ORÇAMENTO!$AF$7)/$H164*OFFSET(ORÇAMENTO!$X$15,ROW(AB164)-ROW(AB$15),0),
ROUND(ROUND(OFFSET($P164,0,AB$13),15-13*ORÇAMENTO!$AF$7)*OFFSET(ORÇAMENTO!$W$15,ROW(AB164)-ROW(AB$15),0),15-13*ORÇAMENTO!$AF$11)),0)</f>
        <v>0</v>
      </c>
      <c r="AC164" s="627">
        <f ca="1">IF(AND($D164="Serviço",AC$12&lt;&gt;0,$H164&gt;0,OR(AUTOEVENTO&lt;&gt;"manual",$M164&lt;&gt;1)),
IF(Import.TipoArredondamento&lt;&gt;"TransfereGOV",
ROUND(OFFSET($P164,0,AC$13),15-13*ORÇAMENTO!$AF$7)/$H164*OFFSET(ORÇAMENTO!$X$15,ROW(AC164)-ROW(AC$15),0),
ROUND(ROUND(OFFSET($P164,0,AC$13),15-13*ORÇAMENTO!$AF$7)*OFFSET(ORÇAMENTO!$W$15,ROW(AC164)-ROW(AC$15),0),15-13*ORÇAMENTO!$AF$11)),0)</f>
        <v>0</v>
      </c>
      <c r="AD164" s="627">
        <f ca="1">IF(AND($D164="Serviço",AD$12&lt;&gt;0,$H164&gt;0,OR(AUTOEVENTO&lt;&gt;"manual",$M164&lt;&gt;1)),
IF(Import.TipoArredondamento&lt;&gt;"TransfereGOV",
ROUND(OFFSET($P164,0,AD$13),15-13*ORÇAMENTO!$AF$7)/$H164*OFFSET(ORÇAMENTO!$X$15,ROW(AD164)-ROW(AD$15),0),
ROUND(ROUND(OFFSET($P164,0,AD$13),15-13*ORÇAMENTO!$AF$7)*OFFSET(ORÇAMENTO!$W$15,ROW(AD164)-ROW(AD$15),0),15-13*ORÇAMENTO!$AF$11)),0)</f>
        <v>0</v>
      </c>
      <c r="AE164" s="627">
        <f ca="1">IF(AND($D164="Serviço",AE$12&lt;&gt;0,$H164&gt;0,OR(AUTOEVENTO&lt;&gt;"manual",$M164&lt;&gt;1)),
IF(Import.TipoArredondamento&lt;&gt;"TransfereGOV",
ROUND(OFFSET($P164,0,AE$13),15-13*ORÇAMENTO!$AF$7)/$H164*OFFSET(ORÇAMENTO!$X$15,ROW(AE164)-ROW(AE$15),0),
ROUND(ROUND(OFFSET($P164,0,AE$13),15-13*ORÇAMENTO!$AF$7)*OFFSET(ORÇAMENTO!$W$15,ROW(AE164)-ROW(AE$15),0),15-13*ORÇAMENTO!$AF$11)),0)</f>
        <v>0</v>
      </c>
      <c r="AF164" s="627">
        <f ca="1">IF(AND($D164="Serviço",AF$12&lt;&gt;0,$H164&gt;0,OR(AUTOEVENTO&lt;&gt;"manual",$M164&lt;&gt;1)),
IF(Import.TipoArredondamento&lt;&gt;"TransfereGOV",
ROUND(OFFSET($P164,0,AF$13),15-13*ORÇAMENTO!$AF$7)/$H164*OFFSET(ORÇAMENTO!$X$15,ROW(AF164)-ROW(AF$15),0),
ROUND(ROUND(OFFSET($P164,0,AF$13),15-13*ORÇAMENTO!$AF$7)*OFFSET(ORÇAMENTO!$W$15,ROW(AF164)-ROW(AF$15),0),15-13*ORÇAMENTO!$AF$11)),0)</f>
        <v>0</v>
      </c>
      <c r="AG164" s="627">
        <f ca="1">IF(AND($D164="Serviço",AG$12&lt;&gt;0,$H164&gt;0,OR(AUTOEVENTO&lt;&gt;"manual",$M164&lt;&gt;1)),
IF(Import.TipoArredondamento&lt;&gt;"TransfereGOV",
ROUND(OFFSET($P164,0,AG$13),15-13*ORÇAMENTO!$AF$7)/$H164*OFFSET(ORÇAMENTO!$X$15,ROW(AG164)-ROW(AG$15),0),
ROUND(ROUND(OFFSET($P164,0,AG$13),15-13*ORÇAMENTO!$AF$7)*OFFSET(ORÇAMENTO!$W$15,ROW(AG164)-ROW(AG$15),0),15-13*ORÇAMENTO!$AF$11)),0)</f>
        <v>0</v>
      </c>
      <c r="AH164" s="627">
        <f ca="1">IF(AND($D164="Serviço",AH$12&lt;&gt;0,$H164&gt;0,OR(AUTOEVENTO&lt;&gt;"manual",$M164&lt;&gt;1)),
IF(Import.TipoArredondamento&lt;&gt;"TransfereGOV",
ROUND(OFFSET($P164,0,AH$13),15-13*ORÇAMENTO!$AF$7)/$H164*OFFSET(ORÇAMENTO!$X$15,ROW(AH164)-ROW(AH$15),0),
ROUND(ROUND(OFFSET($P164,0,AH$13),15-13*ORÇAMENTO!$AF$7)*OFFSET(ORÇAMENTO!$W$15,ROW(AH164)-ROW(AH$15),0),15-13*ORÇAMENTO!$AF$11)),0)</f>
        <v>0</v>
      </c>
      <c r="AI164" s="627">
        <f ca="1">IF(AND($D164="Serviço",AI$12&lt;&gt;0,$H164&gt;0,OR(AUTOEVENTO&lt;&gt;"manual",$M164&lt;&gt;1)),
IF(Import.TipoArredondamento&lt;&gt;"TransfereGOV",
ROUND(OFFSET($P164,0,AI$13),15-13*ORÇAMENTO!$AF$7)/$H164*OFFSET(ORÇAMENTO!$X$15,ROW(AI164)-ROW(AI$15),0),
ROUND(ROUND(OFFSET($P164,0,AI$13),15-13*ORÇAMENTO!$AF$7)*OFFSET(ORÇAMENTO!$W$15,ROW(AI164)-ROW(AI$15),0),15-13*ORÇAMENTO!$AF$11)),0)</f>
        <v>0</v>
      </c>
      <c r="AJ164" s="627">
        <f ca="1">IF(AND($D164="Serviço",AJ$12&lt;&gt;0,$H164&gt;0,OR(AUTOEVENTO&lt;&gt;"manual",$M164&lt;&gt;1)),
IF(Import.TipoArredondamento&lt;&gt;"TransfereGOV",
ROUND(OFFSET($P164,0,AJ$13),15-13*ORÇAMENTO!$AF$7)/$H164*OFFSET(ORÇAMENTO!$X$15,ROW(AJ164)-ROW(AJ$15),0),
ROUND(ROUND(OFFSET($P164,0,AJ$13),15-13*ORÇAMENTO!$AF$7)*OFFSET(ORÇAMENTO!$W$15,ROW(AJ164)-ROW(AJ$15),0),15-13*ORÇAMENTO!$AF$11)),0)</f>
        <v>0</v>
      </c>
      <c r="AK164" s="628">
        <f ca="1">IF(AND($D164="Serviço",AK$12&lt;&gt;0,$H164&gt;0,OR(AUTOEVENTO&lt;&gt;"manual",$M164&lt;&gt;1)),
IF(Import.TipoArredondamento&lt;&gt;"TransfereGOV",
ROUND(OFFSET($P164,0,AK$13),15-13*ORÇAMENTO!$AF$7)/$H164*OFFSET(ORÇAMENTO!$X$15,ROW(AK164)-ROW(AK$15),0),
ROUND(ROUND(OFFSET($P164,0,AK$13),15-13*ORÇAMENTO!$AF$7)*OFFSET(ORÇAMENTO!$W$15,ROW(AK164)-ROW(AK$15),0),15-13*ORÇAMENTO!$AF$11)),0)</f>
        <v>0</v>
      </c>
      <c r="AM164" s="211">
        <f ca="1">IF($D164&lt;&gt;"Serviço",0,IF(AND(AUTOEVENTO="Manual",$M164=1),0,IF(OFFSET(CRONOPLE!$F$14,$M164,AM$13)="",10^12,OFFSET(CRONOPLE!$F$14,$M164,AM$13))))</f>
        <v>2</v>
      </c>
      <c r="AN164" s="211">
        <f ca="1">IF($D164&lt;&gt;"Serviço",0,IF(AND(AUTOEVENTO="Manual",$M164=1),0,IF(OFFSET(CRONOPLE!$F$14,$M164,AN$13)="",10^12,OFFSET(CRONOPLE!$F$14,$M164,AN$13))))</f>
        <v>1</v>
      </c>
      <c r="AO164" s="211">
        <f ca="1">IF($D164&lt;&gt;"Serviço",0,IF(AND(AUTOEVENTO="Manual",$M164=1),0,IF(OFFSET(CRONOPLE!$F$14,$M164,AO$13)="",10^12,OFFSET(CRONOPLE!$F$14,$M164,AO$13))))</f>
        <v>2</v>
      </c>
      <c r="AP164" s="211">
        <f ca="1">IF($D164&lt;&gt;"Serviço",0,IF(AND(AUTOEVENTO="Manual",$M164=1),0,IF(OFFSET(CRONOPLE!$F$14,$M164,AP$13)="",10^12,OFFSET(CRONOPLE!$F$14,$M164,AP$13))))</f>
        <v>2</v>
      </c>
      <c r="AQ164" s="211">
        <f ca="1">IF($D164&lt;&gt;"Serviço",0,IF(AND(AUTOEVENTO="Manual",$M164=1),0,IF(OFFSET(CRONOPLE!$F$14,$M164,AQ$13)="",10^12,OFFSET(CRONOPLE!$F$14,$M164,AQ$13))))</f>
        <v>1000000000000</v>
      </c>
      <c r="AR164" s="211">
        <f ca="1">IF($D164&lt;&gt;"Serviço",0,IF(AND(AUTOEVENTO="Manual",$M164=1),0,IF(OFFSET(CRONOPLE!$F$14,$M164,AR$13)="",10^12,OFFSET(CRONOPLE!$F$14,$M164,AR$13))))</f>
        <v>1000000000000</v>
      </c>
      <c r="AS164" s="211">
        <f ca="1">IF($D164&lt;&gt;"Serviço",0,IF(AND(AUTOEVENTO="Manual",$M164=1),0,IF(OFFSET(CRONOPLE!$F$14,$M164,AS$13)="",10^12,OFFSET(CRONOPLE!$F$14,$M164,AS$13))))</f>
        <v>1000000000000</v>
      </c>
      <c r="AT164" s="211">
        <f ca="1">IF($D164&lt;&gt;"Serviço",0,IF(AND(AUTOEVENTO="Manual",$M164=1),0,IF(OFFSET(CRONOPLE!$F$14,$M164,AT$13)="",10^12,OFFSET(CRONOPLE!$F$14,$M164,AT$13))))</f>
        <v>1000000000000</v>
      </c>
      <c r="AU164" s="211">
        <f ca="1">IF($D164&lt;&gt;"Serviço",0,IF(AND(AUTOEVENTO="Manual",$M164=1),0,IF(OFFSET(CRONOPLE!$F$14,$M164,AU$13)="",10^12,OFFSET(CRONOPLE!$F$14,$M164,AU$13))))</f>
        <v>1000000000000</v>
      </c>
      <c r="AV164" s="211">
        <f ca="1">IF($D164&lt;&gt;"Serviço",0,IF(AND(AUTOEVENTO="Manual",$M164=1),0,IF(OFFSET(CRONOPLE!$F$14,$M164,AV$13)="",10^12,OFFSET(CRONOPLE!$F$14,$M164,AV$13))))</f>
        <v>1000000000000</v>
      </c>
      <c r="AX164" s="212">
        <f ca="1">IF($D164&lt;&gt;"Serviço",0,IF(OR(AND(AUTOEVENTO="Manual",$M164=1),$M164&gt;(ROW(PLE.lastrow)-ROW(PLE.firstrow))),0,IF(OFFSET(PLE!$G$14,$M164,AX$13)="",10^12,OFFSET(PLE!$G$14,$M164,AX$13))))</f>
        <v>1000000000000</v>
      </c>
      <c r="AY164" s="212">
        <f ca="1">IF($D164&lt;&gt;"Serviço",0,IF(OR(AND(AUTOEVENTO="Manual",$M164=1),$M164&gt;(ROW(PLE.lastrow)-ROW(PLE.firstrow))),0,IF(OFFSET(PLE!$G$14,$M164,AY$13)="",10^12,OFFSET(PLE!$G$14,$M164,AY$13))))</f>
        <v>1000000000000</v>
      </c>
      <c r="AZ164" s="212">
        <f ca="1">IF($D164&lt;&gt;"Serviço",0,IF(OR(AND(AUTOEVENTO="Manual",$M164=1),$M164&gt;(ROW(PLE.lastrow)-ROW(PLE.firstrow))),0,IF(OFFSET(PLE!$G$14,$M164,AZ$13)="",10^12,OFFSET(PLE!$G$14,$M164,AZ$13))))</f>
        <v>1000000000000</v>
      </c>
      <c r="BA164" s="212">
        <f ca="1">IF($D164&lt;&gt;"Serviço",0,IF(OR(AND(AUTOEVENTO="Manual",$M164=1),$M164&gt;(ROW(PLE.lastrow)-ROW(PLE.firstrow))),0,IF(OFFSET(PLE!$G$14,$M164,BA$13)="",10^12,OFFSET(PLE!$G$14,$M164,BA$13))))</f>
        <v>1000000000000</v>
      </c>
      <c r="BB164" s="212">
        <f ca="1">IF($D164&lt;&gt;"Serviço",0,IF(OR(AND(AUTOEVENTO="Manual",$M164=1),$M164&gt;(ROW(PLE.lastrow)-ROW(PLE.firstrow))),0,IF(OFFSET(PLE!$G$14,$M164,BB$13)="",10^12,OFFSET(PLE!$G$14,$M164,BB$13))))</f>
        <v>1000000000000</v>
      </c>
      <c r="BC164" s="212">
        <f ca="1">IF($D164&lt;&gt;"Serviço",0,IF(OR(AND(AUTOEVENTO="Manual",$M164=1),$M164&gt;(ROW(PLE.lastrow)-ROW(PLE.firstrow))),0,IF(OFFSET(PLE!$G$14,$M164,BC$13)="",10^12,OFFSET(PLE!$G$14,$M164,BC$13))))</f>
        <v>1000000000000</v>
      </c>
      <c r="BD164" s="212">
        <f ca="1">IF($D164&lt;&gt;"Serviço",0,IF(OR(AND(AUTOEVENTO="Manual",$M164=1),$M164&gt;(ROW(PLE.lastrow)-ROW(PLE.firstrow))),0,IF(OFFSET(PLE!$G$14,$M164,BD$13)="",10^12,OFFSET(PLE!$G$14,$M164,BD$13))))</f>
        <v>1000000000000</v>
      </c>
      <c r="BE164" s="212">
        <f ca="1">IF($D164&lt;&gt;"Serviço",0,IF(OR(AND(AUTOEVENTO="Manual",$M164=1),$M164&gt;(ROW(PLE.lastrow)-ROW(PLE.firstrow))),0,IF(OFFSET(PLE!$G$14,$M164,BE$13)="",10^12,OFFSET(PLE!$G$14,$M164,BE$13))))</f>
        <v>1000000000000</v>
      </c>
      <c r="BF164" s="212">
        <f ca="1">IF($D164&lt;&gt;"Serviço",0,IF(OR(AND(AUTOEVENTO="Manual",$M164=1),$M164&gt;(ROW(PLE.lastrow)-ROW(PLE.firstrow))),0,IF(OFFSET(PLE!$G$14,$M164,BF$13)="",10^12,OFFSET(PLE!$G$14,$M164,BF$13))))</f>
        <v>1000000000000</v>
      </c>
      <c r="BG164" s="212">
        <f ca="1">IF($D164&lt;&gt;"Serviço",0,IF(OR(AND(AUTOEVENTO="Manual",$M164=1),$M164&gt;(ROW(PLE.lastrow)-ROW(PLE.firstrow))),0,IF(OFFSET(PLE!$G$14,$M164,BG$13)="",10^12,OFFSET(PLE!$G$14,$M164,BG$13))))</f>
        <v>1000000000000</v>
      </c>
    </row>
    <row r="165" spans="1:59" ht="13.2">
      <c r="A165" s="9" t="str">
        <f t="shared" ca="1" si="11"/>
        <v>15</v>
      </c>
      <c r="B165" s="9" t="str">
        <f ca="1">OFFSET(ORÇAMENTO!C$15,ROW(B165)-ROW(B$15),0)</f>
        <v>S</v>
      </c>
      <c r="C165" s="9" t="str">
        <f ca="1">OFFSET(ORÇAMENTO!L$15,ROW(C165)-ROW(C$15),0)</f>
        <v/>
      </c>
      <c r="D165" s="141" t="str">
        <f ca="1">OFFSET(ORÇAMENTO!N$15,ROW(D165)-ROW(D$15),0)</f>
        <v>Serviço</v>
      </c>
      <c r="E165" s="201" t="str">
        <f ca="1">OFFSET(ORÇAMENTO!O$15,ROW(E165)-ROW(E$15),0)</f>
        <v>-</v>
      </c>
      <c r="F165" s="202" t="str">
        <f ca="1">OFFSET(ORÇAMENTO!R$15,ROW(F165)-ROW(F$15),0)</f>
        <v>(abra o arquivo 'Referência 11-2024.xlsm)</v>
      </c>
      <c r="G165" s="203" t="str">
        <f ca="1">IF($D165&lt;&gt;"Serviço","",OFFSET(ORÇAMENTO!S$15,ROW(G165)-ROW(G$15),0))</f>
        <v>-</v>
      </c>
      <c r="H165" s="147">
        <f ca="1">IF($D165&lt;&gt;"Serviço",0,IF(ACOMPANHAMENTO="BM",ROUND(OFFSET(ORÇAMENTO!AJ$15,ROW(H165)-ROW(H$15),0),15-13*ORÇAMENTO!$AF$7),SUMPRODUCT(($Q$12:$AA$12&lt;&gt;"")*ROUND($Q165:$AA165,15-13*ORÇAMENTO!$AF$7))))</f>
        <v>0</v>
      </c>
      <c r="I165" s="645"/>
      <c r="K165" s="204"/>
      <c r="L165" s="205" t="s">
        <v>255</v>
      </c>
      <c r="M165" s="206">
        <f ca="1">IF($D165&lt;&gt;"Serviço","",IF(AUTOEVENTO="manual",$A165,IF(ISERROR(MATCH($A165,$A$15:OFFSET($A165,-1,0),0)),MAX($M$15:OFFSET(M165,-1,0))+1,INDEX($M$15:OFFSET(M165,-1,0),MATCH($A165,$A$15:OFFSET($A165,-1,0),0)))))</f>
        <v>6</v>
      </c>
      <c r="N165" s="207" t="str">
        <f ca="1">IF($D165&lt;&gt;"Serviço","",IF(AUTOEVENTO="Manual",IF($A165=0,"&lt;-- defina o número do agrupador",OFFSET(EVENTOS!$D$14,$A165,0)),OFFSET($F$15,$A165,0)))</f>
        <v>DRENAGEM</v>
      </c>
      <c r="O165" s="208"/>
      <c r="Q165" s="208"/>
      <c r="R165" s="209"/>
      <c r="S165" s="209"/>
      <c r="T165" s="209"/>
      <c r="U165" s="209"/>
      <c r="V165" s="209"/>
      <c r="W165" s="209"/>
      <c r="X165" s="209"/>
      <c r="Y165" s="209"/>
      <c r="Z165" s="210"/>
      <c r="AB165" s="626">
        <f ca="1">IF(AND($D165="Serviço",AB$12&lt;&gt;0,$H165&gt;0,OR(AUTOEVENTO&lt;&gt;"manual",$M165&lt;&gt;1)),
IF(Import.TipoArredondamento&lt;&gt;"TransfereGOV",
ROUND(OFFSET($P165,0,AB$13),15-13*ORÇAMENTO!$AF$7)/$H165*OFFSET(ORÇAMENTO!$X$15,ROW(AB165)-ROW(AB$15),0),
ROUND(ROUND(OFFSET($P165,0,AB$13),15-13*ORÇAMENTO!$AF$7)*OFFSET(ORÇAMENTO!$W$15,ROW(AB165)-ROW(AB$15),0),15-13*ORÇAMENTO!$AF$11)),0)</f>
        <v>0</v>
      </c>
      <c r="AC165" s="627">
        <f ca="1">IF(AND($D165="Serviço",AC$12&lt;&gt;0,$H165&gt;0,OR(AUTOEVENTO&lt;&gt;"manual",$M165&lt;&gt;1)),
IF(Import.TipoArredondamento&lt;&gt;"TransfereGOV",
ROUND(OFFSET($P165,0,AC$13),15-13*ORÇAMENTO!$AF$7)/$H165*OFFSET(ORÇAMENTO!$X$15,ROW(AC165)-ROW(AC$15),0),
ROUND(ROUND(OFFSET($P165,0,AC$13),15-13*ORÇAMENTO!$AF$7)*OFFSET(ORÇAMENTO!$W$15,ROW(AC165)-ROW(AC$15),0),15-13*ORÇAMENTO!$AF$11)),0)</f>
        <v>0</v>
      </c>
      <c r="AD165" s="627">
        <f ca="1">IF(AND($D165="Serviço",AD$12&lt;&gt;0,$H165&gt;0,OR(AUTOEVENTO&lt;&gt;"manual",$M165&lt;&gt;1)),
IF(Import.TipoArredondamento&lt;&gt;"TransfereGOV",
ROUND(OFFSET($P165,0,AD$13),15-13*ORÇAMENTO!$AF$7)/$H165*OFFSET(ORÇAMENTO!$X$15,ROW(AD165)-ROW(AD$15),0),
ROUND(ROUND(OFFSET($P165,0,AD$13),15-13*ORÇAMENTO!$AF$7)*OFFSET(ORÇAMENTO!$W$15,ROW(AD165)-ROW(AD$15),0),15-13*ORÇAMENTO!$AF$11)),0)</f>
        <v>0</v>
      </c>
      <c r="AE165" s="627">
        <f ca="1">IF(AND($D165="Serviço",AE$12&lt;&gt;0,$H165&gt;0,OR(AUTOEVENTO&lt;&gt;"manual",$M165&lt;&gt;1)),
IF(Import.TipoArredondamento&lt;&gt;"TransfereGOV",
ROUND(OFFSET($P165,0,AE$13),15-13*ORÇAMENTO!$AF$7)/$H165*OFFSET(ORÇAMENTO!$X$15,ROW(AE165)-ROW(AE$15),0),
ROUND(ROUND(OFFSET($P165,0,AE$13),15-13*ORÇAMENTO!$AF$7)*OFFSET(ORÇAMENTO!$W$15,ROW(AE165)-ROW(AE$15),0),15-13*ORÇAMENTO!$AF$11)),0)</f>
        <v>0</v>
      </c>
      <c r="AF165" s="627">
        <f ca="1">IF(AND($D165="Serviço",AF$12&lt;&gt;0,$H165&gt;0,OR(AUTOEVENTO&lt;&gt;"manual",$M165&lt;&gt;1)),
IF(Import.TipoArredondamento&lt;&gt;"TransfereGOV",
ROUND(OFFSET($P165,0,AF$13),15-13*ORÇAMENTO!$AF$7)/$H165*OFFSET(ORÇAMENTO!$X$15,ROW(AF165)-ROW(AF$15),0),
ROUND(ROUND(OFFSET($P165,0,AF$13),15-13*ORÇAMENTO!$AF$7)*OFFSET(ORÇAMENTO!$W$15,ROW(AF165)-ROW(AF$15),0),15-13*ORÇAMENTO!$AF$11)),0)</f>
        <v>0</v>
      </c>
      <c r="AG165" s="627">
        <f ca="1">IF(AND($D165="Serviço",AG$12&lt;&gt;0,$H165&gt;0,OR(AUTOEVENTO&lt;&gt;"manual",$M165&lt;&gt;1)),
IF(Import.TipoArredondamento&lt;&gt;"TransfereGOV",
ROUND(OFFSET($P165,0,AG$13),15-13*ORÇAMENTO!$AF$7)/$H165*OFFSET(ORÇAMENTO!$X$15,ROW(AG165)-ROW(AG$15),0),
ROUND(ROUND(OFFSET($P165,0,AG$13),15-13*ORÇAMENTO!$AF$7)*OFFSET(ORÇAMENTO!$W$15,ROW(AG165)-ROW(AG$15),0),15-13*ORÇAMENTO!$AF$11)),0)</f>
        <v>0</v>
      </c>
      <c r="AH165" s="627">
        <f ca="1">IF(AND($D165="Serviço",AH$12&lt;&gt;0,$H165&gt;0,OR(AUTOEVENTO&lt;&gt;"manual",$M165&lt;&gt;1)),
IF(Import.TipoArredondamento&lt;&gt;"TransfereGOV",
ROUND(OFFSET($P165,0,AH$13),15-13*ORÇAMENTO!$AF$7)/$H165*OFFSET(ORÇAMENTO!$X$15,ROW(AH165)-ROW(AH$15),0),
ROUND(ROUND(OFFSET($P165,0,AH$13),15-13*ORÇAMENTO!$AF$7)*OFFSET(ORÇAMENTO!$W$15,ROW(AH165)-ROW(AH$15),0),15-13*ORÇAMENTO!$AF$11)),0)</f>
        <v>0</v>
      </c>
      <c r="AI165" s="627">
        <f ca="1">IF(AND($D165="Serviço",AI$12&lt;&gt;0,$H165&gt;0,OR(AUTOEVENTO&lt;&gt;"manual",$M165&lt;&gt;1)),
IF(Import.TipoArredondamento&lt;&gt;"TransfereGOV",
ROUND(OFFSET($P165,0,AI$13),15-13*ORÇAMENTO!$AF$7)/$H165*OFFSET(ORÇAMENTO!$X$15,ROW(AI165)-ROW(AI$15),0),
ROUND(ROUND(OFFSET($P165,0,AI$13),15-13*ORÇAMENTO!$AF$7)*OFFSET(ORÇAMENTO!$W$15,ROW(AI165)-ROW(AI$15),0),15-13*ORÇAMENTO!$AF$11)),0)</f>
        <v>0</v>
      </c>
      <c r="AJ165" s="627">
        <f ca="1">IF(AND($D165="Serviço",AJ$12&lt;&gt;0,$H165&gt;0,OR(AUTOEVENTO&lt;&gt;"manual",$M165&lt;&gt;1)),
IF(Import.TipoArredondamento&lt;&gt;"TransfereGOV",
ROUND(OFFSET($P165,0,AJ$13),15-13*ORÇAMENTO!$AF$7)/$H165*OFFSET(ORÇAMENTO!$X$15,ROW(AJ165)-ROW(AJ$15),0),
ROUND(ROUND(OFFSET($P165,0,AJ$13),15-13*ORÇAMENTO!$AF$7)*OFFSET(ORÇAMENTO!$W$15,ROW(AJ165)-ROW(AJ$15),0),15-13*ORÇAMENTO!$AF$11)),0)</f>
        <v>0</v>
      </c>
      <c r="AK165" s="628">
        <f ca="1">IF(AND($D165="Serviço",AK$12&lt;&gt;0,$H165&gt;0,OR(AUTOEVENTO&lt;&gt;"manual",$M165&lt;&gt;1)),
IF(Import.TipoArredondamento&lt;&gt;"TransfereGOV",
ROUND(OFFSET($P165,0,AK$13),15-13*ORÇAMENTO!$AF$7)/$H165*OFFSET(ORÇAMENTO!$X$15,ROW(AK165)-ROW(AK$15),0),
ROUND(ROUND(OFFSET($P165,0,AK$13),15-13*ORÇAMENTO!$AF$7)*OFFSET(ORÇAMENTO!$W$15,ROW(AK165)-ROW(AK$15),0),15-13*ORÇAMENTO!$AF$11)),0)</f>
        <v>0</v>
      </c>
      <c r="AM165" s="211">
        <f ca="1">IF($D165&lt;&gt;"Serviço",0,IF(AND(AUTOEVENTO="Manual",$M165=1),0,IF(OFFSET(CRONOPLE!$F$14,$M165,AM$13)="",10^12,OFFSET(CRONOPLE!$F$14,$M165,AM$13))))</f>
        <v>2</v>
      </c>
      <c r="AN165" s="211">
        <f ca="1">IF($D165&lt;&gt;"Serviço",0,IF(AND(AUTOEVENTO="Manual",$M165=1),0,IF(OFFSET(CRONOPLE!$F$14,$M165,AN$13)="",10^12,OFFSET(CRONOPLE!$F$14,$M165,AN$13))))</f>
        <v>1</v>
      </c>
      <c r="AO165" s="211">
        <f ca="1">IF($D165&lt;&gt;"Serviço",0,IF(AND(AUTOEVENTO="Manual",$M165=1),0,IF(OFFSET(CRONOPLE!$F$14,$M165,AO$13)="",10^12,OFFSET(CRONOPLE!$F$14,$M165,AO$13))))</f>
        <v>2</v>
      </c>
      <c r="AP165" s="211">
        <f ca="1">IF($D165&lt;&gt;"Serviço",0,IF(AND(AUTOEVENTO="Manual",$M165=1),0,IF(OFFSET(CRONOPLE!$F$14,$M165,AP$13)="",10^12,OFFSET(CRONOPLE!$F$14,$M165,AP$13))))</f>
        <v>2</v>
      </c>
      <c r="AQ165" s="211">
        <f ca="1">IF($D165&lt;&gt;"Serviço",0,IF(AND(AUTOEVENTO="Manual",$M165=1),0,IF(OFFSET(CRONOPLE!$F$14,$M165,AQ$13)="",10^12,OFFSET(CRONOPLE!$F$14,$M165,AQ$13))))</f>
        <v>1000000000000</v>
      </c>
      <c r="AR165" s="211">
        <f ca="1">IF($D165&lt;&gt;"Serviço",0,IF(AND(AUTOEVENTO="Manual",$M165=1),0,IF(OFFSET(CRONOPLE!$F$14,$M165,AR$13)="",10^12,OFFSET(CRONOPLE!$F$14,$M165,AR$13))))</f>
        <v>1000000000000</v>
      </c>
      <c r="AS165" s="211">
        <f ca="1">IF($D165&lt;&gt;"Serviço",0,IF(AND(AUTOEVENTO="Manual",$M165=1),0,IF(OFFSET(CRONOPLE!$F$14,$M165,AS$13)="",10^12,OFFSET(CRONOPLE!$F$14,$M165,AS$13))))</f>
        <v>1000000000000</v>
      </c>
      <c r="AT165" s="211">
        <f ca="1">IF($D165&lt;&gt;"Serviço",0,IF(AND(AUTOEVENTO="Manual",$M165=1),0,IF(OFFSET(CRONOPLE!$F$14,$M165,AT$13)="",10^12,OFFSET(CRONOPLE!$F$14,$M165,AT$13))))</f>
        <v>1000000000000</v>
      </c>
      <c r="AU165" s="211">
        <f ca="1">IF($D165&lt;&gt;"Serviço",0,IF(AND(AUTOEVENTO="Manual",$M165=1),0,IF(OFFSET(CRONOPLE!$F$14,$M165,AU$13)="",10^12,OFFSET(CRONOPLE!$F$14,$M165,AU$13))))</f>
        <v>1000000000000</v>
      </c>
      <c r="AV165" s="211">
        <f ca="1">IF($D165&lt;&gt;"Serviço",0,IF(AND(AUTOEVENTO="Manual",$M165=1),0,IF(OFFSET(CRONOPLE!$F$14,$M165,AV$13)="",10^12,OFFSET(CRONOPLE!$F$14,$M165,AV$13))))</f>
        <v>1000000000000</v>
      </c>
      <c r="AX165" s="212">
        <f ca="1">IF($D165&lt;&gt;"Serviço",0,IF(OR(AND(AUTOEVENTO="Manual",$M165=1),$M165&gt;(ROW(PLE.lastrow)-ROW(PLE.firstrow))),0,IF(OFFSET(PLE!$G$14,$M165,AX$13)="",10^12,OFFSET(PLE!$G$14,$M165,AX$13))))</f>
        <v>1000000000000</v>
      </c>
      <c r="AY165" s="212">
        <f ca="1">IF($D165&lt;&gt;"Serviço",0,IF(OR(AND(AUTOEVENTO="Manual",$M165=1),$M165&gt;(ROW(PLE.lastrow)-ROW(PLE.firstrow))),0,IF(OFFSET(PLE!$G$14,$M165,AY$13)="",10^12,OFFSET(PLE!$G$14,$M165,AY$13))))</f>
        <v>1000000000000</v>
      </c>
      <c r="AZ165" s="212">
        <f ca="1">IF($D165&lt;&gt;"Serviço",0,IF(OR(AND(AUTOEVENTO="Manual",$M165=1),$M165&gt;(ROW(PLE.lastrow)-ROW(PLE.firstrow))),0,IF(OFFSET(PLE!$G$14,$M165,AZ$13)="",10^12,OFFSET(PLE!$G$14,$M165,AZ$13))))</f>
        <v>1000000000000</v>
      </c>
      <c r="BA165" s="212">
        <f ca="1">IF($D165&lt;&gt;"Serviço",0,IF(OR(AND(AUTOEVENTO="Manual",$M165=1),$M165&gt;(ROW(PLE.lastrow)-ROW(PLE.firstrow))),0,IF(OFFSET(PLE!$G$14,$M165,BA$13)="",10^12,OFFSET(PLE!$G$14,$M165,BA$13))))</f>
        <v>1000000000000</v>
      </c>
      <c r="BB165" s="212">
        <f ca="1">IF($D165&lt;&gt;"Serviço",0,IF(OR(AND(AUTOEVENTO="Manual",$M165=1),$M165&gt;(ROW(PLE.lastrow)-ROW(PLE.firstrow))),0,IF(OFFSET(PLE!$G$14,$M165,BB$13)="",10^12,OFFSET(PLE!$G$14,$M165,BB$13))))</f>
        <v>1000000000000</v>
      </c>
      <c r="BC165" s="212">
        <f ca="1">IF($D165&lt;&gt;"Serviço",0,IF(OR(AND(AUTOEVENTO="Manual",$M165=1),$M165&gt;(ROW(PLE.lastrow)-ROW(PLE.firstrow))),0,IF(OFFSET(PLE!$G$14,$M165,BC$13)="",10^12,OFFSET(PLE!$G$14,$M165,BC$13))))</f>
        <v>1000000000000</v>
      </c>
      <c r="BD165" s="212">
        <f ca="1">IF($D165&lt;&gt;"Serviço",0,IF(OR(AND(AUTOEVENTO="Manual",$M165=1),$M165&gt;(ROW(PLE.lastrow)-ROW(PLE.firstrow))),0,IF(OFFSET(PLE!$G$14,$M165,BD$13)="",10^12,OFFSET(PLE!$G$14,$M165,BD$13))))</f>
        <v>1000000000000</v>
      </c>
      <c r="BE165" s="212">
        <f ca="1">IF($D165&lt;&gt;"Serviço",0,IF(OR(AND(AUTOEVENTO="Manual",$M165=1),$M165&gt;(ROW(PLE.lastrow)-ROW(PLE.firstrow))),0,IF(OFFSET(PLE!$G$14,$M165,BE$13)="",10^12,OFFSET(PLE!$G$14,$M165,BE$13))))</f>
        <v>1000000000000</v>
      </c>
      <c r="BF165" s="212">
        <f ca="1">IF($D165&lt;&gt;"Serviço",0,IF(OR(AND(AUTOEVENTO="Manual",$M165=1),$M165&gt;(ROW(PLE.lastrow)-ROW(PLE.firstrow))),0,IF(OFFSET(PLE!$G$14,$M165,BF$13)="",10^12,OFFSET(PLE!$G$14,$M165,BF$13))))</f>
        <v>1000000000000</v>
      </c>
      <c r="BG165" s="212">
        <f ca="1">IF($D165&lt;&gt;"Serviço",0,IF(OR(AND(AUTOEVENTO="Manual",$M165=1),$M165&gt;(ROW(PLE.lastrow)-ROW(PLE.firstrow))),0,IF(OFFSET(PLE!$G$14,$M165,BG$13)="",10^12,OFFSET(PLE!$G$14,$M165,BG$13))))</f>
        <v>1000000000000</v>
      </c>
    </row>
    <row r="166" spans="1:59" ht="13.2">
      <c r="A166" s="9" t="str">
        <f t="shared" ca="1" si="11"/>
        <v>15</v>
      </c>
      <c r="B166" s="9" t="str">
        <f ca="1">OFFSET(ORÇAMENTO!C$15,ROW(B166)-ROW(B$15),0)</f>
        <v>S</v>
      </c>
      <c r="C166" s="9" t="str">
        <f ca="1">OFFSET(ORÇAMENTO!L$15,ROW(C166)-ROW(C$15),0)</f>
        <v/>
      </c>
      <c r="D166" s="141" t="str">
        <f ca="1">OFFSET(ORÇAMENTO!N$15,ROW(D166)-ROW(D$15),0)</f>
        <v>Serviço</v>
      </c>
      <c r="E166" s="201" t="str">
        <f ca="1">OFFSET(ORÇAMENTO!O$15,ROW(E166)-ROW(E$15),0)</f>
        <v>-</v>
      </c>
      <c r="F166" s="202" t="str">
        <f ca="1">OFFSET(ORÇAMENTO!R$15,ROW(F166)-ROW(F$15),0)</f>
        <v>(abra o arquivo 'Referência 11-2024.xlsm)</v>
      </c>
      <c r="G166" s="203" t="str">
        <f ca="1">IF($D166&lt;&gt;"Serviço","",OFFSET(ORÇAMENTO!S$15,ROW(G166)-ROW(G$15),0))</f>
        <v>-</v>
      </c>
      <c r="H166" s="147">
        <f ca="1">IF($D166&lt;&gt;"Serviço",0,IF(ACOMPANHAMENTO="BM",ROUND(OFFSET(ORÇAMENTO!AJ$15,ROW(H166)-ROW(H$15),0),15-13*ORÇAMENTO!$AF$7),SUMPRODUCT(($Q$12:$AA$12&lt;&gt;"")*ROUND($Q166:$AA166,15-13*ORÇAMENTO!$AF$7))))</f>
        <v>0</v>
      </c>
      <c r="I166" s="645"/>
      <c r="K166" s="204"/>
      <c r="L166" s="205" t="s">
        <v>255</v>
      </c>
      <c r="M166" s="206">
        <f ca="1">IF($D166&lt;&gt;"Serviço","",IF(AUTOEVENTO="manual",$A166,IF(ISERROR(MATCH($A166,$A$15:OFFSET($A166,-1,0),0)),MAX($M$15:OFFSET(M166,-1,0))+1,INDEX($M$15:OFFSET(M166,-1,0),MATCH($A166,$A$15:OFFSET($A166,-1,0),0)))))</f>
        <v>6</v>
      </c>
      <c r="N166" s="207" t="str">
        <f ca="1">IF($D166&lt;&gt;"Serviço","",IF(AUTOEVENTO="Manual",IF($A166=0,"&lt;-- defina o número do agrupador",OFFSET(EVENTOS!$D$14,$A166,0)),OFFSET($F$15,$A166,0)))</f>
        <v>DRENAGEM</v>
      </c>
      <c r="O166" s="208"/>
      <c r="Q166" s="208"/>
      <c r="R166" s="209"/>
      <c r="S166" s="209"/>
      <c r="T166" s="209"/>
      <c r="U166" s="209"/>
      <c r="V166" s="209"/>
      <c r="W166" s="209"/>
      <c r="X166" s="209"/>
      <c r="Y166" s="209"/>
      <c r="Z166" s="210"/>
      <c r="AB166" s="626">
        <f ca="1">IF(AND($D166="Serviço",AB$12&lt;&gt;0,$H166&gt;0,OR(AUTOEVENTO&lt;&gt;"manual",$M166&lt;&gt;1)),
IF(Import.TipoArredondamento&lt;&gt;"TransfereGOV",
ROUND(OFFSET($P166,0,AB$13),15-13*ORÇAMENTO!$AF$7)/$H166*OFFSET(ORÇAMENTO!$X$15,ROW(AB166)-ROW(AB$15),0),
ROUND(ROUND(OFFSET($P166,0,AB$13),15-13*ORÇAMENTO!$AF$7)*OFFSET(ORÇAMENTO!$W$15,ROW(AB166)-ROW(AB$15),0),15-13*ORÇAMENTO!$AF$11)),0)</f>
        <v>0</v>
      </c>
      <c r="AC166" s="627">
        <f ca="1">IF(AND($D166="Serviço",AC$12&lt;&gt;0,$H166&gt;0,OR(AUTOEVENTO&lt;&gt;"manual",$M166&lt;&gt;1)),
IF(Import.TipoArredondamento&lt;&gt;"TransfereGOV",
ROUND(OFFSET($P166,0,AC$13),15-13*ORÇAMENTO!$AF$7)/$H166*OFFSET(ORÇAMENTO!$X$15,ROW(AC166)-ROW(AC$15),0),
ROUND(ROUND(OFFSET($P166,0,AC$13),15-13*ORÇAMENTO!$AF$7)*OFFSET(ORÇAMENTO!$W$15,ROW(AC166)-ROW(AC$15),0),15-13*ORÇAMENTO!$AF$11)),0)</f>
        <v>0</v>
      </c>
      <c r="AD166" s="627">
        <f ca="1">IF(AND($D166="Serviço",AD$12&lt;&gt;0,$H166&gt;0,OR(AUTOEVENTO&lt;&gt;"manual",$M166&lt;&gt;1)),
IF(Import.TipoArredondamento&lt;&gt;"TransfereGOV",
ROUND(OFFSET($P166,0,AD$13),15-13*ORÇAMENTO!$AF$7)/$H166*OFFSET(ORÇAMENTO!$X$15,ROW(AD166)-ROW(AD$15),0),
ROUND(ROUND(OFFSET($P166,0,AD$13),15-13*ORÇAMENTO!$AF$7)*OFFSET(ORÇAMENTO!$W$15,ROW(AD166)-ROW(AD$15),0),15-13*ORÇAMENTO!$AF$11)),0)</f>
        <v>0</v>
      </c>
      <c r="AE166" s="627">
        <f ca="1">IF(AND($D166="Serviço",AE$12&lt;&gt;0,$H166&gt;0,OR(AUTOEVENTO&lt;&gt;"manual",$M166&lt;&gt;1)),
IF(Import.TipoArredondamento&lt;&gt;"TransfereGOV",
ROUND(OFFSET($P166,0,AE$13),15-13*ORÇAMENTO!$AF$7)/$H166*OFFSET(ORÇAMENTO!$X$15,ROW(AE166)-ROW(AE$15),0),
ROUND(ROUND(OFFSET($P166,0,AE$13),15-13*ORÇAMENTO!$AF$7)*OFFSET(ORÇAMENTO!$W$15,ROW(AE166)-ROW(AE$15),0),15-13*ORÇAMENTO!$AF$11)),0)</f>
        <v>0</v>
      </c>
      <c r="AF166" s="627">
        <f ca="1">IF(AND($D166="Serviço",AF$12&lt;&gt;0,$H166&gt;0,OR(AUTOEVENTO&lt;&gt;"manual",$M166&lt;&gt;1)),
IF(Import.TipoArredondamento&lt;&gt;"TransfereGOV",
ROUND(OFFSET($P166,0,AF$13),15-13*ORÇAMENTO!$AF$7)/$H166*OFFSET(ORÇAMENTO!$X$15,ROW(AF166)-ROW(AF$15),0),
ROUND(ROUND(OFFSET($P166,0,AF$13),15-13*ORÇAMENTO!$AF$7)*OFFSET(ORÇAMENTO!$W$15,ROW(AF166)-ROW(AF$15),0),15-13*ORÇAMENTO!$AF$11)),0)</f>
        <v>0</v>
      </c>
      <c r="AG166" s="627">
        <f ca="1">IF(AND($D166="Serviço",AG$12&lt;&gt;0,$H166&gt;0,OR(AUTOEVENTO&lt;&gt;"manual",$M166&lt;&gt;1)),
IF(Import.TipoArredondamento&lt;&gt;"TransfereGOV",
ROUND(OFFSET($P166,0,AG$13),15-13*ORÇAMENTO!$AF$7)/$H166*OFFSET(ORÇAMENTO!$X$15,ROW(AG166)-ROW(AG$15),0),
ROUND(ROUND(OFFSET($P166,0,AG$13),15-13*ORÇAMENTO!$AF$7)*OFFSET(ORÇAMENTO!$W$15,ROW(AG166)-ROW(AG$15),0),15-13*ORÇAMENTO!$AF$11)),0)</f>
        <v>0</v>
      </c>
      <c r="AH166" s="627">
        <f ca="1">IF(AND($D166="Serviço",AH$12&lt;&gt;0,$H166&gt;0,OR(AUTOEVENTO&lt;&gt;"manual",$M166&lt;&gt;1)),
IF(Import.TipoArredondamento&lt;&gt;"TransfereGOV",
ROUND(OFFSET($P166,0,AH$13),15-13*ORÇAMENTO!$AF$7)/$H166*OFFSET(ORÇAMENTO!$X$15,ROW(AH166)-ROW(AH$15),0),
ROUND(ROUND(OFFSET($P166,0,AH$13),15-13*ORÇAMENTO!$AF$7)*OFFSET(ORÇAMENTO!$W$15,ROW(AH166)-ROW(AH$15),0),15-13*ORÇAMENTO!$AF$11)),0)</f>
        <v>0</v>
      </c>
      <c r="AI166" s="627">
        <f ca="1">IF(AND($D166="Serviço",AI$12&lt;&gt;0,$H166&gt;0,OR(AUTOEVENTO&lt;&gt;"manual",$M166&lt;&gt;1)),
IF(Import.TipoArredondamento&lt;&gt;"TransfereGOV",
ROUND(OFFSET($P166,0,AI$13),15-13*ORÇAMENTO!$AF$7)/$H166*OFFSET(ORÇAMENTO!$X$15,ROW(AI166)-ROW(AI$15),0),
ROUND(ROUND(OFFSET($P166,0,AI$13),15-13*ORÇAMENTO!$AF$7)*OFFSET(ORÇAMENTO!$W$15,ROW(AI166)-ROW(AI$15),0),15-13*ORÇAMENTO!$AF$11)),0)</f>
        <v>0</v>
      </c>
      <c r="AJ166" s="627">
        <f ca="1">IF(AND($D166="Serviço",AJ$12&lt;&gt;0,$H166&gt;0,OR(AUTOEVENTO&lt;&gt;"manual",$M166&lt;&gt;1)),
IF(Import.TipoArredondamento&lt;&gt;"TransfereGOV",
ROUND(OFFSET($P166,0,AJ$13),15-13*ORÇAMENTO!$AF$7)/$H166*OFFSET(ORÇAMENTO!$X$15,ROW(AJ166)-ROW(AJ$15),0),
ROUND(ROUND(OFFSET($P166,0,AJ$13),15-13*ORÇAMENTO!$AF$7)*OFFSET(ORÇAMENTO!$W$15,ROW(AJ166)-ROW(AJ$15),0),15-13*ORÇAMENTO!$AF$11)),0)</f>
        <v>0</v>
      </c>
      <c r="AK166" s="628">
        <f ca="1">IF(AND($D166="Serviço",AK$12&lt;&gt;0,$H166&gt;0,OR(AUTOEVENTO&lt;&gt;"manual",$M166&lt;&gt;1)),
IF(Import.TipoArredondamento&lt;&gt;"TransfereGOV",
ROUND(OFFSET($P166,0,AK$13),15-13*ORÇAMENTO!$AF$7)/$H166*OFFSET(ORÇAMENTO!$X$15,ROW(AK166)-ROW(AK$15),0),
ROUND(ROUND(OFFSET($P166,0,AK$13),15-13*ORÇAMENTO!$AF$7)*OFFSET(ORÇAMENTO!$W$15,ROW(AK166)-ROW(AK$15),0),15-13*ORÇAMENTO!$AF$11)),0)</f>
        <v>0</v>
      </c>
      <c r="AM166" s="211">
        <f ca="1">IF($D166&lt;&gt;"Serviço",0,IF(AND(AUTOEVENTO="Manual",$M166=1),0,IF(OFFSET(CRONOPLE!$F$14,$M166,AM$13)="",10^12,OFFSET(CRONOPLE!$F$14,$M166,AM$13))))</f>
        <v>2</v>
      </c>
      <c r="AN166" s="211">
        <f ca="1">IF($D166&lt;&gt;"Serviço",0,IF(AND(AUTOEVENTO="Manual",$M166=1),0,IF(OFFSET(CRONOPLE!$F$14,$M166,AN$13)="",10^12,OFFSET(CRONOPLE!$F$14,$M166,AN$13))))</f>
        <v>1</v>
      </c>
      <c r="AO166" s="211">
        <f ca="1">IF($D166&lt;&gt;"Serviço",0,IF(AND(AUTOEVENTO="Manual",$M166=1),0,IF(OFFSET(CRONOPLE!$F$14,$M166,AO$13)="",10^12,OFFSET(CRONOPLE!$F$14,$M166,AO$13))))</f>
        <v>2</v>
      </c>
      <c r="AP166" s="211">
        <f ca="1">IF($D166&lt;&gt;"Serviço",0,IF(AND(AUTOEVENTO="Manual",$M166=1),0,IF(OFFSET(CRONOPLE!$F$14,$M166,AP$13)="",10^12,OFFSET(CRONOPLE!$F$14,$M166,AP$13))))</f>
        <v>2</v>
      </c>
      <c r="AQ166" s="211">
        <f ca="1">IF($D166&lt;&gt;"Serviço",0,IF(AND(AUTOEVENTO="Manual",$M166=1),0,IF(OFFSET(CRONOPLE!$F$14,$M166,AQ$13)="",10^12,OFFSET(CRONOPLE!$F$14,$M166,AQ$13))))</f>
        <v>1000000000000</v>
      </c>
      <c r="AR166" s="211">
        <f ca="1">IF($D166&lt;&gt;"Serviço",0,IF(AND(AUTOEVENTO="Manual",$M166=1),0,IF(OFFSET(CRONOPLE!$F$14,$M166,AR$13)="",10^12,OFFSET(CRONOPLE!$F$14,$M166,AR$13))))</f>
        <v>1000000000000</v>
      </c>
      <c r="AS166" s="211">
        <f ca="1">IF($D166&lt;&gt;"Serviço",0,IF(AND(AUTOEVENTO="Manual",$M166=1),0,IF(OFFSET(CRONOPLE!$F$14,$M166,AS$13)="",10^12,OFFSET(CRONOPLE!$F$14,$M166,AS$13))))</f>
        <v>1000000000000</v>
      </c>
      <c r="AT166" s="211">
        <f ca="1">IF($D166&lt;&gt;"Serviço",0,IF(AND(AUTOEVENTO="Manual",$M166=1),0,IF(OFFSET(CRONOPLE!$F$14,$M166,AT$13)="",10^12,OFFSET(CRONOPLE!$F$14,$M166,AT$13))))</f>
        <v>1000000000000</v>
      </c>
      <c r="AU166" s="211">
        <f ca="1">IF($D166&lt;&gt;"Serviço",0,IF(AND(AUTOEVENTO="Manual",$M166=1),0,IF(OFFSET(CRONOPLE!$F$14,$M166,AU$13)="",10^12,OFFSET(CRONOPLE!$F$14,$M166,AU$13))))</f>
        <v>1000000000000</v>
      </c>
      <c r="AV166" s="211">
        <f ca="1">IF($D166&lt;&gt;"Serviço",0,IF(AND(AUTOEVENTO="Manual",$M166=1),0,IF(OFFSET(CRONOPLE!$F$14,$M166,AV$13)="",10^12,OFFSET(CRONOPLE!$F$14,$M166,AV$13))))</f>
        <v>1000000000000</v>
      </c>
      <c r="AX166" s="212">
        <f ca="1">IF($D166&lt;&gt;"Serviço",0,IF(OR(AND(AUTOEVENTO="Manual",$M166=1),$M166&gt;(ROW(PLE.lastrow)-ROW(PLE.firstrow))),0,IF(OFFSET(PLE!$G$14,$M166,AX$13)="",10^12,OFFSET(PLE!$G$14,$M166,AX$13))))</f>
        <v>1000000000000</v>
      </c>
      <c r="AY166" s="212">
        <f ca="1">IF($D166&lt;&gt;"Serviço",0,IF(OR(AND(AUTOEVENTO="Manual",$M166=1),$M166&gt;(ROW(PLE.lastrow)-ROW(PLE.firstrow))),0,IF(OFFSET(PLE!$G$14,$M166,AY$13)="",10^12,OFFSET(PLE!$G$14,$M166,AY$13))))</f>
        <v>1000000000000</v>
      </c>
      <c r="AZ166" s="212">
        <f ca="1">IF($D166&lt;&gt;"Serviço",0,IF(OR(AND(AUTOEVENTO="Manual",$M166=1),$M166&gt;(ROW(PLE.lastrow)-ROW(PLE.firstrow))),0,IF(OFFSET(PLE!$G$14,$M166,AZ$13)="",10^12,OFFSET(PLE!$G$14,$M166,AZ$13))))</f>
        <v>1000000000000</v>
      </c>
      <c r="BA166" s="212">
        <f ca="1">IF($D166&lt;&gt;"Serviço",0,IF(OR(AND(AUTOEVENTO="Manual",$M166=1),$M166&gt;(ROW(PLE.lastrow)-ROW(PLE.firstrow))),0,IF(OFFSET(PLE!$G$14,$M166,BA$13)="",10^12,OFFSET(PLE!$G$14,$M166,BA$13))))</f>
        <v>1000000000000</v>
      </c>
      <c r="BB166" s="212">
        <f ca="1">IF($D166&lt;&gt;"Serviço",0,IF(OR(AND(AUTOEVENTO="Manual",$M166=1),$M166&gt;(ROW(PLE.lastrow)-ROW(PLE.firstrow))),0,IF(OFFSET(PLE!$G$14,$M166,BB$13)="",10^12,OFFSET(PLE!$G$14,$M166,BB$13))))</f>
        <v>1000000000000</v>
      </c>
      <c r="BC166" s="212">
        <f ca="1">IF($D166&lt;&gt;"Serviço",0,IF(OR(AND(AUTOEVENTO="Manual",$M166=1),$M166&gt;(ROW(PLE.lastrow)-ROW(PLE.firstrow))),0,IF(OFFSET(PLE!$G$14,$M166,BC$13)="",10^12,OFFSET(PLE!$G$14,$M166,BC$13))))</f>
        <v>1000000000000</v>
      </c>
      <c r="BD166" s="212">
        <f ca="1">IF($D166&lt;&gt;"Serviço",0,IF(OR(AND(AUTOEVENTO="Manual",$M166=1),$M166&gt;(ROW(PLE.lastrow)-ROW(PLE.firstrow))),0,IF(OFFSET(PLE!$G$14,$M166,BD$13)="",10^12,OFFSET(PLE!$G$14,$M166,BD$13))))</f>
        <v>1000000000000</v>
      </c>
      <c r="BE166" s="212">
        <f ca="1">IF($D166&lt;&gt;"Serviço",0,IF(OR(AND(AUTOEVENTO="Manual",$M166=1),$M166&gt;(ROW(PLE.lastrow)-ROW(PLE.firstrow))),0,IF(OFFSET(PLE!$G$14,$M166,BE$13)="",10^12,OFFSET(PLE!$G$14,$M166,BE$13))))</f>
        <v>1000000000000</v>
      </c>
      <c r="BF166" s="212">
        <f ca="1">IF($D166&lt;&gt;"Serviço",0,IF(OR(AND(AUTOEVENTO="Manual",$M166=1),$M166&gt;(ROW(PLE.lastrow)-ROW(PLE.firstrow))),0,IF(OFFSET(PLE!$G$14,$M166,BF$13)="",10^12,OFFSET(PLE!$G$14,$M166,BF$13))))</f>
        <v>1000000000000</v>
      </c>
      <c r="BG166" s="212">
        <f ca="1">IF($D166&lt;&gt;"Serviço",0,IF(OR(AND(AUTOEVENTO="Manual",$M166=1),$M166&gt;(ROW(PLE.lastrow)-ROW(PLE.firstrow))),0,IF(OFFSET(PLE!$G$14,$M166,BG$13)="",10^12,OFFSET(PLE!$G$14,$M166,BG$13))))</f>
        <v>1000000000000</v>
      </c>
    </row>
    <row r="167" spans="1:59" ht="13.2">
      <c r="A167" s="9" t="str">
        <f t="shared" ca="1" si="11"/>
        <v>15</v>
      </c>
      <c r="B167" s="9" t="str">
        <f ca="1">OFFSET(ORÇAMENTO!C$15,ROW(B167)-ROW(B$15),0)</f>
        <v>S</v>
      </c>
      <c r="C167" s="9" t="str">
        <f ca="1">OFFSET(ORÇAMENTO!L$15,ROW(C167)-ROW(C$15),0)</f>
        <v/>
      </c>
      <c r="D167" s="141" t="str">
        <f ca="1">OFFSET(ORÇAMENTO!N$15,ROW(D167)-ROW(D$15),0)</f>
        <v>Serviço</v>
      </c>
      <c r="E167" s="201" t="str">
        <f ca="1">OFFSET(ORÇAMENTO!O$15,ROW(E167)-ROW(E$15),0)</f>
        <v>-</v>
      </c>
      <c r="F167" s="202" t="str">
        <f ca="1">OFFSET(ORÇAMENTO!R$15,ROW(F167)-ROW(F$15),0)</f>
        <v>(abra o arquivo 'Referência 11-2024.xlsm)</v>
      </c>
      <c r="G167" s="203" t="str">
        <f ca="1">IF($D167&lt;&gt;"Serviço","",OFFSET(ORÇAMENTO!S$15,ROW(G167)-ROW(G$15),0))</f>
        <v>-</v>
      </c>
      <c r="H167" s="147">
        <f ca="1">IF($D167&lt;&gt;"Serviço",0,IF(ACOMPANHAMENTO="BM",ROUND(OFFSET(ORÇAMENTO!AJ$15,ROW(H167)-ROW(H$15),0),15-13*ORÇAMENTO!$AF$7),SUMPRODUCT(($Q$12:$AA$12&lt;&gt;"")*ROUND($Q167:$AA167,15-13*ORÇAMENTO!$AF$7))))</f>
        <v>0</v>
      </c>
      <c r="I167" s="645"/>
      <c r="K167" s="204"/>
      <c r="L167" s="205" t="s">
        <v>255</v>
      </c>
      <c r="M167" s="206">
        <f ca="1">IF($D167&lt;&gt;"Serviço","",IF(AUTOEVENTO="manual",$A167,IF(ISERROR(MATCH($A167,$A$15:OFFSET($A167,-1,0),0)),MAX($M$15:OFFSET(M167,-1,0))+1,INDEX($M$15:OFFSET(M167,-1,0),MATCH($A167,$A$15:OFFSET($A167,-1,0),0)))))</f>
        <v>6</v>
      </c>
      <c r="N167" s="207" t="str">
        <f ca="1">IF($D167&lt;&gt;"Serviço","",IF(AUTOEVENTO="Manual",IF($A167=0,"&lt;-- defina o número do agrupador",OFFSET(EVENTOS!$D$14,$A167,0)),OFFSET($F$15,$A167,0)))</f>
        <v>DRENAGEM</v>
      </c>
      <c r="O167" s="208"/>
      <c r="Q167" s="208"/>
      <c r="R167" s="209"/>
      <c r="S167" s="209"/>
      <c r="T167" s="209"/>
      <c r="U167" s="209"/>
      <c r="V167" s="209"/>
      <c r="W167" s="209"/>
      <c r="X167" s="209"/>
      <c r="Y167" s="209"/>
      <c r="Z167" s="210"/>
      <c r="AB167" s="626">
        <f ca="1">IF(AND($D167="Serviço",AB$12&lt;&gt;0,$H167&gt;0,OR(AUTOEVENTO&lt;&gt;"manual",$M167&lt;&gt;1)),
IF(Import.TipoArredondamento&lt;&gt;"TransfereGOV",
ROUND(OFFSET($P167,0,AB$13),15-13*ORÇAMENTO!$AF$7)/$H167*OFFSET(ORÇAMENTO!$X$15,ROW(AB167)-ROW(AB$15),0),
ROUND(ROUND(OFFSET($P167,0,AB$13),15-13*ORÇAMENTO!$AF$7)*OFFSET(ORÇAMENTO!$W$15,ROW(AB167)-ROW(AB$15),0),15-13*ORÇAMENTO!$AF$11)),0)</f>
        <v>0</v>
      </c>
      <c r="AC167" s="627">
        <f ca="1">IF(AND($D167="Serviço",AC$12&lt;&gt;0,$H167&gt;0,OR(AUTOEVENTO&lt;&gt;"manual",$M167&lt;&gt;1)),
IF(Import.TipoArredondamento&lt;&gt;"TransfereGOV",
ROUND(OFFSET($P167,0,AC$13),15-13*ORÇAMENTO!$AF$7)/$H167*OFFSET(ORÇAMENTO!$X$15,ROW(AC167)-ROW(AC$15),0),
ROUND(ROUND(OFFSET($P167,0,AC$13),15-13*ORÇAMENTO!$AF$7)*OFFSET(ORÇAMENTO!$W$15,ROW(AC167)-ROW(AC$15),0),15-13*ORÇAMENTO!$AF$11)),0)</f>
        <v>0</v>
      </c>
      <c r="AD167" s="627">
        <f ca="1">IF(AND($D167="Serviço",AD$12&lt;&gt;0,$H167&gt;0,OR(AUTOEVENTO&lt;&gt;"manual",$M167&lt;&gt;1)),
IF(Import.TipoArredondamento&lt;&gt;"TransfereGOV",
ROUND(OFFSET($P167,0,AD$13),15-13*ORÇAMENTO!$AF$7)/$H167*OFFSET(ORÇAMENTO!$X$15,ROW(AD167)-ROW(AD$15),0),
ROUND(ROUND(OFFSET($P167,0,AD$13),15-13*ORÇAMENTO!$AF$7)*OFFSET(ORÇAMENTO!$W$15,ROW(AD167)-ROW(AD$15),0),15-13*ORÇAMENTO!$AF$11)),0)</f>
        <v>0</v>
      </c>
      <c r="AE167" s="627">
        <f ca="1">IF(AND($D167="Serviço",AE$12&lt;&gt;0,$H167&gt;0,OR(AUTOEVENTO&lt;&gt;"manual",$M167&lt;&gt;1)),
IF(Import.TipoArredondamento&lt;&gt;"TransfereGOV",
ROUND(OFFSET($P167,0,AE$13),15-13*ORÇAMENTO!$AF$7)/$H167*OFFSET(ORÇAMENTO!$X$15,ROW(AE167)-ROW(AE$15),0),
ROUND(ROUND(OFFSET($P167,0,AE$13),15-13*ORÇAMENTO!$AF$7)*OFFSET(ORÇAMENTO!$W$15,ROW(AE167)-ROW(AE$15),0),15-13*ORÇAMENTO!$AF$11)),0)</f>
        <v>0</v>
      </c>
      <c r="AF167" s="627">
        <f ca="1">IF(AND($D167="Serviço",AF$12&lt;&gt;0,$H167&gt;0,OR(AUTOEVENTO&lt;&gt;"manual",$M167&lt;&gt;1)),
IF(Import.TipoArredondamento&lt;&gt;"TransfereGOV",
ROUND(OFFSET($P167,0,AF$13),15-13*ORÇAMENTO!$AF$7)/$H167*OFFSET(ORÇAMENTO!$X$15,ROW(AF167)-ROW(AF$15),0),
ROUND(ROUND(OFFSET($P167,0,AF$13),15-13*ORÇAMENTO!$AF$7)*OFFSET(ORÇAMENTO!$W$15,ROW(AF167)-ROW(AF$15),0),15-13*ORÇAMENTO!$AF$11)),0)</f>
        <v>0</v>
      </c>
      <c r="AG167" s="627">
        <f ca="1">IF(AND($D167="Serviço",AG$12&lt;&gt;0,$H167&gt;0,OR(AUTOEVENTO&lt;&gt;"manual",$M167&lt;&gt;1)),
IF(Import.TipoArredondamento&lt;&gt;"TransfereGOV",
ROUND(OFFSET($P167,0,AG$13),15-13*ORÇAMENTO!$AF$7)/$H167*OFFSET(ORÇAMENTO!$X$15,ROW(AG167)-ROW(AG$15),0),
ROUND(ROUND(OFFSET($P167,0,AG$13),15-13*ORÇAMENTO!$AF$7)*OFFSET(ORÇAMENTO!$W$15,ROW(AG167)-ROW(AG$15),0),15-13*ORÇAMENTO!$AF$11)),0)</f>
        <v>0</v>
      </c>
      <c r="AH167" s="627">
        <f ca="1">IF(AND($D167="Serviço",AH$12&lt;&gt;0,$H167&gt;0,OR(AUTOEVENTO&lt;&gt;"manual",$M167&lt;&gt;1)),
IF(Import.TipoArredondamento&lt;&gt;"TransfereGOV",
ROUND(OFFSET($P167,0,AH$13),15-13*ORÇAMENTO!$AF$7)/$H167*OFFSET(ORÇAMENTO!$X$15,ROW(AH167)-ROW(AH$15),0),
ROUND(ROUND(OFFSET($P167,0,AH$13),15-13*ORÇAMENTO!$AF$7)*OFFSET(ORÇAMENTO!$W$15,ROW(AH167)-ROW(AH$15),0),15-13*ORÇAMENTO!$AF$11)),0)</f>
        <v>0</v>
      </c>
      <c r="AI167" s="627">
        <f ca="1">IF(AND($D167="Serviço",AI$12&lt;&gt;0,$H167&gt;0,OR(AUTOEVENTO&lt;&gt;"manual",$M167&lt;&gt;1)),
IF(Import.TipoArredondamento&lt;&gt;"TransfereGOV",
ROUND(OFFSET($P167,0,AI$13),15-13*ORÇAMENTO!$AF$7)/$H167*OFFSET(ORÇAMENTO!$X$15,ROW(AI167)-ROW(AI$15),0),
ROUND(ROUND(OFFSET($P167,0,AI$13),15-13*ORÇAMENTO!$AF$7)*OFFSET(ORÇAMENTO!$W$15,ROW(AI167)-ROW(AI$15),0),15-13*ORÇAMENTO!$AF$11)),0)</f>
        <v>0</v>
      </c>
      <c r="AJ167" s="627">
        <f ca="1">IF(AND($D167="Serviço",AJ$12&lt;&gt;0,$H167&gt;0,OR(AUTOEVENTO&lt;&gt;"manual",$M167&lt;&gt;1)),
IF(Import.TipoArredondamento&lt;&gt;"TransfereGOV",
ROUND(OFFSET($P167,0,AJ$13),15-13*ORÇAMENTO!$AF$7)/$H167*OFFSET(ORÇAMENTO!$X$15,ROW(AJ167)-ROW(AJ$15),0),
ROUND(ROUND(OFFSET($P167,0,AJ$13),15-13*ORÇAMENTO!$AF$7)*OFFSET(ORÇAMENTO!$W$15,ROW(AJ167)-ROW(AJ$15),0),15-13*ORÇAMENTO!$AF$11)),0)</f>
        <v>0</v>
      </c>
      <c r="AK167" s="628">
        <f ca="1">IF(AND($D167="Serviço",AK$12&lt;&gt;0,$H167&gt;0,OR(AUTOEVENTO&lt;&gt;"manual",$M167&lt;&gt;1)),
IF(Import.TipoArredondamento&lt;&gt;"TransfereGOV",
ROUND(OFFSET($P167,0,AK$13),15-13*ORÇAMENTO!$AF$7)/$H167*OFFSET(ORÇAMENTO!$X$15,ROW(AK167)-ROW(AK$15),0),
ROUND(ROUND(OFFSET($P167,0,AK$13),15-13*ORÇAMENTO!$AF$7)*OFFSET(ORÇAMENTO!$W$15,ROW(AK167)-ROW(AK$15),0),15-13*ORÇAMENTO!$AF$11)),0)</f>
        <v>0</v>
      </c>
      <c r="AM167" s="211">
        <f ca="1">IF($D167&lt;&gt;"Serviço",0,IF(AND(AUTOEVENTO="Manual",$M167=1),0,IF(OFFSET(CRONOPLE!$F$14,$M167,AM$13)="",10^12,OFFSET(CRONOPLE!$F$14,$M167,AM$13))))</f>
        <v>2</v>
      </c>
      <c r="AN167" s="211">
        <f ca="1">IF($D167&lt;&gt;"Serviço",0,IF(AND(AUTOEVENTO="Manual",$M167=1),0,IF(OFFSET(CRONOPLE!$F$14,$M167,AN$13)="",10^12,OFFSET(CRONOPLE!$F$14,$M167,AN$13))))</f>
        <v>1</v>
      </c>
      <c r="AO167" s="211">
        <f ca="1">IF($D167&lt;&gt;"Serviço",0,IF(AND(AUTOEVENTO="Manual",$M167=1),0,IF(OFFSET(CRONOPLE!$F$14,$M167,AO$13)="",10^12,OFFSET(CRONOPLE!$F$14,$M167,AO$13))))</f>
        <v>2</v>
      </c>
      <c r="AP167" s="211">
        <f ca="1">IF($D167&lt;&gt;"Serviço",0,IF(AND(AUTOEVENTO="Manual",$M167=1),0,IF(OFFSET(CRONOPLE!$F$14,$M167,AP$13)="",10^12,OFFSET(CRONOPLE!$F$14,$M167,AP$13))))</f>
        <v>2</v>
      </c>
      <c r="AQ167" s="211">
        <f ca="1">IF($D167&lt;&gt;"Serviço",0,IF(AND(AUTOEVENTO="Manual",$M167=1),0,IF(OFFSET(CRONOPLE!$F$14,$M167,AQ$13)="",10^12,OFFSET(CRONOPLE!$F$14,$M167,AQ$13))))</f>
        <v>1000000000000</v>
      </c>
      <c r="AR167" s="211">
        <f ca="1">IF($D167&lt;&gt;"Serviço",0,IF(AND(AUTOEVENTO="Manual",$M167=1),0,IF(OFFSET(CRONOPLE!$F$14,$M167,AR$13)="",10^12,OFFSET(CRONOPLE!$F$14,$M167,AR$13))))</f>
        <v>1000000000000</v>
      </c>
      <c r="AS167" s="211">
        <f ca="1">IF($D167&lt;&gt;"Serviço",0,IF(AND(AUTOEVENTO="Manual",$M167=1),0,IF(OFFSET(CRONOPLE!$F$14,$M167,AS$13)="",10^12,OFFSET(CRONOPLE!$F$14,$M167,AS$13))))</f>
        <v>1000000000000</v>
      </c>
      <c r="AT167" s="211">
        <f ca="1">IF($D167&lt;&gt;"Serviço",0,IF(AND(AUTOEVENTO="Manual",$M167=1),0,IF(OFFSET(CRONOPLE!$F$14,$M167,AT$13)="",10^12,OFFSET(CRONOPLE!$F$14,$M167,AT$13))))</f>
        <v>1000000000000</v>
      </c>
      <c r="AU167" s="211">
        <f ca="1">IF($D167&lt;&gt;"Serviço",0,IF(AND(AUTOEVENTO="Manual",$M167=1),0,IF(OFFSET(CRONOPLE!$F$14,$M167,AU$13)="",10^12,OFFSET(CRONOPLE!$F$14,$M167,AU$13))))</f>
        <v>1000000000000</v>
      </c>
      <c r="AV167" s="211">
        <f ca="1">IF($D167&lt;&gt;"Serviço",0,IF(AND(AUTOEVENTO="Manual",$M167=1),0,IF(OFFSET(CRONOPLE!$F$14,$M167,AV$13)="",10^12,OFFSET(CRONOPLE!$F$14,$M167,AV$13))))</f>
        <v>1000000000000</v>
      </c>
      <c r="AX167" s="212">
        <f ca="1">IF($D167&lt;&gt;"Serviço",0,IF(OR(AND(AUTOEVENTO="Manual",$M167=1),$M167&gt;(ROW(PLE.lastrow)-ROW(PLE.firstrow))),0,IF(OFFSET(PLE!$G$14,$M167,AX$13)="",10^12,OFFSET(PLE!$G$14,$M167,AX$13))))</f>
        <v>1000000000000</v>
      </c>
      <c r="AY167" s="212">
        <f ca="1">IF($D167&lt;&gt;"Serviço",0,IF(OR(AND(AUTOEVENTO="Manual",$M167=1),$M167&gt;(ROW(PLE.lastrow)-ROW(PLE.firstrow))),0,IF(OFFSET(PLE!$G$14,$M167,AY$13)="",10^12,OFFSET(PLE!$G$14,$M167,AY$13))))</f>
        <v>1000000000000</v>
      </c>
      <c r="AZ167" s="212">
        <f ca="1">IF($D167&lt;&gt;"Serviço",0,IF(OR(AND(AUTOEVENTO="Manual",$M167=1),$M167&gt;(ROW(PLE.lastrow)-ROW(PLE.firstrow))),0,IF(OFFSET(PLE!$G$14,$M167,AZ$13)="",10^12,OFFSET(PLE!$G$14,$M167,AZ$13))))</f>
        <v>1000000000000</v>
      </c>
      <c r="BA167" s="212">
        <f ca="1">IF($D167&lt;&gt;"Serviço",0,IF(OR(AND(AUTOEVENTO="Manual",$M167=1),$M167&gt;(ROW(PLE.lastrow)-ROW(PLE.firstrow))),0,IF(OFFSET(PLE!$G$14,$M167,BA$13)="",10^12,OFFSET(PLE!$G$14,$M167,BA$13))))</f>
        <v>1000000000000</v>
      </c>
      <c r="BB167" s="212">
        <f ca="1">IF($D167&lt;&gt;"Serviço",0,IF(OR(AND(AUTOEVENTO="Manual",$M167=1),$M167&gt;(ROW(PLE.lastrow)-ROW(PLE.firstrow))),0,IF(OFFSET(PLE!$G$14,$M167,BB$13)="",10^12,OFFSET(PLE!$G$14,$M167,BB$13))))</f>
        <v>1000000000000</v>
      </c>
      <c r="BC167" s="212">
        <f ca="1">IF($D167&lt;&gt;"Serviço",0,IF(OR(AND(AUTOEVENTO="Manual",$M167=1),$M167&gt;(ROW(PLE.lastrow)-ROW(PLE.firstrow))),0,IF(OFFSET(PLE!$G$14,$M167,BC$13)="",10^12,OFFSET(PLE!$G$14,$M167,BC$13))))</f>
        <v>1000000000000</v>
      </c>
      <c r="BD167" s="212">
        <f ca="1">IF($D167&lt;&gt;"Serviço",0,IF(OR(AND(AUTOEVENTO="Manual",$M167=1),$M167&gt;(ROW(PLE.lastrow)-ROW(PLE.firstrow))),0,IF(OFFSET(PLE!$G$14,$M167,BD$13)="",10^12,OFFSET(PLE!$G$14,$M167,BD$13))))</f>
        <v>1000000000000</v>
      </c>
      <c r="BE167" s="212">
        <f ca="1">IF($D167&lt;&gt;"Serviço",0,IF(OR(AND(AUTOEVENTO="Manual",$M167=1),$M167&gt;(ROW(PLE.lastrow)-ROW(PLE.firstrow))),0,IF(OFFSET(PLE!$G$14,$M167,BE$13)="",10^12,OFFSET(PLE!$G$14,$M167,BE$13))))</f>
        <v>1000000000000</v>
      </c>
      <c r="BF167" s="212">
        <f ca="1">IF($D167&lt;&gt;"Serviço",0,IF(OR(AND(AUTOEVENTO="Manual",$M167=1),$M167&gt;(ROW(PLE.lastrow)-ROW(PLE.firstrow))),0,IF(OFFSET(PLE!$G$14,$M167,BF$13)="",10^12,OFFSET(PLE!$G$14,$M167,BF$13))))</f>
        <v>1000000000000</v>
      </c>
      <c r="BG167" s="212">
        <f ca="1">IF($D167&lt;&gt;"Serviço",0,IF(OR(AND(AUTOEVENTO="Manual",$M167=1),$M167&gt;(ROW(PLE.lastrow)-ROW(PLE.firstrow))),0,IF(OFFSET(PLE!$G$14,$M167,BG$13)="",10^12,OFFSET(PLE!$G$14,$M167,BG$13))))</f>
        <v>1000000000000</v>
      </c>
    </row>
    <row r="168" spans="1:59" ht="13.2">
      <c r="A168" s="9" t="str">
        <f t="shared" ca="1" si="11"/>
        <v>15</v>
      </c>
      <c r="B168" s="9" t="str">
        <f ca="1">OFFSET(ORÇAMENTO!C$15,ROW(B168)-ROW(B$15),0)</f>
        <v>S</v>
      </c>
      <c r="C168" s="9" t="str">
        <f ca="1">OFFSET(ORÇAMENTO!L$15,ROW(C168)-ROW(C$15),0)</f>
        <v/>
      </c>
      <c r="D168" s="141" t="str">
        <f ca="1">OFFSET(ORÇAMENTO!N$15,ROW(D168)-ROW(D$15),0)</f>
        <v>Serviço</v>
      </c>
      <c r="E168" s="201" t="str">
        <f ca="1">OFFSET(ORÇAMENTO!O$15,ROW(E168)-ROW(E$15),0)</f>
        <v>-</v>
      </c>
      <c r="F168" s="202" t="str">
        <f ca="1">OFFSET(ORÇAMENTO!R$15,ROW(F168)-ROW(F$15),0)</f>
        <v>(abra o arquivo 'Referência 11-2024.xlsm)</v>
      </c>
      <c r="G168" s="203" t="str">
        <f ca="1">IF($D168&lt;&gt;"Serviço","",OFFSET(ORÇAMENTO!S$15,ROW(G168)-ROW(G$15),0))</f>
        <v>-</v>
      </c>
      <c r="H168" s="147">
        <f ca="1">IF($D168&lt;&gt;"Serviço",0,IF(ACOMPANHAMENTO="BM",ROUND(OFFSET(ORÇAMENTO!AJ$15,ROW(H168)-ROW(H$15),0),15-13*ORÇAMENTO!$AF$7),SUMPRODUCT(($Q$12:$AA$12&lt;&gt;"")*ROUND($Q168:$AA168,15-13*ORÇAMENTO!$AF$7))))</f>
        <v>0</v>
      </c>
      <c r="I168" s="645"/>
      <c r="K168" s="204"/>
      <c r="L168" s="205" t="s">
        <v>255</v>
      </c>
      <c r="M168" s="206">
        <f ca="1">IF($D168&lt;&gt;"Serviço","",IF(AUTOEVENTO="manual",$A168,IF(ISERROR(MATCH($A168,$A$15:OFFSET($A168,-1,0),0)),MAX($M$15:OFFSET(M168,-1,0))+1,INDEX($M$15:OFFSET(M168,-1,0),MATCH($A168,$A$15:OFFSET($A168,-1,0),0)))))</f>
        <v>6</v>
      </c>
      <c r="N168" s="207" t="str">
        <f ca="1">IF($D168&lt;&gt;"Serviço","",IF(AUTOEVENTO="Manual",IF($A168=0,"&lt;-- defina o número do agrupador",OFFSET(EVENTOS!$D$14,$A168,0)),OFFSET($F$15,$A168,0)))</f>
        <v>DRENAGEM</v>
      </c>
      <c r="O168" s="208"/>
      <c r="Q168" s="208"/>
      <c r="R168" s="209"/>
      <c r="S168" s="209"/>
      <c r="T168" s="209"/>
      <c r="U168" s="209"/>
      <c r="V168" s="209"/>
      <c r="W168" s="209"/>
      <c r="X168" s="209"/>
      <c r="Y168" s="209"/>
      <c r="Z168" s="210"/>
      <c r="AB168" s="626">
        <f ca="1">IF(AND($D168="Serviço",AB$12&lt;&gt;0,$H168&gt;0,OR(AUTOEVENTO&lt;&gt;"manual",$M168&lt;&gt;1)),
IF(Import.TipoArredondamento&lt;&gt;"TransfereGOV",
ROUND(OFFSET($P168,0,AB$13),15-13*ORÇAMENTO!$AF$7)/$H168*OFFSET(ORÇAMENTO!$X$15,ROW(AB168)-ROW(AB$15),0),
ROUND(ROUND(OFFSET($P168,0,AB$13),15-13*ORÇAMENTO!$AF$7)*OFFSET(ORÇAMENTO!$W$15,ROW(AB168)-ROW(AB$15),0),15-13*ORÇAMENTO!$AF$11)),0)</f>
        <v>0</v>
      </c>
      <c r="AC168" s="627">
        <f ca="1">IF(AND($D168="Serviço",AC$12&lt;&gt;0,$H168&gt;0,OR(AUTOEVENTO&lt;&gt;"manual",$M168&lt;&gt;1)),
IF(Import.TipoArredondamento&lt;&gt;"TransfereGOV",
ROUND(OFFSET($P168,0,AC$13),15-13*ORÇAMENTO!$AF$7)/$H168*OFFSET(ORÇAMENTO!$X$15,ROW(AC168)-ROW(AC$15),0),
ROUND(ROUND(OFFSET($P168,0,AC$13),15-13*ORÇAMENTO!$AF$7)*OFFSET(ORÇAMENTO!$W$15,ROW(AC168)-ROW(AC$15),0),15-13*ORÇAMENTO!$AF$11)),0)</f>
        <v>0</v>
      </c>
      <c r="AD168" s="627">
        <f ca="1">IF(AND($D168="Serviço",AD$12&lt;&gt;0,$H168&gt;0,OR(AUTOEVENTO&lt;&gt;"manual",$M168&lt;&gt;1)),
IF(Import.TipoArredondamento&lt;&gt;"TransfereGOV",
ROUND(OFFSET($P168,0,AD$13),15-13*ORÇAMENTO!$AF$7)/$H168*OFFSET(ORÇAMENTO!$X$15,ROW(AD168)-ROW(AD$15),0),
ROUND(ROUND(OFFSET($P168,0,AD$13),15-13*ORÇAMENTO!$AF$7)*OFFSET(ORÇAMENTO!$W$15,ROW(AD168)-ROW(AD$15),0),15-13*ORÇAMENTO!$AF$11)),0)</f>
        <v>0</v>
      </c>
      <c r="AE168" s="627">
        <f ca="1">IF(AND($D168="Serviço",AE$12&lt;&gt;0,$H168&gt;0,OR(AUTOEVENTO&lt;&gt;"manual",$M168&lt;&gt;1)),
IF(Import.TipoArredondamento&lt;&gt;"TransfereGOV",
ROUND(OFFSET($P168,0,AE$13),15-13*ORÇAMENTO!$AF$7)/$H168*OFFSET(ORÇAMENTO!$X$15,ROW(AE168)-ROW(AE$15),0),
ROUND(ROUND(OFFSET($P168,0,AE$13),15-13*ORÇAMENTO!$AF$7)*OFFSET(ORÇAMENTO!$W$15,ROW(AE168)-ROW(AE$15),0),15-13*ORÇAMENTO!$AF$11)),0)</f>
        <v>0</v>
      </c>
      <c r="AF168" s="627">
        <f ca="1">IF(AND($D168="Serviço",AF$12&lt;&gt;0,$H168&gt;0,OR(AUTOEVENTO&lt;&gt;"manual",$M168&lt;&gt;1)),
IF(Import.TipoArredondamento&lt;&gt;"TransfereGOV",
ROUND(OFFSET($P168,0,AF$13),15-13*ORÇAMENTO!$AF$7)/$H168*OFFSET(ORÇAMENTO!$X$15,ROW(AF168)-ROW(AF$15),0),
ROUND(ROUND(OFFSET($P168,0,AF$13),15-13*ORÇAMENTO!$AF$7)*OFFSET(ORÇAMENTO!$W$15,ROW(AF168)-ROW(AF$15),0),15-13*ORÇAMENTO!$AF$11)),0)</f>
        <v>0</v>
      </c>
      <c r="AG168" s="627">
        <f ca="1">IF(AND($D168="Serviço",AG$12&lt;&gt;0,$H168&gt;0,OR(AUTOEVENTO&lt;&gt;"manual",$M168&lt;&gt;1)),
IF(Import.TipoArredondamento&lt;&gt;"TransfereGOV",
ROUND(OFFSET($P168,0,AG$13),15-13*ORÇAMENTO!$AF$7)/$H168*OFFSET(ORÇAMENTO!$X$15,ROW(AG168)-ROW(AG$15),0),
ROUND(ROUND(OFFSET($P168,0,AG$13),15-13*ORÇAMENTO!$AF$7)*OFFSET(ORÇAMENTO!$W$15,ROW(AG168)-ROW(AG$15),0),15-13*ORÇAMENTO!$AF$11)),0)</f>
        <v>0</v>
      </c>
      <c r="AH168" s="627">
        <f ca="1">IF(AND($D168="Serviço",AH$12&lt;&gt;0,$H168&gt;0,OR(AUTOEVENTO&lt;&gt;"manual",$M168&lt;&gt;1)),
IF(Import.TipoArredondamento&lt;&gt;"TransfereGOV",
ROUND(OFFSET($P168,0,AH$13),15-13*ORÇAMENTO!$AF$7)/$H168*OFFSET(ORÇAMENTO!$X$15,ROW(AH168)-ROW(AH$15),0),
ROUND(ROUND(OFFSET($P168,0,AH$13),15-13*ORÇAMENTO!$AF$7)*OFFSET(ORÇAMENTO!$W$15,ROW(AH168)-ROW(AH$15),0),15-13*ORÇAMENTO!$AF$11)),0)</f>
        <v>0</v>
      </c>
      <c r="AI168" s="627">
        <f ca="1">IF(AND($D168="Serviço",AI$12&lt;&gt;0,$H168&gt;0,OR(AUTOEVENTO&lt;&gt;"manual",$M168&lt;&gt;1)),
IF(Import.TipoArredondamento&lt;&gt;"TransfereGOV",
ROUND(OFFSET($P168,0,AI$13),15-13*ORÇAMENTO!$AF$7)/$H168*OFFSET(ORÇAMENTO!$X$15,ROW(AI168)-ROW(AI$15),0),
ROUND(ROUND(OFFSET($P168,0,AI$13),15-13*ORÇAMENTO!$AF$7)*OFFSET(ORÇAMENTO!$W$15,ROW(AI168)-ROW(AI$15),0),15-13*ORÇAMENTO!$AF$11)),0)</f>
        <v>0</v>
      </c>
      <c r="AJ168" s="627">
        <f ca="1">IF(AND($D168="Serviço",AJ$12&lt;&gt;0,$H168&gt;0,OR(AUTOEVENTO&lt;&gt;"manual",$M168&lt;&gt;1)),
IF(Import.TipoArredondamento&lt;&gt;"TransfereGOV",
ROUND(OFFSET($P168,0,AJ$13),15-13*ORÇAMENTO!$AF$7)/$H168*OFFSET(ORÇAMENTO!$X$15,ROW(AJ168)-ROW(AJ$15),0),
ROUND(ROUND(OFFSET($P168,0,AJ$13),15-13*ORÇAMENTO!$AF$7)*OFFSET(ORÇAMENTO!$W$15,ROW(AJ168)-ROW(AJ$15),0),15-13*ORÇAMENTO!$AF$11)),0)</f>
        <v>0</v>
      </c>
      <c r="AK168" s="628">
        <f ca="1">IF(AND($D168="Serviço",AK$12&lt;&gt;0,$H168&gt;0,OR(AUTOEVENTO&lt;&gt;"manual",$M168&lt;&gt;1)),
IF(Import.TipoArredondamento&lt;&gt;"TransfereGOV",
ROUND(OFFSET($P168,0,AK$13),15-13*ORÇAMENTO!$AF$7)/$H168*OFFSET(ORÇAMENTO!$X$15,ROW(AK168)-ROW(AK$15),0),
ROUND(ROUND(OFFSET($P168,0,AK$13),15-13*ORÇAMENTO!$AF$7)*OFFSET(ORÇAMENTO!$W$15,ROW(AK168)-ROW(AK$15),0),15-13*ORÇAMENTO!$AF$11)),0)</f>
        <v>0</v>
      </c>
      <c r="AM168" s="211">
        <f ca="1">IF($D168&lt;&gt;"Serviço",0,IF(AND(AUTOEVENTO="Manual",$M168=1),0,IF(OFFSET(CRONOPLE!$F$14,$M168,AM$13)="",10^12,OFFSET(CRONOPLE!$F$14,$M168,AM$13))))</f>
        <v>2</v>
      </c>
      <c r="AN168" s="211">
        <f ca="1">IF($D168&lt;&gt;"Serviço",0,IF(AND(AUTOEVENTO="Manual",$M168=1),0,IF(OFFSET(CRONOPLE!$F$14,$M168,AN$13)="",10^12,OFFSET(CRONOPLE!$F$14,$M168,AN$13))))</f>
        <v>1</v>
      </c>
      <c r="AO168" s="211">
        <f ca="1">IF($D168&lt;&gt;"Serviço",0,IF(AND(AUTOEVENTO="Manual",$M168=1),0,IF(OFFSET(CRONOPLE!$F$14,$M168,AO$13)="",10^12,OFFSET(CRONOPLE!$F$14,$M168,AO$13))))</f>
        <v>2</v>
      </c>
      <c r="AP168" s="211">
        <f ca="1">IF($D168&lt;&gt;"Serviço",0,IF(AND(AUTOEVENTO="Manual",$M168=1),0,IF(OFFSET(CRONOPLE!$F$14,$M168,AP$13)="",10^12,OFFSET(CRONOPLE!$F$14,$M168,AP$13))))</f>
        <v>2</v>
      </c>
      <c r="AQ168" s="211">
        <f ca="1">IF($D168&lt;&gt;"Serviço",0,IF(AND(AUTOEVENTO="Manual",$M168=1),0,IF(OFFSET(CRONOPLE!$F$14,$M168,AQ$13)="",10^12,OFFSET(CRONOPLE!$F$14,$M168,AQ$13))))</f>
        <v>1000000000000</v>
      </c>
      <c r="AR168" s="211">
        <f ca="1">IF($D168&lt;&gt;"Serviço",0,IF(AND(AUTOEVENTO="Manual",$M168=1),0,IF(OFFSET(CRONOPLE!$F$14,$M168,AR$13)="",10^12,OFFSET(CRONOPLE!$F$14,$M168,AR$13))))</f>
        <v>1000000000000</v>
      </c>
      <c r="AS168" s="211">
        <f ca="1">IF($D168&lt;&gt;"Serviço",0,IF(AND(AUTOEVENTO="Manual",$M168=1),0,IF(OFFSET(CRONOPLE!$F$14,$M168,AS$13)="",10^12,OFFSET(CRONOPLE!$F$14,$M168,AS$13))))</f>
        <v>1000000000000</v>
      </c>
      <c r="AT168" s="211">
        <f ca="1">IF($D168&lt;&gt;"Serviço",0,IF(AND(AUTOEVENTO="Manual",$M168=1),0,IF(OFFSET(CRONOPLE!$F$14,$M168,AT$13)="",10^12,OFFSET(CRONOPLE!$F$14,$M168,AT$13))))</f>
        <v>1000000000000</v>
      </c>
      <c r="AU168" s="211">
        <f ca="1">IF($D168&lt;&gt;"Serviço",0,IF(AND(AUTOEVENTO="Manual",$M168=1),0,IF(OFFSET(CRONOPLE!$F$14,$M168,AU$13)="",10^12,OFFSET(CRONOPLE!$F$14,$M168,AU$13))))</f>
        <v>1000000000000</v>
      </c>
      <c r="AV168" s="211">
        <f ca="1">IF($D168&lt;&gt;"Serviço",0,IF(AND(AUTOEVENTO="Manual",$M168=1),0,IF(OFFSET(CRONOPLE!$F$14,$M168,AV$13)="",10^12,OFFSET(CRONOPLE!$F$14,$M168,AV$13))))</f>
        <v>1000000000000</v>
      </c>
      <c r="AX168" s="212">
        <f ca="1">IF($D168&lt;&gt;"Serviço",0,IF(OR(AND(AUTOEVENTO="Manual",$M168=1),$M168&gt;(ROW(PLE.lastrow)-ROW(PLE.firstrow))),0,IF(OFFSET(PLE!$G$14,$M168,AX$13)="",10^12,OFFSET(PLE!$G$14,$M168,AX$13))))</f>
        <v>1000000000000</v>
      </c>
      <c r="AY168" s="212">
        <f ca="1">IF($D168&lt;&gt;"Serviço",0,IF(OR(AND(AUTOEVENTO="Manual",$M168=1),$M168&gt;(ROW(PLE.lastrow)-ROW(PLE.firstrow))),0,IF(OFFSET(PLE!$G$14,$M168,AY$13)="",10^12,OFFSET(PLE!$G$14,$M168,AY$13))))</f>
        <v>1000000000000</v>
      </c>
      <c r="AZ168" s="212">
        <f ca="1">IF($D168&lt;&gt;"Serviço",0,IF(OR(AND(AUTOEVENTO="Manual",$M168=1),$M168&gt;(ROW(PLE.lastrow)-ROW(PLE.firstrow))),0,IF(OFFSET(PLE!$G$14,$M168,AZ$13)="",10^12,OFFSET(PLE!$G$14,$M168,AZ$13))))</f>
        <v>1000000000000</v>
      </c>
      <c r="BA168" s="212">
        <f ca="1">IF($D168&lt;&gt;"Serviço",0,IF(OR(AND(AUTOEVENTO="Manual",$M168=1),$M168&gt;(ROW(PLE.lastrow)-ROW(PLE.firstrow))),0,IF(OFFSET(PLE!$G$14,$M168,BA$13)="",10^12,OFFSET(PLE!$G$14,$M168,BA$13))))</f>
        <v>1000000000000</v>
      </c>
      <c r="BB168" s="212">
        <f ca="1">IF($D168&lt;&gt;"Serviço",0,IF(OR(AND(AUTOEVENTO="Manual",$M168=1),$M168&gt;(ROW(PLE.lastrow)-ROW(PLE.firstrow))),0,IF(OFFSET(PLE!$G$14,$M168,BB$13)="",10^12,OFFSET(PLE!$G$14,$M168,BB$13))))</f>
        <v>1000000000000</v>
      </c>
      <c r="BC168" s="212">
        <f ca="1">IF($D168&lt;&gt;"Serviço",0,IF(OR(AND(AUTOEVENTO="Manual",$M168=1),$M168&gt;(ROW(PLE.lastrow)-ROW(PLE.firstrow))),0,IF(OFFSET(PLE!$G$14,$M168,BC$13)="",10^12,OFFSET(PLE!$G$14,$M168,BC$13))))</f>
        <v>1000000000000</v>
      </c>
      <c r="BD168" s="212">
        <f ca="1">IF($D168&lt;&gt;"Serviço",0,IF(OR(AND(AUTOEVENTO="Manual",$M168=1),$M168&gt;(ROW(PLE.lastrow)-ROW(PLE.firstrow))),0,IF(OFFSET(PLE!$G$14,$M168,BD$13)="",10^12,OFFSET(PLE!$G$14,$M168,BD$13))))</f>
        <v>1000000000000</v>
      </c>
      <c r="BE168" s="212">
        <f ca="1">IF($D168&lt;&gt;"Serviço",0,IF(OR(AND(AUTOEVENTO="Manual",$M168=1),$M168&gt;(ROW(PLE.lastrow)-ROW(PLE.firstrow))),0,IF(OFFSET(PLE!$G$14,$M168,BE$13)="",10^12,OFFSET(PLE!$G$14,$M168,BE$13))))</f>
        <v>1000000000000</v>
      </c>
      <c r="BF168" s="212">
        <f ca="1">IF($D168&lt;&gt;"Serviço",0,IF(OR(AND(AUTOEVENTO="Manual",$M168=1),$M168&gt;(ROW(PLE.lastrow)-ROW(PLE.firstrow))),0,IF(OFFSET(PLE!$G$14,$M168,BF$13)="",10^12,OFFSET(PLE!$G$14,$M168,BF$13))))</f>
        <v>1000000000000</v>
      </c>
      <c r="BG168" s="212">
        <f ca="1">IF($D168&lt;&gt;"Serviço",0,IF(OR(AND(AUTOEVENTO="Manual",$M168=1),$M168&gt;(ROW(PLE.lastrow)-ROW(PLE.firstrow))),0,IF(OFFSET(PLE!$G$14,$M168,BG$13)="",10^12,OFFSET(PLE!$G$14,$M168,BG$13))))</f>
        <v>1000000000000</v>
      </c>
    </row>
    <row r="169" spans="1:59" ht="13.2">
      <c r="A169" s="9" t="str">
        <f t="shared" ca="1" si="11"/>
        <v>15</v>
      </c>
      <c r="B169" s="9" t="str">
        <f ca="1">OFFSET(ORÇAMENTO!C$15,ROW(B169)-ROW(B$15),0)</f>
        <v>S</v>
      </c>
      <c r="C169" s="9" t="str">
        <f ca="1">OFFSET(ORÇAMENTO!L$15,ROW(C169)-ROW(C$15),0)</f>
        <v/>
      </c>
      <c r="D169" s="141" t="str">
        <f ca="1">OFFSET(ORÇAMENTO!N$15,ROW(D169)-ROW(D$15),0)</f>
        <v>Serviço</v>
      </c>
      <c r="E169" s="201" t="str">
        <f ca="1">OFFSET(ORÇAMENTO!O$15,ROW(E169)-ROW(E$15),0)</f>
        <v>-</v>
      </c>
      <c r="F169" s="202" t="str">
        <f ca="1">OFFSET(ORÇAMENTO!R$15,ROW(F169)-ROW(F$15),0)</f>
        <v>(abra o arquivo 'Referência 11-2024.xlsm)</v>
      </c>
      <c r="G169" s="203" t="str">
        <f ca="1">IF($D169&lt;&gt;"Serviço","",OFFSET(ORÇAMENTO!S$15,ROW(G169)-ROW(G$15),0))</f>
        <v>-</v>
      </c>
      <c r="H169" s="147">
        <f ca="1">IF($D169&lt;&gt;"Serviço",0,IF(ACOMPANHAMENTO="BM",ROUND(OFFSET(ORÇAMENTO!AJ$15,ROW(H169)-ROW(H$15),0),15-13*ORÇAMENTO!$AF$7),SUMPRODUCT(($Q$12:$AA$12&lt;&gt;"")*ROUND($Q169:$AA169,15-13*ORÇAMENTO!$AF$7))))</f>
        <v>0</v>
      </c>
      <c r="I169" s="645"/>
      <c r="K169" s="204"/>
      <c r="L169" s="205" t="s">
        <v>255</v>
      </c>
      <c r="M169" s="206">
        <f ca="1">IF($D169&lt;&gt;"Serviço","",IF(AUTOEVENTO="manual",$A169,IF(ISERROR(MATCH($A169,$A$15:OFFSET($A169,-1,0),0)),MAX($M$15:OFFSET(M169,-1,0))+1,INDEX($M$15:OFFSET(M169,-1,0),MATCH($A169,$A$15:OFFSET($A169,-1,0),0)))))</f>
        <v>6</v>
      </c>
      <c r="N169" s="207" t="str">
        <f ca="1">IF($D169&lt;&gt;"Serviço","",IF(AUTOEVENTO="Manual",IF($A169=0,"&lt;-- defina o número do agrupador",OFFSET(EVENTOS!$D$14,$A169,0)),OFFSET($F$15,$A169,0)))</f>
        <v>DRENAGEM</v>
      </c>
      <c r="O169" s="208"/>
      <c r="Q169" s="208"/>
      <c r="R169" s="209"/>
      <c r="S169" s="209"/>
      <c r="T169" s="209"/>
      <c r="U169" s="209"/>
      <c r="V169" s="209"/>
      <c r="W169" s="209"/>
      <c r="X169" s="209"/>
      <c r="Y169" s="209"/>
      <c r="Z169" s="210"/>
      <c r="AB169" s="626">
        <f ca="1">IF(AND($D169="Serviço",AB$12&lt;&gt;0,$H169&gt;0,OR(AUTOEVENTO&lt;&gt;"manual",$M169&lt;&gt;1)),
IF(Import.TipoArredondamento&lt;&gt;"TransfereGOV",
ROUND(OFFSET($P169,0,AB$13),15-13*ORÇAMENTO!$AF$7)/$H169*OFFSET(ORÇAMENTO!$X$15,ROW(AB169)-ROW(AB$15),0),
ROUND(ROUND(OFFSET($P169,0,AB$13),15-13*ORÇAMENTO!$AF$7)*OFFSET(ORÇAMENTO!$W$15,ROW(AB169)-ROW(AB$15),0),15-13*ORÇAMENTO!$AF$11)),0)</f>
        <v>0</v>
      </c>
      <c r="AC169" s="627">
        <f ca="1">IF(AND($D169="Serviço",AC$12&lt;&gt;0,$H169&gt;0,OR(AUTOEVENTO&lt;&gt;"manual",$M169&lt;&gt;1)),
IF(Import.TipoArredondamento&lt;&gt;"TransfereGOV",
ROUND(OFFSET($P169,0,AC$13),15-13*ORÇAMENTO!$AF$7)/$H169*OFFSET(ORÇAMENTO!$X$15,ROW(AC169)-ROW(AC$15),0),
ROUND(ROUND(OFFSET($P169,0,AC$13),15-13*ORÇAMENTO!$AF$7)*OFFSET(ORÇAMENTO!$W$15,ROW(AC169)-ROW(AC$15),0),15-13*ORÇAMENTO!$AF$11)),0)</f>
        <v>0</v>
      </c>
      <c r="AD169" s="627">
        <f ca="1">IF(AND($D169="Serviço",AD$12&lt;&gt;0,$H169&gt;0,OR(AUTOEVENTO&lt;&gt;"manual",$M169&lt;&gt;1)),
IF(Import.TipoArredondamento&lt;&gt;"TransfereGOV",
ROUND(OFFSET($P169,0,AD$13),15-13*ORÇAMENTO!$AF$7)/$H169*OFFSET(ORÇAMENTO!$X$15,ROW(AD169)-ROW(AD$15),0),
ROUND(ROUND(OFFSET($P169,0,AD$13),15-13*ORÇAMENTO!$AF$7)*OFFSET(ORÇAMENTO!$W$15,ROW(AD169)-ROW(AD$15),0),15-13*ORÇAMENTO!$AF$11)),0)</f>
        <v>0</v>
      </c>
      <c r="AE169" s="627">
        <f ca="1">IF(AND($D169="Serviço",AE$12&lt;&gt;0,$H169&gt;0,OR(AUTOEVENTO&lt;&gt;"manual",$M169&lt;&gt;1)),
IF(Import.TipoArredondamento&lt;&gt;"TransfereGOV",
ROUND(OFFSET($P169,0,AE$13),15-13*ORÇAMENTO!$AF$7)/$H169*OFFSET(ORÇAMENTO!$X$15,ROW(AE169)-ROW(AE$15),0),
ROUND(ROUND(OFFSET($P169,0,AE$13),15-13*ORÇAMENTO!$AF$7)*OFFSET(ORÇAMENTO!$W$15,ROW(AE169)-ROW(AE$15),0),15-13*ORÇAMENTO!$AF$11)),0)</f>
        <v>0</v>
      </c>
      <c r="AF169" s="627">
        <f ca="1">IF(AND($D169="Serviço",AF$12&lt;&gt;0,$H169&gt;0,OR(AUTOEVENTO&lt;&gt;"manual",$M169&lt;&gt;1)),
IF(Import.TipoArredondamento&lt;&gt;"TransfereGOV",
ROUND(OFFSET($P169,0,AF$13),15-13*ORÇAMENTO!$AF$7)/$H169*OFFSET(ORÇAMENTO!$X$15,ROW(AF169)-ROW(AF$15),0),
ROUND(ROUND(OFFSET($P169,0,AF$13),15-13*ORÇAMENTO!$AF$7)*OFFSET(ORÇAMENTO!$W$15,ROW(AF169)-ROW(AF$15),0),15-13*ORÇAMENTO!$AF$11)),0)</f>
        <v>0</v>
      </c>
      <c r="AG169" s="627">
        <f ca="1">IF(AND($D169="Serviço",AG$12&lt;&gt;0,$H169&gt;0,OR(AUTOEVENTO&lt;&gt;"manual",$M169&lt;&gt;1)),
IF(Import.TipoArredondamento&lt;&gt;"TransfereGOV",
ROUND(OFFSET($P169,0,AG$13),15-13*ORÇAMENTO!$AF$7)/$H169*OFFSET(ORÇAMENTO!$X$15,ROW(AG169)-ROW(AG$15),0),
ROUND(ROUND(OFFSET($P169,0,AG$13),15-13*ORÇAMENTO!$AF$7)*OFFSET(ORÇAMENTO!$W$15,ROW(AG169)-ROW(AG$15),0),15-13*ORÇAMENTO!$AF$11)),0)</f>
        <v>0</v>
      </c>
      <c r="AH169" s="627">
        <f ca="1">IF(AND($D169="Serviço",AH$12&lt;&gt;0,$H169&gt;0,OR(AUTOEVENTO&lt;&gt;"manual",$M169&lt;&gt;1)),
IF(Import.TipoArredondamento&lt;&gt;"TransfereGOV",
ROUND(OFFSET($P169,0,AH$13),15-13*ORÇAMENTO!$AF$7)/$H169*OFFSET(ORÇAMENTO!$X$15,ROW(AH169)-ROW(AH$15),0),
ROUND(ROUND(OFFSET($P169,0,AH$13),15-13*ORÇAMENTO!$AF$7)*OFFSET(ORÇAMENTO!$W$15,ROW(AH169)-ROW(AH$15),0),15-13*ORÇAMENTO!$AF$11)),0)</f>
        <v>0</v>
      </c>
      <c r="AI169" s="627">
        <f ca="1">IF(AND($D169="Serviço",AI$12&lt;&gt;0,$H169&gt;0,OR(AUTOEVENTO&lt;&gt;"manual",$M169&lt;&gt;1)),
IF(Import.TipoArredondamento&lt;&gt;"TransfereGOV",
ROUND(OFFSET($P169,0,AI$13),15-13*ORÇAMENTO!$AF$7)/$H169*OFFSET(ORÇAMENTO!$X$15,ROW(AI169)-ROW(AI$15),0),
ROUND(ROUND(OFFSET($P169,0,AI$13),15-13*ORÇAMENTO!$AF$7)*OFFSET(ORÇAMENTO!$W$15,ROW(AI169)-ROW(AI$15),0),15-13*ORÇAMENTO!$AF$11)),0)</f>
        <v>0</v>
      </c>
      <c r="AJ169" s="627">
        <f ca="1">IF(AND($D169="Serviço",AJ$12&lt;&gt;0,$H169&gt;0,OR(AUTOEVENTO&lt;&gt;"manual",$M169&lt;&gt;1)),
IF(Import.TipoArredondamento&lt;&gt;"TransfereGOV",
ROUND(OFFSET($P169,0,AJ$13),15-13*ORÇAMENTO!$AF$7)/$H169*OFFSET(ORÇAMENTO!$X$15,ROW(AJ169)-ROW(AJ$15),0),
ROUND(ROUND(OFFSET($P169,0,AJ$13),15-13*ORÇAMENTO!$AF$7)*OFFSET(ORÇAMENTO!$W$15,ROW(AJ169)-ROW(AJ$15),0),15-13*ORÇAMENTO!$AF$11)),0)</f>
        <v>0</v>
      </c>
      <c r="AK169" s="628">
        <f ca="1">IF(AND($D169="Serviço",AK$12&lt;&gt;0,$H169&gt;0,OR(AUTOEVENTO&lt;&gt;"manual",$M169&lt;&gt;1)),
IF(Import.TipoArredondamento&lt;&gt;"TransfereGOV",
ROUND(OFFSET($P169,0,AK$13),15-13*ORÇAMENTO!$AF$7)/$H169*OFFSET(ORÇAMENTO!$X$15,ROW(AK169)-ROW(AK$15),0),
ROUND(ROUND(OFFSET($P169,0,AK$13),15-13*ORÇAMENTO!$AF$7)*OFFSET(ORÇAMENTO!$W$15,ROW(AK169)-ROW(AK$15),0),15-13*ORÇAMENTO!$AF$11)),0)</f>
        <v>0</v>
      </c>
      <c r="AM169" s="211">
        <f ca="1">IF($D169&lt;&gt;"Serviço",0,IF(AND(AUTOEVENTO="Manual",$M169=1),0,IF(OFFSET(CRONOPLE!$F$14,$M169,AM$13)="",10^12,OFFSET(CRONOPLE!$F$14,$M169,AM$13))))</f>
        <v>2</v>
      </c>
      <c r="AN169" s="211">
        <f ca="1">IF($D169&lt;&gt;"Serviço",0,IF(AND(AUTOEVENTO="Manual",$M169=1),0,IF(OFFSET(CRONOPLE!$F$14,$M169,AN$13)="",10^12,OFFSET(CRONOPLE!$F$14,$M169,AN$13))))</f>
        <v>1</v>
      </c>
      <c r="AO169" s="211">
        <f ca="1">IF($D169&lt;&gt;"Serviço",0,IF(AND(AUTOEVENTO="Manual",$M169=1),0,IF(OFFSET(CRONOPLE!$F$14,$M169,AO$13)="",10^12,OFFSET(CRONOPLE!$F$14,$M169,AO$13))))</f>
        <v>2</v>
      </c>
      <c r="AP169" s="211">
        <f ca="1">IF($D169&lt;&gt;"Serviço",0,IF(AND(AUTOEVENTO="Manual",$M169=1),0,IF(OFFSET(CRONOPLE!$F$14,$M169,AP$13)="",10^12,OFFSET(CRONOPLE!$F$14,$M169,AP$13))))</f>
        <v>2</v>
      </c>
      <c r="AQ169" s="211">
        <f ca="1">IF($D169&lt;&gt;"Serviço",0,IF(AND(AUTOEVENTO="Manual",$M169=1),0,IF(OFFSET(CRONOPLE!$F$14,$M169,AQ$13)="",10^12,OFFSET(CRONOPLE!$F$14,$M169,AQ$13))))</f>
        <v>1000000000000</v>
      </c>
      <c r="AR169" s="211">
        <f ca="1">IF($D169&lt;&gt;"Serviço",0,IF(AND(AUTOEVENTO="Manual",$M169=1),0,IF(OFFSET(CRONOPLE!$F$14,$M169,AR$13)="",10^12,OFFSET(CRONOPLE!$F$14,$M169,AR$13))))</f>
        <v>1000000000000</v>
      </c>
      <c r="AS169" s="211">
        <f ca="1">IF($D169&lt;&gt;"Serviço",0,IF(AND(AUTOEVENTO="Manual",$M169=1),0,IF(OFFSET(CRONOPLE!$F$14,$M169,AS$13)="",10^12,OFFSET(CRONOPLE!$F$14,$M169,AS$13))))</f>
        <v>1000000000000</v>
      </c>
      <c r="AT169" s="211">
        <f ca="1">IF($D169&lt;&gt;"Serviço",0,IF(AND(AUTOEVENTO="Manual",$M169=1),0,IF(OFFSET(CRONOPLE!$F$14,$M169,AT$13)="",10^12,OFFSET(CRONOPLE!$F$14,$M169,AT$13))))</f>
        <v>1000000000000</v>
      </c>
      <c r="AU169" s="211">
        <f ca="1">IF($D169&lt;&gt;"Serviço",0,IF(AND(AUTOEVENTO="Manual",$M169=1),0,IF(OFFSET(CRONOPLE!$F$14,$M169,AU$13)="",10^12,OFFSET(CRONOPLE!$F$14,$M169,AU$13))))</f>
        <v>1000000000000</v>
      </c>
      <c r="AV169" s="211">
        <f ca="1">IF($D169&lt;&gt;"Serviço",0,IF(AND(AUTOEVENTO="Manual",$M169=1),0,IF(OFFSET(CRONOPLE!$F$14,$M169,AV$13)="",10^12,OFFSET(CRONOPLE!$F$14,$M169,AV$13))))</f>
        <v>1000000000000</v>
      </c>
      <c r="AX169" s="212">
        <f ca="1">IF($D169&lt;&gt;"Serviço",0,IF(OR(AND(AUTOEVENTO="Manual",$M169=1),$M169&gt;(ROW(PLE.lastrow)-ROW(PLE.firstrow))),0,IF(OFFSET(PLE!$G$14,$M169,AX$13)="",10^12,OFFSET(PLE!$G$14,$M169,AX$13))))</f>
        <v>1000000000000</v>
      </c>
      <c r="AY169" s="212">
        <f ca="1">IF($D169&lt;&gt;"Serviço",0,IF(OR(AND(AUTOEVENTO="Manual",$M169=1),$M169&gt;(ROW(PLE.lastrow)-ROW(PLE.firstrow))),0,IF(OFFSET(PLE!$G$14,$M169,AY$13)="",10^12,OFFSET(PLE!$G$14,$M169,AY$13))))</f>
        <v>1000000000000</v>
      </c>
      <c r="AZ169" s="212">
        <f ca="1">IF($D169&lt;&gt;"Serviço",0,IF(OR(AND(AUTOEVENTO="Manual",$M169=1),$M169&gt;(ROW(PLE.lastrow)-ROW(PLE.firstrow))),0,IF(OFFSET(PLE!$G$14,$M169,AZ$13)="",10^12,OFFSET(PLE!$G$14,$M169,AZ$13))))</f>
        <v>1000000000000</v>
      </c>
      <c r="BA169" s="212">
        <f ca="1">IF($D169&lt;&gt;"Serviço",0,IF(OR(AND(AUTOEVENTO="Manual",$M169=1),$M169&gt;(ROW(PLE.lastrow)-ROW(PLE.firstrow))),0,IF(OFFSET(PLE!$G$14,$M169,BA$13)="",10^12,OFFSET(PLE!$G$14,$M169,BA$13))))</f>
        <v>1000000000000</v>
      </c>
      <c r="BB169" s="212">
        <f ca="1">IF($D169&lt;&gt;"Serviço",0,IF(OR(AND(AUTOEVENTO="Manual",$M169=1),$M169&gt;(ROW(PLE.lastrow)-ROW(PLE.firstrow))),0,IF(OFFSET(PLE!$G$14,$M169,BB$13)="",10^12,OFFSET(PLE!$G$14,$M169,BB$13))))</f>
        <v>1000000000000</v>
      </c>
      <c r="BC169" s="212">
        <f ca="1">IF($D169&lt;&gt;"Serviço",0,IF(OR(AND(AUTOEVENTO="Manual",$M169=1),$M169&gt;(ROW(PLE.lastrow)-ROW(PLE.firstrow))),0,IF(OFFSET(PLE!$G$14,$M169,BC$13)="",10^12,OFFSET(PLE!$G$14,$M169,BC$13))))</f>
        <v>1000000000000</v>
      </c>
      <c r="BD169" s="212">
        <f ca="1">IF($D169&lt;&gt;"Serviço",0,IF(OR(AND(AUTOEVENTO="Manual",$M169=1),$M169&gt;(ROW(PLE.lastrow)-ROW(PLE.firstrow))),0,IF(OFFSET(PLE!$G$14,$M169,BD$13)="",10^12,OFFSET(PLE!$G$14,$M169,BD$13))))</f>
        <v>1000000000000</v>
      </c>
      <c r="BE169" s="212">
        <f ca="1">IF($D169&lt;&gt;"Serviço",0,IF(OR(AND(AUTOEVENTO="Manual",$M169=1),$M169&gt;(ROW(PLE.lastrow)-ROW(PLE.firstrow))),0,IF(OFFSET(PLE!$G$14,$M169,BE$13)="",10^12,OFFSET(PLE!$G$14,$M169,BE$13))))</f>
        <v>1000000000000</v>
      </c>
      <c r="BF169" s="212">
        <f ca="1">IF($D169&lt;&gt;"Serviço",0,IF(OR(AND(AUTOEVENTO="Manual",$M169=1),$M169&gt;(ROW(PLE.lastrow)-ROW(PLE.firstrow))),0,IF(OFFSET(PLE!$G$14,$M169,BF$13)="",10^12,OFFSET(PLE!$G$14,$M169,BF$13))))</f>
        <v>1000000000000</v>
      </c>
      <c r="BG169" s="212">
        <f ca="1">IF($D169&lt;&gt;"Serviço",0,IF(OR(AND(AUTOEVENTO="Manual",$M169=1),$M169&gt;(ROW(PLE.lastrow)-ROW(PLE.firstrow))),0,IF(OFFSET(PLE!$G$14,$M169,BG$13)="",10^12,OFFSET(PLE!$G$14,$M169,BG$13))))</f>
        <v>1000000000000</v>
      </c>
    </row>
    <row r="170" spans="1:59" ht="13.2">
      <c r="A170" s="9" t="str">
        <f t="shared" ca="1" si="11"/>
        <v>15</v>
      </c>
      <c r="B170" s="9" t="str">
        <f ca="1">OFFSET(ORÇAMENTO!C$15,ROW(B170)-ROW(B$15),0)</f>
        <v>S</v>
      </c>
      <c r="C170" s="9" t="str">
        <f ca="1">OFFSET(ORÇAMENTO!L$15,ROW(C170)-ROW(C$15),0)</f>
        <v/>
      </c>
      <c r="D170" s="141" t="str">
        <f ca="1">OFFSET(ORÇAMENTO!N$15,ROW(D170)-ROW(D$15),0)</f>
        <v>Serviço</v>
      </c>
      <c r="E170" s="201" t="str">
        <f ca="1">OFFSET(ORÇAMENTO!O$15,ROW(E170)-ROW(E$15),0)</f>
        <v>-</v>
      </c>
      <c r="F170" s="202" t="str">
        <f ca="1">OFFSET(ORÇAMENTO!R$15,ROW(F170)-ROW(F$15),0)</f>
        <v>(abra o arquivo 'Referência 11-2024.xlsm)</v>
      </c>
      <c r="G170" s="203" t="str">
        <f ca="1">IF($D170&lt;&gt;"Serviço","",OFFSET(ORÇAMENTO!S$15,ROW(G170)-ROW(G$15),0))</f>
        <v>-</v>
      </c>
      <c r="H170" s="147">
        <f ca="1">IF($D170&lt;&gt;"Serviço",0,IF(ACOMPANHAMENTO="BM",ROUND(OFFSET(ORÇAMENTO!AJ$15,ROW(H170)-ROW(H$15),0),15-13*ORÇAMENTO!$AF$7),SUMPRODUCT(($Q$12:$AA$12&lt;&gt;"")*ROUND($Q170:$AA170,15-13*ORÇAMENTO!$AF$7))))</f>
        <v>0</v>
      </c>
      <c r="I170" s="645"/>
      <c r="K170" s="204"/>
      <c r="L170" s="205" t="s">
        <v>255</v>
      </c>
      <c r="M170" s="206">
        <f ca="1">IF($D170&lt;&gt;"Serviço","",IF(AUTOEVENTO="manual",$A170,IF(ISERROR(MATCH($A170,$A$15:OFFSET($A170,-1,0),0)),MAX($M$15:OFFSET(M170,-1,0))+1,INDEX($M$15:OFFSET(M170,-1,0),MATCH($A170,$A$15:OFFSET($A170,-1,0),0)))))</f>
        <v>6</v>
      </c>
      <c r="N170" s="207" t="str">
        <f ca="1">IF($D170&lt;&gt;"Serviço","",IF(AUTOEVENTO="Manual",IF($A170=0,"&lt;-- defina o número do agrupador",OFFSET(EVENTOS!$D$14,$A170,0)),OFFSET($F$15,$A170,0)))</f>
        <v>DRENAGEM</v>
      </c>
      <c r="O170" s="208"/>
      <c r="Q170" s="208"/>
      <c r="R170" s="209"/>
      <c r="S170" s="209"/>
      <c r="T170" s="209"/>
      <c r="U170" s="209"/>
      <c r="V170" s="209"/>
      <c r="W170" s="209"/>
      <c r="X170" s="209"/>
      <c r="Y170" s="209"/>
      <c r="Z170" s="210"/>
      <c r="AB170" s="626">
        <f ca="1">IF(AND($D170="Serviço",AB$12&lt;&gt;0,$H170&gt;0,OR(AUTOEVENTO&lt;&gt;"manual",$M170&lt;&gt;1)),
IF(Import.TipoArredondamento&lt;&gt;"TransfereGOV",
ROUND(OFFSET($P170,0,AB$13),15-13*ORÇAMENTO!$AF$7)/$H170*OFFSET(ORÇAMENTO!$X$15,ROW(AB170)-ROW(AB$15),0),
ROUND(ROUND(OFFSET($P170,0,AB$13),15-13*ORÇAMENTO!$AF$7)*OFFSET(ORÇAMENTO!$W$15,ROW(AB170)-ROW(AB$15),0),15-13*ORÇAMENTO!$AF$11)),0)</f>
        <v>0</v>
      </c>
      <c r="AC170" s="627">
        <f ca="1">IF(AND($D170="Serviço",AC$12&lt;&gt;0,$H170&gt;0,OR(AUTOEVENTO&lt;&gt;"manual",$M170&lt;&gt;1)),
IF(Import.TipoArredondamento&lt;&gt;"TransfereGOV",
ROUND(OFFSET($P170,0,AC$13),15-13*ORÇAMENTO!$AF$7)/$H170*OFFSET(ORÇAMENTO!$X$15,ROW(AC170)-ROW(AC$15),0),
ROUND(ROUND(OFFSET($P170,0,AC$13),15-13*ORÇAMENTO!$AF$7)*OFFSET(ORÇAMENTO!$W$15,ROW(AC170)-ROW(AC$15),0),15-13*ORÇAMENTO!$AF$11)),0)</f>
        <v>0</v>
      </c>
      <c r="AD170" s="627">
        <f ca="1">IF(AND($D170="Serviço",AD$12&lt;&gt;0,$H170&gt;0,OR(AUTOEVENTO&lt;&gt;"manual",$M170&lt;&gt;1)),
IF(Import.TipoArredondamento&lt;&gt;"TransfereGOV",
ROUND(OFFSET($P170,0,AD$13),15-13*ORÇAMENTO!$AF$7)/$H170*OFFSET(ORÇAMENTO!$X$15,ROW(AD170)-ROW(AD$15),0),
ROUND(ROUND(OFFSET($P170,0,AD$13),15-13*ORÇAMENTO!$AF$7)*OFFSET(ORÇAMENTO!$W$15,ROW(AD170)-ROW(AD$15),0),15-13*ORÇAMENTO!$AF$11)),0)</f>
        <v>0</v>
      </c>
      <c r="AE170" s="627">
        <f ca="1">IF(AND($D170="Serviço",AE$12&lt;&gt;0,$H170&gt;0,OR(AUTOEVENTO&lt;&gt;"manual",$M170&lt;&gt;1)),
IF(Import.TipoArredondamento&lt;&gt;"TransfereGOV",
ROUND(OFFSET($P170,0,AE$13),15-13*ORÇAMENTO!$AF$7)/$H170*OFFSET(ORÇAMENTO!$X$15,ROW(AE170)-ROW(AE$15),0),
ROUND(ROUND(OFFSET($P170,0,AE$13),15-13*ORÇAMENTO!$AF$7)*OFFSET(ORÇAMENTO!$W$15,ROW(AE170)-ROW(AE$15),0),15-13*ORÇAMENTO!$AF$11)),0)</f>
        <v>0</v>
      </c>
      <c r="AF170" s="627">
        <f ca="1">IF(AND($D170="Serviço",AF$12&lt;&gt;0,$H170&gt;0,OR(AUTOEVENTO&lt;&gt;"manual",$M170&lt;&gt;1)),
IF(Import.TipoArredondamento&lt;&gt;"TransfereGOV",
ROUND(OFFSET($P170,0,AF$13),15-13*ORÇAMENTO!$AF$7)/$H170*OFFSET(ORÇAMENTO!$X$15,ROW(AF170)-ROW(AF$15),0),
ROUND(ROUND(OFFSET($P170,0,AF$13),15-13*ORÇAMENTO!$AF$7)*OFFSET(ORÇAMENTO!$W$15,ROW(AF170)-ROW(AF$15),0),15-13*ORÇAMENTO!$AF$11)),0)</f>
        <v>0</v>
      </c>
      <c r="AG170" s="627">
        <f ca="1">IF(AND($D170="Serviço",AG$12&lt;&gt;0,$H170&gt;0,OR(AUTOEVENTO&lt;&gt;"manual",$M170&lt;&gt;1)),
IF(Import.TipoArredondamento&lt;&gt;"TransfereGOV",
ROUND(OFFSET($P170,0,AG$13),15-13*ORÇAMENTO!$AF$7)/$H170*OFFSET(ORÇAMENTO!$X$15,ROW(AG170)-ROW(AG$15),0),
ROUND(ROUND(OFFSET($P170,0,AG$13),15-13*ORÇAMENTO!$AF$7)*OFFSET(ORÇAMENTO!$W$15,ROW(AG170)-ROW(AG$15),0),15-13*ORÇAMENTO!$AF$11)),0)</f>
        <v>0</v>
      </c>
      <c r="AH170" s="627">
        <f ca="1">IF(AND($D170="Serviço",AH$12&lt;&gt;0,$H170&gt;0,OR(AUTOEVENTO&lt;&gt;"manual",$M170&lt;&gt;1)),
IF(Import.TipoArredondamento&lt;&gt;"TransfereGOV",
ROUND(OFFSET($P170,0,AH$13),15-13*ORÇAMENTO!$AF$7)/$H170*OFFSET(ORÇAMENTO!$X$15,ROW(AH170)-ROW(AH$15),0),
ROUND(ROUND(OFFSET($P170,0,AH$13),15-13*ORÇAMENTO!$AF$7)*OFFSET(ORÇAMENTO!$W$15,ROW(AH170)-ROW(AH$15),0),15-13*ORÇAMENTO!$AF$11)),0)</f>
        <v>0</v>
      </c>
      <c r="AI170" s="627">
        <f ca="1">IF(AND($D170="Serviço",AI$12&lt;&gt;0,$H170&gt;0,OR(AUTOEVENTO&lt;&gt;"manual",$M170&lt;&gt;1)),
IF(Import.TipoArredondamento&lt;&gt;"TransfereGOV",
ROUND(OFFSET($P170,0,AI$13),15-13*ORÇAMENTO!$AF$7)/$H170*OFFSET(ORÇAMENTO!$X$15,ROW(AI170)-ROW(AI$15),0),
ROUND(ROUND(OFFSET($P170,0,AI$13),15-13*ORÇAMENTO!$AF$7)*OFFSET(ORÇAMENTO!$W$15,ROW(AI170)-ROW(AI$15),0),15-13*ORÇAMENTO!$AF$11)),0)</f>
        <v>0</v>
      </c>
      <c r="AJ170" s="627">
        <f ca="1">IF(AND($D170="Serviço",AJ$12&lt;&gt;0,$H170&gt;0,OR(AUTOEVENTO&lt;&gt;"manual",$M170&lt;&gt;1)),
IF(Import.TipoArredondamento&lt;&gt;"TransfereGOV",
ROUND(OFFSET($P170,0,AJ$13),15-13*ORÇAMENTO!$AF$7)/$H170*OFFSET(ORÇAMENTO!$X$15,ROW(AJ170)-ROW(AJ$15),0),
ROUND(ROUND(OFFSET($P170,0,AJ$13),15-13*ORÇAMENTO!$AF$7)*OFFSET(ORÇAMENTO!$W$15,ROW(AJ170)-ROW(AJ$15),0),15-13*ORÇAMENTO!$AF$11)),0)</f>
        <v>0</v>
      </c>
      <c r="AK170" s="628">
        <f ca="1">IF(AND($D170="Serviço",AK$12&lt;&gt;0,$H170&gt;0,OR(AUTOEVENTO&lt;&gt;"manual",$M170&lt;&gt;1)),
IF(Import.TipoArredondamento&lt;&gt;"TransfereGOV",
ROUND(OFFSET($P170,0,AK$13),15-13*ORÇAMENTO!$AF$7)/$H170*OFFSET(ORÇAMENTO!$X$15,ROW(AK170)-ROW(AK$15),0),
ROUND(ROUND(OFFSET($P170,0,AK$13),15-13*ORÇAMENTO!$AF$7)*OFFSET(ORÇAMENTO!$W$15,ROW(AK170)-ROW(AK$15),0),15-13*ORÇAMENTO!$AF$11)),0)</f>
        <v>0</v>
      </c>
      <c r="AM170" s="211">
        <f ca="1">IF($D170&lt;&gt;"Serviço",0,IF(AND(AUTOEVENTO="Manual",$M170=1),0,IF(OFFSET(CRONOPLE!$F$14,$M170,AM$13)="",10^12,OFFSET(CRONOPLE!$F$14,$M170,AM$13))))</f>
        <v>2</v>
      </c>
      <c r="AN170" s="211">
        <f ca="1">IF($D170&lt;&gt;"Serviço",0,IF(AND(AUTOEVENTO="Manual",$M170=1),0,IF(OFFSET(CRONOPLE!$F$14,$M170,AN$13)="",10^12,OFFSET(CRONOPLE!$F$14,$M170,AN$13))))</f>
        <v>1</v>
      </c>
      <c r="AO170" s="211">
        <f ca="1">IF($D170&lt;&gt;"Serviço",0,IF(AND(AUTOEVENTO="Manual",$M170=1),0,IF(OFFSET(CRONOPLE!$F$14,$M170,AO$13)="",10^12,OFFSET(CRONOPLE!$F$14,$M170,AO$13))))</f>
        <v>2</v>
      </c>
      <c r="AP170" s="211">
        <f ca="1">IF($D170&lt;&gt;"Serviço",0,IF(AND(AUTOEVENTO="Manual",$M170=1),0,IF(OFFSET(CRONOPLE!$F$14,$M170,AP$13)="",10^12,OFFSET(CRONOPLE!$F$14,$M170,AP$13))))</f>
        <v>2</v>
      </c>
      <c r="AQ170" s="211">
        <f ca="1">IF($D170&lt;&gt;"Serviço",0,IF(AND(AUTOEVENTO="Manual",$M170=1),0,IF(OFFSET(CRONOPLE!$F$14,$M170,AQ$13)="",10^12,OFFSET(CRONOPLE!$F$14,$M170,AQ$13))))</f>
        <v>1000000000000</v>
      </c>
      <c r="AR170" s="211">
        <f ca="1">IF($D170&lt;&gt;"Serviço",0,IF(AND(AUTOEVENTO="Manual",$M170=1),0,IF(OFFSET(CRONOPLE!$F$14,$M170,AR$13)="",10^12,OFFSET(CRONOPLE!$F$14,$M170,AR$13))))</f>
        <v>1000000000000</v>
      </c>
      <c r="AS170" s="211">
        <f ca="1">IF($D170&lt;&gt;"Serviço",0,IF(AND(AUTOEVENTO="Manual",$M170=1),0,IF(OFFSET(CRONOPLE!$F$14,$M170,AS$13)="",10^12,OFFSET(CRONOPLE!$F$14,$M170,AS$13))))</f>
        <v>1000000000000</v>
      </c>
      <c r="AT170" s="211">
        <f ca="1">IF($D170&lt;&gt;"Serviço",0,IF(AND(AUTOEVENTO="Manual",$M170=1),0,IF(OFFSET(CRONOPLE!$F$14,$M170,AT$13)="",10^12,OFFSET(CRONOPLE!$F$14,$M170,AT$13))))</f>
        <v>1000000000000</v>
      </c>
      <c r="AU170" s="211">
        <f ca="1">IF($D170&lt;&gt;"Serviço",0,IF(AND(AUTOEVENTO="Manual",$M170=1),0,IF(OFFSET(CRONOPLE!$F$14,$M170,AU$13)="",10^12,OFFSET(CRONOPLE!$F$14,$M170,AU$13))))</f>
        <v>1000000000000</v>
      </c>
      <c r="AV170" s="211">
        <f ca="1">IF($D170&lt;&gt;"Serviço",0,IF(AND(AUTOEVENTO="Manual",$M170=1),0,IF(OFFSET(CRONOPLE!$F$14,$M170,AV$13)="",10^12,OFFSET(CRONOPLE!$F$14,$M170,AV$13))))</f>
        <v>1000000000000</v>
      </c>
      <c r="AX170" s="212">
        <f ca="1">IF($D170&lt;&gt;"Serviço",0,IF(OR(AND(AUTOEVENTO="Manual",$M170=1),$M170&gt;(ROW(PLE.lastrow)-ROW(PLE.firstrow))),0,IF(OFFSET(PLE!$G$14,$M170,AX$13)="",10^12,OFFSET(PLE!$G$14,$M170,AX$13))))</f>
        <v>1000000000000</v>
      </c>
      <c r="AY170" s="212">
        <f ca="1">IF($D170&lt;&gt;"Serviço",0,IF(OR(AND(AUTOEVENTO="Manual",$M170=1),$M170&gt;(ROW(PLE.lastrow)-ROW(PLE.firstrow))),0,IF(OFFSET(PLE!$G$14,$M170,AY$13)="",10^12,OFFSET(PLE!$G$14,$M170,AY$13))))</f>
        <v>1000000000000</v>
      </c>
      <c r="AZ170" s="212">
        <f ca="1">IF($D170&lt;&gt;"Serviço",0,IF(OR(AND(AUTOEVENTO="Manual",$M170=1),$M170&gt;(ROW(PLE.lastrow)-ROW(PLE.firstrow))),0,IF(OFFSET(PLE!$G$14,$M170,AZ$13)="",10^12,OFFSET(PLE!$G$14,$M170,AZ$13))))</f>
        <v>1000000000000</v>
      </c>
      <c r="BA170" s="212">
        <f ca="1">IF($D170&lt;&gt;"Serviço",0,IF(OR(AND(AUTOEVENTO="Manual",$M170=1),$M170&gt;(ROW(PLE.lastrow)-ROW(PLE.firstrow))),0,IF(OFFSET(PLE!$G$14,$M170,BA$13)="",10^12,OFFSET(PLE!$G$14,$M170,BA$13))))</f>
        <v>1000000000000</v>
      </c>
      <c r="BB170" s="212">
        <f ca="1">IF($D170&lt;&gt;"Serviço",0,IF(OR(AND(AUTOEVENTO="Manual",$M170=1),$M170&gt;(ROW(PLE.lastrow)-ROW(PLE.firstrow))),0,IF(OFFSET(PLE!$G$14,$M170,BB$13)="",10^12,OFFSET(PLE!$G$14,$M170,BB$13))))</f>
        <v>1000000000000</v>
      </c>
      <c r="BC170" s="212">
        <f ca="1">IF($D170&lt;&gt;"Serviço",0,IF(OR(AND(AUTOEVENTO="Manual",$M170=1),$M170&gt;(ROW(PLE.lastrow)-ROW(PLE.firstrow))),0,IF(OFFSET(PLE!$G$14,$M170,BC$13)="",10^12,OFFSET(PLE!$G$14,$M170,BC$13))))</f>
        <v>1000000000000</v>
      </c>
      <c r="BD170" s="212">
        <f ca="1">IF($D170&lt;&gt;"Serviço",0,IF(OR(AND(AUTOEVENTO="Manual",$M170=1),$M170&gt;(ROW(PLE.lastrow)-ROW(PLE.firstrow))),0,IF(OFFSET(PLE!$G$14,$M170,BD$13)="",10^12,OFFSET(PLE!$G$14,$M170,BD$13))))</f>
        <v>1000000000000</v>
      </c>
      <c r="BE170" s="212">
        <f ca="1">IF($D170&lt;&gt;"Serviço",0,IF(OR(AND(AUTOEVENTO="Manual",$M170=1),$M170&gt;(ROW(PLE.lastrow)-ROW(PLE.firstrow))),0,IF(OFFSET(PLE!$G$14,$M170,BE$13)="",10^12,OFFSET(PLE!$G$14,$M170,BE$13))))</f>
        <v>1000000000000</v>
      </c>
      <c r="BF170" s="212">
        <f ca="1">IF($D170&lt;&gt;"Serviço",0,IF(OR(AND(AUTOEVENTO="Manual",$M170=1),$M170&gt;(ROW(PLE.lastrow)-ROW(PLE.firstrow))),0,IF(OFFSET(PLE!$G$14,$M170,BF$13)="",10^12,OFFSET(PLE!$G$14,$M170,BF$13))))</f>
        <v>1000000000000</v>
      </c>
      <c r="BG170" s="212">
        <f ca="1">IF($D170&lt;&gt;"Serviço",0,IF(OR(AND(AUTOEVENTO="Manual",$M170=1),$M170&gt;(ROW(PLE.lastrow)-ROW(PLE.firstrow))),0,IF(OFFSET(PLE!$G$14,$M170,BG$13)="",10^12,OFFSET(PLE!$G$14,$M170,BG$13))))</f>
        <v>1000000000000</v>
      </c>
    </row>
    <row r="171" spans="1:59" ht="13.2">
      <c r="A171" s="9" t="str">
        <f t="shared" ca="1" si="11"/>
        <v>15</v>
      </c>
      <c r="B171" s="9" t="str">
        <f ca="1">OFFSET(ORÇAMENTO!C$15,ROW(B171)-ROW(B$15),0)</f>
        <v>S</v>
      </c>
      <c r="C171" s="9" t="str">
        <f ca="1">OFFSET(ORÇAMENTO!L$15,ROW(C171)-ROW(C$15),0)</f>
        <v/>
      </c>
      <c r="D171" s="141" t="str">
        <f ca="1">OFFSET(ORÇAMENTO!N$15,ROW(D171)-ROW(D$15),0)</f>
        <v>Serviço</v>
      </c>
      <c r="E171" s="201" t="str">
        <f ca="1">OFFSET(ORÇAMENTO!O$15,ROW(E171)-ROW(E$15),0)</f>
        <v>-</v>
      </c>
      <c r="F171" s="202" t="str">
        <f ca="1">OFFSET(ORÇAMENTO!R$15,ROW(F171)-ROW(F$15),0)</f>
        <v>(abra o arquivo 'Referência 11-2024.xlsm)</v>
      </c>
      <c r="G171" s="203" t="str">
        <f ca="1">IF($D171&lt;&gt;"Serviço","",OFFSET(ORÇAMENTO!S$15,ROW(G171)-ROW(G$15),0))</f>
        <v>-</v>
      </c>
      <c r="H171" s="147">
        <f ca="1">IF($D171&lt;&gt;"Serviço",0,IF(ACOMPANHAMENTO="BM",ROUND(OFFSET(ORÇAMENTO!AJ$15,ROW(H171)-ROW(H$15),0),15-13*ORÇAMENTO!$AF$7),SUMPRODUCT(($Q$12:$AA$12&lt;&gt;"")*ROUND($Q171:$AA171,15-13*ORÇAMENTO!$AF$7))))</f>
        <v>0</v>
      </c>
      <c r="I171" s="645"/>
      <c r="K171" s="204"/>
      <c r="L171" s="205" t="s">
        <v>255</v>
      </c>
      <c r="M171" s="206">
        <f ca="1">IF($D171&lt;&gt;"Serviço","",IF(AUTOEVENTO="manual",$A171,IF(ISERROR(MATCH($A171,$A$15:OFFSET($A171,-1,0),0)),MAX($M$15:OFFSET(M171,-1,0))+1,INDEX($M$15:OFFSET(M171,-1,0),MATCH($A171,$A$15:OFFSET($A171,-1,0),0)))))</f>
        <v>6</v>
      </c>
      <c r="N171" s="207" t="str">
        <f ca="1">IF($D171&lt;&gt;"Serviço","",IF(AUTOEVENTO="Manual",IF($A171=0,"&lt;-- defina o número do agrupador",OFFSET(EVENTOS!$D$14,$A171,0)),OFFSET($F$15,$A171,0)))</f>
        <v>DRENAGEM</v>
      </c>
      <c r="O171" s="208"/>
      <c r="Q171" s="208"/>
      <c r="R171" s="209"/>
      <c r="S171" s="209"/>
      <c r="T171" s="209"/>
      <c r="U171" s="209"/>
      <c r="V171" s="209"/>
      <c r="W171" s="209"/>
      <c r="X171" s="209"/>
      <c r="Y171" s="209"/>
      <c r="Z171" s="210"/>
      <c r="AB171" s="626">
        <f ca="1">IF(AND($D171="Serviço",AB$12&lt;&gt;0,$H171&gt;0,OR(AUTOEVENTO&lt;&gt;"manual",$M171&lt;&gt;1)),
IF(Import.TipoArredondamento&lt;&gt;"TransfereGOV",
ROUND(OFFSET($P171,0,AB$13),15-13*ORÇAMENTO!$AF$7)/$H171*OFFSET(ORÇAMENTO!$X$15,ROW(AB171)-ROW(AB$15),0),
ROUND(ROUND(OFFSET($P171,0,AB$13),15-13*ORÇAMENTO!$AF$7)*OFFSET(ORÇAMENTO!$W$15,ROW(AB171)-ROW(AB$15),0),15-13*ORÇAMENTO!$AF$11)),0)</f>
        <v>0</v>
      </c>
      <c r="AC171" s="627">
        <f ca="1">IF(AND($D171="Serviço",AC$12&lt;&gt;0,$H171&gt;0,OR(AUTOEVENTO&lt;&gt;"manual",$M171&lt;&gt;1)),
IF(Import.TipoArredondamento&lt;&gt;"TransfereGOV",
ROUND(OFFSET($P171,0,AC$13),15-13*ORÇAMENTO!$AF$7)/$H171*OFFSET(ORÇAMENTO!$X$15,ROW(AC171)-ROW(AC$15),0),
ROUND(ROUND(OFFSET($P171,0,AC$13),15-13*ORÇAMENTO!$AF$7)*OFFSET(ORÇAMENTO!$W$15,ROW(AC171)-ROW(AC$15),0),15-13*ORÇAMENTO!$AF$11)),0)</f>
        <v>0</v>
      </c>
      <c r="AD171" s="627">
        <f ca="1">IF(AND($D171="Serviço",AD$12&lt;&gt;0,$H171&gt;0,OR(AUTOEVENTO&lt;&gt;"manual",$M171&lt;&gt;1)),
IF(Import.TipoArredondamento&lt;&gt;"TransfereGOV",
ROUND(OFFSET($P171,0,AD$13),15-13*ORÇAMENTO!$AF$7)/$H171*OFFSET(ORÇAMENTO!$X$15,ROW(AD171)-ROW(AD$15),0),
ROUND(ROUND(OFFSET($P171,0,AD$13),15-13*ORÇAMENTO!$AF$7)*OFFSET(ORÇAMENTO!$W$15,ROW(AD171)-ROW(AD$15),0),15-13*ORÇAMENTO!$AF$11)),0)</f>
        <v>0</v>
      </c>
      <c r="AE171" s="627">
        <f ca="1">IF(AND($D171="Serviço",AE$12&lt;&gt;0,$H171&gt;0,OR(AUTOEVENTO&lt;&gt;"manual",$M171&lt;&gt;1)),
IF(Import.TipoArredondamento&lt;&gt;"TransfereGOV",
ROUND(OFFSET($P171,0,AE$13),15-13*ORÇAMENTO!$AF$7)/$H171*OFFSET(ORÇAMENTO!$X$15,ROW(AE171)-ROW(AE$15),0),
ROUND(ROUND(OFFSET($P171,0,AE$13),15-13*ORÇAMENTO!$AF$7)*OFFSET(ORÇAMENTO!$W$15,ROW(AE171)-ROW(AE$15),0),15-13*ORÇAMENTO!$AF$11)),0)</f>
        <v>0</v>
      </c>
      <c r="AF171" s="627">
        <f ca="1">IF(AND($D171="Serviço",AF$12&lt;&gt;0,$H171&gt;0,OR(AUTOEVENTO&lt;&gt;"manual",$M171&lt;&gt;1)),
IF(Import.TipoArredondamento&lt;&gt;"TransfereGOV",
ROUND(OFFSET($P171,0,AF$13),15-13*ORÇAMENTO!$AF$7)/$H171*OFFSET(ORÇAMENTO!$X$15,ROW(AF171)-ROW(AF$15),0),
ROUND(ROUND(OFFSET($P171,0,AF$13),15-13*ORÇAMENTO!$AF$7)*OFFSET(ORÇAMENTO!$W$15,ROW(AF171)-ROW(AF$15),0),15-13*ORÇAMENTO!$AF$11)),0)</f>
        <v>0</v>
      </c>
      <c r="AG171" s="627">
        <f ca="1">IF(AND($D171="Serviço",AG$12&lt;&gt;0,$H171&gt;0,OR(AUTOEVENTO&lt;&gt;"manual",$M171&lt;&gt;1)),
IF(Import.TipoArredondamento&lt;&gt;"TransfereGOV",
ROUND(OFFSET($P171,0,AG$13),15-13*ORÇAMENTO!$AF$7)/$H171*OFFSET(ORÇAMENTO!$X$15,ROW(AG171)-ROW(AG$15),0),
ROUND(ROUND(OFFSET($P171,0,AG$13),15-13*ORÇAMENTO!$AF$7)*OFFSET(ORÇAMENTO!$W$15,ROW(AG171)-ROW(AG$15),0),15-13*ORÇAMENTO!$AF$11)),0)</f>
        <v>0</v>
      </c>
      <c r="AH171" s="627">
        <f ca="1">IF(AND($D171="Serviço",AH$12&lt;&gt;0,$H171&gt;0,OR(AUTOEVENTO&lt;&gt;"manual",$M171&lt;&gt;1)),
IF(Import.TipoArredondamento&lt;&gt;"TransfereGOV",
ROUND(OFFSET($P171,0,AH$13),15-13*ORÇAMENTO!$AF$7)/$H171*OFFSET(ORÇAMENTO!$X$15,ROW(AH171)-ROW(AH$15),0),
ROUND(ROUND(OFFSET($P171,0,AH$13),15-13*ORÇAMENTO!$AF$7)*OFFSET(ORÇAMENTO!$W$15,ROW(AH171)-ROW(AH$15),0),15-13*ORÇAMENTO!$AF$11)),0)</f>
        <v>0</v>
      </c>
      <c r="AI171" s="627">
        <f ca="1">IF(AND($D171="Serviço",AI$12&lt;&gt;0,$H171&gt;0,OR(AUTOEVENTO&lt;&gt;"manual",$M171&lt;&gt;1)),
IF(Import.TipoArredondamento&lt;&gt;"TransfereGOV",
ROUND(OFFSET($P171,0,AI$13),15-13*ORÇAMENTO!$AF$7)/$H171*OFFSET(ORÇAMENTO!$X$15,ROW(AI171)-ROW(AI$15),0),
ROUND(ROUND(OFFSET($P171,0,AI$13),15-13*ORÇAMENTO!$AF$7)*OFFSET(ORÇAMENTO!$W$15,ROW(AI171)-ROW(AI$15),0),15-13*ORÇAMENTO!$AF$11)),0)</f>
        <v>0</v>
      </c>
      <c r="AJ171" s="627">
        <f ca="1">IF(AND($D171="Serviço",AJ$12&lt;&gt;0,$H171&gt;0,OR(AUTOEVENTO&lt;&gt;"manual",$M171&lt;&gt;1)),
IF(Import.TipoArredondamento&lt;&gt;"TransfereGOV",
ROUND(OFFSET($P171,0,AJ$13),15-13*ORÇAMENTO!$AF$7)/$H171*OFFSET(ORÇAMENTO!$X$15,ROW(AJ171)-ROW(AJ$15),0),
ROUND(ROUND(OFFSET($P171,0,AJ$13),15-13*ORÇAMENTO!$AF$7)*OFFSET(ORÇAMENTO!$W$15,ROW(AJ171)-ROW(AJ$15),0),15-13*ORÇAMENTO!$AF$11)),0)</f>
        <v>0</v>
      </c>
      <c r="AK171" s="628">
        <f ca="1">IF(AND($D171="Serviço",AK$12&lt;&gt;0,$H171&gt;0,OR(AUTOEVENTO&lt;&gt;"manual",$M171&lt;&gt;1)),
IF(Import.TipoArredondamento&lt;&gt;"TransfereGOV",
ROUND(OFFSET($P171,0,AK$13),15-13*ORÇAMENTO!$AF$7)/$H171*OFFSET(ORÇAMENTO!$X$15,ROW(AK171)-ROW(AK$15),0),
ROUND(ROUND(OFFSET($P171,0,AK$13),15-13*ORÇAMENTO!$AF$7)*OFFSET(ORÇAMENTO!$W$15,ROW(AK171)-ROW(AK$15),0),15-13*ORÇAMENTO!$AF$11)),0)</f>
        <v>0</v>
      </c>
      <c r="AM171" s="211">
        <f ca="1">IF($D171&lt;&gt;"Serviço",0,IF(AND(AUTOEVENTO="Manual",$M171=1),0,IF(OFFSET(CRONOPLE!$F$14,$M171,AM$13)="",10^12,OFFSET(CRONOPLE!$F$14,$M171,AM$13))))</f>
        <v>2</v>
      </c>
      <c r="AN171" s="211">
        <f ca="1">IF($D171&lt;&gt;"Serviço",0,IF(AND(AUTOEVENTO="Manual",$M171=1),0,IF(OFFSET(CRONOPLE!$F$14,$M171,AN$13)="",10^12,OFFSET(CRONOPLE!$F$14,$M171,AN$13))))</f>
        <v>1</v>
      </c>
      <c r="AO171" s="211">
        <f ca="1">IF($D171&lt;&gt;"Serviço",0,IF(AND(AUTOEVENTO="Manual",$M171=1),0,IF(OFFSET(CRONOPLE!$F$14,$M171,AO$13)="",10^12,OFFSET(CRONOPLE!$F$14,$M171,AO$13))))</f>
        <v>2</v>
      </c>
      <c r="AP171" s="211">
        <f ca="1">IF($D171&lt;&gt;"Serviço",0,IF(AND(AUTOEVENTO="Manual",$M171=1),0,IF(OFFSET(CRONOPLE!$F$14,$M171,AP$13)="",10^12,OFFSET(CRONOPLE!$F$14,$M171,AP$13))))</f>
        <v>2</v>
      </c>
      <c r="AQ171" s="211">
        <f ca="1">IF($D171&lt;&gt;"Serviço",0,IF(AND(AUTOEVENTO="Manual",$M171=1),0,IF(OFFSET(CRONOPLE!$F$14,$M171,AQ$13)="",10^12,OFFSET(CRONOPLE!$F$14,$M171,AQ$13))))</f>
        <v>1000000000000</v>
      </c>
      <c r="AR171" s="211">
        <f ca="1">IF($D171&lt;&gt;"Serviço",0,IF(AND(AUTOEVENTO="Manual",$M171=1),0,IF(OFFSET(CRONOPLE!$F$14,$M171,AR$13)="",10^12,OFFSET(CRONOPLE!$F$14,$M171,AR$13))))</f>
        <v>1000000000000</v>
      </c>
      <c r="AS171" s="211">
        <f ca="1">IF($D171&lt;&gt;"Serviço",0,IF(AND(AUTOEVENTO="Manual",$M171=1),0,IF(OFFSET(CRONOPLE!$F$14,$M171,AS$13)="",10^12,OFFSET(CRONOPLE!$F$14,$M171,AS$13))))</f>
        <v>1000000000000</v>
      </c>
      <c r="AT171" s="211">
        <f ca="1">IF($D171&lt;&gt;"Serviço",0,IF(AND(AUTOEVENTO="Manual",$M171=1),0,IF(OFFSET(CRONOPLE!$F$14,$M171,AT$13)="",10^12,OFFSET(CRONOPLE!$F$14,$M171,AT$13))))</f>
        <v>1000000000000</v>
      </c>
      <c r="AU171" s="211">
        <f ca="1">IF($D171&lt;&gt;"Serviço",0,IF(AND(AUTOEVENTO="Manual",$M171=1),0,IF(OFFSET(CRONOPLE!$F$14,$M171,AU$13)="",10^12,OFFSET(CRONOPLE!$F$14,$M171,AU$13))))</f>
        <v>1000000000000</v>
      </c>
      <c r="AV171" s="211">
        <f ca="1">IF($D171&lt;&gt;"Serviço",0,IF(AND(AUTOEVENTO="Manual",$M171=1),0,IF(OFFSET(CRONOPLE!$F$14,$M171,AV$13)="",10^12,OFFSET(CRONOPLE!$F$14,$M171,AV$13))))</f>
        <v>1000000000000</v>
      </c>
      <c r="AX171" s="212">
        <f ca="1">IF($D171&lt;&gt;"Serviço",0,IF(OR(AND(AUTOEVENTO="Manual",$M171=1),$M171&gt;(ROW(PLE.lastrow)-ROW(PLE.firstrow))),0,IF(OFFSET(PLE!$G$14,$M171,AX$13)="",10^12,OFFSET(PLE!$G$14,$M171,AX$13))))</f>
        <v>1000000000000</v>
      </c>
      <c r="AY171" s="212">
        <f ca="1">IF($D171&lt;&gt;"Serviço",0,IF(OR(AND(AUTOEVENTO="Manual",$M171=1),$M171&gt;(ROW(PLE.lastrow)-ROW(PLE.firstrow))),0,IF(OFFSET(PLE!$G$14,$M171,AY$13)="",10^12,OFFSET(PLE!$G$14,$M171,AY$13))))</f>
        <v>1000000000000</v>
      </c>
      <c r="AZ171" s="212">
        <f ca="1">IF($D171&lt;&gt;"Serviço",0,IF(OR(AND(AUTOEVENTO="Manual",$M171=1),$M171&gt;(ROW(PLE.lastrow)-ROW(PLE.firstrow))),0,IF(OFFSET(PLE!$G$14,$M171,AZ$13)="",10^12,OFFSET(PLE!$G$14,$M171,AZ$13))))</f>
        <v>1000000000000</v>
      </c>
      <c r="BA171" s="212">
        <f ca="1">IF($D171&lt;&gt;"Serviço",0,IF(OR(AND(AUTOEVENTO="Manual",$M171=1),$M171&gt;(ROW(PLE.lastrow)-ROW(PLE.firstrow))),0,IF(OFFSET(PLE!$G$14,$M171,BA$13)="",10^12,OFFSET(PLE!$G$14,$M171,BA$13))))</f>
        <v>1000000000000</v>
      </c>
      <c r="BB171" s="212">
        <f ca="1">IF($D171&lt;&gt;"Serviço",0,IF(OR(AND(AUTOEVENTO="Manual",$M171=1),$M171&gt;(ROW(PLE.lastrow)-ROW(PLE.firstrow))),0,IF(OFFSET(PLE!$G$14,$M171,BB$13)="",10^12,OFFSET(PLE!$G$14,$M171,BB$13))))</f>
        <v>1000000000000</v>
      </c>
      <c r="BC171" s="212">
        <f ca="1">IF($D171&lt;&gt;"Serviço",0,IF(OR(AND(AUTOEVENTO="Manual",$M171=1),$M171&gt;(ROW(PLE.lastrow)-ROW(PLE.firstrow))),0,IF(OFFSET(PLE!$G$14,$M171,BC$13)="",10^12,OFFSET(PLE!$G$14,$M171,BC$13))))</f>
        <v>1000000000000</v>
      </c>
      <c r="BD171" s="212">
        <f ca="1">IF($D171&lt;&gt;"Serviço",0,IF(OR(AND(AUTOEVENTO="Manual",$M171=1),$M171&gt;(ROW(PLE.lastrow)-ROW(PLE.firstrow))),0,IF(OFFSET(PLE!$G$14,$M171,BD$13)="",10^12,OFFSET(PLE!$G$14,$M171,BD$13))))</f>
        <v>1000000000000</v>
      </c>
      <c r="BE171" s="212">
        <f ca="1">IF($D171&lt;&gt;"Serviço",0,IF(OR(AND(AUTOEVENTO="Manual",$M171=1),$M171&gt;(ROW(PLE.lastrow)-ROW(PLE.firstrow))),0,IF(OFFSET(PLE!$G$14,$M171,BE$13)="",10^12,OFFSET(PLE!$G$14,$M171,BE$13))))</f>
        <v>1000000000000</v>
      </c>
      <c r="BF171" s="212">
        <f ca="1">IF($D171&lt;&gt;"Serviço",0,IF(OR(AND(AUTOEVENTO="Manual",$M171=1),$M171&gt;(ROW(PLE.lastrow)-ROW(PLE.firstrow))),0,IF(OFFSET(PLE!$G$14,$M171,BF$13)="",10^12,OFFSET(PLE!$G$14,$M171,BF$13))))</f>
        <v>1000000000000</v>
      </c>
      <c r="BG171" s="212">
        <f ca="1">IF($D171&lt;&gt;"Serviço",0,IF(OR(AND(AUTOEVENTO="Manual",$M171=1),$M171&gt;(ROW(PLE.lastrow)-ROW(PLE.firstrow))),0,IF(OFFSET(PLE!$G$14,$M171,BG$13)="",10^12,OFFSET(PLE!$G$14,$M171,BG$13))))</f>
        <v>1000000000000</v>
      </c>
    </row>
    <row r="172" spans="1:59" ht="13.2">
      <c r="A172" s="9" t="str">
        <f t="shared" ca="1" si="11"/>
        <v>15</v>
      </c>
      <c r="B172" s="9" t="str">
        <f ca="1">OFFSET(ORÇAMENTO!C$15,ROW(B172)-ROW(B$15),0)</f>
        <v>S</v>
      </c>
      <c r="C172" s="9" t="str">
        <f ca="1">OFFSET(ORÇAMENTO!L$15,ROW(C172)-ROW(C$15),0)</f>
        <v/>
      </c>
      <c r="D172" s="141" t="str">
        <f ca="1">OFFSET(ORÇAMENTO!N$15,ROW(D172)-ROW(D$15),0)</f>
        <v>Serviço</v>
      </c>
      <c r="E172" s="201" t="str">
        <f ca="1">OFFSET(ORÇAMENTO!O$15,ROW(E172)-ROW(E$15),0)</f>
        <v>-</v>
      </c>
      <c r="F172" s="202" t="str">
        <f ca="1">OFFSET(ORÇAMENTO!R$15,ROW(F172)-ROW(F$15),0)</f>
        <v>(abra o arquivo 'Referência 11-2024.xlsm)</v>
      </c>
      <c r="G172" s="203" t="str">
        <f ca="1">IF($D172&lt;&gt;"Serviço","",OFFSET(ORÇAMENTO!S$15,ROW(G172)-ROW(G$15),0))</f>
        <v>-</v>
      </c>
      <c r="H172" s="147">
        <f ca="1">IF($D172&lt;&gt;"Serviço",0,IF(ACOMPANHAMENTO="BM",ROUND(OFFSET(ORÇAMENTO!AJ$15,ROW(H172)-ROW(H$15),0),15-13*ORÇAMENTO!$AF$7),SUMPRODUCT(($Q$12:$AA$12&lt;&gt;"")*ROUND($Q172:$AA172,15-13*ORÇAMENTO!$AF$7))))</f>
        <v>0</v>
      </c>
      <c r="I172" s="645"/>
      <c r="K172" s="204"/>
      <c r="L172" s="205" t="s">
        <v>255</v>
      </c>
      <c r="M172" s="206">
        <f ca="1">IF($D172&lt;&gt;"Serviço","",IF(AUTOEVENTO="manual",$A172,IF(ISERROR(MATCH($A172,$A$15:OFFSET($A172,-1,0),0)),MAX($M$15:OFFSET(M172,-1,0))+1,INDEX($M$15:OFFSET(M172,-1,0),MATCH($A172,$A$15:OFFSET($A172,-1,0),0)))))</f>
        <v>6</v>
      </c>
      <c r="N172" s="207" t="str">
        <f ca="1">IF($D172&lt;&gt;"Serviço","",IF(AUTOEVENTO="Manual",IF($A172=0,"&lt;-- defina o número do agrupador",OFFSET(EVENTOS!$D$14,$A172,0)),OFFSET($F$15,$A172,0)))</f>
        <v>DRENAGEM</v>
      </c>
      <c r="O172" s="208"/>
      <c r="Q172" s="208"/>
      <c r="R172" s="209"/>
      <c r="S172" s="209"/>
      <c r="T172" s="209"/>
      <c r="U172" s="209"/>
      <c r="V172" s="209"/>
      <c r="W172" s="209"/>
      <c r="X172" s="209"/>
      <c r="Y172" s="209"/>
      <c r="Z172" s="210"/>
      <c r="AB172" s="626">
        <f ca="1">IF(AND($D172="Serviço",AB$12&lt;&gt;0,$H172&gt;0,OR(AUTOEVENTO&lt;&gt;"manual",$M172&lt;&gt;1)),
IF(Import.TipoArredondamento&lt;&gt;"TransfereGOV",
ROUND(OFFSET($P172,0,AB$13),15-13*ORÇAMENTO!$AF$7)/$H172*OFFSET(ORÇAMENTO!$X$15,ROW(AB172)-ROW(AB$15),0),
ROUND(ROUND(OFFSET($P172,0,AB$13),15-13*ORÇAMENTO!$AF$7)*OFFSET(ORÇAMENTO!$W$15,ROW(AB172)-ROW(AB$15),0),15-13*ORÇAMENTO!$AF$11)),0)</f>
        <v>0</v>
      </c>
      <c r="AC172" s="627">
        <f ca="1">IF(AND($D172="Serviço",AC$12&lt;&gt;0,$H172&gt;0,OR(AUTOEVENTO&lt;&gt;"manual",$M172&lt;&gt;1)),
IF(Import.TipoArredondamento&lt;&gt;"TransfereGOV",
ROUND(OFFSET($P172,0,AC$13),15-13*ORÇAMENTO!$AF$7)/$H172*OFFSET(ORÇAMENTO!$X$15,ROW(AC172)-ROW(AC$15),0),
ROUND(ROUND(OFFSET($P172,0,AC$13),15-13*ORÇAMENTO!$AF$7)*OFFSET(ORÇAMENTO!$W$15,ROW(AC172)-ROW(AC$15),0),15-13*ORÇAMENTO!$AF$11)),0)</f>
        <v>0</v>
      </c>
      <c r="AD172" s="627">
        <f ca="1">IF(AND($D172="Serviço",AD$12&lt;&gt;0,$H172&gt;0,OR(AUTOEVENTO&lt;&gt;"manual",$M172&lt;&gt;1)),
IF(Import.TipoArredondamento&lt;&gt;"TransfereGOV",
ROUND(OFFSET($P172,0,AD$13),15-13*ORÇAMENTO!$AF$7)/$H172*OFFSET(ORÇAMENTO!$X$15,ROW(AD172)-ROW(AD$15),0),
ROUND(ROUND(OFFSET($P172,0,AD$13),15-13*ORÇAMENTO!$AF$7)*OFFSET(ORÇAMENTO!$W$15,ROW(AD172)-ROW(AD$15),0),15-13*ORÇAMENTO!$AF$11)),0)</f>
        <v>0</v>
      </c>
      <c r="AE172" s="627">
        <f ca="1">IF(AND($D172="Serviço",AE$12&lt;&gt;0,$H172&gt;0,OR(AUTOEVENTO&lt;&gt;"manual",$M172&lt;&gt;1)),
IF(Import.TipoArredondamento&lt;&gt;"TransfereGOV",
ROUND(OFFSET($P172,0,AE$13),15-13*ORÇAMENTO!$AF$7)/$H172*OFFSET(ORÇAMENTO!$X$15,ROW(AE172)-ROW(AE$15),0),
ROUND(ROUND(OFFSET($P172,0,AE$13),15-13*ORÇAMENTO!$AF$7)*OFFSET(ORÇAMENTO!$W$15,ROW(AE172)-ROW(AE$15),0),15-13*ORÇAMENTO!$AF$11)),0)</f>
        <v>0</v>
      </c>
      <c r="AF172" s="627">
        <f ca="1">IF(AND($D172="Serviço",AF$12&lt;&gt;0,$H172&gt;0,OR(AUTOEVENTO&lt;&gt;"manual",$M172&lt;&gt;1)),
IF(Import.TipoArredondamento&lt;&gt;"TransfereGOV",
ROUND(OFFSET($P172,0,AF$13),15-13*ORÇAMENTO!$AF$7)/$H172*OFFSET(ORÇAMENTO!$X$15,ROW(AF172)-ROW(AF$15),0),
ROUND(ROUND(OFFSET($P172,0,AF$13),15-13*ORÇAMENTO!$AF$7)*OFFSET(ORÇAMENTO!$W$15,ROW(AF172)-ROW(AF$15),0),15-13*ORÇAMENTO!$AF$11)),0)</f>
        <v>0</v>
      </c>
      <c r="AG172" s="627">
        <f ca="1">IF(AND($D172="Serviço",AG$12&lt;&gt;0,$H172&gt;0,OR(AUTOEVENTO&lt;&gt;"manual",$M172&lt;&gt;1)),
IF(Import.TipoArredondamento&lt;&gt;"TransfereGOV",
ROUND(OFFSET($P172,0,AG$13),15-13*ORÇAMENTO!$AF$7)/$H172*OFFSET(ORÇAMENTO!$X$15,ROW(AG172)-ROW(AG$15),0),
ROUND(ROUND(OFFSET($P172,0,AG$13),15-13*ORÇAMENTO!$AF$7)*OFFSET(ORÇAMENTO!$W$15,ROW(AG172)-ROW(AG$15),0),15-13*ORÇAMENTO!$AF$11)),0)</f>
        <v>0</v>
      </c>
      <c r="AH172" s="627">
        <f ca="1">IF(AND($D172="Serviço",AH$12&lt;&gt;0,$H172&gt;0,OR(AUTOEVENTO&lt;&gt;"manual",$M172&lt;&gt;1)),
IF(Import.TipoArredondamento&lt;&gt;"TransfereGOV",
ROUND(OFFSET($P172,0,AH$13),15-13*ORÇAMENTO!$AF$7)/$H172*OFFSET(ORÇAMENTO!$X$15,ROW(AH172)-ROW(AH$15),0),
ROUND(ROUND(OFFSET($P172,0,AH$13),15-13*ORÇAMENTO!$AF$7)*OFFSET(ORÇAMENTO!$W$15,ROW(AH172)-ROW(AH$15),0),15-13*ORÇAMENTO!$AF$11)),0)</f>
        <v>0</v>
      </c>
      <c r="AI172" s="627">
        <f ca="1">IF(AND($D172="Serviço",AI$12&lt;&gt;0,$H172&gt;0,OR(AUTOEVENTO&lt;&gt;"manual",$M172&lt;&gt;1)),
IF(Import.TipoArredondamento&lt;&gt;"TransfereGOV",
ROUND(OFFSET($P172,0,AI$13),15-13*ORÇAMENTO!$AF$7)/$H172*OFFSET(ORÇAMENTO!$X$15,ROW(AI172)-ROW(AI$15),0),
ROUND(ROUND(OFFSET($P172,0,AI$13),15-13*ORÇAMENTO!$AF$7)*OFFSET(ORÇAMENTO!$W$15,ROW(AI172)-ROW(AI$15),0),15-13*ORÇAMENTO!$AF$11)),0)</f>
        <v>0</v>
      </c>
      <c r="AJ172" s="627">
        <f ca="1">IF(AND($D172="Serviço",AJ$12&lt;&gt;0,$H172&gt;0,OR(AUTOEVENTO&lt;&gt;"manual",$M172&lt;&gt;1)),
IF(Import.TipoArredondamento&lt;&gt;"TransfereGOV",
ROUND(OFFSET($P172,0,AJ$13),15-13*ORÇAMENTO!$AF$7)/$H172*OFFSET(ORÇAMENTO!$X$15,ROW(AJ172)-ROW(AJ$15),0),
ROUND(ROUND(OFFSET($P172,0,AJ$13),15-13*ORÇAMENTO!$AF$7)*OFFSET(ORÇAMENTO!$W$15,ROW(AJ172)-ROW(AJ$15),0),15-13*ORÇAMENTO!$AF$11)),0)</f>
        <v>0</v>
      </c>
      <c r="AK172" s="628">
        <f ca="1">IF(AND($D172="Serviço",AK$12&lt;&gt;0,$H172&gt;0,OR(AUTOEVENTO&lt;&gt;"manual",$M172&lt;&gt;1)),
IF(Import.TipoArredondamento&lt;&gt;"TransfereGOV",
ROUND(OFFSET($P172,0,AK$13),15-13*ORÇAMENTO!$AF$7)/$H172*OFFSET(ORÇAMENTO!$X$15,ROW(AK172)-ROW(AK$15),0),
ROUND(ROUND(OFFSET($P172,0,AK$13),15-13*ORÇAMENTO!$AF$7)*OFFSET(ORÇAMENTO!$W$15,ROW(AK172)-ROW(AK$15),0),15-13*ORÇAMENTO!$AF$11)),0)</f>
        <v>0</v>
      </c>
      <c r="AM172" s="211">
        <f ca="1">IF($D172&lt;&gt;"Serviço",0,IF(AND(AUTOEVENTO="Manual",$M172=1),0,IF(OFFSET(CRONOPLE!$F$14,$M172,AM$13)="",10^12,OFFSET(CRONOPLE!$F$14,$M172,AM$13))))</f>
        <v>2</v>
      </c>
      <c r="AN172" s="211">
        <f ca="1">IF($D172&lt;&gt;"Serviço",0,IF(AND(AUTOEVENTO="Manual",$M172=1),0,IF(OFFSET(CRONOPLE!$F$14,$M172,AN$13)="",10^12,OFFSET(CRONOPLE!$F$14,$M172,AN$13))))</f>
        <v>1</v>
      </c>
      <c r="AO172" s="211">
        <f ca="1">IF($D172&lt;&gt;"Serviço",0,IF(AND(AUTOEVENTO="Manual",$M172=1),0,IF(OFFSET(CRONOPLE!$F$14,$M172,AO$13)="",10^12,OFFSET(CRONOPLE!$F$14,$M172,AO$13))))</f>
        <v>2</v>
      </c>
      <c r="AP172" s="211">
        <f ca="1">IF($D172&lt;&gt;"Serviço",0,IF(AND(AUTOEVENTO="Manual",$M172=1),0,IF(OFFSET(CRONOPLE!$F$14,$M172,AP$13)="",10^12,OFFSET(CRONOPLE!$F$14,$M172,AP$13))))</f>
        <v>2</v>
      </c>
      <c r="AQ172" s="211">
        <f ca="1">IF($D172&lt;&gt;"Serviço",0,IF(AND(AUTOEVENTO="Manual",$M172=1),0,IF(OFFSET(CRONOPLE!$F$14,$M172,AQ$13)="",10^12,OFFSET(CRONOPLE!$F$14,$M172,AQ$13))))</f>
        <v>1000000000000</v>
      </c>
      <c r="AR172" s="211">
        <f ca="1">IF($D172&lt;&gt;"Serviço",0,IF(AND(AUTOEVENTO="Manual",$M172=1),0,IF(OFFSET(CRONOPLE!$F$14,$M172,AR$13)="",10^12,OFFSET(CRONOPLE!$F$14,$M172,AR$13))))</f>
        <v>1000000000000</v>
      </c>
      <c r="AS172" s="211">
        <f ca="1">IF($D172&lt;&gt;"Serviço",0,IF(AND(AUTOEVENTO="Manual",$M172=1),0,IF(OFFSET(CRONOPLE!$F$14,$M172,AS$13)="",10^12,OFFSET(CRONOPLE!$F$14,$M172,AS$13))))</f>
        <v>1000000000000</v>
      </c>
      <c r="AT172" s="211">
        <f ca="1">IF($D172&lt;&gt;"Serviço",0,IF(AND(AUTOEVENTO="Manual",$M172=1),0,IF(OFFSET(CRONOPLE!$F$14,$M172,AT$13)="",10^12,OFFSET(CRONOPLE!$F$14,$M172,AT$13))))</f>
        <v>1000000000000</v>
      </c>
      <c r="AU172" s="211">
        <f ca="1">IF($D172&lt;&gt;"Serviço",0,IF(AND(AUTOEVENTO="Manual",$M172=1),0,IF(OFFSET(CRONOPLE!$F$14,$M172,AU$13)="",10^12,OFFSET(CRONOPLE!$F$14,$M172,AU$13))))</f>
        <v>1000000000000</v>
      </c>
      <c r="AV172" s="211">
        <f ca="1">IF($D172&lt;&gt;"Serviço",0,IF(AND(AUTOEVENTO="Manual",$M172=1),0,IF(OFFSET(CRONOPLE!$F$14,$M172,AV$13)="",10^12,OFFSET(CRONOPLE!$F$14,$M172,AV$13))))</f>
        <v>1000000000000</v>
      </c>
      <c r="AX172" s="212">
        <f ca="1">IF($D172&lt;&gt;"Serviço",0,IF(OR(AND(AUTOEVENTO="Manual",$M172=1),$M172&gt;(ROW(PLE.lastrow)-ROW(PLE.firstrow))),0,IF(OFFSET(PLE!$G$14,$M172,AX$13)="",10^12,OFFSET(PLE!$G$14,$M172,AX$13))))</f>
        <v>1000000000000</v>
      </c>
      <c r="AY172" s="212">
        <f ca="1">IF($D172&lt;&gt;"Serviço",0,IF(OR(AND(AUTOEVENTO="Manual",$M172=1),$M172&gt;(ROW(PLE.lastrow)-ROW(PLE.firstrow))),0,IF(OFFSET(PLE!$G$14,$M172,AY$13)="",10^12,OFFSET(PLE!$G$14,$M172,AY$13))))</f>
        <v>1000000000000</v>
      </c>
      <c r="AZ172" s="212">
        <f ca="1">IF($D172&lt;&gt;"Serviço",0,IF(OR(AND(AUTOEVENTO="Manual",$M172=1),$M172&gt;(ROW(PLE.lastrow)-ROW(PLE.firstrow))),0,IF(OFFSET(PLE!$G$14,$M172,AZ$13)="",10^12,OFFSET(PLE!$G$14,$M172,AZ$13))))</f>
        <v>1000000000000</v>
      </c>
      <c r="BA172" s="212">
        <f ca="1">IF($D172&lt;&gt;"Serviço",0,IF(OR(AND(AUTOEVENTO="Manual",$M172=1),$M172&gt;(ROW(PLE.lastrow)-ROW(PLE.firstrow))),0,IF(OFFSET(PLE!$G$14,$M172,BA$13)="",10^12,OFFSET(PLE!$G$14,$M172,BA$13))))</f>
        <v>1000000000000</v>
      </c>
      <c r="BB172" s="212">
        <f ca="1">IF($D172&lt;&gt;"Serviço",0,IF(OR(AND(AUTOEVENTO="Manual",$M172=1),$M172&gt;(ROW(PLE.lastrow)-ROW(PLE.firstrow))),0,IF(OFFSET(PLE!$G$14,$M172,BB$13)="",10^12,OFFSET(PLE!$G$14,$M172,BB$13))))</f>
        <v>1000000000000</v>
      </c>
      <c r="BC172" s="212">
        <f ca="1">IF($D172&lt;&gt;"Serviço",0,IF(OR(AND(AUTOEVENTO="Manual",$M172=1),$M172&gt;(ROW(PLE.lastrow)-ROW(PLE.firstrow))),0,IF(OFFSET(PLE!$G$14,$M172,BC$13)="",10^12,OFFSET(PLE!$G$14,$M172,BC$13))))</f>
        <v>1000000000000</v>
      </c>
      <c r="BD172" s="212">
        <f ca="1">IF($D172&lt;&gt;"Serviço",0,IF(OR(AND(AUTOEVENTO="Manual",$M172=1),$M172&gt;(ROW(PLE.lastrow)-ROW(PLE.firstrow))),0,IF(OFFSET(PLE!$G$14,$M172,BD$13)="",10^12,OFFSET(PLE!$G$14,$M172,BD$13))))</f>
        <v>1000000000000</v>
      </c>
      <c r="BE172" s="212">
        <f ca="1">IF($D172&lt;&gt;"Serviço",0,IF(OR(AND(AUTOEVENTO="Manual",$M172=1),$M172&gt;(ROW(PLE.lastrow)-ROW(PLE.firstrow))),0,IF(OFFSET(PLE!$G$14,$M172,BE$13)="",10^12,OFFSET(PLE!$G$14,$M172,BE$13))))</f>
        <v>1000000000000</v>
      </c>
      <c r="BF172" s="212">
        <f ca="1">IF($D172&lt;&gt;"Serviço",0,IF(OR(AND(AUTOEVENTO="Manual",$M172=1),$M172&gt;(ROW(PLE.lastrow)-ROW(PLE.firstrow))),0,IF(OFFSET(PLE!$G$14,$M172,BF$13)="",10^12,OFFSET(PLE!$G$14,$M172,BF$13))))</f>
        <v>1000000000000</v>
      </c>
      <c r="BG172" s="212">
        <f ca="1">IF($D172&lt;&gt;"Serviço",0,IF(OR(AND(AUTOEVENTO="Manual",$M172=1),$M172&gt;(ROW(PLE.lastrow)-ROW(PLE.firstrow))),0,IF(OFFSET(PLE!$G$14,$M172,BG$13)="",10^12,OFFSET(PLE!$G$14,$M172,BG$13))))</f>
        <v>1000000000000</v>
      </c>
    </row>
    <row r="173" spans="1:59" ht="13.2">
      <c r="A173" s="9" t="str">
        <f t="shared" ca="1" si="11"/>
        <v>15</v>
      </c>
      <c r="B173" s="9" t="str">
        <f ca="1">OFFSET(ORÇAMENTO!C$15,ROW(B173)-ROW(B$15),0)</f>
        <v>S</v>
      </c>
      <c r="C173" s="9" t="str">
        <f ca="1">OFFSET(ORÇAMENTO!L$15,ROW(C173)-ROW(C$15),0)</f>
        <v/>
      </c>
      <c r="D173" s="141" t="str">
        <f ca="1">OFFSET(ORÇAMENTO!N$15,ROW(D173)-ROW(D$15),0)</f>
        <v>Serviço</v>
      </c>
      <c r="E173" s="201" t="str">
        <f ca="1">OFFSET(ORÇAMENTO!O$15,ROW(E173)-ROW(E$15),0)</f>
        <v>-</v>
      </c>
      <c r="F173" s="202" t="str">
        <f ca="1">OFFSET(ORÇAMENTO!R$15,ROW(F173)-ROW(F$15),0)</f>
        <v>(abra o arquivo 'Referência 11-2024.xlsm)</v>
      </c>
      <c r="G173" s="203" t="str">
        <f ca="1">IF($D173&lt;&gt;"Serviço","",OFFSET(ORÇAMENTO!S$15,ROW(G173)-ROW(G$15),0))</f>
        <v>-</v>
      </c>
      <c r="H173" s="147">
        <f ca="1">IF($D173&lt;&gt;"Serviço",0,IF(ACOMPANHAMENTO="BM",ROUND(OFFSET(ORÇAMENTO!AJ$15,ROW(H173)-ROW(H$15),0),15-13*ORÇAMENTO!$AF$7),SUMPRODUCT(($Q$12:$AA$12&lt;&gt;"")*ROUND($Q173:$AA173,15-13*ORÇAMENTO!$AF$7))))</f>
        <v>0</v>
      </c>
      <c r="I173" s="645"/>
      <c r="K173" s="204"/>
      <c r="L173" s="205" t="s">
        <v>255</v>
      </c>
      <c r="M173" s="206">
        <f ca="1">IF($D173&lt;&gt;"Serviço","",IF(AUTOEVENTO="manual",$A173,IF(ISERROR(MATCH($A173,$A$15:OFFSET($A173,-1,0),0)),MAX($M$15:OFFSET(M173,-1,0))+1,INDEX($M$15:OFFSET(M173,-1,0),MATCH($A173,$A$15:OFFSET($A173,-1,0),0)))))</f>
        <v>6</v>
      </c>
      <c r="N173" s="207" t="str">
        <f ca="1">IF($D173&lt;&gt;"Serviço","",IF(AUTOEVENTO="Manual",IF($A173=0,"&lt;-- defina o número do agrupador",OFFSET(EVENTOS!$D$14,$A173,0)),OFFSET($F$15,$A173,0)))</f>
        <v>DRENAGEM</v>
      </c>
      <c r="O173" s="208"/>
      <c r="Q173" s="208"/>
      <c r="R173" s="209"/>
      <c r="S173" s="209"/>
      <c r="T173" s="209"/>
      <c r="U173" s="209"/>
      <c r="V173" s="209"/>
      <c r="W173" s="209"/>
      <c r="X173" s="209"/>
      <c r="Y173" s="209"/>
      <c r="Z173" s="210"/>
      <c r="AB173" s="626">
        <f ca="1">IF(AND($D173="Serviço",AB$12&lt;&gt;0,$H173&gt;0,OR(AUTOEVENTO&lt;&gt;"manual",$M173&lt;&gt;1)),
IF(Import.TipoArredondamento&lt;&gt;"TransfereGOV",
ROUND(OFFSET($P173,0,AB$13),15-13*ORÇAMENTO!$AF$7)/$H173*OFFSET(ORÇAMENTO!$X$15,ROW(AB173)-ROW(AB$15),0),
ROUND(ROUND(OFFSET($P173,0,AB$13),15-13*ORÇAMENTO!$AF$7)*OFFSET(ORÇAMENTO!$W$15,ROW(AB173)-ROW(AB$15),0),15-13*ORÇAMENTO!$AF$11)),0)</f>
        <v>0</v>
      </c>
      <c r="AC173" s="627">
        <f ca="1">IF(AND($D173="Serviço",AC$12&lt;&gt;0,$H173&gt;0,OR(AUTOEVENTO&lt;&gt;"manual",$M173&lt;&gt;1)),
IF(Import.TipoArredondamento&lt;&gt;"TransfereGOV",
ROUND(OFFSET($P173,0,AC$13),15-13*ORÇAMENTO!$AF$7)/$H173*OFFSET(ORÇAMENTO!$X$15,ROW(AC173)-ROW(AC$15),0),
ROUND(ROUND(OFFSET($P173,0,AC$13),15-13*ORÇAMENTO!$AF$7)*OFFSET(ORÇAMENTO!$W$15,ROW(AC173)-ROW(AC$15),0),15-13*ORÇAMENTO!$AF$11)),0)</f>
        <v>0</v>
      </c>
      <c r="AD173" s="627">
        <f ca="1">IF(AND($D173="Serviço",AD$12&lt;&gt;0,$H173&gt;0,OR(AUTOEVENTO&lt;&gt;"manual",$M173&lt;&gt;1)),
IF(Import.TipoArredondamento&lt;&gt;"TransfereGOV",
ROUND(OFFSET($P173,0,AD$13),15-13*ORÇAMENTO!$AF$7)/$H173*OFFSET(ORÇAMENTO!$X$15,ROW(AD173)-ROW(AD$15),0),
ROUND(ROUND(OFFSET($P173,0,AD$13),15-13*ORÇAMENTO!$AF$7)*OFFSET(ORÇAMENTO!$W$15,ROW(AD173)-ROW(AD$15),0),15-13*ORÇAMENTO!$AF$11)),0)</f>
        <v>0</v>
      </c>
      <c r="AE173" s="627">
        <f ca="1">IF(AND($D173="Serviço",AE$12&lt;&gt;0,$H173&gt;0,OR(AUTOEVENTO&lt;&gt;"manual",$M173&lt;&gt;1)),
IF(Import.TipoArredondamento&lt;&gt;"TransfereGOV",
ROUND(OFFSET($P173,0,AE$13),15-13*ORÇAMENTO!$AF$7)/$H173*OFFSET(ORÇAMENTO!$X$15,ROW(AE173)-ROW(AE$15),0),
ROUND(ROUND(OFFSET($P173,0,AE$13),15-13*ORÇAMENTO!$AF$7)*OFFSET(ORÇAMENTO!$W$15,ROW(AE173)-ROW(AE$15),0),15-13*ORÇAMENTO!$AF$11)),0)</f>
        <v>0</v>
      </c>
      <c r="AF173" s="627">
        <f ca="1">IF(AND($D173="Serviço",AF$12&lt;&gt;0,$H173&gt;0,OR(AUTOEVENTO&lt;&gt;"manual",$M173&lt;&gt;1)),
IF(Import.TipoArredondamento&lt;&gt;"TransfereGOV",
ROUND(OFFSET($P173,0,AF$13),15-13*ORÇAMENTO!$AF$7)/$H173*OFFSET(ORÇAMENTO!$X$15,ROW(AF173)-ROW(AF$15),0),
ROUND(ROUND(OFFSET($P173,0,AF$13),15-13*ORÇAMENTO!$AF$7)*OFFSET(ORÇAMENTO!$W$15,ROW(AF173)-ROW(AF$15),0),15-13*ORÇAMENTO!$AF$11)),0)</f>
        <v>0</v>
      </c>
      <c r="AG173" s="627">
        <f ca="1">IF(AND($D173="Serviço",AG$12&lt;&gt;0,$H173&gt;0,OR(AUTOEVENTO&lt;&gt;"manual",$M173&lt;&gt;1)),
IF(Import.TipoArredondamento&lt;&gt;"TransfereGOV",
ROUND(OFFSET($P173,0,AG$13),15-13*ORÇAMENTO!$AF$7)/$H173*OFFSET(ORÇAMENTO!$X$15,ROW(AG173)-ROW(AG$15),0),
ROUND(ROUND(OFFSET($P173,0,AG$13),15-13*ORÇAMENTO!$AF$7)*OFFSET(ORÇAMENTO!$W$15,ROW(AG173)-ROW(AG$15),0),15-13*ORÇAMENTO!$AF$11)),0)</f>
        <v>0</v>
      </c>
      <c r="AH173" s="627">
        <f ca="1">IF(AND($D173="Serviço",AH$12&lt;&gt;0,$H173&gt;0,OR(AUTOEVENTO&lt;&gt;"manual",$M173&lt;&gt;1)),
IF(Import.TipoArredondamento&lt;&gt;"TransfereGOV",
ROUND(OFFSET($P173,0,AH$13),15-13*ORÇAMENTO!$AF$7)/$H173*OFFSET(ORÇAMENTO!$X$15,ROW(AH173)-ROW(AH$15),0),
ROUND(ROUND(OFFSET($P173,0,AH$13),15-13*ORÇAMENTO!$AF$7)*OFFSET(ORÇAMENTO!$W$15,ROW(AH173)-ROW(AH$15),0),15-13*ORÇAMENTO!$AF$11)),0)</f>
        <v>0</v>
      </c>
      <c r="AI173" s="627">
        <f ca="1">IF(AND($D173="Serviço",AI$12&lt;&gt;0,$H173&gt;0,OR(AUTOEVENTO&lt;&gt;"manual",$M173&lt;&gt;1)),
IF(Import.TipoArredondamento&lt;&gt;"TransfereGOV",
ROUND(OFFSET($P173,0,AI$13),15-13*ORÇAMENTO!$AF$7)/$H173*OFFSET(ORÇAMENTO!$X$15,ROW(AI173)-ROW(AI$15),0),
ROUND(ROUND(OFFSET($P173,0,AI$13),15-13*ORÇAMENTO!$AF$7)*OFFSET(ORÇAMENTO!$W$15,ROW(AI173)-ROW(AI$15),0),15-13*ORÇAMENTO!$AF$11)),0)</f>
        <v>0</v>
      </c>
      <c r="AJ173" s="627">
        <f ca="1">IF(AND($D173="Serviço",AJ$12&lt;&gt;0,$H173&gt;0,OR(AUTOEVENTO&lt;&gt;"manual",$M173&lt;&gt;1)),
IF(Import.TipoArredondamento&lt;&gt;"TransfereGOV",
ROUND(OFFSET($P173,0,AJ$13),15-13*ORÇAMENTO!$AF$7)/$H173*OFFSET(ORÇAMENTO!$X$15,ROW(AJ173)-ROW(AJ$15),0),
ROUND(ROUND(OFFSET($P173,0,AJ$13),15-13*ORÇAMENTO!$AF$7)*OFFSET(ORÇAMENTO!$W$15,ROW(AJ173)-ROW(AJ$15),0),15-13*ORÇAMENTO!$AF$11)),0)</f>
        <v>0</v>
      </c>
      <c r="AK173" s="628">
        <f ca="1">IF(AND($D173="Serviço",AK$12&lt;&gt;0,$H173&gt;0,OR(AUTOEVENTO&lt;&gt;"manual",$M173&lt;&gt;1)),
IF(Import.TipoArredondamento&lt;&gt;"TransfereGOV",
ROUND(OFFSET($P173,0,AK$13),15-13*ORÇAMENTO!$AF$7)/$H173*OFFSET(ORÇAMENTO!$X$15,ROW(AK173)-ROW(AK$15),0),
ROUND(ROUND(OFFSET($P173,0,AK$13),15-13*ORÇAMENTO!$AF$7)*OFFSET(ORÇAMENTO!$W$15,ROW(AK173)-ROW(AK$15),0),15-13*ORÇAMENTO!$AF$11)),0)</f>
        <v>0</v>
      </c>
      <c r="AM173" s="211">
        <f ca="1">IF($D173&lt;&gt;"Serviço",0,IF(AND(AUTOEVENTO="Manual",$M173=1),0,IF(OFFSET(CRONOPLE!$F$14,$M173,AM$13)="",10^12,OFFSET(CRONOPLE!$F$14,$M173,AM$13))))</f>
        <v>2</v>
      </c>
      <c r="AN173" s="211">
        <f ca="1">IF($D173&lt;&gt;"Serviço",0,IF(AND(AUTOEVENTO="Manual",$M173=1),0,IF(OFFSET(CRONOPLE!$F$14,$M173,AN$13)="",10^12,OFFSET(CRONOPLE!$F$14,$M173,AN$13))))</f>
        <v>1</v>
      </c>
      <c r="AO173" s="211">
        <f ca="1">IF($D173&lt;&gt;"Serviço",0,IF(AND(AUTOEVENTO="Manual",$M173=1),0,IF(OFFSET(CRONOPLE!$F$14,$M173,AO$13)="",10^12,OFFSET(CRONOPLE!$F$14,$M173,AO$13))))</f>
        <v>2</v>
      </c>
      <c r="AP173" s="211">
        <f ca="1">IF($D173&lt;&gt;"Serviço",0,IF(AND(AUTOEVENTO="Manual",$M173=1),0,IF(OFFSET(CRONOPLE!$F$14,$M173,AP$13)="",10^12,OFFSET(CRONOPLE!$F$14,$M173,AP$13))))</f>
        <v>2</v>
      </c>
      <c r="AQ173" s="211">
        <f ca="1">IF($D173&lt;&gt;"Serviço",0,IF(AND(AUTOEVENTO="Manual",$M173=1),0,IF(OFFSET(CRONOPLE!$F$14,$M173,AQ$13)="",10^12,OFFSET(CRONOPLE!$F$14,$M173,AQ$13))))</f>
        <v>1000000000000</v>
      </c>
      <c r="AR173" s="211">
        <f ca="1">IF($D173&lt;&gt;"Serviço",0,IF(AND(AUTOEVENTO="Manual",$M173=1),0,IF(OFFSET(CRONOPLE!$F$14,$M173,AR$13)="",10^12,OFFSET(CRONOPLE!$F$14,$M173,AR$13))))</f>
        <v>1000000000000</v>
      </c>
      <c r="AS173" s="211">
        <f ca="1">IF($D173&lt;&gt;"Serviço",0,IF(AND(AUTOEVENTO="Manual",$M173=1),0,IF(OFFSET(CRONOPLE!$F$14,$M173,AS$13)="",10^12,OFFSET(CRONOPLE!$F$14,$M173,AS$13))))</f>
        <v>1000000000000</v>
      </c>
      <c r="AT173" s="211">
        <f ca="1">IF($D173&lt;&gt;"Serviço",0,IF(AND(AUTOEVENTO="Manual",$M173=1),0,IF(OFFSET(CRONOPLE!$F$14,$M173,AT$13)="",10^12,OFFSET(CRONOPLE!$F$14,$M173,AT$13))))</f>
        <v>1000000000000</v>
      </c>
      <c r="AU173" s="211">
        <f ca="1">IF($D173&lt;&gt;"Serviço",0,IF(AND(AUTOEVENTO="Manual",$M173=1),0,IF(OFFSET(CRONOPLE!$F$14,$M173,AU$13)="",10^12,OFFSET(CRONOPLE!$F$14,$M173,AU$13))))</f>
        <v>1000000000000</v>
      </c>
      <c r="AV173" s="211">
        <f ca="1">IF($D173&lt;&gt;"Serviço",0,IF(AND(AUTOEVENTO="Manual",$M173=1),0,IF(OFFSET(CRONOPLE!$F$14,$M173,AV$13)="",10^12,OFFSET(CRONOPLE!$F$14,$M173,AV$13))))</f>
        <v>1000000000000</v>
      </c>
      <c r="AX173" s="212">
        <f ca="1">IF($D173&lt;&gt;"Serviço",0,IF(OR(AND(AUTOEVENTO="Manual",$M173=1),$M173&gt;(ROW(PLE.lastrow)-ROW(PLE.firstrow))),0,IF(OFFSET(PLE!$G$14,$M173,AX$13)="",10^12,OFFSET(PLE!$G$14,$M173,AX$13))))</f>
        <v>1000000000000</v>
      </c>
      <c r="AY173" s="212">
        <f ca="1">IF($D173&lt;&gt;"Serviço",0,IF(OR(AND(AUTOEVENTO="Manual",$M173=1),$M173&gt;(ROW(PLE.lastrow)-ROW(PLE.firstrow))),0,IF(OFFSET(PLE!$G$14,$M173,AY$13)="",10^12,OFFSET(PLE!$G$14,$M173,AY$13))))</f>
        <v>1000000000000</v>
      </c>
      <c r="AZ173" s="212">
        <f ca="1">IF($D173&lt;&gt;"Serviço",0,IF(OR(AND(AUTOEVENTO="Manual",$M173=1),$M173&gt;(ROW(PLE.lastrow)-ROW(PLE.firstrow))),0,IF(OFFSET(PLE!$G$14,$M173,AZ$13)="",10^12,OFFSET(PLE!$G$14,$M173,AZ$13))))</f>
        <v>1000000000000</v>
      </c>
      <c r="BA173" s="212">
        <f ca="1">IF($D173&lt;&gt;"Serviço",0,IF(OR(AND(AUTOEVENTO="Manual",$M173=1),$M173&gt;(ROW(PLE.lastrow)-ROW(PLE.firstrow))),0,IF(OFFSET(PLE!$G$14,$M173,BA$13)="",10^12,OFFSET(PLE!$G$14,$M173,BA$13))))</f>
        <v>1000000000000</v>
      </c>
      <c r="BB173" s="212">
        <f ca="1">IF($D173&lt;&gt;"Serviço",0,IF(OR(AND(AUTOEVENTO="Manual",$M173=1),$M173&gt;(ROW(PLE.lastrow)-ROW(PLE.firstrow))),0,IF(OFFSET(PLE!$G$14,$M173,BB$13)="",10^12,OFFSET(PLE!$G$14,$M173,BB$13))))</f>
        <v>1000000000000</v>
      </c>
      <c r="BC173" s="212">
        <f ca="1">IF($D173&lt;&gt;"Serviço",0,IF(OR(AND(AUTOEVENTO="Manual",$M173=1),$M173&gt;(ROW(PLE.lastrow)-ROW(PLE.firstrow))),0,IF(OFFSET(PLE!$G$14,$M173,BC$13)="",10^12,OFFSET(PLE!$G$14,$M173,BC$13))))</f>
        <v>1000000000000</v>
      </c>
      <c r="BD173" s="212">
        <f ca="1">IF($D173&lt;&gt;"Serviço",0,IF(OR(AND(AUTOEVENTO="Manual",$M173=1),$M173&gt;(ROW(PLE.lastrow)-ROW(PLE.firstrow))),0,IF(OFFSET(PLE!$G$14,$M173,BD$13)="",10^12,OFFSET(PLE!$G$14,$M173,BD$13))))</f>
        <v>1000000000000</v>
      </c>
      <c r="BE173" s="212">
        <f ca="1">IF($D173&lt;&gt;"Serviço",0,IF(OR(AND(AUTOEVENTO="Manual",$M173=1),$M173&gt;(ROW(PLE.lastrow)-ROW(PLE.firstrow))),0,IF(OFFSET(PLE!$G$14,$M173,BE$13)="",10^12,OFFSET(PLE!$G$14,$M173,BE$13))))</f>
        <v>1000000000000</v>
      </c>
      <c r="BF173" s="212">
        <f ca="1">IF($D173&lt;&gt;"Serviço",0,IF(OR(AND(AUTOEVENTO="Manual",$M173=1),$M173&gt;(ROW(PLE.lastrow)-ROW(PLE.firstrow))),0,IF(OFFSET(PLE!$G$14,$M173,BF$13)="",10^12,OFFSET(PLE!$G$14,$M173,BF$13))))</f>
        <v>1000000000000</v>
      </c>
      <c r="BG173" s="212">
        <f ca="1">IF($D173&lt;&gt;"Serviço",0,IF(OR(AND(AUTOEVENTO="Manual",$M173=1),$M173&gt;(ROW(PLE.lastrow)-ROW(PLE.firstrow))),0,IF(OFFSET(PLE!$G$14,$M173,BG$13)="",10^12,OFFSET(PLE!$G$14,$M173,BG$13))))</f>
        <v>1000000000000</v>
      </c>
    </row>
    <row r="174" spans="1:59" ht="13.2">
      <c r="A174" s="9" t="str">
        <f t="shared" ca="1" si="11"/>
        <v>15</v>
      </c>
      <c r="B174" s="9" t="str">
        <f ca="1">OFFSET(ORÇAMENTO!C$15,ROW(B174)-ROW(B$15),0)</f>
        <v>S</v>
      </c>
      <c r="C174" s="9" t="str">
        <f ca="1">OFFSET(ORÇAMENTO!L$15,ROW(C174)-ROW(C$15),0)</f>
        <v/>
      </c>
      <c r="D174" s="141" t="str">
        <f ca="1">OFFSET(ORÇAMENTO!N$15,ROW(D174)-ROW(D$15),0)</f>
        <v>Serviço</v>
      </c>
      <c r="E174" s="201" t="str">
        <f ca="1">OFFSET(ORÇAMENTO!O$15,ROW(E174)-ROW(E$15),0)</f>
        <v>-</v>
      </c>
      <c r="F174" s="202" t="str">
        <f ca="1">OFFSET(ORÇAMENTO!R$15,ROW(F174)-ROW(F$15),0)</f>
        <v>(abra o arquivo 'Referência 11-2024.xlsm)</v>
      </c>
      <c r="G174" s="203" t="str">
        <f ca="1">IF($D174&lt;&gt;"Serviço","",OFFSET(ORÇAMENTO!S$15,ROW(G174)-ROW(G$15),0))</f>
        <v>-</v>
      </c>
      <c r="H174" s="147">
        <f ca="1">IF($D174&lt;&gt;"Serviço",0,IF(ACOMPANHAMENTO="BM",ROUND(OFFSET(ORÇAMENTO!AJ$15,ROW(H174)-ROW(H$15),0),15-13*ORÇAMENTO!$AF$7),SUMPRODUCT(($Q$12:$AA$12&lt;&gt;"")*ROUND($Q174:$AA174,15-13*ORÇAMENTO!$AF$7))))</f>
        <v>0</v>
      </c>
      <c r="I174" s="645"/>
      <c r="K174" s="204"/>
      <c r="L174" s="205" t="s">
        <v>255</v>
      </c>
      <c r="M174" s="206">
        <f ca="1">IF($D174&lt;&gt;"Serviço","",IF(AUTOEVENTO="manual",$A174,IF(ISERROR(MATCH($A174,$A$15:OFFSET($A174,-1,0),0)),MAX($M$15:OFFSET(M174,-1,0))+1,INDEX($M$15:OFFSET(M174,-1,0),MATCH($A174,$A$15:OFFSET($A174,-1,0),0)))))</f>
        <v>6</v>
      </c>
      <c r="N174" s="207" t="str">
        <f ca="1">IF($D174&lt;&gt;"Serviço","",IF(AUTOEVENTO="Manual",IF($A174=0,"&lt;-- defina o número do agrupador",OFFSET(EVENTOS!$D$14,$A174,0)),OFFSET($F$15,$A174,0)))</f>
        <v>DRENAGEM</v>
      </c>
      <c r="O174" s="208"/>
      <c r="Q174" s="208"/>
      <c r="R174" s="209"/>
      <c r="S174" s="209"/>
      <c r="T174" s="209"/>
      <c r="U174" s="209"/>
      <c r="V174" s="209"/>
      <c r="W174" s="209"/>
      <c r="X174" s="209"/>
      <c r="Y174" s="209"/>
      <c r="Z174" s="210"/>
      <c r="AB174" s="626">
        <f ca="1">IF(AND($D174="Serviço",AB$12&lt;&gt;0,$H174&gt;0,OR(AUTOEVENTO&lt;&gt;"manual",$M174&lt;&gt;1)),
IF(Import.TipoArredondamento&lt;&gt;"TransfereGOV",
ROUND(OFFSET($P174,0,AB$13),15-13*ORÇAMENTO!$AF$7)/$H174*OFFSET(ORÇAMENTO!$X$15,ROW(AB174)-ROW(AB$15),0),
ROUND(ROUND(OFFSET($P174,0,AB$13),15-13*ORÇAMENTO!$AF$7)*OFFSET(ORÇAMENTO!$W$15,ROW(AB174)-ROW(AB$15),0),15-13*ORÇAMENTO!$AF$11)),0)</f>
        <v>0</v>
      </c>
      <c r="AC174" s="627">
        <f ca="1">IF(AND($D174="Serviço",AC$12&lt;&gt;0,$H174&gt;0,OR(AUTOEVENTO&lt;&gt;"manual",$M174&lt;&gt;1)),
IF(Import.TipoArredondamento&lt;&gt;"TransfereGOV",
ROUND(OFFSET($P174,0,AC$13),15-13*ORÇAMENTO!$AF$7)/$H174*OFFSET(ORÇAMENTO!$X$15,ROW(AC174)-ROW(AC$15),0),
ROUND(ROUND(OFFSET($P174,0,AC$13),15-13*ORÇAMENTO!$AF$7)*OFFSET(ORÇAMENTO!$W$15,ROW(AC174)-ROW(AC$15),0),15-13*ORÇAMENTO!$AF$11)),0)</f>
        <v>0</v>
      </c>
      <c r="AD174" s="627">
        <f ca="1">IF(AND($D174="Serviço",AD$12&lt;&gt;0,$H174&gt;0,OR(AUTOEVENTO&lt;&gt;"manual",$M174&lt;&gt;1)),
IF(Import.TipoArredondamento&lt;&gt;"TransfereGOV",
ROUND(OFFSET($P174,0,AD$13),15-13*ORÇAMENTO!$AF$7)/$H174*OFFSET(ORÇAMENTO!$X$15,ROW(AD174)-ROW(AD$15),0),
ROUND(ROUND(OFFSET($P174,0,AD$13),15-13*ORÇAMENTO!$AF$7)*OFFSET(ORÇAMENTO!$W$15,ROW(AD174)-ROW(AD$15),0),15-13*ORÇAMENTO!$AF$11)),0)</f>
        <v>0</v>
      </c>
      <c r="AE174" s="627">
        <f ca="1">IF(AND($D174="Serviço",AE$12&lt;&gt;0,$H174&gt;0,OR(AUTOEVENTO&lt;&gt;"manual",$M174&lt;&gt;1)),
IF(Import.TipoArredondamento&lt;&gt;"TransfereGOV",
ROUND(OFFSET($P174,0,AE$13),15-13*ORÇAMENTO!$AF$7)/$H174*OFFSET(ORÇAMENTO!$X$15,ROW(AE174)-ROW(AE$15),0),
ROUND(ROUND(OFFSET($P174,0,AE$13),15-13*ORÇAMENTO!$AF$7)*OFFSET(ORÇAMENTO!$W$15,ROW(AE174)-ROW(AE$15),0),15-13*ORÇAMENTO!$AF$11)),0)</f>
        <v>0</v>
      </c>
      <c r="AF174" s="627">
        <f ca="1">IF(AND($D174="Serviço",AF$12&lt;&gt;0,$H174&gt;0,OR(AUTOEVENTO&lt;&gt;"manual",$M174&lt;&gt;1)),
IF(Import.TipoArredondamento&lt;&gt;"TransfereGOV",
ROUND(OFFSET($P174,0,AF$13),15-13*ORÇAMENTO!$AF$7)/$H174*OFFSET(ORÇAMENTO!$X$15,ROW(AF174)-ROW(AF$15),0),
ROUND(ROUND(OFFSET($P174,0,AF$13),15-13*ORÇAMENTO!$AF$7)*OFFSET(ORÇAMENTO!$W$15,ROW(AF174)-ROW(AF$15),0),15-13*ORÇAMENTO!$AF$11)),0)</f>
        <v>0</v>
      </c>
      <c r="AG174" s="627">
        <f ca="1">IF(AND($D174="Serviço",AG$12&lt;&gt;0,$H174&gt;0,OR(AUTOEVENTO&lt;&gt;"manual",$M174&lt;&gt;1)),
IF(Import.TipoArredondamento&lt;&gt;"TransfereGOV",
ROUND(OFFSET($P174,0,AG$13),15-13*ORÇAMENTO!$AF$7)/$H174*OFFSET(ORÇAMENTO!$X$15,ROW(AG174)-ROW(AG$15),0),
ROUND(ROUND(OFFSET($P174,0,AG$13),15-13*ORÇAMENTO!$AF$7)*OFFSET(ORÇAMENTO!$W$15,ROW(AG174)-ROW(AG$15),0),15-13*ORÇAMENTO!$AF$11)),0)</f>
        <v>0</v>
      </c>
      <c r="AH174" s="627">
        <f ca="1">IF(AND($D174="Serviço",AH$12&lt;&gt;0,$H174&gt;0,OR(AUTOEVENTO&lt;&gt;"manual",$M174&lt;&gt;1)),
IF(Import.TipoArredondamento&lt;&gt;"TransfereGOV",
ROUND(OFFSET($P174,0,AH$13),15-13*ORÇAMENTO!$AF$7)/$H174*OFFSET(ORÇAMENTO!$X$15,ROW(AH174)-ROW(AH$15),0),
ROUND(ROUND(OFFSET($P174,0,AH$13),15-13*ORÇAMENTO!$AF$7)*OFFSET(ORÇAMENTO!$W$15,ROW(AH174)-ROW(AH$15),0),15-13*ORÇAMENTO!$AF$11)),0)</f>
        <v>0</v>
      </c>
      <c r="AI174" s="627">
        <f ca="1">IF(AND($D174="Serviço",AI$12&lt;&gt;0,$H174&gt;0,OR(AUTOEVENTO&lt;&gt;"manual",$M174&lt;&gt;1)),
IF(Import.TipoArredondamento&lt;&gt;"TransfereGOV",
ROUND(OFFSET($P174,0,AI$13),15-13*ORÇAMENTO!$AF$7)/$H174*OFFSET(ORÇAMENTO!$X$15,ROW(AI174)-ROW(AI$15),0),
ROUND(ROUND(OFFSET($P174,0,AI$13),15-13*ORÇAMENTO!$AF$7)*OFFSET(ORÇAMENTO!$W$15,ROW(AI174)-ROW(AI$15),0),15-13*ORÇAMENTO!$AF$11)),0)</f>
        <v>0</v>
      </c>
      <c r="AJ174" s="627">
        <f ca="1">IF(AND($D174="Serviço",AJ$12&lt;&gt;0,$H174&gt;0,OR(AUTOEVENTO&lt;&gt;"manual",$M174&lt;&gt;1)),
IF(Import.TipoArredondamento&lt;&gt;"TransfereGOV",
ROUND(OFFSET($P174,0,AJ$13),15-13*ORÇAMENTO!$AF$7)/$H174*OFFSET(ORÇAMENTO!$X$15,ROW(AJ174)-ROW(AJ$15),0),
ROUND(ROUND(OFFSET($P174,0,AJ$13),15-13*ORÇAMENTO!$AF$7)*OFFSET(ORÇAMENTO!$W$15,ROW(AJ174)-ROW(AJ$15),0),15-13*ORÇAMENTO!$AF$11)),0)</f>
        <v>0</v>
      </c>
      <c r="AK174" s="628">
        <f ca="1">IF(AND($D174="Serviço",AK$12&lt;&gt;0,$H174&gt;0,OR(AUTOEVENTO&lt;&gt;"manual",$M174&lt;&gt;1)),
IF(Import.TipoArredondamento&lt;&gt;"TransfereGOV",
ROUND(OFFSET($P174,0,AK$13),15-13*ORÇAMENTO!$AF$7)/$H174*OFFSET(ORÇAMENTO!$X$15,ROW(AK174)-ROW(AK$15),0),
ROUND(ROUND(OFFSET($P174,0,AK$13),15-13*ORÇAMENTO!$AF$7)*OFFSET(ORÇAMENTO!$W$15,ROW(AK174)-ROW(AK$15),0),15-13*ORÇAMENTO!$AF$11)),0)</f>
        <v>0</v>
      </c>
      <c r="AM174" s="211">
        <f ca="1">IF($D174&lt;&gt;"Serviço",0,IF(AND(AUTOEVENTO="Manual",$M174=1),0,IF(OFFSET(CRONOPLE!$F$14,$M174,AM$13)="",10^12,OFFSET(CRONOPLE!$F$14,$M174,AM$13))))</f>
        <v>2</v>
      </c>
      <c r="AN174" s="211">
        <f ca="1">IF($D174&lt;&gt;"Serviço",0,IF(AND(AUTOEVENTO="Manual",$M174=1),0,IF(OFFSET(CRONOPLE!$F$14,$M174,AN$13)="",10^12,OFFSET(CRONOPLE!$F$14,$M174,AN$13))))</f>
        <v>1</v>
      </c>
      <c r="AO174" s="211">
        <f ca="1">IF($D174&lt;&gt;"Serviço",0,IF(AND(AUTOEVENTO="Manual",$M174=1),0,IF(OFFSET(CRONOPLE!$F$14,$M174,AO$13)="",10^12,OFFSET(CRONOPLE!$F$14,$M174,AO$13))))</f>
        <v>2</v>
      </c>
      <c r="AP174" s="211">
        <f ca="1">IF($D174&lt;&gt;"Serviço",0,IF(AND(AUTOEVENTO="Manual",$M174=1),0,IF(OFFSET(CRONOPLE!$F$14,$M174,AP$13)="",10^12,OFFSET(CRONOPLE!$F$14,$M174,AP$13))))</f>
        <v>2</v>
      </c>
      <c r="AQ174" s="211">
        <f ca="1">IF($D174&lt;&gt;"Serviço",0,IF(AND(AUTOEVENTO="Manual",$M174=1),0,IF(OFFSET(CRONOPLE!$F$14,$M174,AQ$13)="",10^12,OFFSET(CRONOPLE!$F$14,$M174,AQ$13))))</f>
        <v>1000000000000</v>
      </c>
      <c r="AR174" s="211">
        <f ca="1">IF($D174&lt;&gt;"Serviço",0,IF(AND(AUTOEVENTO="Manual",$M174=1),0,IF(OFFSET(CRONOPLE!$F$14,$M174,AR$13)="",10^12,OFFSET(CRONOPLE!$F$14,$M174,AR$13))))</f>
        <v>1000000000000</v>
      </c>
      <c r="AS174" s="211">
        <f ca="1">IF($D174&lt;&gt;"Serviço",0,IF(AND(AUTOEVENTO="Manual",$M174=1),0,IF(OFFSET(CRONOPLE!$F$14,$M174,AS$13)="",10^12,OFFSET(CRONOPLE!$F$14,$M174,AS$13))))</f>
        <v>1000000000000</v>
      </c>
      <c r="AT174" s="211">
        <f ca="1">IF($D174&lt;&gt;"Serviço",0,IF(AND(AUTOEVENTO="Manual",$M174=1),0,IF(OFFSET(CRONOPLE!$F$14,$M174,AT$13)="",10^12,OFFSET(CRONOPLE!$F$14,$M174,AT$13))))</f>
        <v>1000000000000</v>
      </c>
      <c r="AU174" s="211">
        <f ca="1">IF($D174&lt;&gt;"Serviço",0,IF(AND(AUTOEVENTO="Manual",$M174=1),0,IF(OFFSET(CRONOPLE!$F$14,$M174,AU$13)="",10^12,OFFSET(CRONOPLE!$F$14,$M174,AU$13))))</f>
        <v>1000000000000</v>
      </c>
      <c r="AV174" s="211">
        <f ca="1">IF($D174&lt;&gt;"Serviço",0,IF(AND(AUTOEVENTO="Manual",$M174=1),0,IF(OFFSET(CRONOPLE!$F$14,$M174,AV$13)="",10^12,OFFSET(CRONOPLE!$F$14,$M174,AV$13))))</f>
        <v>1000000000000</v>
      </c>
      <c r="AX174" s="212">
        <f ca="1">IF($D174&lt;&gt;"Serviço",0,IF(OR(AND(AUTOEVENTO="Manual",$M174=1),$M174&gt;(ROW(PLE.lastrow)-ROW(PLE.firstrow))),0,IF(OFFSET(PLE!$G$14,$M174,AX$13)="",10^12,OFFSET(PLE!$G$14,$M174,AX$13))))</f>
        <v>1000000000000</v>
      </c>
      <c r="AY174" s="212">
        <f ca="1">IF($D174&lt;&gt;"Serviço",0,IF(OR(AND(AUTOEVENTO="Manual",$M174=1),$M174&gt;(ROW(PLE.lastrow)-ROW(PLE.firstrow))),0,IF(OFFSET(PLE!$G$14,$M174,AY$13)="",10^12,OFFSET(PLE!$G$14,$M174,AY$13))))</f>
        <v>1000000000000</v>
      </c>
      <c r="AZ174" s="212">
        <f ca="1">IF($D174&lt;&gt;"Serviço",0,IF(OR(AND(AUTOEVENTO="Manual",$M174=1),$M174&gt;(ROW(PLE.lastrow)-ROW(PLE.firstrow))),0,IF(OFFSET(PLE!$G$14,$M174,AZ$13)="",10^12,OFFSET(PLE!$G$14,$M174,AZ$13))))</f>
        <v>1000000000000</v>
      </c>
      <c r="BA174" s="212">
        <f ca="1">IF($D174&lt;&gt;"Serviço",0,IF(OR(AND(AUTOEVENTO="Manual",$M174=1),$M174&gt;(ROW(PLE.lastrow)-ROW(PLE.firstrow))),0,IF(OFFSET(PLE!$G$14,$M174,BA$13)="",10^12,OFFSET(PLE!$G$14,$M174,BA$13))))</f>
        <v>1000000000000</v>
      </c>
      <c r="BB174" s="212">
        <f ca="1">IF($D174&lt;&gt;"Serviço",0,IF(OR(AND(AUTOEVENTO="Manual",$M174=1),$M174&gt;(ROW(PLE.lastrow)-ROW(PLE.firstrow))),0,IF(OFFSET(PLE!$G$14,$M174,BB$13)="",10^12,OFFSET(PLE!$G$14,$M174,BB$13))))</f>
        <v>1000000000000</v>
      </c>
      <c r="BC174" s="212">
        <f ca="1">IF($D174&lt;&gt;"Serviço",0,IF(OR(AND(AUTOEVENTO="Manual",$M174=1),$M174&gt;(ROW(PLE.lastrow)-ROW(PLE.firstrow))),0,IF(OFFSET(PLE!$G$14,$M174,BC$13)="",10^12,OFFSET(PLE!$G$14,$M174,BC$13))))</f>
        <v>1000000000000</v>
      </c>
      <c r="BD174" s="212">
        <f ca="1">IF($D174&lt;&gt;"Serviço",0,IF(OR(AND(AUTOEVENTO="Manual",$M174=1),$M174&gt;(ROW(PLE.lastrow)-ROW(PLE.firstrow))),0,IF(OFFSET(PLE!$G$14,$M174,BD$13)="",10^12,OFFSET(PLE!$G$14,$M174,BD$13))))</f>
        <v>1000000000000</v>
      </c>
      <c r="BE174" s="212">
        <f ca="1">IF($D174&lt;&gt;"Serviço",0,IF(OR(AND(AUTOEVENTO="Manual",$M174=1),$M174&gt;(ROW(PLE.lastrow)-ROW(PLE.firstrow))),0,IF(OFFSET(PLE!$G$14,$M174,BE$13)="",10^12,OFFSET(PLE!$G$14,$M174,BE$13))))</f>
        <v>1000000000000</v>
      </c>
      <c r="BF174" s="212">
        <f ca="1">IF($D174&lt;&gt;"Serviço",0,IF(OR(AND(AUTOEVENTO="Manual",$M174=1),$M174&gt;(ROW(PLE.lastrow)-ROW(PLE.firstrow))),0,IF(OFFSET(PLE!$G$14,$M174,BF$13)="",10^12,OFFSET(PLE!$G$14,$M174,BF$13))))</f>
        <v>1000000000000</v>
      </c>
      <c r="BG174" s="212">
        <f ca="1">IF($D174&lt;&gt;"Serviço",0,IF(OR(AND(AUTOEVENTO="Manual",$M174=1),$M174&gt;(ROW(PLE.lastrow)-ROW(PLE.firstrow))),0,IF(OFFSET(PLE!$G$14,$M174,BG$13)="",10^12,OFFSET(PLE!$G$14,$M174,BG$13))))</f>
        <v>1000000000000</v>
      </c>
    </row>
    <row r="175" spans="1:59" ht="13.2">
      <c r="A175" s="9" t="str">
        <f t="shared" ca="1" si="11"/>
        <v>15</v>
      </c>
      <c r="B175" s="9" t="str">
        <f ca="1">OFFSET(ORÇAMENTO!C$15,ROW(B175)-ROW(B$15),0)</f>
        <v>S</v>
      </c>
      <c r="C175" s="9" t="str">
        <f ca="1">OFFSET(ORÇAMENTO!L$15,ROW(C175)-ROW(C$15),0)</f>
        <v/>
      </c>
      <c r="D175" s="141" t="str">
        <f ca="1">OFFSET(ORÇAMENTO!N$15,ROW(D175)-ROW(D$15),0)</f>
        <v>Serviço</v>
      </c>
      <c r="E175" s="201" t="str">
        <f ca="1">OFFSET(ORÇAMENTO!O$15,ROW(E175)-ROW(E$15),0)</f>
        <v>-</v>
      </c>
      <c r="F175" s="202" t="str">
        <f ca="1">OFFSET(ORÇAMENTO!R$15,ROW(F175)-ROW(F$15),0)</f>
        <v>(abra o arquivo 'Referência 11-2024.xlsm)</v>
      </c>
      <c r="G175" s="203" t="str">
        <f ca="1">IF($D175&lt;&gt;"Serviço","",OFFSET(ORÇAMENTO!S$15,ROW(G175)-ROW(G$15),0))</f>
        <v>-</v>
      </c>
      <c r="H175" s="147">
        <f ca="1">IF($D175&lt;&gt;"Serviço",0,IF(ACOMPANHAMENTO="BM",ROUND(OFFSET(ORÇAMENTO!AJ$15,ROW(H175)-ROW(H$15),0),15-13*ORÇAMENTO!$AF$7),SUMPRODUCT(($Q$12:$AA$12&lt;&gt;"")*ROUND($Q175:$AA175,15-13*ORÇAMENTO!$AF$7))))</f>
        <v>0</v>
      </c>
      <c r="I175" s="645"/>
      <c r="K175" s="204"/>
      <c r="L175" s="205" t="s">
        <v>255</v>
      </c>
      <c r="M175" s="206">
        <f ca="1">IF($D175&lt;&gt;"Serviço","",IF(AUTOEVENTO="manual",$A175,IF(ISERROR(MATCH($A175,$A$15:OFFSET($A175,-1,0),0)),MAX($M$15:OFFSET(M175,-1,0))+1,INDEX($M$15:OFFSET(M175,-1,0),MATCH($A175,$A$15:OFFSET($A175,-1,0),0)))))</f>
        <v>6</v>
      </c>
      <c r="N175" s="207" t="str">
        <f ca="1">IF($D175&lt;&gt;"Serviço","",IF(AUTOEVENTO="Manual",IF($A175=0,"&lt;-- defina o número do agrupador",OFFSET(EVENTOS!$D$14,$A175,0)),OFFSET($F$15,$A175,0)))</f>
        <v>DRENAGEM</v>
      </c>
      <c r="O175" s="208"/>
      <c r="Q175" s="208"/>
      <c r="R175" s="209"/>
      <c r="S175" s="209"/>
      <c r="T175" s="209"/>
      <c r="U175" s="209"/>
      <c r="V175" s="209"/>
      <c r="W175" s="209"/>
      <c r="X175" s="209"/>
      <c r="Y175" s="209"/>
      <c r="Z175" s="210"/>
      <c r="AB175" s="626">
        <f ca="1">IF(AND($D175="Serviço",AB$12&lt;&gt;0,$H175&gt;0,OR(AUTOEVENTO&lt;&gt;"manual",$M175&lt;&gt;1)),
IF(Import.TipoArredondamento&lt;&gt;"TransfereGOV",
ROUND(OFFSET($P175,0,AB$13),15-13*ORÇAMENTO!$AF$7)/$H175*OFFSET(ORÇAMENTO!$X$15,ROW(AB175)-ROW(AB$15),0),
ROUND(ROUND(OFFSET($P175,0,AB$13),15-13*ORÇAMENTO!$AF$7)*OFFSET(ORÇAMENTO!$W$15,ROW(AB175)-ROW(AB$15),0),15-13*ORÇAMENTO!$AF$11)),0)</f>
        <v>0</v>
      </c>
      <c r="AC175" s="627">
        <f ca="1">IF(AND($D175="Serviço",AC$12&lt;&gt;0,$H175&gt;0,OR(AUTOEVENTO&lt;&gt;"manual",$M175&lt;&gt;1)),
IF(Import.TipoArredondamento&lt;&gt;"TransfereGOV",
ROUND(OFFSET($P175,0,AC$13),15-13*ORÇAMENTO!$AF$7)/$H175*OFFSET(ORÇAMENTO!$X$15,ROW(AC175)-ROW(AC$15),0),
ROUND(ROUND(OFFSET($P175,0,AC$13),15-13*ORÇAMENTO!$AF$7)*OFFSET(ORÇAMENTO!$W$15,ROW(AC175)-ROW(AC$15),0),15-13*ORÇAMENTO!$AF$11)),0)</f>
        <v>0</v>
      </c>
      <c r="AD175" s="627">
        <f ca="1">IF(AND($D175="Serviço",AD$12&lt;&gt;0,$H175&gt;0,OR(AUTOEVENTO&lt;&gt;"manual",$M175&lt;&gt;1)),
IF(Import.TipoArredondamento&lt;&gt;"TransfereGOV",
ROUND(OFFSET($P175,0,AD$13),15-13*ORÇAMENTO!$AF$7)/$H175*OFFSET(ORÇAMENTO!$X$15,ROW(AD175)-ROW(AD$15),0),
ROUND(ROUND(OFFSET($P175,0,AD$13),15-13*ORÇAMENTO!$AF$7)*OFFSET(ORÇAMENTO!$W$15,ROW(AD175)-ROW(AD$15),0),15-13*ORÇAMENTO!$AF$11)),0)</f>
        <v>0</v>
      </c>
      <c r="AE175" s="627">
        <f ca="1">IF(AND($D175="Serviço",AE$12&lt;&gt;0,$H175&gt;0,OR(AUTOEVENTO&lt;&gt;"manual",$M175&lt;&gt;1)),
IF(Import.TipoArredondamento&lt;&gt;"TransfereGOV",
ROUND(OFFSET($P175,0,AE$13),15-13*ORÇAMENTO!$AF$7)/$H175*OFFSET(ORÇAMENTO!$X$15,ROW(AE175)-ROW(AE$15),0),
ROUND(ROUND(OFFSET($P175,0,AE$13),15-13*ORÇAMENTO!$AF$7)*OFFSET(ORÇAMENTO!$W$15,ROW(AE175)-ROW(AE$15),0),15-13*ORÇAMENTO!$AF$11)),0)</f>
        <v>0</v>
      </c>
      <c r="AF175" s="627">
        <f ca="1">IF(AND($D175="Serviço",AF$12&lt;&gt;0,$H175&gt;0,OR(AUTOEVENTO&lt;&gt;"manual",$M175&lt;&gt;1)),
IF(Import.TipoArredondamento&lt;&gt;"TransfereGOV",
ROUND(OFFSET($P175,0,AF$13),15-13*ORÇAMENTO!$AF$7)/$H175*OFFSET(ORÇAMENTO!$X$15,ROW(AF175)-ROW(AF$15),0),
ROUND(ROUND(OFFSET($P175,0,AF$13),15-13*ORÇAMENTO!$AF$7)*OFFSET(ORÇAMENTO!$W$15,ROW(AF175)-ROW(AF$15),0),15-13*ORÇAMENTO!$AF$11)),0)</f>
        <v>0</v>
      </c>
      <c r="AG175" s="627">
        <f ca="1">IF(AND($D175="Serviço",AG$12&lt;&gt;0,$H175&gt;0,OR(AUTOEVENTO&lt;&gt;"manual",$M175&lt;&gt;1)),
IF(Import.TipoArredondamento&lt;&gt;"TransfereGOV",
ROUND(OFFSET($P175,0,AG$13),15-13*ORÇAMENTO!$AF$7)/$H175*OFFSET(ORÇAMENTO!$X$15,ROW(AG175)-ROW(AG$15),0),
ROUND(ROUND(OFFSET($P175,0,AG$13),15-13*ORÇAMENTO!$AF$7)*OFFSET(ORÇAMENTO!$W$15,ROW(AG175)-ROW(AG$15),0),15-13*ORÇAMENTO!$AF$11)),0)</f>
        <v>0</v>
      </c>
      <c r="AH175" s="627">
        <f ca="1">IF(AND($D175="Serviço",AH$12&lt;&gt;0,$H175&gt;0,OR(AUTOEVENTO&lt;&gt;"manual",$M175&lt;&gt;1)),
IF(Import.TipoArredondamento&lt;&gt;"TransfereGOV",
ROUND(OFFSET($P175,0,AH$13),15-13*ORÇAMENTO!$AF$7)/$H175*OFFSET(ORÇAMENTO!$X$15,ROW(AH175)-ROW(AH$15),0),
ROUND(ROUND(OFFSET($P175,0,AH$13),15-13*ORÇAMENTO!$AF$7)*OFFSET(ORÇAMENTO!$W$15,ROW(AH175)-ROW(AH$15),0),15-13*ORÇAMENTO!$AF$11)),0)</f>
        <v>0</v>
      </c>
      <c r="AI175" s="627">
        <f ca="1">IF(AND($D175="Serviço",AI$12&lt;&gt;0,$H175&gt;0,OR(AUTOEVENTO&lt;&gt;"manual",$M175&lt;&gt;1)),
IF(Import.TipoArredondamento&lt;&gt;"TransfereGOV",
ROUND(OFFSET($P175,0,AI$13),15-13*ORÇAMENTO!$AF$7)/$H175*OFFSET(ORÇAMENTO!$X$15,ROW(AI175)-ROW(AI$15),0),
ROUND(ROUND(OFFSET($P175,0,AI$13),15-13*ORÇAMENTO!$AF$7)*OFFSET(ORÇAMENTO!$W$15,ROW(AI175)-ROW(AI$15),0),15-13*ORÇAMENTO!$AF$11)),0)</f>
        <v>0</v>
      </c>
      <c r="AJ175" s="627">
        <f ca="1">IF(AND($D175="Serviço",AJ$12&lt;&gt;0,$H175&gt;0,OR(AUTOEVENTO&lt;&gt;"manual",$M175&lt;&gt;1)),
IF(Import.TipoArredondamento&lt;&gt;"TransfereGOV",
ROUND(OFFSET($P175,0,AJ$13),15-13*ORÇAMENTO!$AF$7)/$H175*OFFSET(ORÇAMENTO!$X$15,ROW(AJ175)-ROW(AJ$15),0),
ROUND(ROUND(OFFSET($P175,0,AJ$13),15-13*ORÇAMENTO!$AF$7)*OFFSET(ORÇAMENTO!$W$15,ROW(AJ175)-ROW(AJ$15),0),15-13*ORÇAMENTO!$AF$11)),0)</f>
        <v>0</v>
      </c>
      <c r="AK175" s="628">
        <f ca="1">IF(AND($D175="Serviço",AK$12&lt;&gt;0,$H175&gt;0,OR(AUTOEVENTO&lt;&gt;"manual",$M175&lt;&gt;1)),
IF(Import.TipoArredondamento&lt;&gt;"TransfereGOV",
ROUND(OFFSET($P175,0,AK$13),15-13*ORÇAMENTO!$AF$7)/$H175*OFFSET(ORÇAMENTO!$X$15,ROW(AK175)-ROW(AK$15),0),
ROUND(ROUND(OFFSET($P175,0,AK$13),15-13*ORÇAMENTO!$AF$7)*OFFSET(ORÇAMENTO!$W$15,ROW(AK175)-ROW(AK$15),0),15-13*ORÇAMENTO!$AF$11)),0)</f>
        <v>0</v>
      </c>
      <c r="AM175" s="211">
        <f ca="1">IF($D175&lt;&gt;"Serviço",0,IF(AND(AUTOEVENTO="Manual",$M175=1),0,IF(OFFSET(CRONOPLE!$F$14,$M175,AM$13)="",10^12,OFFSET(CRONOPLE!$F$14,$M175,AM$13))))</f>
        <v>2</v>
      </c>
      <c r="AN175" s="211">
        <f ca="1">IF($D175&lt;&gt;"Serviço",0,IF(AND(AUTOEVENTO="Manual",$M175=1),0,IF(OFFSET(CRONOPLE!$F$14,$M175,AN$13)="",10^12,OFFSET(CRONOPLE!$F$14,$M175,AN$13))))</f>
        <v>1</v>
      </c>
      <c r="AO175" s="211">
        <f ca="1">IF($D175&lt;&gt;"Serviço",0,IF(AND(AUTOEVENTO="Manual",$M175=1),0,IF(OFFSET(CRONOPLE!$F$14,$M175,AO$13)="",10^12,OFFSET(CRONOPLE!$F$14,$M175,AO$13))))</f>
        <v>2</v>
      </c>
      <c r="AP175" s="211">
        <f ca="1">IF($D175&lt;&gt;"Serviço",0,IF(AND(AUTOEVENTO="Manual",$M175=1),0,IF(OFFSET(CRONOPLE!$F$14,$M175,AP$13)="",10^12,OFFSET(CRONOPLE!$F$14,$M175,AP$13))))</f>
        <v>2</v>
      </c>
      <c r="AQ175" s="211">
        <f ca="1">IF($D175&lt;&gt;"Serviço",0,IF(AND(AUTOEVENTO="Manual",$M175=1),0,IF(OFFSET(CRONOPLE!$F$14,$M175,AQ$13)="",10^12,OFFSET(CRONOPLE!$F$14,$M175,AQ$13))))</f>
        <v>1000000000000</v>
      </c>
      <c r="AR175" s="211">
        <f ca="1">IF($D175&lt;&gt;"Serviço",0,IF(AND(AUTOEVENTO="Manual",$M175=1),0,IF(OFFSET(CRONOPLE!$F$14,$M175,AR$13)="",10^12,OFFSET(CRONOPLE!$F$14,$M175,AR$13))))</f>
        <v>1000000000000</v>
      </c>
      <c r="AS175" s="211">
        <f ca="1">IF($D175&lt;&gt;"Serviço",0,IF(AND(AUTOEVENTO="Manual",$M175=1),0,IF(OFFSET(CRONOPLE!$F$14,$M175,AS$13)="",10^12,OFFSET(CRONOPLE!$F$14,$M175,AS$13))))</f>
        <v>1000000000000</v>
      </c>
      <c r="AT175" s="211">
        <f ca="1">IF($D175&lt;&gt;"Serviço",0,IF(AND(AUTOEVENTO="Manual",$M175=1),0,IF(OFFSET(CRONOPLE!$F$14,$M175,AT$13)="",10^12,OFFSET(CRONOPLE!$F$14,$M175,AT$13))))</f>
        <v>1000000000000</v>
      </c>
      <c r="AU175" s="211">
        <f ca="1">IF($D175&lt;&gt;"Serviço",0,IF(AND(AUTOEVENTO="Manual",$M175=1),0,IF(OFFSET(CRONOPLE!$F$14,$M175,AU$13)="",10^12,OFFSET(CRONOPLE!$F$14,$M175,AU$13))))</f>
        <v>1000000000000</v>
      </c>
      <c r="AV175" s="211">
        <f ca="1">IF($D175&lt;&gt;"Serviço",0,IF(AND(AUTOEVENTO="Manual",$M175=1),0,IF(OFFSET(CRONOPLE!$F$14,$M175,AV$13)="",10^12,OFFSET(CRONOPLE!$F$14,$M175,AV$13))))</f>
        <v>1000000000000</v>
      </c>
      <c r="AX175" s="212">
        <f ca="1">IF($D175&lt;&gt;"Serviço",0,IF(OR(AND(AUTOEVENTO="Manual",$M175=1),$M175&gt;(ROW(PLE.lastrow)-ROW(PLE.firstrow))),0,IF(OFFSET(PLE!$G$14,$M175,AX$13)="",10^12,OFFSET(PLE!$G$14,$M175,AX$13))))</f>
        <v>1000000000000</v>
      </c>
      <c r="AY175" s="212">
        <f ca="1">IF($D175&lt;&gt;"Serviço",0,IF(OR(AND(AUTOEVENTO="Manual",$M175=1),$M175&gt;(ROW(PLE.lastrow)-ROW(PLE.firstrow))),0,IF(OFFSET(PLE!$G$14,$M175,AY$13)="",10^12,OFFSET(PLE!$G$14,$M175,AY$13))))</f>
        <v>1000000000000</v>
      </c>
      <c r="AZ175" s="212">
        <f ca="1">IF($D175&lt;&gt;"Serviço",0,IF(OR(AND(AUTOEVENTO="Manual",$M175=1),$M175&gt;(ROW(PLE.lastrow)-ROW(PLE.firstrow))),0,IF(OFFSET(PLE!$G$14,$M175,AZ$13)="",10^12,OFFSET(PLE!$G$14,$M175,AZ$13))))</f>
        <v>1000000000000</v>
      </c>
      <c r="BA175" s="212">
        <f ca="1">IF($D175&lt;&gt;"Serviço",0,IF(OR(AND(AUTOEVENTO="Manual",$M175=1),$M175&gt;(ROW(PLE.lastrow)-ROW(PLE.firstrow))),0,IF(OFFSET(PLE!$G$14,$M175,BA$13)="",10^12,OFFSET(PLE!$G$14,$M175,BA$13))))</f>
        <v>1000000000000</v>
      </c>
      <c r="BB175" s="212">
        <f ca="1">IF($D175&lt;&gt;"Serviço",0,IF(OR(AND(AUTOEVENTO="Manual",$M175=1),$M175&gt;(ROW(PLE.lastrow)-ROW(PLE.firstrow))),0,IF(OFFSET(PLE!$G$14,$M175,BB$13)="",10^12,OFFSET(PLE!$G$14,$M175,BB$13))))</f>
        <v>1000000000000</v>
      </c>
      <c r="BC175" s="212">
        <f ca="1">IF($D175&lt;&gt;"Serviço",0,IF(OR(AND(AUTOEVENTO="Manual",$M175=1),$M175&gt;(ROW(PLE.lastrow)-ROW(PLE.firstrow))),0,IF(OFFSET(PLE!$G$14,$M175,BC$13)="",10^12,OFFSET(PLE!$G$14,$M175,BC$13))))</f>
        <v>1000000000000</v>
      </c>
      <c r="BD175" s="212">
        <f ca="1">IF($D175&lt;&gt;"Serviço",0,IF(OR(AND(AUTOEVENTO="Manual",$M175=1),$M175&gt;(ROW(PLE.lastrow)-ROW(PLE.firstrow))),0,IF(OFFSET(PLE!$G$14,$M175,BD$13)="",10^12,OFFSET(PLE!$G$14,$M175,BD$13))))</f>
        <v>1000000000000</v>
      </c>
      <c r="BE175" s="212">
        <f ca="1">IF($D175&lt;&gt;"Serviço",0,IF(OR(AND(AUTOEVENTO="Manual",$M175=1),$M175&gt;(ROW(PLE.lastrow)-ROW(PLE.firstrow))),0,IF(OFFSET(PLE!$G$14,$M175,BE$13)="",10^12,OFFSET(PLE!$G$14,$M175,BE$13))))</f>
        <v>1000000000000</v>
      </c>
      <c r="BF175" s="212">
        <f ca="1">IF($D175&lt;&gt;"Serviço",0,IF(OR(AND(AUTOEVENTO="Manual",$M175=1),$M175&gt;(ROW(PLE.lastrow)-ROW(PLE.firstrow))),0,IF(OFFSET(PLE!$G$14,$M175,BF$13)="",10^12,OFFSET(PLE!$G$14,$M175,BF$13))))</f>
        <v>1000000000000</v>
      </c>
      <c r="BG175" s="212">
        <f ca="1">IF($D175&lt;&gt;"Serviço",0,IF(OR(AND(AUTOEVENTO="Manual",$M175=1),$M175&gt;(ROW(PLE.lastrow)-ROW(PLE.firstrow))),0,IF(OFFSET(PLE!$G$14,$M175,BG$13)="",10^12,OFFSET(PLE!$G$14,$M175,BG$13))))</f>
        <v>1000000000000</v>
      </c>
    </row>
    <row r="176" spans="1:59" ht="13.2">
      <c r="A176" s="9" t="str">
        <f t="shared" ca="1" si="11"/>
        <v>15</v>
      </c>
      <c r="B176" s="9" t="str">
        <f ca="1">OFFSET(ORÇAMENTO!C$15,ROW(B176)-ROW(B$15),0)</f>
        <v>S</v>
      </c>
      <c r="C176" s="9" t="str">
        <f ca="1">OFFSET(ORÇAMENTO!L$15,ROW(C176)-ROW(C$15),0)</f>
        <v/>
      </c>
      <c r="D176" s="141" t="str">
        <f ca="1">OFFSET(ORÇAMENTO!N$15,ROW(D176)-ROW(D$15),0)</f>
        <v>Serviço</v>
      </c>
      <c r="E176" s="201" t="str">
        <f ca="1">OFFSET(ORÇAMENTO!O$15,ROW(E176)-ROW(E$15),0)</f>
        <v>-</v>
      </c>
      <c r="F176" s="202" t="str">
        <f ca="1">OFFSET(ORÇAMENTO!R$15,ROW(F176)-ROW(F$15),0)</f>
        <v>(abra o arquivo 'Referência 11-2024.xlsm)</v>
      </c>
      <c r="G176" s="203" t="str">
        <f ca="1">IF($D176&lt;&gt;"Serviço","",OFFSET(ORÇAMENTO!S$15,ROW(G176)-ROW(G$15),0))</f>
        <v>-</v>
      </c>
      <c r="H176" s="147">
        <f ca="1">IF($D176&lt;&gt;"Serviço",0,IF(ACOMPANHAMENTO="BM",ROUND(OFFSET(ORÇAMENTO!AJ$15,ROW(H176)-ROW(H$15),0),15-13*ORÇAMENTO!$AF$7),SUMPRODUCT(($Q$12:$AA$12&lt;&gt;"")*ROUND($Q176:$AA176,15-13*ORÇAMENTO!$AF$7))))</f>
        <v>0</v>
      </c>
      <c r="I176" s="645"/>
      <c r="K176" s="204"/>
      <c r="L176" s="205" t="s">
        <v>255</v>
      </c>
      <c r="M176" s="206">
        <f ca="1">IF($D176&lt;&gt;"Serviço","",IF(AUTOEVENTO="manual",$A176,IF(ISERROR(MATCH($A176,$A$15:OFFSET($A176,-1,0),0)),MAX($M$15:OFFSET(M176,-1,0))+1,INDEX($M$15:OFFSET(M176,-1,0),MATCH($A176,$A$15:OFFSET($A176,-1,0),0)))))</f>
        <v>6</v>
      </c>
      <c r="N176" s="207" t="str">
        <f ca="1">IF($D176&lt;&gt;"Serviço","",IF(AUTOEVENTO="Manual",IF($A176=0,"&lt;-- defina o número do agrupador",OFFSET(EVENTOS!$D$14,$A176,0)),OFFSET($F$15,$A176,0)))</f>
        <v>DRENAGEM</v>
      </c>
      <c r="O176" s="208"/>
      <c r="Q176" s="208"/>
      <c r="R176" s="209"/>
      <c r="S176" s="209"/>
      <c r="T176" s="209"/>
      <c r="U176" s="209"/>
      <c r="V176" s="209"/>
      <c r="W176" s="209"/>
      <c r="X176" s="209"/>
      <c r="Y176" s="209"/>
      <c r="Z176" s="210"/>
      <c r="AB176" s="626">
        <f ca="1">IF(AND($D176="Serviço",AB$12&lt;&gt;0,$H176&gt;0,OR(AUTOEVENTO&lt;&gt;"manual",$M176&lt;&gt;1)),
IF(Import.TipoArredondamento&lt;&gt;"TransfereGOV",
ROUND(OFFSET($P176,0,AB$13),15-13*ORÇAMENTO!$AF$7)/$H176*OFFSET(ORÇAMENTO!$X$15,ROW(AB176)-ROW(AB$15),0),
ROUND(ROUND(OFFSET($P176,0,AB$13),15-13*ORÇAMENTO!$AF$7)*OFFSET(ORÇAMENTO!$W$15,ROW(AB176)-ROW(AB$15),0),15-13*ORÇAMENTO!$AF$11)),0)</f>
        <v>0</v>
      </c>
      <c r="AC176" s="627">
        <f ca="1">IF(AND($D176="Serviço",AC$12&lt;&gt;0,$H176&gt;0,OR(AUTOEVENTO&lt;&gt;"manual",$M176&lt;&gt;1)),
IF(Import.TipoArredondamento&lt;&gt;"TransfereGOV",
ROUND(OFFSET($P176,0,AC$13),15-13*ORÇAMENTO!$AF$7)/$H176*OFFSET(ORÇAMENTO!$X$15,ROW(AC176)-ROW(AC$15),0),
ROUND(ROUND(OFFSET($P176,0,AC$13),15-13*ORÇAMENTO!$AF$7)*OFFSET(ORÇAMENTO!$W$15,ROW(AC176)-ROW(AC$15),0),15-13*ORÇAMENTO!$AF$11)),0)</f>
        <v>0</v>
      </c>
      <c r="AD176" s="627">
        <f ca="1">IF(AND($D176="Serviço",AD$12&lt;&gt;0,$H176&gt;0,OR(AUTOEVENTO&lt;&gt;"manual",$M176&lt;&gt;1)),
IF(Import.TipoArredondamento&lt;&gt;"TransfereGOV",
ROUND(OFFSET($P176,0,AD$13),15-13*ORÇAMENTO!$AF$7)/$H176*OFFSET(ORÇAMENTO!$X$15,ROW(AD176)-ROW(AD$15),0),
ROUND(ROUND(OFFSET($P176,0,AD$13),15-13*ORÇAMENTO!$AF$7)*OFFSET(ORÇAMENTO!$W$15,ROW(AD176)-ROW(AD$15),0),15-13*ORÇAMENTO!$AF$11)),0)</f>
        <v>0</v>
      </c>
      <c r="AE176" s="627">
        <f ca="1">IF(AND($D176="Serviço",AE$12&lt;&gt;0,$H176&gt;0,OR(AUTOEVENTO&lt;&gt;"manual",$M176&lt;&gt;1)),
IF(Import.TipoArredondamento&lt;&gt;"TransfereGOV",
ROUND(OFFSET($P176,0,AE$13),15-13*ORÇAMENTO!$AF$7)/$H176*OFFSET(ORÇAMENTO!$X$15,ROW(AE176)-ROW(AE$15),0),
ROUND(ROUND(OFFSET($P176,0,AE$13),15-13*ORÇAMENTO!$AF$7)*OFFSET(ORÇAMENTO!$W$15,ROW(AE176)-ROW(AE$15),0),15-13*ORÇAMENTO!$AF$11)),0)</f>
        <v>0</v>
      </c>
      <c r="AF176" s="627">
        <f ca="1">IF(AND($D176="Serviço",AF$12&lt;&gt;0,$H176&gt;0,OR(AUTOEVENTO&lt;&gt;"manual",$M176&lt;&gt;1)),
IF(Import.TipoArredondamento&lt;&gt;"TransfereGOV",
ROUND(OFFSET($P176,0,AF$13),15-13*ORÇAMENTO!$AF$7)/$H176*OFFSET(ORÇAMENTO!$X$15,ROW(AF176)-ROW(AF$15),0),
ROUND(ROUND(OFFSET($P176,0,AF$13),15-13*ORÇAMENTO!$AF$7)*OFFSET(ORÇAMENTO!$W$15,ROW(AF176)-ROW(AF$15),0),15-13*ORÇAMENTO!$AF$11)),0)</f>
        <v>0</v>
      </c>
      <c r="AG176" s="627">
        <f ca="1">IF(AND($D176="Serviço",AG$12&lt;&gt;0,$H176&gt;0,OR(AUTOEVENTO&lt;&gt;"manual",$M176&lt;&gt;1)),
IF(Import.TipoArredondamento&lt;&gt;"TransfereGOV",
ROUND(OFFSET($P176,0,AG$13),15-13*ORÇAMENTO!$AF$7)/$H176*OFFSET(ORÇAMENTO!$X$15,ROW(AG176)-ROW(AG$15),0),
ROUND(ROUND(OFFSET($P176,0,AG$13),15-13*ORÇAMENTO!$AF$7)*OFFSET(ORÇAMENTO!$W$15,ROW(AG176)-ROW(AG$15),0),15-13*ORÇAMENTO!$AF$11)),0)</f>
        <v>0</v>
      </c>
      <c r="AH176" s="627">
        <f ca="1">IF(AND($D176="Serviço",AH$12&lt;&gt;0,$H176&gt;0,OR(AUTOEVENTO&lt;&gt;"manual",$M176&lt;&gt;1)),
IF(Import.TipoArredondamento&lt;&gt;"TransfereGOV",
ROUND(OFFSET($P176,0,AH$13),15-13*ORÇAMENTO!$AF$7)/$H176*OFFSET(ORÇAMENTO!$X$15,ROW(AH176)-ROW(AH$15),0),
ROUND(ROUND(OFFSET($P176,0,AH$13),15-13*ORÇAMENTO!$AF$7)*OFFSET(ORÇAMENTO!$W$15,ROW(AH176)-ROW(AH$15),0),15-13*ORÇAMENTO!$AF$11)),0)</f>
        <v>0</v>
      </c>
      <c r="AI176" s="627">
        <f ca="1">IF(AND($D176="Serviço",AI$12&lt;&gt;0,$H176&gt;0,OR(AUTOEVENTO&lt;&gt;"manual",$M176&lt;&gt;1)),
IF(Import.TipoArredondamento&lt;&gt;"TransfereGOV",
ROUND(OFFSET($P176,0,AI$13),15-13*ORÇAMENTO!$AF$7)/$H176*OFFSET(ORÇAMENTO!$X$15,ROW(AI176)-ROW(AI$15),0),
ROUND(ROUND(OFFSET($P176,0,AI$13),15-13*ORÇAMENTO!$AF$7)*OFFSET(ORÇAMENTO!$W$15,ROW(AI176)-ROW(AI$15),0),15-13*ORÇAMENTO!$AF$11)),0)</f>
        <v>0</v>
      </c>
      <c r="AJ176" s="627">
        <f ca="1">IF(AND($D176="Serviço",AJ$12&lt;&gt;0,$H176&gt;0,OR(AUTOEVENTO&lt;&gt;"manual",$M176&lt;&gt;1)),
IF(Import.TipoArredondamento&lt;&gt;"TransfereGOV",
ROUND(OFFSET($P176,0,AJ$13),15-13*ORÇAMENTO!$AF$7)/$H176*OFFSET(ORÇAMENTO!$X$15,ROW(AJ176)-ROW(AJ$15),0),
ROUND(ROUND(OFFSET($P176,0,AJ$13),15-13*ORÇAMENTO!$AF$7)*OFFSET(ORÇAMENTO!$W$15,ROW(AJ176)-ROW(AJ$15),0),15-13*ORÇAMENTO!$AF$11)),0)</f>
        <v>0</v>
      </c>
      <c r="AK176" s="628">
        <f ca="1">IF(AND($D176="Serviço",AK$12&lt;&gt;0,$H176&gt;0,OR(AUTOEVENTO&lt;&gt;"manual",$M176&lt;&gt;1)),
IF(Import.TipoArredondamento&lt;&gt;"TransfereGOV",
ROUND(OFFSET($P176,0,AK$13),15-13*ORÇAMENTO!$AF$7)/$H176*OFFSET(ORÇAMENTO!$X$15,ROW(AK176)-ROW(AK$15),0),
ROUND(ROUND(OFFSET($P176,0,AK$13),15-13*ORÇAMENTO!$AF$7)*OFFSET(ORÇAMENTO!$W$15,ROW(AK176)-ROW(AK$15),0),15-13*ORÇAMENTO!$AF$11)),0)</f>
        <v>0</v>
      </c>
      <c r="AM176" s="211">
        <f ca="1">IF($D176&lt;&gt;"Serviço",0,IF(AND(AUTOEVENTO="Manual",$M176=1),0,IF(OFFSET(CRONOPLE!$F$14,$M176,AM$13)="",10^12,OFFSET(CRONOPLE!$F$14,$M176,AM$13))))</f>
        <v>2</v>
      </c>
      <c r="AN176" s="211">
        <f ca="1">IF($D176&lt;&gt;"Serviço",0,IF(AND(AUTOEVENTO="Manual",$M176=1),0,IF(OFFSET(CRONOPLE!$F$14,$M176,AN$13)="",10^12,OFFSET(CRONOPLE!$F$14,$M176,AN$13))))</f>
        <v>1</v>
      </c>
      <c r="AO176" s="211">
        <f ca="1">IF($D176&lt;&gt;"Serviço",0,IF(AND(AUTOEVENTO="Manual",$M176=1),0,IF(OFFSET(CRONOPLE!$F$14,$M176,AO$13)="",10^12,OFFSET(CRONOPLE!$F$14,$M176,AO$13))))</f>
        <v>2</v>
      </c>
      <c r="AP176" s="211">
        <f ca="1">IF($D176&lt;&gt;"Serviço",0,IF(AND(AUTOEVENTO="Manual",$M176=1),0,IF(OFFSET(CRONOPLE!$F$14,$M176,AP$13)="",10^12,OFFSET(CRONOPLE!$F$14,$M176,AP$13))))</f>
        <v>2</v>
      </c>
      <c r="AQ176" s="211">
        <f ca="1">IF($D176&lt;&gt;"Serviço",0,IF(AND(AUTOEVENTO="Manual",$M176=1),0,IF(OFFSET(CRONOPLE!$F$14,$M176,AQ$13)="",10^12,OFFSET(CRONOPLE!$F$14,$M176,AQ$13))))</f>
        <v>1000000000000</v>
      </c>
      <c r="AR176" s="211">
        <f ca="1">IF($D176&lt;&gt;"Serviço",0,IF(AND(AUTOEVENTO="Manual",$M176=1),0,IF(OFFSET(CRONOPLE!$F$14,$M176,AR$13)="",10^12,OFFSET(CRONOPLE!$F$14,$M176,AR$13))))</f>
        <v>1000000000000</v>
      </c>
      <c r="AS176" s="211">
        <f ca="1">IF($D176&lt;&gt;"Serviço",0,IF(AND(AUTOEVENTO="Manual",$M176=1),0,IF(OFFSET(CRONOPLE!$F$14,$M176,AS$13)="",10^12,OFFSET(CRONOPLE!$F$14,$M176,AS$13))))</f>
        <v>1000000000000</v>
      </c>
      <c r="AT176" s="211">
        <f ca="1">IF($D176&lt;&gt;"Serviço",0,IF(AND(AUTOEVENTO="Manual",$M176=1),0,IF(OFFSET(CRONOPLE!$F$14,$M176,AT$13)="",10^12,OFFSET(CRONOPLE!$F$14,$M176,AT$13))))</f>
        <v>1000000000000</v>
      </c>
      <c r="AU176" s="211">
        <f ca="1">IF($D176&lt;&gt;"Serviço",0,IF(AND(AUTOEVENTO="Manual",$M176=1),0,IF(OFFSET(CRONOPLE!$F$14,$M176,AU$13)="",10^12,OFFSET(CRONOPLE!$F$14,$M176,AU$13))))</f>
        <v>1000000000000</v>
      </c>
      <c r="AV176" s="211">
        <f ca="1">IF($D176&lt;&gt;"Serviço",0,IF(AND(AUTOEVENTO="Manual",$M176=1),0,IF(OFFSET(CRONOPLE!$F$14,$M176,AV$13)="",10^12,OFFSET(CRONOPLE!$F$14,$M176,AV$13))))</f>
        <v>1000000000000</v>
      </c>
      <c r="AX176" s="212">
        <f ca="1">IF($D176&lt;&gt;"Serviço",0,IF(OR(AND(AUTOEVENTO="Manual",$M176=1),$M176&gt;(ROW(PLE.lastrow)-ROW(PLE.firstrow))),0,IF(OFFSET(PLE!$G$14,$M176,AX$13)="",10^12,OFFSET(PLE!$G$14,$M176,AX$13))))</f>
        <v>1000000000000</v>
      </c>
      <c r="AY176" s="212">
        <f ca="1">IF($D176&lt;&gt;"Serviço",0,IF(OR(AND(AUTOEVENTO="Manual",$M176=1),$M176&gt;(ROW(PLE.lastrow)-ROW(PLE.firstrow))),0,IF(OFFSET(PLE!$G$14,$M176,AY$13)="",10^12,OFFSET(PLE!$G$14,$M176,AY$13))))</f>
        <v>1000000000000</v>
      </c>
      <c r="AZ176" s="212">
        <f ca="1">IF($D176&lt;&gt;"Serviço",0,IF(OR(AND(AUTOEVENTO="Manual",$M176=1),$M176&gt;(ROW(PLE.lastrow)-ROW(PLE.firstrow))),0,IF(OFFSET(PLE!$G$14,$M176,AZ$13)="",10^12,OFFSET(PLE!$G$14,$M176,AZ$13))))</f>
        <v>1000000000000</v>
      </c>
      <c r="BA176" s="212">
        <f ca="1">IF($D176&lt;&gt;"Serviço",0,IF(OR(AND(AUTOEVENTO="Manual",$M176=1),$M176&gt;(ROW(PLE.lastrow)-ROW(PLE.firstrow))),0,IF(OFFSET(PLE!$G$14,$M176,BA$13)="",10^12,OFFSET(PLE!$G$14,$M176,BA$13))))</f>
        <v>1000000000000</v>
      </c>
      <c r="BB176" s="212">
        <f ca="1">IF($D176&lt;&gt;"Serviço",0,IF(OR(AND(AUTOEVENTO="Manual",$M176=1),$M176&gt;(ROW(PLE.lastrow)-ROW(PLE.firstrow))),0,IF(OFFSET(PLE!$G$14,$M176,BB$13)="",10^12,OFFSET(PLE!$G$14,$M176,BB$13))))</f>
        <v>1000000000000</v>
      </c>
      <c r="BC176" s="212">
        <f ca="1">IF($D176&lt;&gt;"Serviço",0,IF(OR(AND(AUTOEVENTO="Manual",$M176=1),$M176&gt;(ROW(PLE.lastrow)-ROW(PLE.firstrow))),0,IF(OFFSET(PLE!$G$14,$M176,BC$13)="",10^12,OFFSET(PLE!$G$14,$M176,BC$13))))</f>
        <v>1000000000000</v>
      </c>
      <c r="BD176" s="212">
        <f ca="1">IF($D176&lt;&gt;"Serviço",0,IF(OR(AND(AUTOEVENTO="Manual",$M176=1),$M176&gt;(ROW(PLE.lastrow)-ROW(PLE.firstrow))),0,IF(OFFSET(PLE!$G$14,$M176,BD$13)="",10^12,OFFSET(PLE!$G$14,$M176,BD$13))))</f>
        <v>1000000000000</v>
      </c>
      <c r="BE176" s="212">
        <f ca="1">IF($D176&lt;&gt;"Serviço",0,IF(OR(AND(AUTOEVENTO="Manual",$M176=1),$M176&gt;(ROW(PLE.lastrow)-ROW(PLE.firstrow))),0,IF(OFFSET(PLE!$G$14,$M176,BE$13)="",10^12,OFFSET(PLE!$G$14,$M176,BE$13))))</f>
        <v>1000000000000</v>
      </c>
      <c r="BF176" s="212">
        <f ca="1">IF($D176&lt;&gt;"Serviço",0,IF(OR(AND(AUTOEVENTO="Manual",$M176=1),$M176&gt;(ROW(PLE.lastrow)-ROW(PLE.firstrow))),0,IF(OFFSET(PLE!$G$14,$M176,BF$13)="",10^12,OFFSET(PLE!$G$14,$M176,BF$13))))</f>
        <v>1000000000000</v>
      </c>
      <c r="BG176" s="212">
        <f ca="1">IF($D176&lt;&gt;"Serviço",0,IF(OR(AND(AUTOEVENTO="Manual",$M176=1),$M176&gt;(ROW(PLE.lastrow)-ROW(PLE.firstrow))),0,IF(OFFSET(PLE!$G$14,$M176,BG$13)="",10^12,OFFSET(PLE!$G$14,$M176,BG$13))))</f>
        <v>1000000000000</v>
      </c>
    </row>
    <row r="177" spans="1:59" ht="13.2">
      <c r="A177" s="9" t="str">
        <f t="shared" ca="1" si="11"/>
        <v>15</v>
      </c>
      <c r="B177" s="9" t="str">
        <f ca="1">OFFSET(ORÇAMENTO!C$15,ROW(B177)-ROW(B$15),0)</f>
        <v>S</v>
      </c>
      <c r="C177" s="9" t="str">
        <f ca="1">OFFSET(ORÇAMENTO!L$15,ROW(C177)-ROW(C$15),0)</f>
        <v/>
      </c>
      <c r="D177" s="141" t="str">
        <f ca="1">OFFSET(ORÇAMENTO!N$15,ROW(D177)-ROW(D$15),0)</f>
        <v>Serviço</v>
      </c>
      <c r="E177" s="201" t="str">
        <f ca="1">OFFSET(ORÇAMENTO!O$15,ROW(E177)-ROW(E$15),0)</f>
        <v>-</v>
      </c>
      <c r="F177" s="202" t="str">
        <f ca="1">OFFSET(ORÇAMENTO!R$15,ROW(F177)-ROW(F$15),0)</f>
        <v>(abra o arquivo 'Referência 11-2024.xlsm)</v>
      </c>
      <c r="G177" s="203" t="str">
        <f ca="1">IF($D177&lt;&gt;"Serviço","",OFFSET(ORÇAMENTO!S$15,ROW(G177)-ROW(G$15),0))</f>
        <v>-</v>
      </c>
      <c r="H177" s="147">
        <f ca="1">IF($D177&lt;&gt;"Serviço",0,IF(ACOMPANHAMENTO="BM",ROUND(OFFSET(ORÇAMENTO!AJ$15,ROW(H177)-ROW(H$15),0),15-13*ORÇAMENTO!$AF$7),SUMPRODUCT(($Q$12:$AA$12&lt;&gt;"")*ROUND($Q177:$AA177,15-13*ORÇAMENTO!$AF$7))))</f>
        <v>0</v>
      </c>
      <c r="I177" s="645"/>
      <c r="K177" s="204"/>
      <c r="L177" s="205" t="s">
        <v>255</v>
      </c>
      <c r="M177" s="206">
        <f ca="1">IF($D177&lt;&gt;"Serviço","",IF(AUTOEVENTO="manual",$A177,IF(ISERROR(MATCH($A177,$A$15:OFFSET($A177,-1,0),0)),MAX($M$15:OFFSET(M177,-1,0))+1,INDEX($M$15:OFFSET(M177,-1,0),MATCH($A177,$A$15:OFFSET($A177,-1,0),0)))))</f>
        <v>6</v>
      </c>
      <c r="N177" s="207" t="str">
        <f ca="1">IF($D177&lt;&gt;"Serviço","",IF(AUTOEVENTO="Manual",IF($A177=0,"&lt;-- defina o número do agrupador",OFFSET(EVENTOS!$D$14,$A177,0)),OFFSET($F$15,$A177,0)))</f>
        <v>DRENAGEM</v>
      </c>
      <c r="O177" s="208"/>
      <c r="Q177" s="208"/>
      <c r="R177" s="209"/>
      <c r="S177" s="209"/>
      <c r="T177" s="209"/>
      <c r="U177" s="209"/>
      <c r="V177" s="209"/>
      <c r="W177" s="209"/>
      <c r="X177" s="209"/>
      <c r="Y177" s="209"/>
      <c r="Z177" s="210"/>
      <c r="AB177" s="626">
        <f ca="1">IF(AND($D177="Serviço",AB$12&lt;&gt;0,$H177&gt;0,OR(AUTOEVENTO&lt;&gt;"manual",$M177&lt;&gt;1)),
IF(Import.TipoArredondamento&lt;&gt;"TransfereGOV",
ROUND(OFFSET($P177,0,AB$13),15-13*ORÇAMENTO!$AF$7)/$H177*OFFSET(ORÇAMENTO!$X$15,ROW(AB177)-ROW(AB$15),0),
ROUND(ROUND(OFFSET($P177,0,AB$13),15-13*ORÇAMENTO!$AF$7)*OFFSET(ORÇAMENTO!$W$15,ROW(AB177)-ROW(AB$15),0),15-13*ORÇAMENTO!$AF$11)),0)</f>
        <v>0</v>
      </c>
      <c r="AC177" s="627">
        <f ca="1">IF(AND($D177="Serviço",AC$12&lt;&gt;0,$H177&gt;0,OR(AUTOEVENTO&lt;&gt;"manual",$M177&lt;&gt;1)),
IF(Import.TipoArredondamento&lt;&gt;"TransfereGOV",
ROUND(OFFSET($P177,0,AC$13),15-13*ORÇAMENTO!$AF$7)/$H177*OFFSET(ORÇAMENTO!$X$15,ROW(AC177)-ROW(AC$15),0),
ROUND(ROUND(OFFSET($P177,0,AC$13),15-13*ORÇAMENTO!$AF$7)*OFFSET(ORÇAMENTO!$W$15,ROW(AC177)-ROW(AC$15),0),15-13*ORÇAMENTO!$AF$11)),0)</f>
        <v>0</v>
      </c>
      <c r="AD177" s="627">
        <f ca="1">IF(AND($D177="Serviço",AD$12&lt;&gt;0,$H177&gt;0,OR(AUTOEVENTO&lt;&gt;"manual",$M177&lt;&gt;1)),
IF(Import.TipoArredondamento&lt;&gt;"TransfereGOV",
ROUND(OFFSET($P177,0,AD$13),15-13*ORÇAMENTO!$AF$7)/$H177*OFFSET(ORÇAMENTO!$X$15,ROW(AD177)-ROW(AD$15),0),
ROUND(ROUND(OFFSET($P177,0,AD$13),15-13*ORÇAMENTO!$AF$7)*OFFSET(ORÇAMENTO!$W$15,ROW(AD177)-ROW(AD$15),0),15-13*ORÇAMENTO!$AF$11)),0)</f>
        <v>0</v>
      </c>
      <c r="AE177" s="627">
        <f ca="1">IF(AND($D177="Serviço",AE$12&lt;&gt;0,$H177&gt;0,OR(AUTOEVENTO&lt;&gt;"manual",$M177&lt;&gt;1)),
IF(Import.TipoArredondamento&lt;&gt;"TransfereGOV",
ROUND(OFFSET($P177,0,AE$13),15-13*ORÇAMENTO!$AF$7)/$H177*OFFSET(ORÇAMENTO!$X$15,ROW(AE177)-ROW(AE$15),0),
ROUND(ROUND(OFFSET($P177,0,AE$13),15-13*ORÇAMENTO!$AF$7)*OFFSET(ORÇAMENTO!$W$15,ROW(AE177)-ROW(AE$15),0),15-13*ORÇAMENTO!$AF$11)),0)</f>
        <v>0</v>
      </c>
      <c r="AF177" s="627">
        <f ca="1">IF(AND($D177="Serviço",AF$12&lt;&gt;0,$H177&gt;0,OR(AUTOEVENTO&lt;&gt;"manual",$M177&lt;&gt;1)),
IF(Import.TipoArredondamento&lt;&gt;"TransfereGOV",
ROUND(OFFSET($P177,0,AF$13),15-13*ORÇAMENTO!$AF$7)/$H177*OFFSET(ORÇAMENTO!$X$15,ROW(AF177)-ROW(AF$15),0),
ROUND(ROUND(OFFSET($P177,0,AF$13),15-13*ORÇAMENTO!$AF$7)*OFFSET(ORÇAMENTO!$W$15,ROW(AF177)-ROW(AF$15),0),15-13*ORÇAMENTO!$AF$11)),0)</f>
        <v>0</v>
      </c>
      <c r="AG177" s="627">
        <f ca="1">IF(AND($D177="Serviço",AG$12&lt;&gt;0,$H177&gt;0,OR(AUTOEVENTO&lt;&gt;"manual",$M177&lt;&gt;1)),
IF(Import.TipoArredondamento&lt;&gt;"TransfereGOV",
ROUND(OFFSET($P177,0,AG$13),15-13*ORÇAMENTO!$AF$7)/$H177*OFFSET(ORÇAMENTO!$X$15,ROW(AG177)-ROW(AG$15),0),
ROUND(ROUND(OFFSET($P177,0,AG$13),15-13*ORÇAMENTO!$AF$7)*OFFSET(ORÇAMENTO!$W$15,ROW(AG177)-ROW(AG$15),0),15-13*ORÇAMENTO!$AF$11)),0)</f>
        <v>0</v>
      </c>
      <c r="AH177" s="627">
        <f ca="1">IF(AND($D177="Serviço",AH$12&lt;&gt;0,$H177&gt;0,OR(AUTOEVENTO&lt;&gt;"manual",$M177&lt;&gt;1)),
IF(Import.TipoArredondamento&lt;&gt;"TransfereGOV",
ROUND(OFFSET($P177,0,AH$13),15-13*ORÇAMENTO!$AF$7)/$H177*OFFSET(ORÇAMENTO!$X$15,ROW(AH177)-ROW(AH$15),0),
ROUND(ROUND(OFFSET($P177,0,AH$13),15-13*ORÇAMENTO!$AF$7)*OFFSET(ORÇAMENTO!$W$15,ROW(AH177)-ROW(AH$15),0),15-13*ORÇAMENTO!$AF$11)),0)</f>
        <v>0</v>
      </c>
      <c r="AI177" s="627">
        <f ca="1">IF(AND($D177="Serviço",AI$12&lt;&gt;0,$H177&gt;0,OR(AUTOEVENTO&lt;&gt;"manual",$M177&lt;&gt;1)),
IF(Import.TipoArredondamento&lt;&gt;"TransfereGOV",
ROUND(OFFSET($P177,0,AI$13),15-13*ORÇAMENTO!$AF$7)/$H177*OFFSET(ORÇAMENTO!$X$15,ROW(AI177)-ROW(AI$15),0),
ROUND(ROUND(OFFSET($P177,0,AI$13),15-13*ORÇAMENTO!$AF$7)*OFFSET(ORÇAMENTO!$W$15,ROW(AI177)-ROW(AI$15),0),15-13*ORÇAMENTO!$AF$11)),0)</f>
        <v>0</v>
      </c>
      <c r="AJ177" s="627">
        <f ca="1">IF(AND($D177="Serviço",AJ$12&lt;&gt;0,$H177&gt;0,OR(AUTOEVENTO&lt;&gt;"manual",$M177&lt;&gt;1)),
IF(Import.TipoArredondamento&lt;&gt;"TransfereGOV",
ROUND(OFFSET($P177,0,AJ$13),15-13*ORÇAMENTO!$AF$7)/$H177*OFFSET(ORÇAMENTO!$X$15,ROW(AJ177)-ROW(AJ$15),0),
ROUND(ROUND(OFFSET($P177,0,AJ$13),15-13*ORÇAMENTO!$AF$7)*OFFSET(ORÇAMENTO!$W$15,ROW(AJ177)-ROW(AJ$15),0),15-13*ORÇAMENTO!$AF$11)),0)</f>
        <v>0</v>
      </c>
      <c r="AK177" s="628">
        <f ca="1">IF(AND($D177="Serviço",AK$12&lt;&gt;0,$H177&gt;0,OR(AUTOEVENTO&lt;&gt;"manual",$M177&lt;&gt;1)),
IF(Import.TipoArredondamento&lt;&gt;"TransfereGOV",
ROUND(OFFSET($P177,0,AK$13),15-13*ORÇAMENTO!$AF$7)/$H177*OFFSET(ORÇAMENTO!$X$15,ROW(AK177)-ROW(AK$15),0),
ROUND(ROUND(OFFSET($P177,0,AK$13),15-13*ORÇAMENTO!$AF$7)*OFFSET(ORÇAMENTO!$W$15,ROW(AK177)-ROW(AK$15),0),15-13*ORÇAMENTO!$AF$11)),0)</f>
        <v>0</v>
      </c>
      <c r="AM177" s="211">
        <f ca="1">IF($D177&lt;&gt;"Serviço",0,IF(AND(AUTOEVENTO="Manual",$M177=1),0,IF(OFFSET(CRONOPLE!$F$14,$M177,AM$13)="",10^12,OFFSET(CRONOPLE!$F$14,$M177,AM$13))))</f>
        <v>2</v>
      </c>
      <c r="AN177" s="211">
        <f ca="1">IF($D177&lt;&gt;"Serviço",0,IF(AND(AUTOEVENTO="Manual",$M177=1),0,IF(OFFSET(CRONOPLE!$F$14,$M177,AN$13)="",10^12,OFFSET(CRONOPLE!$F$14,$M177,AN$13))))</f>
        <v>1</v>
      </c>
      <c r="AO177" s="211">
        <f ca="1">IF($D177&lt;&gt;"Serviço",0,IF(AND(AUTOEVENTO="Manual",$M177=1),0,IF(OFFSET(CRONOPLE!$F$14,$M177,AO$13)="",10^12,OFFSET(CRONOPLE!$F$14,$M177,AO$13))))</f>
        <v>2</v>
      </c>
      <c r="AP177" s="211">
        <f ca="1">IF($D177&lt;&gt;"Serviço",0,IF(AND(AUTOEVENTO="Manual",$M177=1),0,IF(OFFSET(CRONOPLE!$F$14,$M177,AP$13)="",10^12,OFFSET(CRONOPLE!$F$14,$M177,AP$13))))</f>
        <v>2</v>
      </c>
      <c r="AQ177" s="211">
        <f ca="1">IF($D177&lt;&gt;"Serviço",0,IF(AND(AUTOEVENTO="Manual",$M177=1),0,IF(OFFSET(CRONOPLE!$F$14,$M177,AQ$13)="",10^12,OFFSET(CRONOPLE!$F$14,$M177,AQ$13))))</f>
        <v>1000000000000</v>
      </c>
      <c r="AR177" s="211">
        <f ca="1">IF($D177&lt;&gt;"Serviço",0,IF(AND(AUTOEVENTO="Manual",$M177=1),0,IF(OFFSET(CRONOPLE!$F$14,$M177,AR$13)="",10^12,OFFSET(CRONOPLE!$F$14,$M177,AR$13))))</f>
        <v>1000000000000</v>
      </c>
      <c r="AS177" s="211">
        <f ca="1">IF($D177&lt;&gt;"Serviço",0,IF(AND(AUTOEVENTO="Manual",$M177=1),0,IF(OFFSET(CRONOPLE!$F$14,$M177,AS$13)="",10^12,OFFSET(CRONOPLE!$F$14,$M177,AS$13))))</f>
        <v>1000000000000</v>
      </c>
      <c r="AT177" s="211">
        <f ca="1">IF($D177&lt;&gt;"Serviço",0,IF(AND(AUTOEVENTO="Manual",$M177=1),0,IF(OFFSET(CRONOPLE!$F$14,$M177,AT$13)="",10^12,OFFSET(CRONOPLE!$F$14,$M177,AT$13))))</f>
        <v>1000000000000</v>
      </c>
      <c r="AU177" s="211">
        <f ca="1">IF($D177&lt;&gt;"Serviço",0,IF(AND(AUTOEVENTO="Manual",$M177=1),0,IF(OFFSET(CRONOPLE!$F$14,$M177,AU$13)="",10^12,OFFSET(CRONOPLE!$F$14,$M177,AU$13))))</f>
        <v>1000000000000</v>
      </c>
      <c r="AV177" s="211">
        <f ca="1">IF($D177&lt;&gt;"Serviço",0,IF(AND(AUTOEVENTO="Manual",$M177=1),0,IF(OFFSET(CRONOPLE!$F$14,$M177,AV$13)="",10^12,OFFSET(CRONOPLE!$F$14,$M177,AV$13))))</f>
        <v>1000000000000</v>
      </c>
      <c r="AX177" s="212">
        <f ca="1">IF($D177&lt;&gt;"Serviço",0,IF(OR(AND(AUTOEVENTO="Manual",$M177=1),$M177&gt;(ROW(PLE.lastrow)-ROW(PLE.firstrow))),0,IF(OFFSET(PLE!$G$14,$M177,AX$13)="",10^12,OFFSET(PLE!$G$14,$M177,AX$13))))</f>
        <v>1000000000000</v>
      </c>
      <c r="AY177" s="212">
        <f ca="1">IF($D177&lt;&gt;"Serviço",0,IF(OR(AND(AUTOEVENTO="Manual",$M177=1),$M177&gt;(ROW(PLE.lastrow)-ROW(PLE.firstrow))),0,IF(OFFSET(PLE!$G$14,$M177,AY$13)="",10^12,OFFSET(PLE!$G$14,$M177,AY$13))))</f>
        <v>1000000000000</v>
      </c>
      <c r="AZ177" s="212">
        <f ca="1">IF($D177&lt;&gt;"Serviço",0,IF(OR(AND(AUTOEVENTO="Manual",$M177=1),$M177&gt;(ROW(PLE.lastrow)-ROW(PLE.firstrow))),0,IF(OFFSET(PLE!$G$14,$M177,AZ$13)="",10^12,OFFSET(PLE!$G$14,$M177,AZ$13))))</f>
        <v>1000000000000</v>
      </c>
      <c r="BA177" s="212">
        <f ca="1">IF($D177&lt;&gt;"Serviço",0,IF(OR(AND(AUTOEVENTO="Manual",$M177=1),$M177&gt;(ROW(PLE.lastrow)-ROW(PLE.firstrow))),0,IF(OFFSET(PLE!$G$14,$M177,BA$13)="",10^12,OFFSET(PLE!$G$14,$M177,BA$13))))</f>
        <v>1000000000000</v>
      </c>
      <c r="BB177" s="212">
        <f ca="1">IF($D177&lt;&gt;"Serviço",0,IF(OR(AND(AUTOEVENTO="Manual",$M177=1),$M177&gt;(ROW(PLE.lastrow)-ROW(PLE.firstrow))),0,IF(OFFSET(PLE!$G$14,$M177,BB$13)="",10^12,OFFSET(PLE!$G$14,$M177,BB$13))))</f>
        <v>1000000000000</v>
      </c>
      <c r="BC177" s="212">
        <f ca="1">IF($D177&lt;&gt;"Serviço",0,IF(OR(AND(AUTOEVENTO="Manual",$M177=1),$M177&gt;(ROW(PLE.lastrow)-ROW(PLE.firstrow))),0,IF(OFFSET(PLE!$G$14,$M177,BC$13)="",10^12,OFFSET(PLE!$G$14,$M177,BC$13))))</f>
        <v>1000000000000</v>
      </c>
      <c r="BD177" s="212">
        <f ca="1">IF($D177&lt;&gt;"Serviço",0,IF(OR(AND(AUTOEVENTO="Manual",$M177=1),$M177&gt;(ROW(PLE.lastrow)-ROW(PLE.firstrow))),0,IF(OFFSET(PLE!$G$14,$M177,BD$13)="",10^12,OFFSET(PLE!$G$14,$M177,BD$13))))</f>
        <v>1000000000000</v>
      </c>
      <c r="BE177" s="212">
        <f ca="1">IF($D177&lt;&gt;"Serviço",0,IF(OR(AND(AUTOEVENTO="Manual",$M177=1),$M177&gt;(ROW(PLE.lastrow)-ROW(PLE.firstrow))),0,IF(OFFSET(PLE!$G$14,$M177,BE$13)="",10^12,OFFSET(PLE!$G$14,$M177,BE$13))))</f>
        <v>1000000000000</v>
      </c>
      <c r="BF177" s="212">
        <f ca="1">IF($D177&lt;&gt;"Serviço",0,IF(OR(AND(AUTOEVENTO="Manual",$M177=1),$M177&gt;(ROW(PLE.lastrow)-ROW(PLE.firstrow))),0,IF(OFFSET(PLE!$G$14,$M177,BF$13)="",10^12,OFFSET(PLE!$G$14,$M177,BF$13))))</f>
        <v>1000000000000</v>
      </c>
      <c r="BG177" s="212">
        <f ca="1">IF($D177&lt;&gt;"Serviço",0,IF(OR(AND(AUTOEVENTO="Manual",$M177=1),$M177&gt;(ROW(PLE.lastrow)-ROW(PLE.firstrow))),0,IF(OFFSET(PLE!$G$14,$M177,BG$13)="",10^12,OFFSET(PLE!$G$14,$M177,BG$13))))</f>
        <v>1000000000000</v>
      </c>
    </row>
    <row r="178" spans="1:59" ht="13.2">
      <c r="A178" s="9" t="str">
        <f t="shared" ca="1" si="11"/>
        <v>15</v>
      </c>
      <c r="B178" s="9" t="str">
        <f ca="1">OFFSET(ORÇAMENTO!C$15,ROW(B178)-ROW(B$15),0)</f>
        <v>S</v>
      </c>
      <c r="C178" s="9" t="str">
        <f ca="1">OFFSET(ORÇAMENTO!L$15,ROW(C178)-ROW(C$15),0)</f>
        <v/>
      </c>
      <c r="D178" s="141" t="str">
        <f ca="1">OFFSET(ORÇAMENTO!N$15,ROW(D178)-ROW(D$15),0)</f>
        <v>Serviço</v>
      </c>
      <c r="E178" s="201" t="str">
        <f ca="1">OFFSET(ORÇAMENTO!O$15,ROW(E178)-ROW(E$15),0)</f>
        <v>-</v>
      </c>
      <c r="F178" s="202" t="str">
        <f ca="1">OFFSET(ORÇAMENTO!R$15,ROW(F178)-ROW(F$15),0)</f>
        <v>(abra o arquivo 'Referência 11-2024.xlsm)</v>
      </c>
      <c r="G178" s="203" t="str">
        <f ca="1">IF($D178&lt;&gt;"Serviço","",OFFSET(ORÇAMENTO!S$15,ROW(G178)-ROW(G$15),0))</f>
        <v>-</v>
      </c>
      <c r="H178" s="147">
        <f ca="1">IF($D178&lt;&gt;"Serviço",0,IF(ACOMPANHAMENTO="BM",ROUND(OFFSET(ORÇAMENTO!AJ$15,ROW(H178)-ROW(H$15),0),15-13*ORÇAMENTO!$AF$7),SUMPRODUCT(($Q$12:$AA$12&lt;&gt;"")*ROUND($Q178:$AA178,15-13*ORÇAMENTO!$AF$7))))</f>
        <v>0</v>
      </c>
      <c r="I178" s="645"/>
      <c r="K178" s="204"/>
      <c r="L178" s="205" t="s">
        <v>255</v>
      </c>
      <c r="M178" s="206">
        <f ca="1">IF($D178&lt;&gt;"Serviço","",IF(AUTOEVENTO="manual",$A178,IF(ISERROR(MATCH($A178,$A$15:OFFSET($A178,-1,0),0)),MAX($M$15:OFFSET(M178,-1,0))+1,INDEX($M$15:OFFSET(M178,-1,0),MATCH($A178,$A$15:OFFSET($A178,-1,0),0)))))</f>
        <v>6</v>
      </c>
      <c r="N178" s="207" t="str">
        <f ca="1">IF($D178&lt;&gt;"Serviço","",IF(AUTOEVENTO="Manual",IF($A178=0,"&lt;-- defina o número do agrupador",OFFSET(EVENTOS!$D$14,$A178,0)),OFFSET($F$15,$A178,0)))</f>
        <v>DRENAGEM</v>
      </c>
      <c r="O178" s="208"/>
      <c r="Q178" s="208"/>
      <c r="R178" s="209"/>
      <c r="S178" s="209"/>
      <c r="T178" s="209"/>
      <c r="U178" s="209"/>
      <c r="V178" s="209"/>
      <c r="W178" s="209"/>
      <c r="X178" s="209"/>
      <c r="Y178" s="209"/>
      <c r="Z178" s="210"/>
      <c r="AB178" s="626">
        <f ca="1">IF(AND($D178="Serviço",AB$12&lt;&gt;0,$H178&gt;0,OR(AUTOEVENTO&lt;&gt;"manual",$M178&lt;&gt;1)),
IF(Import.TipoArredondamento&lt;&gt;"TransfereGOV",
ROUND(OFFSET($P178,0,AB$13),15-13*ORÇAMENTO!$AF$7)/$H178*OFFSET(ORÇAMENTO!$X$15,ROW(AB178)-ROW(AB$15),0),
ROUND(ROUND(OFFSET($P178,0,AB$13),15-13*ORÇAMENTO!$AF$7)*OFFSET(ORÇAMENTO!$W$15,ROW(AB178)-ROW(AB$15),0),15-13*ORÇAMENTO!$AF$11)),0)</f>
        <v>0</v>
      </c>
      <c r="AC178" s="627">
        <f ca="1">IF(AND($D178="Serviço",AC$12&lt;&gt;0,$H178&gt;0,OR(AUTOEVENTO&lt;&gt;"manual",$M178&lt;&gt;1)),
IF(Import.TipoArredondamento&lt;&gt;"TransfereGOV",
ROUND(OFFSET($P178,0,AC$13),15-13*ORÇAMENTO!$AF$7)/$H178*OFFSET(ORÇAMENTO!$X$15,ROW(AC178)-ROW(AC$15),0),
ROUND(ROUND(OFFSET($P178,0,AC$13),15-13*ORÇAMENTO!$AF$7)*OFFSET(ORÇAMENTO!$W$15,ROW(AC178)-ROW(AC$15),0),15-13*ORÇAMENTO!$AF$11)),0)</f>
        <v>0</v>
      </c>
      <c r="AD178" s="627">
        <f ca="1">IF(AND($D178="Serviço",AD$12&lt;&gt;0,$H178&gt;0,OR(AUTOEVENTO&lt;&gt;"manual",$M178&lt;&gt;1)),
IF(Import.TipoArredondamento&lt;&gt;"TransfereGOV",
ROUND(OFFSET($P178,0,AD$13),15-13*ORÇAMENTO!$AF$7)/$H178*OFFSET(ORÇAMENTO!$X$15,ROW(AD178)-ROW(AD$15),0),
ROUND(ROUND(OFFSET($P178,0,AD$13),15-13*ORÇAMENTO!$AF$7)*OFFSET(ORÇAMENTO!$W$15,ROW(AD178)-ROW(AD$15),0),15-13*ORÇAMENTO!$AF$11)),0)</f>
        <v>0</v>
      </c>
      <c r="AE178" s="627">
        <f ca="1">IF(AND($D178="Serviço",AE$12&lt;&gt;0,$H178&gt;0,OR(AUTOEVENTO&lt;&gt;"manual",$M178&lt;&gt;1)),
IF(Import.TipoArredondamento&lt;&gt;"TransfereGOV",
ROUND(OFFSET($P178,0,AE$13),15-13*ORÇAMENTO!$AF$7)/$H178*OFFSET(ORÇAMENTO!$X$15,ROW(AE178)-ROW(AE$15),0),
ROUND(ROUND(OFFSET($P178,0,AE$13),15-13*ORÇAMENTO!$AF$7)*OFFSET(ORÇAMENTO!$W$15,ROW(AE178)-ROW(AE$15),0),15-13*ORÇAMENTO!$AF$11)),0)</f>
        <v>0</v>
      </c>
      <c r="AF178" s="627">
        <f ca="1">IF(AND($D178="Serviço",AF$12&lt;&gt;0,$H178&gt;0,OR(AUTOEVENTO&lt;&gt;"manual",$M178&lt;&gt;1)),
IF(Import.TipoArredondamento&lt;&gt;"TransfereGOV",
ROUND(OFFSET($P178,0,AF$13),15-13*ORÇAMENTO!$AF$7)/$H178*OFFSET(ORÇAMENTO!$X$15,ROW(AF178)-ROW(AF$15),0),
ROUND(ROUND(OFFSET($P178,0,AF$13),15-13*ORÇAMENTO!$AF$7)*OFFSET(ORÇAMENTO!$W$15,ROW(AF178)-ROW(AF$15),0),15-13*ORÇAMENTO!$AF$11)),0)</f>
        <v>0</v>
      </c>
      <c r="AG178" s="627">
        <f ca="1">IF(AND($D178="Serviço",AG$12&lt;&gt;0,$H178&gt;0,OR(AUTOEVENTO&lt;&gt;"manual",$M178&lt;&gt;1)),
IF(Import.TipoArredondamento&lt;&gt;"TransfereGOV",
ROUND(OFFSET($P178,0,AG$13),15-13*ORÇAMENTO!$AF$7)/$H178*OFFSET(ORÇAMENTO!$X$15,ROW(AG178)-ROW(AG$15),0),
ROUND(ROUND(OFFSET($P178,0,AG$13),15-13*ORÇAMENTO!$AF$7)*OFFSET(ORÇAMENTO!$W$15,ROW(AG178)-ROW(AG$15),0),15-13*ORÇAMENTO!$AF$11)),0)</f>
        <v>0</v>
      </c>
      <c r="AH178" s="627">
        <f ca="1">IF(AND($D178="Serviço",AH$12&lt;&gt;0,$H178&gt;0,OR(AUTOEVENTO&lt;&gt;"manual",$M178&lt;&gt;1)),
IF(Import.TipoArredondamento&lt;&gt;"TransfereGOV",
ROUND(OFFSET($P178,0,AH$13),15-13*ORÇAMENTO!$AF$7)/$H178*OFFSET(ORÇAMENTO!$X$15,ROW(AH178)-ROW(AH$15),0),
ROUND(ROUND(OFFSET($P178,0,AH$13),15-13*ORÇAMENTO!$AF$7)*OFFSET(ORÇAMENTO!$W$15,ROW(AH178)-ROW(AH$15),0),15-13*ORÇAMENTO!$AF$11)),0)</f>
        <v>0</v>
      </c>
      <c r="AI178" s="627">
        <f ca="1">IF(AND($D178="Serviço",AI$12&lt;&gt;0,$H178&gt;0,OR(AUTOEVENTO&lt;&gt;"manual",$M178&lt;&gt;1)),
IF(Import.TipoArredondamento&lt;&gt;"TransfereGOV",
ROUND(OFFSET($P178,0,AI$13),15-13*ORÇAMENTO!$AF$7)/$H178*OFFSET(ORÇAMENTO!$X$15,ROW(AI178)-ROW(AI$15),0),
ROUND(ROUND(OFFSET($P178,0,AI$13),15-13*ORÇAMENTO!$AF$7)*OFFSET(ORÇAMENTO!$W$15,ROW(AI178)-ROW(AI$15),0),15-13*ORÇAMENTO!$AF$11)),0)</f>
        <v>0</v>
      </c>
      <c r="AJ178" s="627">
        <f ca="1">IF(AND($D178="Serviço",AJ$12&lt;&gt;0,$H178&gt;0,OR(AUTOEVENTO&lt;&gt;"manual",$M178&lt;&gt;1)),
IF(Import.TipoArredondamento&lt;&gt;"TransfereGOV",
ROUND(OFFSET($P178,0,AJ$13),15-13*ORÇAMENTO!$AF$7)/$H178*OFFSET(ORÇAMENTO!$X$15,ROW(AJ178)-ROW(AJ$15),0),
ROUND(ROUND(OFFSET($P178,0,AJ$13),15-13*ORÇAMENTO!$AF$7)*OFFSET(ORÇAMENTO!$W$15,ROW(AJ178)-ROW(AJ$15),0),15-13*ORÇAMENTO!$AF$11)),0)</f>
        <v>0</v>
      </c>
      <c r="AK178" s="628">
        <f ca="1">IF(AND($D178="Serviço",AK$12&lt;&gt;0,$H178&gt;0,OR(AUTOEVENTO&lt;&gt;"manual",$M178&lt;&gt;1)),
IF(Import.TipoArredondamento&lt;&gt;"TransfereGOV",
ROUND(OFFSET($P178,0,AK$13),15-13*ORÇAMENTO!$AF$7)/$H178*OFFSET(ORÇAMENTO!$X$15,ROW(AK178)-ROW(AK$15),0),
ROUND(ROUND(OFFSET($P178,0,AK$13),15-13*ORÇAMENTO!$AF$7)*OFFSET(ORÇAMENTO!$W$15,ROW(AK178)-ROW(AK$15),0),15-13*ORÇAMENTO!$AF$11)),0)</f>
        <v>0</v>
      </c>
      <c r="AM178" s="211">
        <f ca="1">IF($D178&lt;&gt;"Serviço",0,IF(AND(AUTOEVENTO="Manual",$M178=1),0,IF(OFFSET(CRONOPLE!$F$14,$M178,AM$13)="",10^12,OFFSET(CRONOPLE!$F$14,$M178,AM$13))))</f>
        <v>2</v>
      </c>
      <c r="AN178" s="211">
        <f ca="1">IF($D178&lt;&gt;"Serviço",0,IF(AND(AUTOEVENTO="Manual",$M178=1),0,IF(OFFSET(CRONOPLE!$F$14,$M178,AN$13)="",10^12,OFFSET(CRONOPLE!$F$14,$M178,AN$13))))</f>
        <v>1</v>
      </c>
      <c r="AO178" s="211">
        <f ca="1">IF($D178&lt;&gt;"Serviço",0,IF(AND(AUTOEVENTO="Manual",$M178=1),0,IF(OFFSET(CRONOPLE!$F$14,$M178,AO$13)="",10^12,OFFSET(CRONOPLE!$F$14,$M178,AO$13))))</f>
        <v>2</v>
      </c>
      <c r="AP178" s="211">
        <f ca="1">IF($D178&lt;&gt;"Serviço",0,IF(AND(AUTOEVENTO="Manual",$M178=1),0,IF(OFFSET(CRONOPLE!$F$14,$M178,AP$13)="",10^12,OFFSET(CRONOPLE!$F$14,$M178,AP$13))))</f>
        <v>2</v>
      </c>
      <c r="AQ178" s="211">
        <f ca="1">IF($D178&lt;&gt;"Serviço",0,IF(AND(AUTOEVENTO="Manual",$M178=1),0,IF(OFFSET(CRONOPLE!$F$14,$M178,AQ$13)="",10^12,OFFSET(CRONOPLE!$F$14,$M178,AQ$13))))</f>
        <v>1000000000000</v>
      </c>
      <c r="AR178" s="211">
        <f ca="1">IF($D178&lt;&gt;"Serviço",0,IF(AND(AUTOEVENTO="Manual",$M178=1),0,IF(OFFSET(CRONOPLE!$F$14,$M178,AR$13)="",10^12,OFFSET(CRONOPLE!$F$14,$M178,AR$13))))</f>
        <v>1000000000000</v>
      </c>
      <c r="AS178" s="211">
        <f ca="1">IF($D178&lt;&gt;"Serviço",0,IF(AND(AUTOEVENTO="Manual",$M178=1),0,IF(OFFSET(CRONOPLE!$F$14,$M178,AS$13)="",10^12,OFFSET(CRONOPLE!$F$14,$M178,AS$13))))</f>
        <v>1000000000000</v>
      </c>
      <c r="AT178" s="211">
        <f ca="1">IF($D178&lt;&gt;"Serviço",0,IF(AND(AUTOEVENTO="Manual",$M178=1),0,IF(OFFSET(CRONOPLE!$F$14,$M178,AT$13)="",10^12,OFFSET(CRONOPLE!$F$14,$M178,AT$13))))</f>
        <v>1000000000000</v>
      </c>
      <c r="AU178" s="211">
        <f ca="1">IF($D178&lt;&gt;"Serviço",0,IF(AND(AUTOEVENTO="Manual",$M178=1),0,IF(OFFSET(CRONOPLE!$F$14,$M178,AU$13)="",10^12,OFFSET(CRONOPLE!$F$14,$M178,AU$13))))</f>
        <v>1000000000000</v>
      </c>
      <c r="AV178" s="211">
        <f ca="1">IF($D178&lt;&gt;"Serviço",0,IF(AND(AUTOEVENTO="Manual",$M178=1),0,IF(OFFSET(CRONOPLE!$F$14,$M178,AV$13)="",10^12,OFFSET(CRONOPLE!$F$14,$M178,AV$13))))</f>
        <v>1000000000000</v>
      </c>
      <c r="AX178" s="212">
        <f ca="1">IF($D178&lt;&gt;"Serviço",0,IF(OR(AND(AUTOEVENTO="Manual",$M178=1),$M178&gt;(ROW(PLE.lastrow)-ROW(PLE.firstrow))),0,IF(OFFSET(PLE!$G$14,$M178,AX$13)="",10^12,OFFSET(PLE!$G$14,$M178,AX$13))))</f>
        <v>1000000000000</v>
      </c>
      <c r="AY178" s="212">
        <f ca="1">IF($D178&lt;&gt;"Serviço",0,IF(OR(AND(AUTOEVENTO="Manual",$M178=1),$M178&gt;(ROW(PLE.lastrow)-ROW(PLE.firstrow))),0,IF(OFFSET(PLE!$G$14,$M178,AY$13)="",10^12,OFFSET(PLE!$G$14,$M178,AY$13))))</f>
        <v>1000000000000</v>
      </c>
      <c r="AZ178" s="212">
        <f ca="1">IF($D178&lt;&gt;"Serviço",0,IF(OR(AND(AUTOEVENTO="Manual",$M178=1),$M178&gt;(ROW(PLE.lastrow)-ROW(PLE.firstrow))),0,IF(OFFSET(PLE!$G$14,$M178,AZ$13)="",10^12,OFFSET(PLE!$G$14,$M178,AZ$13))))</f>
        <v>1000000000000</v>
      </c>
      <c r="BA178" s="212">
        <f ca="1">IF($D178&lt;&gt;"Serviço",0,IF(OR(AND(AUTOEVENTO="Manual",$M178=1),$M178&gt;(ROW(PLE.lastrow)-ROW(PLE.firstrow))),0,IF(OFFSET(PLE!$G$14,$M178,BA$13)="",10^12,OFFSET(PLE!$G$14,$M178,BA$13))))</f>
        <v>1000000000000</v>
      </c>
      <c r="BB178" s="212">
        <f ca="1">IF($D178&lt;&gt;"Serviço",0,IF(OR(AND(AUTOEVENTO="Manual",$M178=1),$M178&gt;(ROW(PLE.lastrow)-ROW(PLE.firstrow))),0,IF(OFFSET(PLE!$G$14,$M178,BB$13)="",10^12,OFFSET(PLE!$G$14,$M178,BB$13))))</f>
        <v>1000000000000</v>
      </c>
      <c r="BC178" s="212">
        <f ca="1">IF($D178&lt;&gt;"Serviço",0,IF(OR(AND(AUTOEVENTO="Manual",$M178=1),$M178&gt;(ROW(PLE.lastrow)-ROW(PLE.firstrow))),0,IF(OFFSET(PLE!$G$14,$M178,BC$13)="",10^12,OFFSET(PLE!$G$14,$M178,BC$13))))</f>
        <v>1000000000000</v>
      </c>
      <c r="BD178" s="212">
        <f ca="1">IF($D178&lt;&gt;"Serviço",0,IF(OR(AND(AUTOEVENTO="Manual",$M178=1),$M178&gt;(ROW(PLE.lastrow)-ROW(PLE.firstrow))),0,IF(OFFSET(PLE!$G$14,$M178,BD$13)="",10^12,OFFSET(PLE!$G$14,$M178,BD$13))))</f>
        <v>1000000000000</v>
      </c>
      <c r="BE178" s="212">
        <f ca="1">IF($D178&lt;&gt;"Serviço",0,IF(OR(AND(AUTOEVENTO="Manual",$M178=1),$M178&gt;(ROW(PLE.lastrow)-ROW(PLE.firstrow))),0,IF(OFFSET(PLE!$G$14,$M178,BE$13)="",10^12,OFFSET(PLE!$G$14,$M178,BE$13))))</f>
        <v>1000000000000</v>
      </c>
      <c r="BF178" s="212">
        <f ca="1">IF($D178&lt;&gt;"Serviço",0,IF(OR(AND(AUTOEVENTO="Manual",$M178=1),$M178&gt;(ROW(PLE.lastrow)-ROW(PLE.firstrow))),0,IF(OFFSET(PLE!$G$14,$M178,BF$13)="",10^12,OFFSET(PLE!$G$14,$M178,BF$13))))</f>
        <v>1000000000000</v>
      </c>
      <c r="BG178" s="212">
        <f ca="1">IF($D178&lt;&gt;"Serviço",0,IF(OR(AND(AUTOEVENTO="Manual",$M178=1),$M178&gt;(ROW(PLE.lastrow)-ROW(PLE.firstrow))),0,IF(OFFSET(PLE!$G$14,$M178,BG$13)="",10^12,OFFSET(PLE!$G$14,$M178,BG$13))))</f>
        <v>1000000000000</v>
      </c>
    </row>
    <row r="179" spans="1:59" ht="13.2">
      <c r="A179" s="9" t="str">
        <f t="shared" ca="1" si="11"/>
        <v>15</v>
      </c>
      <c r="B179" s="9" t="str">
        <f ca="1">OFFSET(ORÇAMENTO!C$15,ROW(B179)-ROW(B$15),0)</f>
        <v>S</v>
      </c>
      <c r="C179" s="9" t="str">
        <f ca="1">OFFSET(ORÇAMENTO!L$15,ROW(C179)-ROW(C$15),0)</f>
        <v/>
      </c>
      <c r="D179" s="141" t="str">
        <f ca="1">OFFSET(ORÇAMENTO!N$15,ROW(D179)-ROW(D$15),0)</f>
        <v>Serviço</v>
      </c>
      <c r="E179" s="201" t="str">
        <f ca="1">OFFSET(ORÇAMENTO!O$15,ROW(E179)-ROW(E$15),0)</f>
        <v>-</v>
      </c>
      <c r="F179" s="202" t="str">
        <f ca="1">OFFSET(ORÇAMENTO!R$15,ROW(F179)-ROW(F$15),0)</f>
        <v>(abra o arquivo 'Referência 11-2024.xlsm)</v>
      </c>
      <c r="G179" s="203" t="str">
        <f ca="1">IF($D179&lt;&gt;"Serviço","",OFFSET(ORÇAMENTO!S$15,ROW(G179)-ROW(G$15),0))</f>
        <v>-</v>
      </c>
      <c r="H179" s="147">
        <f ca="1">IF($D179&lt;&gt;"Serviço",0,IF(ACOMPANHAMENTO="BM",ROUND(OFFSET(ORÇAMENTO!AJ$15,ROW(H179)-ROW(H$15),0),15-13*ORÇAMENTO!$AF$7),SUMPRODUCT(($Q$12:$AA$12&lt;&gt;"")*ROUND($Q179:$AA179,15-13*ORÇAMENTO!$AF$7))))</f>
        <v>0</v>
      </c>
      <c r="I179" s="645"/>
      <c r="K179" s="204"/>
      <c r="L179" s="205" t="s">
        <v>255</v>
      </c>
      <c r="M179" s="206">
        <f ca="1">IF($D179&lt;&gt;"Serviço","",IF(AUTOEVENTO="manual",$A179,IF(ISERROR(MATCH($A179,$A$15:OFFSET($A179,-1,0),0)),MAX($M$15:OFFSET(M179,-1,0))+1,INDEX($M$15:OFFSET(M179,-1,0),MATCH($A179,$A$15:OFFSET($A179,-1,0),0)))))</f>
        <v>6</v>
      </c>
      <c r="N179" s="207" t="str">
        <f ca="1">IF($D179&lt;&gt;"Serviço","",IF(AUTOEVENTO="Manual",IF($A179=0,"&lt;-- defina o número do agrupador",OFFSET(EVENTOS!$D$14,$A179,0)),OFFSET($F$15,$A179,0)))</f>
        <v>DRENAGEM</v>
      </c>
      <c r="O179" s="208"/>
      <c r="Q179" s="208"/>
      <c r="R179" s="209"/>
      <c r="S179" s="209"/>
      <c r="T179" s="209"/>
      <c r="U179" s="209"/>
      <c r="V179" s="209"/>
      <c r="W179" s="209"/>
      <c r="X179" s="209"/>
      <c r="Y179" s="209"/>
      <c r="Z179" s="210"/>
      <c r="AB179" s="626">
        <f ca="1">IF(AND($D179="Serviço",AB$12&lt;&gt;0,$H179&gt;0,OR(AUTOEVENTO&lt;&gt;"manual",$M179&lt;&gt;1)),
IF(Import.TipoArredondamento&lt;&gt;"TransfereGOV",
ROUND(OFFSET($P179,0,AB$13),15-13*ORÇAMENTO!$AF$7)/$H179*OFFSET(ORÇAMENTO!$X$15,ROW(AB179)-ROW(AB$15),0),
ROUND(ROUND(OFFSET($P179,0,AB$13),15-13*ORÇAMENTO!$AF$7)*OFFSET(ORÇAMENTO!$W$15,ROW(AB179)-ROW(AB$15),0),15-13*ORÇAMENTO!$AF$11)),0)</f>
        <v>0</v>
      </c>
      <c r="AC179" s="627">
        <f ca="1">IF(AND($D179="Serviço",AC$12&lt;&gt;0,$H179&gt;0,OR(AUTOEVENTO&lt;&gt;"manual",$M179&lt;&gt;1)),
IF(Import.TipoArredondamento&lt;&gt;"TransfereGOV",
ROUND(OFFSET($P179,0,AC$13),15-13*ORÇAMENTO!$AF$7)/$H179*OFFSET(ORÇAMENTO!$X$15,ROW(AC179)-ROW(AC$15),0),
ROUND(ROUND(OFFSET($P179,0,AC$13),15-13*ORÇAMENTO!$AF$7)*OFFSET(ORÇAMENTO!$W$15,ROW(AC179)-ROW(AC$15),0),15-13*ORÇAMENTO!$AF$11)),0)</f>
        <v>0</v>
      </c>
      <c r="AD179" s="627">
        <f ca="1">IF(AND($D179="Serviço",AD$12&lt;&gt;0,$H179&gt;0,OR(AUTOEVENTO&lt;&gt;"manual",$M179&lt;&gt;1)),
IF(Import.TipoArredondamento&lt;&gt;"TransfereGOV",
ROUND(OFFSET($P179,0,AD$13),15-13*ORÇAMENTO!$AF$7)/$H179*OFFSET(ORÇAMENTO!$X$15,ROW(AD179)-ROW(AD$15),0),
ROUND(ROUND(OFFSET($P179,0,AD$13),15-13*ORÇAMENTO!$AF$7)*OFFSET(ORÇAMENTO!$W$15,ROW(AD179)-ROW(AD$15),0),15-13*ORÇAMENTO!$AF$11)),0)</f>
        <v>0</v>
      </c>
      <c r="AE179" s="627">
        <f ca="1">IF(AND($D179="Serviço",AE$12&lt;&gt;0,$H179&gt;0,OR(AUTOEVENTO&lt;&gt;"manual",$M179&lt;&gt;1)),
IF(Import.TipoArredondamento&lt;&gt;"TransfereGOV",
ROUND(OFFSET($P179,0,AE$13),15-13*ORÇAMENTO!$AF$7)/$H179*OFFSET(ORÇAMENTO!$X$15,ROW(AE179)-ROW(AE$15),0),
ROUND(ROUND(OFFSET($P179,0,AE$13),15-13*ORÇAMENTO!$AF$7)*OFFSET(ORÇAMENTO!$W$15,ROW(AE179)-ROW(AE$15),0),15-13*ORÇAMENTO!$AF$11)),0)</f>
        <v>0</v>
      </c>
      <c r="AF179" s="627">
        <f ca="1">IF(AND($D179="Serviço",AF$12&lt;&gt;0,$H179&gt;0,OR(AUTOEVENTO&lt;&gt;"manual",$M179&lt;&gt;1)),
IF(Import.TipoArredondamento&lt;&gt;"TransfereGOV",
ROUND(OFFSET($P179,0,AF$13),15-13*ORÇAMENTO!$AF$7)/$H179*OFFSET(ORÇAMENTO!$X$15,ROW(AF179)-ROW(AF$15),0),
ROUND(ROUND(OFFSET($P179,0,AF$13),15-13*ORÇAMENTO!$AF$7)*OFFSET(ORÇAMENTO!$W$15,ROW(AF179)-ROW(AF$15),0),15-13*ORÇAMENTO!$AF$11)),0)</f>
        <v>0</v>
      </c>
      <c r="AG179" s="627">
        <f ca="1">IF(AND($D179="Serviço",AG$12&lt;&gt;0,$H179&gt;0,OR(AUTOEVENTO&lt;&gt;"manual",$M179&lt;&gt;1)),
IF(Import.TipoArredondamento&lt;&gt;"TransfereGOV",
ROUND(OFFSET($P179,0,AG$13),15-13*ORÇAMENTO!$AF$7)/$H179*OFFSET(ORÇAMENTO!$X$15,ROW(AG179)-ROW(AG$15),0),
ROUND(ROUND(OFFSET($P179,0,AG$13),15-13*ORÇAMENTO!$AF$7)*OFFSET(ORÇAMENTO!$W$15,ROW(AG179)-ROW(AG$15),0),15-13*ORÇAMENTO!$AF$11)),0)</f>
        <v>0</v>
      </c>
      <c r="AH179" s="627">
        <f ca="1">IF(AND($D179="Serviço",AH$12&lt;&gt;0,$H179&gt;0,OR(AUTOEVENTO&lt;&gt;"manual",$M179&lt;&gt;1)),
IF(Import.TipoArredondamento&lt;&gt;"TransfereGOV",
ROUND(OFFSET($P179,0,AH$13),15-13*ORÇAMENTO!$AF$7)/$H179*OFFSET(ORÇAMENTO!$X$15,ROW(AH179)-ROW(AH$15),0),
ROUND(ROUND(OFFSET($P179,0,AH$13),15-13*ORÇAMENTO!$AF$7)*OFFSET(ORÇAMENTO!$W$15,ROW(AH179)-ROW(AH$15),0),15-13*ORÇAMENTO!$AF$11)),0)</f>
        <v>0</v>
      </c>
      <c r="AI179" s="627">
        <f ca="1">IF(AND($D179="Serviço",AI$12&lt;&gt;0,$H179&gt;0,OR(AUTOEVENTO&lt;&gt;"manual",$M179&lt;&gt;1)),
IF(Import.TipoArredondamento&lt;&gt;"TransfereGOV",
ROUND(OFFSET($P179,0,AI$13),15-13*ORÇAMENTO!$AF$7)/$H179*OFFSET(ORÇAMENTO!$X$15,ROW(AI179)-ROW(AI$15),0),
ROUND(ROUND(OFFSET($P179,0,AI$13),15-13*ORÇAMENTO!$AF$7)*OFFSET(ORÇAMENTO!$W$15,ROW(AI179)-ROW(AI$15),0),15-13*ORÇAMENTO!$AF$11)),0)</f>
        <v>0</v>
      </c>
      <c r="AJ179" s="627">
        <f ca="1">IF(AND($D179="Serviço",AJ$12&lt;&gt;0,$H179&gt;0,OR(AUTOEVENTO&lt;&gt;"manual",$M179&lt;&gt;1)),
IF(Import.TipoArredondamento&lt;&gt;"TransfereGOV",
ROUND(OFFSET($P179,0,AJ$13),15-13*ORÇAMENTO!$AF$7)/$H179*OFFSET(ORÇAMENTO!$X$15,ROW(AJ179)-ROW(AJ$15),0),
ROUND(ROUND(OFFSET($P179,0,AJ$13),15-13*ORÇAMENTO!$AF$7)*OFFSET(ORÇAMENTO!$W$15,ROW(AJ179)-ROW(AJ$15),0),15-13*ORÇAMENTO!$AF$11)),0)</f>
        <v>0</v>
      </c>
      <c r="AK179" s="628">
        <f ca="1">IF(AND($D179="Serviço",AK$12&lt;&gt;0,$H179&gt;0,OR(AUTOEVENTO&lt;&gt;"manual",$M179&lt;&gt;1)),
IF(Import.TipoArredondamento&lt;&gt;"TransfereGOV",
ROUND(OFFSET($P179,0,AK$13),15-13*ORÇAMENTO!$AF$7)/$H179*OFFSET(ORÇAMENTO!$X$15,ROW(AK179)-ROW(AK$15),0),
ROUND(ROUND(OFFSET($P179,0,AK$13),15-13*ORÇAMENTO!$AF$7)*OFFSET(ORÇAMENTO!$W$15,ROW(AK179)-ROW(AK$15),0),15-13*ORÇAMENTO!$AF$11)),0)</f>
        <v>0</v>
      </c>
      <c r="AM179" s="211">
        <f ca="1">IF($D179&lt;&gt;"Serviço",0,IF(AND(AUTOEVENTO="Manual",$M179=1),0,IF(OFFSET(CRONOPLE!$F$14,$M179,AM$13)="",10^12,OFFSET(CRONOPLE!$F$14,$M179,AM$13))))</f>
        <v>2</v>
      </c>
      <c r="AN179" s="211">
        <f ca="1">IF($D179&lt;&gt;"Serviço",0,IF(AND(AUTOEVENTO="Manual",$M179=1),0,IF(OFFSET(CRONOPLE!$F$14,$M179,AN$13)="",10^12,OFFSET(CRONOPLE!$F$14,$M179,AN$13))))</f>
        <v>1</v>
      </c>
      <c r="AO179" s="211">
        <f ca="1">IF($D179&lt;&gt;"Serviço",0,IF(AND(AUTOEVENTO="Manual",$M179=1),0,IF(OFFSET(CRONOPLE!$F$14,$M179,AO$13)="",10^12,OFFSET(CRONOPLE!$F$14,$M179,AO$13))))</f>
        <v>2</v>
      </c>
      <c r="AP179" s="211">
        <f ca="1">IF($D179&lt;&gt;"Serviço",0,IF(AND(AUTOEVENTO="Manual",$M179=1),0,IF(OFFSET(CRONOPLE!$F$14,$M179,AP$13)="",10^12,OFFSET(CRONOPLE!$F$14,$M179,AP$13))))</f>
        <v>2</v>
      </c>
      <c r="AQ179" s="211">
        <f ca="1">IF($D179&lt;&gt;"Serviço",0,IF(AND(AUTOEVENTO="Manual",$M179=1),0,IF(OFFSET(CRONOPLE!$F$14,$M179,AQ$13)="",10^12,OFFSET(CRONOPLE!$F$14,$M179,AQ$13))))</f>
        <v>1000000000000</v>
      </c>
      <c r="AR179" s="211">
        <f ca="1">IF($D179&lt;&gt;"Serviço",0,IF(AND(AUTOEVENTO="Manual",$M179=1),0,IF(OFFSET(CRONOPLE!$F$14,$M179,AR$13)="",10^12,OFFSET(CRONOPLE!$F$14,$M179,AR$13))))</f>
        <v>1000000000000</v>
      </c>
      <c r="AS179" s="211">
        <f ca="1">IF($D179&lt;&gt;"Serviço",0,IF(AND(AUTOEVENTO="Manual",$M179=1),0,IF(OFFSET(CRONOPLE!$F$14,$M179,AS$13)="",10^12,OFFSET(CRONOPLE!$F$14,$M179,AS$13))))</f>
        <v>1000000000000</v>
      </c>
      <c r="AT179" s="211">
        <f ca="1">IF($D179&lt;&gt;"Serviço",0,IF(AND(AUTOEVENTO="Manual",$M179=1),0,IF(OFFSET(CRONOPLE!$F$14,$M179,AT$13)="",10^12,OFFSET(CRONOPLE!$F$14,$M179,AT$13))))</f>
        <v>1000000000000</v>
      </c>
      <c r="AU179" s="211">
        <f ca="1">IF($D179&lt;&gt;"Serviço",0,IF(AND(AUTOEVENTO="Manual",$M179=1),0,IF(OFFSET(CRONOPLE!$F$14,$M179,AU$13)="",10^12,OFFSET(CRONOPLE!$F$14,$M179,AU$13))))</f>
        <v>1000000000000</v>
      </c>
      <c r="AV179" s="211">
        <f ca="1">IF($D179&lt;&gt;"Serviço",0,IF(AND(AUTOEVENTO="Manual",$M179=1),0,IF(OFFSET(CRONOPLE!$F$14,$M179,AV$13)="",10^12,OFFSET(CRONOPLE!$F$14,$M179,AV$13))))</f>
        <v>1000000000000</v>
      </c>
      <c r="AX179" s="212">
        <f ca="1">IF($D179&lt;&gt;"Serviço",0,IF(OR(AND(AUTOEVENTO="Manual",$M179=1),$M179&gt;(ROW(PLE.lastrow)-ROW(PLE.firstrow))),0,IF(OFFSET(PLE!$G$14,$M179,AX$13)="",10^12,OFFSET(PLE!$G$14,$M179,AX$13))))</f>
        <v>1000000000000</v>
      </c>
      <c r="AY179" s="212">
        <f ca="1">IF($D179&lt;&gt;"Serviço",0,IF(OR(AND(AUTOEVENTO="Manual",$M179=1),$M179&gt;(ROW(PLE.lastrow)-ROW(PLE.firstrow))),0,IF(OFFSET(PLE!$G$14,$M179,AY$13)="",10^12,OFFSET(PLE!$G$14,$M179,AY$13))))</f>
        <v>1000000000000</v>
      </c>
      <c r="AZ179" s="212">
        <f ca="1">IF($D179&lt;&gt;"Serviço",0,IF(OR(AND(AUTOEVENTO="Manual",$M179=1),$M179&gt;(ROW(PLE.lastrow)-ROW(PLE.firstrow))),0,IF(OFFSET(PLE!$G$14,$M179,AZ$13)="",10^12,OFFSET(PLE!$G$14,$M179,AZ$13))))</f>
        <v>1000000000000</v>
      </c>
      <c r="BA179" s="212">
        <f ca="1">IF($D179&lt;&gt;"Serviço",0,IF(OR(AND(AUTOEVENTO="Manual",$M179=1),$M179&gt;(ROW(PLE.lastrow)-ROW(PLE.firstrow))),0,IF(OFFSET(PLE!$G$14,$M179,BA$13)="",10^12,OFFSET(PLE!$G$14,$M179,BA$13))))</f>
        <v>1000000000000</v>
      </c>
      <c r="BB179" s="212">
        <f ca="1">IF($D179&lt;&gt;"Serviço",0,IF(OR(AND(AUTOEVENTO="Manual",$M179=1),$M179&gt;(ROW(PLE.lastrow)-ROW(PLE.firstrow))),0,IF(OFFSET(PLE!$G$14,$M179,BB$13)="",10^12,OFFSET(PLE!$G$14,$M179,BB$13))))</f>
        <v>1000000000000</v>
      </c>
      <c r="BC179" s="212">
        <f ca="1">IF($D179&lt;&gt;"Serviço",0,IF(OR(AND(AUTOEVENTO="Manual",$M179=1),$M179&gt;(ROW(PLE.lastrow)-ROW(PLE.firstrow))),0,IF(OFFSET(PLE!$G$14,$M179,BC$13)="",10^12,OFFSET(PLE!$G$14,$M179,BC$13))))</f>
        <v>1000000000000</v>
      </c>
      <c r="BD179" s="212">
        <f ca="1">IF($D179&lt;&gt;"Serviço",0,IF(OR(AND(AUTOEVENTO="Manual",$M179=1),$M179&gt;(ROW(PLE.lastrow)-ROW(PLE.firstrow))),0,IF(OFFSET(PLE!$G$14,$M179,BD$13)="",10^12,OFFSET(PLE!$G$14,$M179,BD$13))))</f>
        <v>1000000000000</v>
      </c>
      <c r="BE179" s="212">
        <f ca="1">IF($D179&lt;&gt;"Serviço",0,IF(OR(AND(AUTOEVENTO="Manual",$M179=1),$M179&gt;(ROW(PLE.lastrow)-ROW(PLE.firstrow))),0,IF(OFFSET(PLE!$G$14,$M179,BE$13)="",10^12,OFFSET(PLE!$G$14,$M179,BE$13))))</f>
        <v>1000000000000</v>
      </c>
      <c r="BF179" s="212">
        <f ca="1">IF($D179&lt;&gt;"Serviço",0,IF(OR(AND(AUTOEVENTO="Manual",$M179=1),$M179&gt;(ROW(PLE.lastrow)-ROW(PLE.firstrow))),0,IF(OFFSET(PLE!$G$14,$M179,BF$13)="",10^12,OFFSET(PLE!$G$14,$M179,BF$13))))</f>
        <v>1000000000000</v>
      </c>
      <c r="BG179" s="212">
        <f ca="1">IF($D179&lt;&gt;"Serviço",0,IF(OR(AND(AUTOEVENTO="Manual",$M179=1),$M179&gt;(ROW(PLE.lastrow)-ROW(PLE.firstrow))),0,IF(OFFSET(PLE!$G$14,$M179,BG$13)="",10^12,OFFSET(PLE!$G$14,$M179,BG$13))))</f>
        <v>1000000000000</v>
      </c>
    </row>
    <row r="180" spans="1:59" ht="13.2">
      <c r="A180" s="9" t="str">
        <f t="shared" ca="1" si="11"/>
        <v>15</v>
      </c>
      <c r="B180" s="9" t="str">
        <f ca="1">OFFSET(ORÇAMENTO!C$15,ROW(B180)-ROW(B$15),0)</f>
        <v>S</v>
      </c>
      <c r="C180" s="9" t="str">
        <f ca="1">OFFSET(ORÇAMENTO!L$15,ROW(C180)-ROW(C$15),0)</f>
        <v/>
      </c>
      <c r="D180" s="141" t="str">
        <f ca="1">OFFSET(ORÇAMENTO!N$15,ROW(D180)-ROW(D$15),0)</f>
        <v>Serviço</v>
      </c>
      <c r="E180" s="201" t="str">
        <f ca="1">OFFSET(ORÇAMENTO!O$15,ROW(E180)-ROW(E$15),0)</f>
        <v>-</v>
      </c>
      <c r="F180" s="202" t="str">
        <f ca="1">OFFSET(ORÇAMENTO!R$15,ROW(F180)-ROW(F$15),0)</f>
        <v>(abra o arquivo 'Referência 11-2024.xlsm)</v>
      </c>
      <c r="G180" s="203" t="str">
        <f ca="1">IF($D180&lt;&gt;"Serviço","",OFFSET(ORÇAMENTO!S$15,ROW(G180)-ROW(G$15),0))</f>
        <v>-</v>
      </c>
      <c r="H180" s="147">
        <f ca="1">IF($D180&lt;&gt;"Serviço",0,IF(ACOMPANHAMENTO="BM",ROUND(OFFSET(ORÇAMENTO!AJ$15,ROW(H180)-ROW(H$15),0),15-13*ORÇAMENTO!$AF$7),SUMPRODUCT(($Q$12:$AA$12&lt;&gt;"")*ROUND($Q180:$AA180,15-13*ORÇAMENTO!$AF$7))))</f>
        <v>0</v>
      </c>
      <c r="I180" s="645"/>
      <c r="K180" s="204"/>
      <c r="L180" s="205" t="s">
        <v>255</v>
      </c>
      <c r="M180" s="206">
        <f ca="1">IF($D180&lt;&gt;"Serviço","",IF(AUTOEVENTO="manual",$A180,IF(ISERROR(MATCH($A180,$A$15:OFFSET($A180,-1,0),0)),MAX($M$15:OFFSET(M180,-1,0))+1,INDEX($M$15:OFFSET(M180,-1,0),MATCH($A180,$A$15:OFFSET($A180,-1,0),0)))))</f>
        <v>6</v>
      </c>
      <c r="N180" s="207" t="str">
        <f ca="1">IF($D180&lt;&gt;"Serviço","",IF(AUTOEVENTO="Manual",IF($A180=0,"&lt;-- defina o número do agrupador",OFFSET(EVENTOS!$D$14,$A180,0)),OFFSET($F$15,$A180,0)))</f>
        <v>DRENAGEM</v>
      </c>
      <c r="O180" s="208"/>
      <c r="Q180" s="208"/>
      <c r="R180" s="209"/>
      <c r="S180" s="209"/>
      <c r="T180" s="209"/>
      <c r="U180" s="209"/>
      <c r="V180" s="209"/>
      <c r="W180" s="209"/>
      <c r="X180" s="209"/>
      <c r="Y180" s="209"/>
      <c r="Z180" s="210"/>
      <c r="AB180" s="626">
        <f ca="1">IF(AND($D180="Serviço",AB$12&lt;&gt;0,$H180&gt;0,OR(AUTOEVENTO&lt;&gt;"manual",$M180&lt;&gt;1)),
IF(Import.TipoArredondamento&lt;&gt;"TransfereGOV",
ROUND(OFFSET($P180,0,AB$13),15-13*ORÇAMENTO!$AF$7)/$H180*OFFSET(ORÇAMENTO!$X$15,ROW(AB180)-ROW(AB$15),0),
ROUND(ROUND(OFFSET($P180,0,AB$13),15-13*ORÇAMENTO!$AF$7)*OFFSET(ORÇAMENTO!$W$15,ROW(AB180)-ROW(AB$15),0),15-13*ORÇAMENTO!$AF$11)),0)</f>
        <v>0</v>
      </c>
      <c r="AC180" s="627">
        <f ca="1">IF(AND($D180="Serviço",AC$12&lt;&gt;0,$H180&gt;0,OR(AUTOEVENTO&lt;&gt;"manual",$M180&lt;&gt;1)),
IF(Import.TipoArredondamento&lt;&gt;"TransfereGOV",
ROUND(OFFSET($P180,0,AC$13),15-13*ORÇAMENTO!$AF$7)/$H180*OFFSET(ORÇAMENTO!$X$15,ROW(AC180)-ROW(AC$15),0),
ROUND(ROUND(OFFSET($P180,0,AC$13),15-13*ORÇAMENTO!$AF$7)*OFFSET(ORÇAMENTO!$W$15,ROW(AC180)-ROW(AC$15),0),15-13*ORÇAMENTO!$AF$11)),0)</f>
        <v>0</v>
      </c>
      <c r="AD180" s="627">
        <f ca="1">IF(AND($D180="Serviço",AD$12&lt;&gt;0,$H180&gt;0,OR(AUTOEVENTO&lt;&gt;"manual",$M180&lt;&gt;1)),
IF(Import.TipoArredondamento&lt;&gt;"TransfereGOV",
ROUND(OFFSET($P180,0,AD$13),15-13*ORÇAMENTO!$AF$7)/$H180*OFFSET(ORÇAMENTO!$X$15,ROW(AD180)-ROW(AD$15),0),
ROUND(ROUND(OFFSET($P180,0,AD$13),15-13*ORÇAMENTO!$AF$7)*OFFSET(ORÇAMENTO!$W$15,ROW(AD180)-ROW(AD$15),0),15-13*ORÇAMENTO!$AF$11)),0)</f>
        <v>0</v>
      </c>
      <c r="AE180" s="627">
        <f ca="1">IF(AND($D180="Serviço",AE$12&lt;&gt;0,$H180&gt;0,OR(AUTOEVENTO&lt;&gt;"manual",$M180&lt;&gt;1)),
IF(Import.TipoArredondamento&lt;&gt;"TransfereGOV",
ROUND(OFFSET($P180,0,AE$13),15-13*ORÇAMENTO!$AF$7)/$H180*OFFSET(ORÇAMENTO!$X$15,ROW(AE180)-ROW(AE$15),0),
ROUND(ROUND(OFFSET($P180,0,AE$13),15-13*ORÇAMENTO!$AF$7)*OFFSET(ORÇAMENTO!$W$15,ROW(AE180)-ROW(AE$15),0),15-13*ORÇAMENTO!$AF$11)),0)</f>
        <v>0</v>
      </c>
      <c r="AF180" s="627">
        <f ca="1">IF(AND($D180="Serviço",AF$12&lt;&gt;0,$H180&gt;0,OR(AUTOEVENTO&lt;&gt;"manual",$M180&lt;&gt;1)),
IF(Import.TipoArredondamento&lt;&gt;"TransfereGOV",
ROUND(OFFSET($P180,0,AF$13),15-13*ORÇAMENTO!$AF$7)/$H180*OFFSET(ORÇAMENTO!$X$15,ROW(AF180)-ROW(AF$15),0),
ROUND(ROUND(OFFSET($P180,0,AF$13),15-13*ORÇAMENTO!$AF$7)*OFFSET(ORÇAMENTO!$W$15,ROW(AF180)-ROW(AF$15),0),15-13*ORÇAMENTO!$AF$11)),0)</f>
        <v>0</v>
      </c>
      <c r="AG180" s="627">
        <f ca="1">IF(AND($D180="Serviço",AG$12&lt;&gt;0,$H180&gt;0,OR(AUTOEVENTO&lt;&gt;"manual",$M180&lt;&gt;1)),
IF(Import.TipoArredondamento&lt;&gt;"TransfereGOV",
ROUND(OFFSET($P180,0,AG$13),15-13*ORÇAMENTO!$AF$7)/$H180*OFFSET(ORÇAMENTO!$X$15,ROW(AG180)-ROW(AG$15),0),
ROUND(ROUND(OFFSET($P180,0,AG$13),15-13*ORÇAMENTO!$AF$7)*OFFSET(ORÇAMENTO!$W$15,ROW(AG180)-ROW(AG$15),0),15-13*ORÇAMENTO!$AF$11)),0)</f>
        <v>0</v>
      </c>
      <c r="AH180" s="627">
        <f ca="1">IF(AND($D180="Serviço",AH$12&lt;&gt;0,$H180&gt;0,OR(AUTOEVENTO&lt;&gt;"manual",$M180&lt;&gt;1)),
IF(Import.TipoArredondamento&lt;&gt;"TransfereGOV",
ROUND(OFFSET($P180,0,AH$13),15-13*ORÇAMENTO!$AF$7)/$H180*OFFSET(ORÇAMENTO!$X$15,ROW(AH180)-ROW(AH$15),0),
ROUND(ROUND(OFFSET($P180,0,AH$13),15-13*ORÇAMENTO!$AF$7)*OFFSET(ORÇAMENTO!$W$15,ROW(AH180)-ROW(AH$15),0),15-13*ORÇAMENTO!$AF$11)),0)</f>
        <v>0</v>
      </c>
      <c r="AI180" s="627">
        <f ca="1">IF(AND($D180="Serviço",AI$12&lt;&gt;0,$H180&gt;0,OR(AUTOEVENTO&lt;&gt;"manual",$M180&lt;&gt;1)),
IF(Import.TipoArredondamento&lt;&gt;"TransfereGOV",
ROUND(OFFSET($P180,0,AI$13),15-13*ORÇAMENTO!$AF$7)/$H180*OFFSET(ORÇAMENTO!$X$15,ROW(AI180)-ROW(AI$15),0),
ROUND(ROUND(OFFSET($P180,0,AI$13),15-13*ORÇAMENTO!$AF$7)*OFFSET(ORÇAMENTO!$W$15,ROW(AI180)-ROW(AI$15),0),15-13*ORÇAMENTO!$AF$11)),0)</f>
        <v>0</v>
      </c>
      <c r="AJ180" s="627">
        <f ca="1">IF(AND($D180="Serviço",AJ$12&lt;&gt;0,$H180&gt;0,OR(AUTOEVENTO&lt;&gt;"manual",$M180&lt;&gt;1)),
IF(Import.TipoArredondamento&lt;&gt;"TransfereGOV",
ROUND(OFFSET($P180,0,AJ$13),15-13*ORÇAMENTO!$AF$7)/$H180*OFFSET(ORÇAMENTO!$X$15,ROW(AJ180)-ROW(AJ$15),0),
ROUND(ROUND(OFFSET($P180,0,AJ$13),15-13*ORÇAMENTO!$AF$7)*OFFSET(ORÇAMENTO!$W$15,ROW(AJ180)-ROW(AJ$15),0),15-13*ORÇAMENTO!$AF$11)),0)</f>
        <v>0</v>
      </c>
      <c r="AK180" s="628">
        <f ca="1">IF(AND($D180="Serviço",AK$12&lt;&gt;0,$H180&gt;0,OR(AUTOEVENTO&lt;&gt;"manual",$M180&lt;&gt;1)),
IF(Import.TipoArredondamento&lt;&gt;"TransfereGOV",
ROUND(OFFSET($P180,0,AK$13),15-13*ORÇAMENTO!$AF$7)/$H180*OFFSET(ORÇAMENTO!$X$15,ROW(AK180)-ROW(AK$15),0),
ROUND(ROUND(OFFSET($P180,0,AK$13),15-13*ORÇAMENTO!$AF$7)*OFFSET(ORÇAMENTO!$W$15,ROW(AK180)-ROW(AK$15),0),15-13*ORÇAMENTO!$AF$11)),0)</f>
        <v>0</v>
      </c>
      <c r="AM180" s="211">
        <f ca="1">IF($D180&lt;&gt;"Serviço",0,IF(AND(AUTOEVENTO="Manual",$M180=1),0,IF(OFFSET(CRONOPLE!$F$14,$M180,AM$13)="",10^12,OFFSET(CRONOPLE!$F$14,$M180,AM$13))))</f>
        <v>2</v>
      </c>
      <c r="AN180" s="211">
        <f ca="1">IF($D180&lt;&gt;"Serviço",0,IF(AND(AUTOEVENTO="Manual",$M180=1),0,IF(OFFSET(CRONOPLE!$F$14,$M180,AN$13)="",10^12,OFFSET(CRONOPLE!$F$14,$M180,AN$13))))</f>
        <v>1</v>
      </c>
      <c r="AO180" s="211">
        <f ca="1">IF($D180&lt;&gt;"Serviço",0,IF(AND(AUTOEVENTO="Manual",$M180=1),0,IF(OFFSET(CRONOPLE!$F$14,$M180,AO$13)="",10^12,OFFSET(CRONOPLE!$F$14,$M180,AO$13))))</f>
        <v>2</v>
      </c>
      <c r="AP180" s="211">
        <f ca="1">IF($D180&lt;&gt;"Serviço",0,IF(AND(AUTOEVENTO="Manual",$M180=1),0,IF(OFFSET(CRONOPLE!$F$14,$M180,AP$13)="",10^12,OFFSET(CRONOPLE!$F$14,$M180,AP$13))))</f>
        <v>2</v>
      </c>
      <c r="AQ180" s="211">
        <f ca="1">IF($D180&lt;&gt;"Serviço",0,IF(AND(AUTOEVENTO="Manual",$M180=1),0,IF(OFFSET(CRONOPLE!$F$14,$M180,AQ$13)="",10^12,OFFSET(CRONOPLE!$F$14,$M180,AQ$13))))</f>
        <v>1000000000000</v>
      </c>
      <c r="AR180" s="211">
        <f ca="1">IF($D180&lt;&gt;"Serviço",0,IF(AND(AUTOEVENTO="Manual",$M180=1),0,IF(OFFSET(CRONOPLE!$F$14,$M180,AR$13)="",10^12,OFFSET(CRONOPLE!$F$14,$M180,AR$13))))</f>
        <v>1000000000000</v>
      </c>
      <c r="AS180" s="211">
        <f ca="1">IF($D180&lt;&gt;"Serviço",0,IF(AND(AUTOEVENTO="Manual",$M180=1),0,IF(OFFSET(CRONOPLE!$F$14,$M180,AS$13)="",10^12,OFFSET(CRONOPLE!$F$14,$M180,AS$13))))</f>
        <v>1000000000000</v>
      </c>
      <c r="AT180" s="211">
        <f ca="1">IF($D180&lt;&gt;"Serviço",0,IF(AND(AUTOEVENTO="Manual",$M180=1),0,IF(OFFSET(CRONOPLE!$F$14,$M180,AT$13)="",10^12,OFFSET(CRONOPLE!$F$14,$M180,AT$13))))</f>
        <v>1000000000000</v>
      </c>
      <c r="AU180" s="211">
        <f ca="1">IF($D180&lt;&gt;"Serviço",0,IF(AND(AUTOEVENTO="Manual",$M180=1),0,IF(OFFSET(CRONOPLE!$F$14,$M180,AU$13)="",10^12,OFFSET(CRONOPLE!$F$14,$M180,AU$13))))</f>
        <v>1000000000000</v>
      </c>
      <c r="AV180" s="211">
        <f ca="1">IF($D180&lt;&gt;"Serviço",0,IF(AND(AUTOEVENTO="Manual",$M180=1),0,IF(OFFSET(CRONOPLE!$F$14,$M180,AV$13)="",10^12,OFFSET(CRONOPLE!$F$14,$M180,AV$13))))</f>
        <v>1000000000000</v>
      </c>
      <c r="AX180" s="212">
        <f ca="1">IF($D180&lt;&gt;"Serviço",0,IF(OR(AND(AUTOEVENTO="Manual",$M180=1),$M180&gt;(ROW(PLE.lastrow)-ROW(PLE.firstrow))),0,IF(OFFSET(PLE!$G$14,$M180,AX$13)="",10^12,OFFSET(PLE!$G$14,$M180,AX$13))))</f>
        <v>1000000000000</v>
      </c>
      <c r="AY180" s="212">
        <f ca="1">IF($D180&lt;&gt;"Serviço",0,IF(OR(AND(AUTOEVENTO="Manual",$M180=1),$M180&gt;(ROW(PLE.lastrow)-ROW(PLE.firstrow))),0,IF(OFFSET(PLE!$G$14,$M180,AY$13)="",10^12,OFFSET(PLE!$G$14,$M180,AY$13))))</f>
        <v>1000000000000</v>
      </c>
      <c r="AZ180" s="212">
        <f ca="1">IF($D180&lt;&gt;"Serviço",0,IF(OR(AND(AUTOEVENTO="Manual",$M180=1),$M180&gt;(ROW(PLE.lastrow)-ROW(PLE.firstrow))),0,IF(OFFSET(PLE!$G$14,$M180,AZ$13)="",10^12,OFFSET(PLE!$G$14,$M180,AZ$13))))</f>
        <v>1000000000000</v>
      </c>
      <c r="BA180" s="212">
        <f ca="1">IF($D180&lt;&gt;"Serviço",0,IF(OR(AND(AUTOEVENTO="Manual",$M180=1),$M180&gt;(ROW(PLE.lastrow)-ROW(PLE.firstrow))),0,IF(OFFSET(PLE!$G$14,$M180,BA$13)="",10^12,OFFSET(PLE!$G$14,$M180,BA$13))))</f>
        <v>1000000000000</v>
      </c>
      <c r="BB180" s="212">
        <f ca="1">IF($D180&lt;&gt;"Serviço",0,IF(OR(AND(AUTOEVENTO="Manual",$M180=1),$M180&gt;(ROW(PLE.lastrow)-ROW(PLE.firstrow))),0,IF(OFFSET(PLE!$G$14,$M180,BB$13)="",10^12,OFFSET(PLE!$G$14,$M180,BB$13))))</f>
        <v>1000000000000</v>
      </c>
      <c r="BC180" s="212">
        <f ca="1">IF($D180&lt;&gt;"Serviço",0,IF(OR(AND(AUTOEVENTO="Manual",$M180=1),$M180&gt;(ROW(PLE.lastrow)-ROW(PLE.firstrow))),0,IF(OFFSET(PLE!$G$14,$M180,BC$13)="",10^12,OFFSET(PLE!$G$14,$M180,BC$13))))</f>
        <v>1000000000000</v>
      </c>
      <c r="BD180" s="212">
        <f ca="1">IF($D180&lt;&gt;"Serviço",0,IF(OR(AND(AUTOEVENTO="Manual",$M180=1),$M180&gt;(ROW(PLE.lastrow)-ROW(PLE.firstrow))),0,IF(OFFSET(PLE!$G$14,$M180,BD$13)="",10^12,OFFSET(PLE!$G$14,$M180,BD$13))))</f>
        <v>1000000000000</v>
      </c>
      <c r="BE180" s="212">
        <f ca="1">IF($D180&lt;&gt;"Serviço",0,IF(OR(AND(AUTOEVENTO="Manual",$M180=1),$M180&gt;(ROW(PLE.lastrow)-ROW(PLE.firstrow))),0,IF(OFFSET(PLE!$G$14,$M180,BE$13)="",10^12,OFFSET(PLE!$G$14,$M180,BE$13))))</f>
        <v>1000000000000</v>
      </c>
      <c r="BF180" s="212">
        <f ca="1">IF($D180&lt;&gt;"Serviço",0,IF(OR(AND(AUTOEVENTO="Manual",$M180=1),$M180&gt;(ROW(PLE.lastrow)-ROW(PLE.firstrow))),0,IF(OFFSET(PLE!$G$14,$M180,BF$13)="",10^12,OFFSET(PLE!$G$14,$M180,BF$13))))</f>
        <v>1000000000000</v>
      </c>
      <c r="BG180" s="212">
        <f ca="1">IF($D180&lt;&gt;"Serviço",0,IF(OR(AND(AUTOEVENTO="Manual",$M180=1),$M180&gt;(ROW(PLE.lastrow)-ROW(PLE.firstrow))),0,IF(OFFSET(PLE!$G$14,$M180,BG$13)="",10^12,OFFSET(PLE!$G$14,$M180,BG$13))))</f>
        <v>1000000000000</v>
      </c>
    </row>
    <row r="181" spans="1:59" ht="13.2">
      <c r="A181" s="9" t="str">
        <f t="shared" ca="1" si="11"/>
        <v>15</v>
      </c>
      <c r="B181" s="9" t="str">
        <f ca="1">OFFSET(ORÇAMENTO!C$15,ROW(B181)-ROW(B$15),0)</f>
        <v>S</v>
      </c>
      <c r="C181" s="9" t="str">
        <f ca="1">OFFSET(ORÇAMENTO!L$15,ROW(C181)-ROW(C$15),0)</f>
        <v/>
      </c>
      <c r="D181" s="141" t="str">
        <f ca="1">OFFSET(ORÇAMENTO!N$15,ROW(D181)-ROW(D$15),0)</f>
        <v>Serviço</v>
      </c>
      <c r="E181" s="201" t="str">
        <f ca="1">OFFSET(ORÇAMENTO!O$15,ROW(E181)-ROW(E$15),0)</f>
        <v>-</v>
      </c>
      <c r="F181" s="202" t="str">
        <f ca="1">OFFSET(ORÇAMENTO!R$15,ROW(F181)-ROW(F$15),0)</f>
        <v>(abra o arquivo 'Referência 11-2024.xlsm)</v>
      </c>
      <c r="G181" s="203" t="str">
        <f ca="1">IF($D181&lt;&gt;"Serviço","",OFFSET(ORÇAMENTO!S$15,ROW(G181)-ROW(G$15),0))</f>
        <v>-</v>
      </c>
      <c r="H181" s="147">
        <f ca="1">IF($D181&lt;&gt;"Serviço",0,IF(ACOMPANHAMENTO="BM",ROUND(OFFSET(ORÇAMENTO!AJ$15,ROW(H181)-ROW(H$15),0),15-13*ORÇAMENTO!$AF$7),SUMPRODUCT(($Q$12:$AA$12&lt;&gt;"")*ROUND($Q181:$AA181,15-13*ORÇAMENTO!$AF$7))))</f>
        <v>0</v>
      </c>
      <c r="I181" s="645"/>
      <c r="K181" s="204"/>
      <c r="L181" s="205" t="s">
        <v>255</v>
      </c>
      <c r="M181" s="206">
        <f ca="1">IF($D181&lt;&gt;"Serviço","",IF(AUTOEVENTO="manual",$A181,IF(ISERROR(MATCH($A181,$A$15:OFFSET($A181,-1,0),0)),MAX($M$15:OFFSET(M181,-1,0))+1,INDEX($M$15:OFFSET(M181,-1,0),MATCH($A181,$A$15:OFFSET($A181,-1,0),0)))))</f>
        <v>6</v>
      </c>
      <c r="N181" s="207" t="str">
        <f ca="1">IF($D181&lt;&gt;"Serviço","",IF(AUTOEVENTO="Manual",IF($A181=0,"&lt;-- defina o número do agrupador",OFFSET(EVENTOS!$D$14,$A181,0)),OFFSET($F$15,$A181,0)))</f>
        <v>DRENAGEM</v>
      </c>
      <c r="O181" s="208"/>
      <c r="Q181" s="208"/>
      <c r="R181" s="209"/>
      <c r="S181" s="209"/>
      <c r="T181" s="209"/>
      <c r="U181" s="209"/>
      <c r="V181" s="209"/>
      <c r="W181" s="209"/>
      <c r="X181" s="209"/>
      <c r="Y181" s="209"/>
      <c r="Z181" s="210"/>
      <c r="AB181" s="626">
        <f ca="1">IF(AND($D181="Serviço",AB$12&lt;&gt;0,$H181&gt;0,OR(AUTOEVENTO&lt;&gt;"manual",$M181&lt;&gt;1)),
IF(Import.TipoArredondamento&lt;&gt;"TransfereGOV",
ROUND(OFFSET($P181,0,AB$13),15-13*ORÇAMENTO!$AF$7)/$H181*OFFSET(ORÇAMENTO!$X$15,ROW(AB181)-ROW(AB$15),0),
ROUND(ROUND(OFFSET($P181,0,AB$13),15-13*ORÇAMENTO!$AF$7)*OFFSET(ORÇAMENTO!$W$15,ROW(AB181)-ROW(AB$15),0),15-13*ORÇAMENTO!$AF$11)),0)</f>
        <v>0</v>
      </c>
      <c r="AC181" s="627">
        <f ca="1">IF(AND($D181="Serviço",AC$12&lt;&gt;0,$H181&gt;0,OR(AUTOEVENTO&lt;&gt;"manual",$M181&lt;&gt;1)),
IF(Import.TipoArredondamento&lt;&gt;"TransfereGOV",
ROUND(OFFSET($P181,0,AC$13),15-13*ORÇAMENTO!$AF$7)/$H181*OFFSET(ORÇAMENTO!$X$15,ROW(AC181)-ROW(AC$15),0),
ROUND(ROUND(OFFSET($P181,0,AC$13),15-13*ORÇAMENTO!$AF$7)*OFFSET(ORÇAMENTO!$W$15,ROW(AC181)-ROW(AC$15),0),15-13*ORÇAMENTO!$AF$11)),0)</f>
        <v>0</v>
      </c>
      <c r="AD181" s="627">
        <f ca="1">IF(AND($D181="Serviço",AD$12&lt;&gt;0,$H181&gt;0,OR(AUTOEVENTO&lt;&gt;"manual",$M181&lt;&gt;1)),
IF(Import.TipoArredondamento&lt;&gt;"TransfereGOV",
ROUND(OFFSET($P181,0,AD$13),15-13*ORÇAMENTO!$AF$7)/$H181*OFFSET(ORÇAMENTO!$X$15,ROW(AD181)-ROW(AD$15),0),
ROUND(ROUND(OFFSET($P181,0,AD$13),15-13*ORÇAMENTO!$AF$7)*OFFSET(ORÇAMENTO!$W$15,ROW(AD181)-ROW(AD$15),0),15-13*ORÇAMENTO!$AF$11)),0)</f>
        <v>0</v>
      </c>
      <c r="AE181" s="627">
        <f ca="1">IF(AND($D181="Serviço",AE$12&lt;&gt;0,$H181&gt;0,OR(AUTOEVENTO&lt;&gt;"manual",$M181&lt;&gt;1)),
IF(Import.TipoArredondamento&lt;&gt;"TransfereGOV",
ROUND(OFFSET($P181,0,AE$13),15-13*ORÇAMENTO!$AF$7)/$H181*OFFSET(ORÇAMENTO!$X$15,ROW(AE181)-ROW(AE$15),0),
ROUND(ROUND(OFFSET($P181,0,AE$13),15-13*ORÇAMENTO!$AF$7)*OFFSET(ORÇAMENTO!$W$15,ROW(AE181)-ROW(AE$15),0),15-13*ORÇAMENTO!$AF$11)),0)</f>
        <v>0</v>
      </c>
      <c r="AF181" s="627">
        <f ca="1">IF(AND($D181="Serviço",AF$12&lt;&gt;0,$H181&gt;0,OR(AUTOEVENTO&lt;&gt;"manual",$M181&lt;&gt;1)),
IF(Import.TipoArredondamento&lt;&gt;"TransfereGOV",
ROUND(OFFSET($P181,0,AF$13),15-13*ORÇAMENTO!$AF$7)/$H181*OFFSET(ORÇAMENTO!$X$15,ROW(AF181)-ROW(AF$15),0),
ROUND(ROUND(OFFSET($P181,0,AF$13),15-13*ORÇAMENTO!$AF$7)*OFFSET(ORÇAMENTO!$W$15,ROW(AF181)-ROW(AF$15),0),15-13*ORÇAMENTO!$AF$11)),0)</f>
        <v>0</v>
      </c>
      <c r="AG181" s="627">
        <f ca="1">IF(AND($D181="Serviço",AG$12&lt;&gt;0,$H181&gt;0,OR(AUTOEVENTO&lt;&gt;"manual",$M181&lt;&gt;1)),
IF(Import.TipoArredondamento&lt;&gt;"TransfereGOV",
ROUND(OFFSET($P181,0,AG$13),15-13*ORÇAMENTO!$AF$7)/$H181*OFFSET(ORÇAMENTO!$X$15,ROW(AG181)-ROW(AG$15),0),
ROUND(ROUND(OFFSET($P181,0,AG$13),15-13*ORÇAMENTO!$AF$7)*OFFSET(ORÇAMENTO!$W$15,ROW(AG181)-ROW(AG$15),0),15-13*ORÇAMENTO!$AF$11)),0)</f>
        <v>0</v>
      </c>
      <c r="AH181" s="627">
        <f ca="1">IF(AND($D181="Serviço",AH$12&lt;&gt;0,$H181&gt;0,OR(AUTOEVENTO&lt;&gt;"manual",$M181&lt;&gt;1)),
IF(Import.TipoArredondamento&lt;&gt;"TransfereGOV",
ROUND(OFFSET($P181,0,AH$13),15-13*ORÇAMENTO!$AF$7)/$H181*OFFSET(ORÇAMENTO!$X$15,ROW(AH181)-ROW(AH$15),0),
ROUND(ROUND(OFFSET($P181,0,AH$13),15-13*ORÇAMENTO!$AF$7)*OFFSET(ORÇAMENTO!$W$15,ROW(AH181)-ROW(AH$15),0),15-13*ORÇAMENTO!$AF$11)),0)</f>
        <v>0</v>
      </c>
      <c r="AI181" s="627">
        <f ca="1">IF(AND($D181="Serviço",AI$12&lt;&gt;0,$H181&gt;0,OR(AUTOEVENTO&lt;&gt;"manual",$M181&lt;&gt;1)),
IF(Import.TipoArredondamento&lt;&gt;"TransfereGOV",
ROUND(OFFSET($P181,0,AI$13),15-13*ORÇAMENTO!$AF$7)/$H181*OFFSET(ORÇAMENTO!$X$15,ROW(AI181)-ROW(AI$15),0),
ROUND(ROUND(OFFSET($P181,0,AI$13),15-13*ORÇAMENTO!$AF$7)*OFFSET(ORÇAMENTO!$W$15,ROW(AI181)-ROW(AI$15),0),15-13*ORÇAMENTO!$AF$11)),0)</f>
        <v>0</v>
      </c>
      <c r="AJ181" s="627">
        <f ca="1">IF(AND($D181="Serviço",AJ$12&lt;&gt;0,$H181&gt;0,OR(AUTOEVENTO&lt;&gt;"manual",$M181&lt;&gt;1)),
IF(Import.TipoArredondamento&lt;&gt;"TransfereGOV",
ROUND(OFFSET($P181,0,AJ$13),15-13*ORÇAMENTO!$AF$7)/$H181*OFFSET(ORÇAMENTO!$X$15,ROW(AJ181)-ROW(AJ$15),0),
ROUND(ROUND(OFFSET($P181,0,AJ$13),15-13*ORÇAMENTO!$AF$7)*OFFSET(ORÇAMENTO!$W$15,ROW(AJ181)-ROW(AJ$15),0),15-13*ORÇAMENTO!$AF$11)),0)</f>
        <v>0</v>
      </c>
      <c r="AK181" s="628">
        <f ca="1">IF(AND($D181="Serviço",AK$12&lt;&gt;0,$H181&gt;0,OR(AUTOEVENTO&lt;&gt;"manual",$M181&lt;&gt;1)),
IF(Import.TipoArredondamento&lt;&gt;"TransfereGOV",
ROUND(OFFSET($P181,0,AK$13),15-13*ORÇAMENTO!$AF$7)/$H181*OFFSET(ORÇAMENTO!$X$15,ROW(AK181)-ROW(AK$15),0),
ROUND(ROUND(OFFSET($P181,0,AK$13),15-13*ORÇAMENTO!$AF$7)*OFFSET(ORÇAMENTO!$W$15,ROW(AK181)-ROW(AK$15),0),15-13*ORÇAMENTO!$AF$11)),0)</f>
        <v>0</v>
      </c>
      <c r="AM181" s="211">
        <f ca="1">IF($D181&lt;&gt;"Serviço",0,IF(AND(AUTOEVENTO="Manual",$M181=1),0,IF(OFFSET(CRONOPLE!$F$14,$M181,AM$13)="",10^12,OFFSET(CRONOPLE!$F$14,$M181,AM$13))))</f>
        <v>2</v>
      </c>
      <c r="AN181" s="211">
        <f ca="1">IF($D181&lt;&gt;"Serviço",0,IF(AND(AUTOEVENTO="Manual",$M181=1),0,IF(OFFSET(CRONOPLE!$F$14,$M181,AN$13)="",10^12,OFFSET(CRONOPLE!$F$14,$M181,AN$13))))</f>
        <v>1</v>
      </c>
      <c r="AO181" s="211">
        <f ca="1">IF($D181&lt;&gt;"Serviço",0,IF(AND(AUTOEVENTO="Manual",$M181=1),0,IF(OFFSET(CRONOPLE!$F$14,$M181,AO$13)="",10^12,OFFSET(CRONOPLE!$F$14,$M181,AO$13))))</f>
        <v>2</v>
      </c>
      <c r="AP181" s="211">
        <f ca="1">IF($D181&lt;&gt;"Serviço",0,IF(AND(AUTOEVENTO="Manual",$M181=1),0,IF(OFFSET(CRONOPLE!$F$14,$M181,AP$13)="",10^12,OFFSET(CRONOPLE!$F$14,$M181,AP$13))))</f>
        <v>2</v>
      </c>
      <c r="AQ181" s="211">
        <f ca="1">IF($D181&lt;&gt;"Serviço",0,IF(AND(AUTOEVENTO="Manual",$M181=1),0,IF(OFFSET(CRONOPLE!$F$14,$M181,AQ$13)="",10^12,OFFSET(CRONOPLE!$F$14,$M181,AQ$13))))</f>
        <v>1000000000000</v>
      </c>
      <c r="AR181" s="211">
        <f ca="1">IF($D181&lt;&gt;"Serviço",0,IF(AND(AUTOEVENTO="Manual",$M181=1),0,IF(OFFSET(CRONOPLE!$F$14,$M181,AR$13)="",10^12,OFFSET(CRONOPLE!$F$14,$M181,AR$13))))</f>
        <v>1000000000000</v>
      </c>
      <c r="AS181" s="211">
        <f ca="1">IF($D181&lt;&gt;"Serviço",0,IF(AND(AUTOEVENTO="Manual",$M181=1),0,IF(OFFSET(CRONOPLE!$F$14,$M181,AS$13)="",10^12,OFFSET(CRONOPLE!$F$14,$M181,AS$13))))</f>
        <v>1000000000000</v>
      </c>
      <c r="AT181" s="211">
        <f ca="1">IF($D181&lt;&gt;"Serviço",0,IF(AND(AUTOEVENTO="Manual",$M181=1),0,IF(OFFSET(CRONOPLE!$F$14,$M181,AT$13)="",10^12,OFFSET(CRONOPLE!$F$14,$M181,AT$13))))</f>
        <v>1000000000000</v>
      </c>
      <c r="AU181" s="211">
        <f ca="1">IF($D181&lt;&gt;"Serviço",0,IF(AND(AUTOEVENTO="Manual",$M181=1),0,IF(OFFSET(CRONOPLE!$F$14,$M181,AU$13)="",10^12,OFFSET(CRONOPLE!$F$14,$M181,AU$13))))</f>
        <v>1000000000000</v>
      </c>
      <c r="AV181" s="211">
        <f ca="1">IF($D181&lt;&gt;"Serviço",0,IF(AND(AUTOEVENTO="Manual",$M181=1),0,IF(OFFSET(CRONOPLE!$F$14,$M181,AV$13)="",10^12,OFFSET(CRONOPLE!$F$14,$M181,AV$13))))</f>
        <v>1000000000000</v>
      </c>
      <c r="AX181" s="212">
        <f ca="1">IF($D181&lt;&gt;"Serviço",0,IF(OR(AND(AUTOEVENTO="Manual",$M181=1),$M181&gt;(ROW(PLE.lastrow)-ROW(PLE.firstrow))),0,IF(OFFSET(PLE!$G$14,$M181,AX$13)="",10^12,OFFSET(PLE!$G$14,$M181,AX$13))))</f>
        <v>1000000000000</v>
      </c>
      <c r="AY181" s="212">
        <f ca="1">IF($D181&lt;&gt;"Serviço",0,IF(OR(AND(AUTOEVENTO="Manual",$M181=1),$M181&gt;(ROW(PLE.lastrow)-ROW(PLE.firstrow))),0,IF(OFFSET(PLE!$G$14,$M181,AY$13)="",10^12,OFFSET(PLE!$G$14,$M181,AY$13))))</f>
        <v>1000000000000</v>
      </c>
      <c r="AZ181" s="212">
        <f ca="1">IF($D181&lt;&gt;"Serviço",0,IF(OR(AND(AUTOEVENTO="Manual",$M181=1),$M181&gt;(ROW(PLE.lastrow)-ROW(PLE.firstrow))),0,IF(OFFSET(PLE!$G$14,$M181,AZ$13)="",10^12,OFFSET(PLE!$G$14,$M181,AZ$13))))</f>
        <v>1000000000000</v>
      </c>
      <c r="BA181" s="212">
        <f ca="1">IF($D181&lt;&gt;"Serviço",0,IF(OR(AND(AUTOEVENTO="Manual",$M181=1),$M181&gt;(ROW(PLE.lastrow)-ROW(PLE.firstrow))),0,IF(OFFSET(PLE!$G$14,$M181,BA$13)="",10^12,OFFSET(PLE!$G$14,$M181,BA$13))))</f>
        <v>1000000000000</v>
      </c>
      <c r="BB181" s="212">
        <f ca="1">IF($D181&lt;&gt;"Serviço",0,IF(OR(AND(AUTOEVENTO="Manual",$M181=1),$M181&gt;(ROW(PLE.lastrow)-ROW(PLE.firstrow))),0,IF(OFFSET(PLE!$G$14,$M181,BB$13)="",10^12,OFFSET(PLE!$G$14,$M181,BB$13))))</f>
        <v>1000000000000</v>
      </c>
      <c r="BC181" s="212">
        <f ca="1">IF($D181&lt;&gt;"Serviço",0,IF(OR(AND(AUTOEVENTO="Manual",$M181=1),$M181&gt;(ROW(PLE.lastrow)-ROW(PLE.firstrow))),0,IF(OFFSET(PLE!$G$14,$M181,BC$13)="",10^12,OFFSET(PLE!$G$14,$M181,BC$13))))</f>
        <v>1000000000000</v>
      </c>
      <c r="BD181" s="212">
        <f ca="1">IF($D181&lt;&gt;"Serviço",0,IF(OR(AND(AUTOEVENTO="Manual",$M181=1),$M181&gt;(ROW(PLE.lastrow)-ROW(PLE.firstrow))),0,IF(OFFSET(PLE!$G$14,$M181,BD$13)="",10^12,OFFSET(PLE!$G$14,$M181,BD$13))))</f>
        <v>1000000000000</v>
      </c>
      <c r="BE181" s="212">
        <f ca="1">IF($D181&lt;&gt;"Serviço",0,IF(OR(AND(AUTOEVENTO="Manual",$M181=1),$M181&gt;(ROW(PLE.lastrow)-ROW(PLE.firstrow))),0,IF(OFFSET(PLE!$G$14,$M181,BE$13)="",10^12,OFFSET(PLE!$G$14,$M181,BE$13))))</f>
        <v>1000000000000</v>
      </c>
      <c r="BF181" s="212">
        <f ca="1">IF($D181&lt;&gt;"Serviço",0,IF(OR(AND(AUTOEVENTO="Manual",$M181=1),$M181&gt;(ROW(PLE.lastrow)-ROW(PLE.firstrow))),0,IF(OFFSET(PLE!$G$14,$M181,BF$13)="",10^12,OFFSET(PLE!$G$14,$M181,BF$13))))</f>
        <v>1000000000000</v>
      </c>
      <c r="BG181" s="212">
        <f ca="1">IF($D181&lt;&gt;"Serviço",0,IF(OR(AND(AUTOEVENTO="Manual",$M181=1),$M181&gt;(ROW(PLE.lastrow)-ROW(PLE.firstrow))),0,IF(OFFSET(PLE!$G$14,$M181,BG$13)="",10^12,OFFSET(PLE!$G$14,$M181,BG$13))))</f>
        <v>1000000000000</v>
      </c>
    </row>
    <row r="182" spans="1:59" ht="13.2">
      <c r="A182" s="9" t="str">
        <f t="shared" ca="1" si="11"/>
        <v>15</v>
      </c>
      <c r="B182" s="9" t="str">
        <f ca="1">OFFSET(ORÇAMENTO!C$15,ROW(B182)-ROW(B$15),0)</f>
        <v>S</v>
      </c>
      <c r="C182" s="9" t="str">
        <f ca="1">OFFSET(ORÇAMENTO!L$15,ROW(C182)-ROW(C$15),0)</f>
        <v/>
      </c>
      <c r="D182" s="141" t="str">
        <f ca="1">OFFSET(ORÇAMENTO!N$15,ROW(D182)-ROW(D$15),0)</f>
        <v>Serviço</v>
      </c>
      <c r="E182" s="201" t="str">
        <f ca="1">OFFSET(ORÇAMENTO!O$15,ROW(E182)-ROW(E$15),0)</f>
        <v>-</v>
      </c>
      <c r="F182" s="202" t="str">
        <f ca="1">OFFSET(ORÇAMENTO!R$15,ROW(F182)-ROW(F$15),0)</f>
        <v>(abra o arquivo 'Referência 11-2024.xlsm)</v>
      </c>
      <c r="G182" s="203" t="str">
        <f ca="1">IF($D182&lt;&gt;"Serviço","",OFFSET(ORÇAMENTO!S$15,ROW(G182)-ROW(G$15),0))</f>
        <v>-</v>
      </c>
      <c r="H182" s="147">
        <f ca="1">IF($D182&lt;&gt;"Serviço",0,IF(ACOMPANHAMENTO="BM",ROUND(OFFSET(ORÇAMENTO!AJ$15,ROW(H182)-ROW(H$15),0),15-13*ORÇAMENTO!$AF$7),SUMPRODUCT(($Q$12:$AA$12&lt;&gt;"")*ROUND($Q182:$AA182,15-13*ORÇAMENTO!$AF$7))))</f>
        <v>0</v>
      </c>
      <c r="I182" s="645"/>
      <c r="K182" s="204"/>
      <c r="L182" s="205" t="s">
        <v>255</v>
      </c>
      <c r="M182" s="206">
        <f ca="1">IF($D182&lt;&gt;"Serviço","",IF(AUTOEVENTO="manual",$A182,IF(ISERROR(MATCH($A182,$A$15:OFFSET($A182,-1,0),0)),MAX($M$15:OFFSET(M182,-1,0))+1,INDEX($M$15:OFFSET(M182,-1,0),MATCH($A182,$A$15:OFFSET($A182,-1,0),0)))))</f>
        <v>6</v>
      </c>
      <c r="N182" s="207" t="str">
        <f ca="1">IF($D182&lt;&gt;"Serviço","",IF(AUTOEVENTO="Manual",IF($A182=0,"&lt;-- defina o número do agrupador",OFFSET(EVENTOS!$D$14,$A182,0)),OFFSET($F$15,$A182,0)))</f>
        <v>DRENAGEM</v>
      </c>
      <c r="O182" s="208"/>
      <c r="Q182" s="208"/>
      <c r="R182" s="209"/>
      <c r="S182" s="209"/>
      <c r="T182" s="209"/>
      <c r="U182" s="209"/>
      <c r="V182" s="209"/>
      <c r="W182" s="209"/>
      <c r="X182" s="209"/>
      <c r="Y182" s="209"/>
      <c r="Z182" s="210"/>
      <c r="AB182" s="626">
        <f ca="1">IF(AND($D182="Serviço",AB$12&lt;&gt;0,$H182&gt;0,OR(AUTOEVENTO&lt;&gt;"manual",$M182&lt;&gt;1)),
IF(Import.TipoArredondamento&lt;&gt;"TransfereGOV",
ROUND(OFFSET($P182,0,AB$13),15-13*ORÇAMENTO!$AF$7)/$H182*OFFSET(ORÇAMENTO!$X$15,ROW(AB182)-ROW(AB$15),0),
ROUND(ROUND(OFFSET($P182,0,AB$13),15-13*ORÇAMENTO!$AF$7)*OFFSET(ORÇAMENTO!$W$15,ROW(AB182)-ROW(AB$15),0),15-13*ORÇAMENTO!$AF$11)),0)</f>
        <v>0</v>
      </c>
      <c r="AC182" s="627">
        <f ca="1">IF(AND($D182="Serviço",AC$12&lt;&gt;0,$H182&gt;0,OR(AUTOEVENTO&lt;&gt;"manual",$M182&lt;&gt;1)),
IF(Import.TipoArredondamento&lt;&gt;"TransfereGOV",
ROUND(OFFSET($P182,0,AC$13),15-13*ORÇAMENTO!$AF$7)/$H182*OFFSET(ORÇAMENTO!$X$15,ROW(AC182)-ROW(AC$15),0),
ROUND(ROUND(OFFSET($P182,0,AC$13),15-13*ORÇAMENTO!$AF$7)*OFFSET(ORÇAMENTO!$W$15,ROW(AC182)-ROW(AC$15),0),15-13*ORÇAMENTO!$AF$11)),0)</f>
        <v>0</v>
      </c>
      <c r="AD182" s="627">
        <f ca="1">IF(AND($D182="Serviço",AD$12&lt;&gt;0,$H182&gt;0,OR(AUTOEVENTO&lt;&gt;"manual",$M182&lt;&gt;1)),
IF(Import.TipoArredondamento&lt;&gt;"TransfereGOV",
ROUND(OFFSET($P182,0,AD$13),15-13*ORÇAMENTO!$AF$7)/$H182*OFFSET(ORÇAMENTO!$X$15,ROW(AD182)-ROW(AD$15),0),
ROUND(ROUND(OFFSET($P182,0,AD$13),15-13*ORÇAMENTO!$AF$7)*OFFSET(ORÇAMENTO!$W$15,ROW(AD182)-ROW(AD$15),0),15-13*ORÇAMENTO!$AF$11)),0)</f>
        <v>0</v>
      </c>
      <c r="AE182" s="627">
        <f ca="1">IF(AND($D182="Serviço",AE$12&lt;&gt;0,$H182&gt;0,OR(AUTOEVENTO&lt;&gt;"manual",$M182&lt;&gt;1)),
IF(Import.TipoArredondamento&lt;&gt;"TransfereGOV",
ROUND(OFFSET($P182,0,AE$13),15-13*ORÇAMENTO!$AF$7)/$H182*OFFSET(ORÇAMENTO!$X$15,ROW(AE182)-ROW(AE$15),0),
ROUND(ROUND(OFFSET($P182,0,AE$13),15-13*ORÇAMENTO!$AF$7)*OFFSET(ORÇAMENTO!$W$15,ROW(AE182)-ROW(AE$15),0),15-13*ORÇAMENTO!$AF$11)),0)</f>
        <v>0</v>
      </c>
      <c r="AF182" s="627">
        <f ca="1">IF(AND($D182="Serviço",AF$12&lt;&gt;0,$H182&gt;0,OR(AUTOEVENTO&lt;&gt;"manual",$M182&lt;&gt;1)),
IF(Import.TipoArredondamento&lt;&gt;"TransfereGOV",
ROUND(OFFSET($P182,0,AF$13),15-13*ORÇAMENTO!$AF$7)/$H182*OFFSET(ORÇAMENTO!$X$15,ROW(AF182)-ROW(AF$15),0),
ROUND(ROUND(OFFSET($P182,0,AF$13),15-13*ORÇAMENTO!$AF$7)*OFFSET(ORÇAMENTO!$W$15,ROW(AF182)-ROW(AF$15),0),15-13*ORÇAMENTO!$AF$11)),0)</f>
        <v>0</v>
      </c>
      <c r="AG182" s="627">
        <f ca="1">IF(AND($D182="Serviço",AG$12&lt;&gt;0,$H182&gt;0,OR(AUTOEVENTO&lt;&gt;"manual",$M182&lt;&gt;1)),
IF(Import.TipoArredondamento&lt;&gt;"TransfereGOV",
ROUND(OFFSET($P182,0,AG$13),15-13*ORÇAMENTO!$AF$7)/$H182*OFFSET(ORÇAMENTO!$X$15,ROW(AG182)-ROW(AG$15),0),
ROUND(ROUND(OFFSET($P182,0,AG$13),15-13*ORÇAMENTO!$AF$7)*OFFSET(ORÇAMENTO!$W$15,ROW(AG182)-ROW(AG$15),0),15-13*ORÇAMENTO!$AF$11)),0)</f>
        <v>0</v>
      </c>
      <c r="AH182" s="627">
        <f ca="1">IF(AND($D182="Serviço",AH$12&lt;&gt;0,$H182&gt;0,OR(AUTOEVENTO&lt;&gt;"manual",$M182&lt;&gt;1)),
IF(Import.TipoArredondamento&lt;&gt;"TransfereGOV",
ROUND(OFFSET($P182,0,AH$13),15-13*ORÇAMENTO!$AF$7)/$H182*OFFSET(ORÇAMENTO!$X$15,ROW(AH182)-ROW(AH$15),0),
ROUND(ROUND(OFFSET($P182,0,AH$13),15-13*ORÇAMENTO!$AF$7)*OFFSET(ORÇAMENTO!$W$15,ROW(AH182)-ROW(AH$15),0),15-13*ORÇAMENTO!$AF$11)),0)</f>
        <v>0</v>
      </c>
      <c r="AI182" s="627">
        <f ca="1">IF(AND($D182="Serviço",AI$12&lt;&gt;0,$H182&gt;0,OR(AUTOEVENTO&lt;&gt;"manual",$M182&lt;&gt;1)),
IF(Import.TipoArredondamento&lt;&gt;"TransfereGOV",
ROUND(OFFSET($P182,0,AI$13),15-13*ORÇAMENTO!$AF$7)/$H182*OFFSET(ORÇAMENTO!$X$15,ROW(AI182)-ROW(AI$15),0),
ROUND(ROUND(OFFSET($P182,0,AI$13),15-13*ORÇAMENTO!$AF$7)*OFFSET(ORÇAMENTO!$W$15,ROW(AI182)-ROW(AI$15),0),15-13*ORÇAMENTO!$AF$11)),0)</f>
        <v>0</v>
      </c>
      <c r="AJ182" s="627">
        <f ca="1">IF(AND($D182="Serviço",AJ$12&lt;&gt;0,$H182&gt;0,OR(AUTOEVENTO&lt;&gt;"manual",$M182&lt;&gt;1)),
IF(Import.TipoArredondamento&lt;&gt;"TransfereGOV",
ROUND(OFFSET($P182,0,AJ$13),15-13*ORÇAMENTO!$AF$7)/$H182*OFFSET(ORÇAMENTO!$X$15,ROW(AJ182)-ROW(AJ$15),0),
ROUND(ROUND(OFFSET($P182,0,AJ$13),15-13*ORÇAMENTO!$AF$7)*OFFSET(ORÇAMENTO!$W$15,ROW(AJ182)-ROW(AJ$15),0),15-13*ORÇAMENTO!$AF$11)),0)</f>
        <v>0</v>
      </c>
      <c r="AK182" s="628">
        <f ca="1">IF(AND($D182="Serviço",AK$12&lt;&gt;0,$H182&gt;0,OR(AUTOEVENTO&lt;&gt;"manual",$M182&lt;&gt;1)),
IF(Import.TipoArredondamento&lt;&gt;"TransfereGOV",
ROUND(OFFSET($P182,0,AK$13),15-13*ORÇAMENTO!$AF$7)/$H182*OFFSET(ORÇAMENTO!$X$15,ROW(AK182)-ROW(AK$15),0),
ROUND(ROUND(OFFSET($P182,0,AK$13),15-13*ORÇAMENTO!$AF$7)*OFFSET(ORÇAMENTO!$W$15,ROW(AK182)-ROW(AK$15),0),15-13*ORÇAMENTO!$AF$11)),0)</f>
        <v>0</v>
      </c>
      <c r="AM182" s="211">
        <f ca="1">IF($D182&lt;&gt;"Serviço",0,IF(AND(AUTOEVENTO="Manual",$M182=1),0,IF(OFFSET(CRONOPLE!$F$14,$M182,AM$13)="",10^12,OFFSET(CRONOPLE!$F$14,$M182,AM$13))))</f>
        <v>2</v>
      </c>
      <c r="AN182" s="211">
        <f ca="1">IF($D182&lt;&gt;"Serviço",0,IF(AND(AUTOEVENTO="Manual",$M182=1),0,IF(OFFSET(CRONOPLE!$F$14,$M182,AN$13)="",10^12,OFFSET(CRONOPLE!$F$14,$M182,AN$13))))</f>
        <v>1</v>
      </c>
      <c r="AO182" s="211">
        <f ca="1">IF($D182&lt;&gt;"Serviço",0,IF(AND(AUTOEVENTO="Manual",$M182=1),0,IF(OFFSET(CRONOPLE!$F$14,$M182,AO$13)="",10^12,OFFSET(CRONOPLE!$F$14,$M182,AO$13))))</f>
        <v>2</v>
      </c>
      <c r="AP182" s="211">
        <f ca="1">IF($D182&lt;&gt;"Serviço",0,IF(AND(AUTOEVENTO="Manual",$M182=1),0,IF(OFFSET(CRONOPLE!$F$14,$M182,AP$13)="",10^12,OFFSET(CRONOPLE!$F$14,$M182,AP$13))))</f>
        <v>2</v>
      </c>
      <c r="AQ182" s="211">
        <f ca="1">IF($D182&lt;&gt;"Serviço",0,IF(AND(AUTOEVENTO="Manual",$M182=1),0,IF(OFFSET(CRONOPLE!$F$14,$M182,AQ$13)="",10^12,OFFSET(CRONOPLE!$F$14,$M182,AQ$13))))</f>
        <v>1000000000000</v>
      </c>
      <c r="AR182" s="211">
        <f ca="1">IF($D182&lt;&gt;"Serviço",0,IF(AND(AUTOEVENTO="Manual",$M182=1),0,IF(OFFSET(CRONOPLE!$F$14,$M182,AR$13)="",10^12,OFFSET(CRONOPLE!$F$14,$M182,AR$13))))</f>
        <v>1000000000000</v>
      </c>
      <c r="AS182" s="211">
        <f ca="1">IF($D182&lt;&gt;"Serviço",0,IF(AND(AUTOEVENTO="Manual",$M182=1),0,IF(OFFSET(CRONOPLE!$F$14,$M182,AS$13)="",10^12,OFFSET(CRONOPLE!$F$14,$M182,AS$13))))</f>
        <v>1000000000000</v>
      </c>
      <c r="AT182" s="211">
        <f ca="1">IF($D182&lt;&gt;"Serviço",0,IF(AND(AUTOEVENTO="Manual",$M182=1),0,IF(OFFSET(CRONOPLE!$F$14,$M182,AT$13)="",10^12,OFFSET(CRONOPLE!$F$14,$M182,AT$13))))</f>
        <v>1000000000000</v>
      </c>
      <c r="AU182" s="211">
        <f ca="1">IF($D182&lt;&gt;"Serviço",0,IF(AND(AUTOEVENTO="Manual",$M182=1),0,IF(OFFSET(CRONOPLE!$F$14,$M182,AU$13)="",10^12,OFFSET(CRONOPLE!$F$14,$M182,AU$13))))</f>
        <v>1000000000000</v>
      </c>
      <c r="AV182" s="211">
        <f ca="1">IF($D182&lt;&gt;"Serviço",0,IF(AND(AUTOEVENTO="Manual",$M182=1),0,IF(OFFSET(CRONOPLE!$F$14,$M182,AV$13)="",10^12,OFFSET(CRONOPLE!$F$14,$M182,AV$13))))</f>
        <v>1000000000000</v>
      </c>
      <c r="AX182" s="212">
        <f ca="1">IF($D182&lt;&gt;"Serviço",0,IF(OR(AND(AUTOEVENTO="Manual",$M182=1),$M182&gt;(ROW(PLE.lastrow)-ROW(PLE.firstrow))),0,IF(OFFSET(PLE!$G$14,$M182,AX$13)="",10^12,OFFSET(PLE!$G$14,$M182,AX$13))))</f>
        <v>1000000000000</v>
      </c>
      <c r="AY182" s="212">
        <f ca="1">IF($D182&lt;&gt;"Serviço",0,IF(OR(AND(AUTOEVENTO="Manual",$M182=1),$M182&gt;(ROW(PLE.lastrow)-ROW(PLE.firstrow))),0,IF(OFFSET(PLE!$G$14,$M182,AY$13)="",10^12,OFFSET(PLE!$G$14,$M182,AY$13))))</f>
        <v>1000000000000</v>
      </c>
      <c r="AZ182" s="212">
        <f ca="1">IF($D182&lt;&gt;"Serviço",0,IF(OR(AND(AUTOEVENTO="Manual",$M182=1),$M182&gt;(ROW(PLE.lastrow)-ROW(PLE.firstrow))),0,IF(OFFSET(PLE!$G$14,$M182,AZ$13)="",10^12,OFFSET(PLE!$G$14,$M182,AZ$13))))</f>
        <v>1000000000000</v>
      </c>
      <c r="BA182" s="212">
        <f ca="1">IF($D182&lt;&gt;"Serviço",0,IF(OR(AND(AUTOEVENTO="Manual",$M182=1),$M182&gt;(ROW(PLE.lastrow)-ROW(PLE.firstrow))),0,IF(OFFSET(PLE!$G$14,$M182,BA$13)="",10^12,OFFSET(PLE!$G$14,$M182,BA$13))))</f>
        <v>1000000000000</v>
      </c>
      <c r="BB182" s="212">
        <f ca="1">IF($D182&lt;&gt;"Serviço",0,IF(OR(AND(AUTOEVENTO="Manual",$M182=1),$M182&gt;(ROW(PLE.lastrow)-ROW(PLE.firstrow))),0,IF(OFFSET(PLE!$G$14,$M182,BB$13)="",10^12,OFFSET(PLE!$G$14,$M182,BB$13))))</f>
        <v>1000000000000</v>
      </c>
      <c r="BC182" s="212">
        <f ca="1">IF($D182&lt;&gt;"Serviço",0,IF(OR(AND(AUTOEVENTO="Manual",$M182=1),$M182&gt;(ROW(PLE.lastrow)-ROW(PLE.firstrow))),0,IF(OFFSET(PLE!$G$14,$M182,BC$13)="",10^12,OFFSET(PLE!$G$14,$M182,BC$13))))</f>
        <v>1000000000000</v>
      </c>
      <c r="BD182" s="212">
        <f ca="1">IF($D182&lt;&gt;"Serviço",0,IF(OR(AND(AUTOEVENTO="Manual",$M182=1),$M182&gt;(ROW(PLE.lastrow)-ROW(PLE.firstrow))),0,IF(OFFSET(PLE!$G$14,$M182,BD$13)="",10^12,OFFSET(PLE!$G$14,$M182,BD$13))))</f>
        <v>1000000000000</v>
      </c>
      <c r="BE182" s="212">
        <f ca="1">IF($D182&lt;&gt;"Serviço",0,IF(OR(AND(AUTOEVENTO="Manual",$M182=1),$M182&gt;(ROW(PLE.lastrow)-ROW(PLE.firstrow))),0,IF(OFFSET(PLE!$G$14,$M182,BE$13)="",10^12,OFFSET(PLE!$G$14,$M182,BE$13))))</f>
        <v>1000000000000</v>
      </c>
      <c r="BF182" s="212">
        <f ca="1">IF($D182&lt;&gt;"Serviço",0,IF(OR(AND(AUTOEVENTO="Manual",$M182=1),$M182&gt;(ROW(PLE.lastrow)-ROW(PLE.firstrow))),0,IF(OFFSET(PLE!$G$14,$M182,BF$13)="",10^12,OFFSET(PLE!$G$14,$M182,BF$13))))</f>
        <v>1000000000000</v>
      </c>
      <c r="BG182" s="212">
        <f ca="1">IF($D182&lt;&gt;"Serviço",0,IF(OR(AND(AUTOEVENTO="Manual",$M182=1),$M182&gt;(ROW(PLE.lastrow)-ROW(PLE.firstrow))),0,IF(OFFSET(PLE!$G$14,$M182,BG$13)="",10^12,OFFSET(PLE!$G$14,$M182,BG$13))))</f>
        <v>1000000000000</v>
      </c>
    </row>
    <row r="183" spans="1:59" ht="13.2">
      <c r="A183" s="9" t="str">
        <f t="shared" ca="1" si="11"/>
        <v>15</v>
      </c>
      <c r="B183" s="9" t="str">
        <f ca="1">OFFSET(ORÇAMENTO!C$15,ROW(B183)-ROW(B$15),0)</f>
        <v>S</v>
      </c>
      <c r="C183" s="9" t="str">
        <f ca="1">OFFSET(ORÇAMENTO!L$15,ROW(C183)-ROW(C$15),0)</f>
        <v/>
      </c>
      <c r="D183" s="141" t="str">
        <f ca="1">OFFSET(ORÇAMENTO!N$15,ROW(D183)-ROW(D$15),0)</f>
        <v>Serviço</v>
      </c>
      <c r="E183" s="201" t="str">
        <f ca="1">OFFSET(ORÇAMENTO!O$15,ROW(E183)-ROW(E$15),0)</f>
        <v>-</v>
      </c>
      <c r="F183" s="202" t="str">
        <f ca="1">OFFSET(ORÇAMENTO!R$15,ROW(F183)-ROW(F$15),0)</f>
        <v>(abra o arquivo 'Referência 11-2024.xlsm)</v>
      </c>
      <c r="G183" s="203" t="str">
        <f ca="1">IF($D183&lt;&gt;"Serviço","",OFFSET(ORÇAMENTO!S$15,ROW(G183)-ROW(G$15),0))</f>
        <v>-</v>
      </c>
      <c r="H183" s="147">
        <f ca="1">IF($D183&lt;&gt;"Serviço",0,IF(ACOMPANHAMENTO="BM",ROUND(OFFSET(ORÇAMENTO!AJ$15,ROW(H183)-ROW(H$15),0),15-13*ORÇAMENTO!$AF$7),SUMPRODUCT(($Q$12:$AA$12&lt;&gt;"")*ROUND($Q183:$AA183,15-13*ORÇAMENTO!$AF$7))))</f>
        <v>0</v>
      </c>
      <c r="I183" s="645"/>
      <c r="K183" s="204"/>
      <c r="L183" s="205" t="s">
        <v>255</v>
      </c>
      <c r="M183" s="206">
        <f ca="1">IF($D183&lt;&gt;"Serviço","",IF(AUTOEVENTO="manual",$A183,IF(ISERROR(MATCH($A183,$A$15:OFFSET($A183,-1,0),0)),MAX($M$15:OFFSET(M183,-1,0))+1,INDEX($M$15:OFFSET(M183,-1,0),MATCH($A183,$A$15:OFFSET($A183,-1,0),0)))))</f>
        <v>6</v>
      </c>
      <c r="N183" s="207" t="str">
        <f ca="1">IF($D183&lt;&gt;"Serviço","",IF(AUTOEVENTO="Manual",IF($A183=0,"&lt;-- defina o número do agrupador",OFFSET(EVENTOS!$D$14,$A183,0)),OFFSET($F$15,$A183,0)))</f>
        <v>DRENAGEM</v>
      </c>
      <c r="O183" s="208"/>
      <c r="Q183" s="208"/>
      <c r="R183" s="209"/>
      <c r="S183" s="209"/>
      <c r="T183" s="209"/>
      <c r="U183" s="209"/>
      <c r="V183" s="209"/>
      <c r="W183" s="209"/>
      <c r="X183" s="209"/>
      <c r="Y183" s="209"/>
      <c r="Z183" s="210"/>
      <c r="AB183" s="626">
        <f ca="1">IF(AND($D183="Serviço",AB$12&lt;&gt;0,$H183&gt;0,OR(AUTOEVENTO&lt;&gt;"manual",$M183&lt;&gt;1)),
IF(Import.TipoArredondamento&lt;&gt;"TransfereGOV",
ROUND(OFFSET($P183,0,AB$13),15-13*ORÇAMENTO!$AF$7)/$H183*OFFSET(ORÇAMENTO!$X$15,ROW(AB183)-ROW(AB$15),0),
ROUND(ROUND(OFFSET($P183,0,AB$13),15-13*ORÇAMENTO!$AF$7)*OFFSET(ORÇAMENTO!$W$15,ROW(AB183)-ROW(AB$15),0),15-13*ORÇAMENTO!$AF$11)),0)</f>
        <v>0</v>
      </c>
      <c r="AC183" s="627">
        <f ca="1">IF(AND($D183="Serviço",AC$12&lt;&gt;0,$H183&gt;0,OR(AUTOEVENTO&lt;&gt;"manual",$M183&lt;&gt;1)),
IF(Import.TipoArredondamento&lt;&gt;"TransfereGOV",
ROUND(OFFSET($P183,0,AC$13),15-13*ORÇAMENTO!$AF$7)/$H183*OFFSET(ORÇAMENTO!$X$15,ROW(AC183)-ROW(AC$15),0),
ROUND(ROUND(OFFSET($P183,0,AC$13),15-13*ORÇAMENTO!$AF$7)*OFFSET(ORÇAMENTO!$W$15,ROW(AC183)-ROW(AC$15),0),15-13*ORÇAMENTO!$AF$11)),0)</f>
        <v>0</v>
      </c>
      <c r="AD183" s="627">
        <f ca="1">IF(AND($D183="Serviço",AD$12&lt;&gt;0,$H183&gt;0,OR(AUTOEVENTO&lt;&gt;"manual",$M183&lt;&gt;1)),
IF(Import.TipoArredondamento&lt;&gt;"TransfereGOV",
ROUND(OFFSET($P183,0,AD$13),15-13*ORÇAMENTO!$AF$7)/$H183*OFFSET(ORÇAMENTO!$X$15,ROW(AD183)-ROW(AD$15),0),
ROUND(ROUND(OFFSET($P183,0,AD$13),15-13*ORÇAMENTO!$AF$7)*OFFSET(ORÇAMENTO!$W$15,ROW(AD183)-ROW(AD$15),0),15-13*ORÇAMENTO!$AF$11)),0)</f>
        <v>0</v>
      </c>
      <c r="AE183" s="627">
        <f ca="1">IF(AND($D183="Serviço",AE$12&lt;&gt;0,$H183&gt;0,OR(AUTOEVENTO&lt;&gt;"manual",$M183&lt;&gt;1)),
IF(Import.TipoArredondamento&lt;&gt;"TransfereGOV",
ROUND(OFFSET($P183,0,AE$13),15-13*ORÇAMENTO!$AF$7)/$H183*OFFSET(ORÇAMENTO!$X$15,ROW(AE183)-ROW(AE$15),0),
ROUND(ROUND(OFFSET($P183,0,AE$13),15-13*ORÇAMENTO!$AF$7)*OFFSET(ORÇAMENTO!$W$15,ROW(AE183)-ROW(AE$15),0),15-13*ORÇAMENTO!$AF$11)),0)</f>
        <v>0</v>
      </c>
      <c r="AF183" s="627">
        <f ca="1">IF(AND($D183="Serviço",AF$12&lt;&gt;0,$H183&gt;0,OR(AUTOEVENTO&lt;&gt;"manual",$M183&lt;&gt;1)),
IF(Import.TipoArredondamento&lt;&gt;"TransfereGOV",
ROUND(OFFSET($P183,0,AF$13),15-13*ORÇAMENTO!$AF$7)/$H183*OFFSET(ORÇAMENTO!$X$15,ROW(AF183)-ROW(AF$15),0),
ROUND(ROUND(OFFSET($P183,0,AF$13),15-13*ORÇAMENTO!$AF$7)*OFFSET(ORÇAMENTO!$W$15,ROW(AF183)-ROW(AF$15),0),15-13*ORÇAMENTO!$AF$11)),0)</f>
        <v>0</v>
      </c>
      <c r="AG183" s="627">
        <f ca="1">IF(AND($D183="Serviço",AG$12&lt;&gt;0,$H183&gt;0,OR(AUTOEVENTO&lt;&gt;"manual",$M183&lt;&gt;1)),
IF(Import.TipoArredondamento&lt;&gt;"TransfereGOV",
ROUND(OFFSET($P183,0,AG$13),15-13*ORÇAMENTO!$AF$7)/$H183*OFFSET(ORÇAMENTO!$X$15,ROW(AG183)-ROW(AG$15),0),
ROUND(ROUND(OFFSET($P183,0,AG$13),15-13*ORÇAMENTO!$AF$7)*OFFSET(ORÇAMENTO!$W$15,ROW(AG183)-ROW(AG$15),0),15-13*ORÇAMENTO!$AF$11)),0)</f>
        <v>0</v>
      </c>
      <c r="AH183" s="627">
        <f ca="1">IF(AND($D183="Serviço",AH$12&lt;&gt;0,$H183&gt;0,OR(AUTOEVENTO&lt;&gt;"manual",$M183&lt;&gt;1)),
IF(Import.TipoArredondamento&lt;&gt;"TransfereGOV",
ROUND(OFFSET($P183,0,AH$13),15-13*ORÇAMENTO!$AF$7)/$H183*OFFSET(ORÇAMENTO!$X$15,ROW(AH183)-ROW(AH$15),0),
ROUND(ROUND(OFFSET($P183,0,AH$13),15-13*ORÇAMENTO!$AF$7)*OFFSET(ORÇAMENTO!$W$15,ROW(AH183)-ROW(AH$15),0),15-13*ORÇAMENTO!$AF$11)),0)</f>
        <v>0</v>
      </c>
      <c r="AI183" s="627">
        <f ca="1">IF(AND($D183="Serviço",AI$12&lt;&gt;0,$H183&gt;0,OR(AUTOEVENTO&lt;&gt;"manual",$M183&lt;&gt;1)),
IF(Import.TipoArredondamento&lt;&gt;"TransfereGOV",
ROUND(OFFSET($P183,0,AI$13),15-13*ORÇAMENTO!$AF$7)/$H183*OFFSET(ORÇAMENTO!$X$15,ROW(AI183)-ROW(AI$15),0),
ROUND(ROUND(OFFSET($P183,0,AI$13),15-13*ORÇAMENTO!$AF$7)*OFFSET(ORÇAMENTO!$W$15,ROW(AI183)-ROW(AI$15),0),15-13*ORÇAMENTO!$AF$11)),0)</f>
        <v>0</v>
      </c>
      <c r="AJ183" s="627">
        <f ca="1">IF(AND($D183="Serviço",AJ$12&lt;&gt;0,$H183&gt;0,OR(AUTOEVENTO&lt;&gt;"manual",$M183&lt;&gt;1)),
IF(Import.TipoArredondamento&lt;&gt;"TransfereGOV",
ROUND(OFFSET($P183,0,AJ$13),15-13*ORÇAMENTO!$AF$7)/$H183*OFFSET(ORÇAMENTO!$X$15,ROW(AJ183)-ROW(AJ$15),0),
ROUND(ROUND(OFFSET($P183,0,AJ$13),15-13*ORÇAMENTO!$AF$7)*OFFSET(ORÇAMENTO!$W$15,ROW(AJ183)-ROW(AJ$15),0),15-13*ORÇAMENTO!$AF$11)),0)</f>
        <v>0</v>
      </c>
      <c r="AK183" s="628">
        <f ca="1">IF(AND($D183="Serviço",AK$12&lt;&gt;0,$H183&gt;0,OR(AUTOEVENTO&lt;&gt;"manual",$M183&lt;&gt;1)),
IF(Import.TipoArredondamento&lt;&gt;"TransfereGOV",
ROUND(OFFSET($P183,0,AK$13),15-13*ORÇAMENTO!$AF$7)/$H183*OFFSET(ORÇAMENTO!$X$15,ROW(AK183)-ROW(AK$15),0),
ROUND(ROUND(OFFSET($P183,0,AK$13),15-13*ORÇAMENTO!$AF$7)*OFFSET(ORÇAMENTO!$W$15,ROW(AK183)-ROW(AK$15),0),15-13*ORÇAMENTO!$AF$11)),0)</f>
        <v>0</v>
      </c>
      <c r="AM183" s="211">
        <f ca="1">IF($D183&lt;&gt;"Serviço",0,IF(AND(AUTOEVENTO="Manual",$M183=1),0,IF(OFFSET(CRONOPLE!$F$14,$M183,AM$13)="",10^12,OFFSET(CRONOPLE!$F$14,$M183,AM$13))))</f>
        <v>2</v>
      </c>
      <c r="AN183" s="211">
        <f ca="1">IF($D183&lt;&gt;"Serviço",0,IF(AND(AUTOEVENTO="Manual",$M183=1),0,IF(OFFSET(CRONOPLE!$F$14,$M183,AN$13)="",10^12,OFFSET(CRONOPLE!$F$14,$M183,AN$13))))</f>
        <v>1</v>
      </c>
      <c r="AO183" s="211">
        <f ca="1">IF($D183&lt;&gt;"Serviço",0,IF(AND(AUTOEVENTO="Manual",$M183=1),0,IF(OFFSET(CRONOPLE!$F$14,$M183,AO$13)="",10^12,OFFSET(CRONOPLE!$F$14,$M183,AO$13))))</f>
        <v>2</v>
      </c>
      <c r="AP183" s="211">
        <f ca="1">IF($D183&lt;&gt;"Serviço",0,IF(AND(AUTOEVENTO="Manual",$M183=1),0,IF(OFFSET(CRONOPLE!$F$14,$M183,AP$13)="",10^12,OFFSET(CRONOPLE!$F$14,$M183,AP$13))))</f>
        <v>2</v>
      </c>
      <c r="AQ183" s="211">
        <f ca="1">IF($D183&lt;&gt;"Serviço",0,IF(AND(AUTOEVENTO="Manual",$M183=1),0,IF(OFFSET(CRONOPLE!$F$14,$M183,AQ$13)="",10^12,OFFSET(CRONOPLE!$F$14,$M183,AQ$13))))</f>
        <v>1000000000000</v>
      </c>
      <c r="AR183" s="211">
        <f ca="1">IF($D183&lt;&gt;"Serviço",0,IF(AND(AUTOEVENTO="Manual",$M183=1),0,IF(OFFSET(CRONOPLE!$F$14,$M183,AR$13)="",10^12,OFFSET(CRONOPLE!$F$14,$M183,AR$13))))</f>
        <v>1000000000000</v>
      </c>
      <c r="AS183" s="211">
        <f ca="1">IF($D183&lt;&gt;"Serviço",0,IF(AND(AUTOEVENTO="Manual",$M183=1),0,IF(OFFSET(CRONOPLE!$F$14,$M183,AS$13)="",10^12,OFFSET(CRONOPLE!$F$14,$M183,AS$13))))</f>
        <v>1000000000000</v>
      </c>
      <c r="AT183" s="211">
        <f ca="1">IF($D183&lt;&gt;"Serviço",0,IF(AND(AUTOEVENTO="Manual",$M183=1),0,IF(OFFSET(CRONOPLE!$F$14,$M183,AT$13)="",10^12,OFFSET(CRONOPLE!$F$14,$M183,AT$13))))</f>
        <v>1000000000000</v>
      </c>
      <c r="AU183" s="211">
        <f ca="1">IF($D183&lt;&gt;"Serviço",0,IF(AND(AUTOEVENTO="Manual",$M183=1),0,IF(OFFSET(CRONOPLE!$F$14,$M183,AU$13)="",10^12,OFFSET(CRONOPLE!$F$14,$M183,AU$13))))</f>
        <v>1000000000000</v>
      </c>
      <c r="AV183" s="211">
        <f ca="1">IF($D183&lt;&gt;"Serviço",0,IF(AND(AUTOEVENTO="Manual",$M183=1),0,IF(OFFSET(CRONOPLE!$F$14,$M183,AV$13)="",10^12,OFFSET(CRONOPLE!$F$14,$M183,AV$13))))</f>
        <v>1000000000000</v>
      </c>
      <c r="AX183" s="212">
        <f ca="1">IF($D183&lt;&gt;"Serviço",0,IF(OR(AND(AUTOEVENTO="Manual",$M183=1),$M183&gt;(ROW(PLE.lastrow)-ROW(PLE.firstrow))),0,IF(OFFSET(PLE!$G$14,$M183,AX$13)="",10^12,OFFSET(PLE!$G$14,$M183,AX$13))))</f>
        <v>1000000000000</v>
      </c>
      <c r="AY183" s="212">
        <f ca="1">IF($D183&lt;&gt;"Serviço",0,IF(OR(AND(AUTOEVENTO="Manual",$M183=1),$M183&gt;(ROW(PLE.lastrow)-ROW(PLE.firstrow))),0,IF(OFFSET(PLE!$G$14,$M183,AY$13)="",10^12,OFFSET(PLE!$G$14,$M183,AY$13))))</f>
        <v>1000000000000</v>
      </c>
      <c r="AZ183" s="212">
        <f ca="1">IF($D183&lt;&gt;"Serviço",0,IF(OR(AND(AUTOEVENTO="Manual",$M183=1),$M183&gt;(ROW(PLE.lastrow)-ROW(PLE.firstrow))),0,IF(OFFSET(PLE!$G$14,$M183,AZ$13)="",10^12,OFFSET(PLE!$G$14,$M183,AZ$13))))</f>
        <v>1000000000000</v>
      </c>
      <c r="BA183" s="212">
        <f ca="1">IF($D183&lt;&gt;"Serviço",0,IF(OR(AND(AUTOEVENTO="Manual",$M183=1),$M183&gt;(ROW(PLE.lastrow)-ROW(PLE.firstrow))),0,IF(OFFSET(PLE!$G$14,$M183,BA$13)="",10^12,OFFSET(PLE!$G$14,$M183,BA$13))))</f>
        <v>1000000000000</v>
      </c>
      <c r="BB183" s="212">
        <f ca="1">IF($D183&lt;&gt;"Serviço",0,IF(OR(AND(AUTOEVENTO="Manual",$M183=1),$M183&gt;(ROW(PLE.lastrow)-ROW(PLE.firstrow))),0,IF(OFFSET(PLE!$G$14,$M183,BB$13)="",10^12,OFFSET(PLE!$G$14,$M183,BB$13))))</f>
        <v>1000000000000</v>
      </c>
      <c r="BC183" s="212">
        <f ca="1">IF($D183&lt;&gt;"Serviço",0,IF(OR(AND(AUTOEVENTO="Manual",$M183=1),$M183&gt;(ROW(PLE.lastrow)-ROW(PLE.firstrow))),0,IF(OFFSET(PLE!$G$14,$M183,BC$13)="",10^12,OFFSET(PLE!$G$14,$M183,BC$13))))</f>
        <v>1000000000000</v>
      </c>
      <c r="BD183" s="212">
        <f ca="1">IF($D183&lt;&gt;"Serviço",0,IF(OR(AND(AUTOEVENTO="Manual",$M183=1),$M183&gt;(ROW(PLE.lastrow)-ROW(PLE.firstrow))),0,IF(OFFSET(PLE!$G$14,$M183,BD$13)="",10^12,OFFSET(PLE!$G$14,$M183,BD$13))))</f>
        <v>1000000000000</v>
      </c>
      <c r="BE183" s="212">
        <f ca="1">IF($D183&lt;&gt;"Serviço",0,IF(OR(AND(AUTOEVENTO="Manual",$M183=1),$M183&gt;(ROW(PLE.lastrow)-ROW(PLE.firstrow))),0,IF(OFFSET(PLE!$G$14,$M183,BE$13)="",10^12,OFFSET(PLE!$G$14,$M183,BE$13))))</f>
        <v>1000000000000</v>
      </c>
      <c r="BF183" s="212">
        <f ca="1">IF($D183&lt;&gt;"Serviço",0,IF(OR(AND(AUTOEVENTO="Manual",$M183=1),$M183&gt;(ROW(PLE.lastrow)-ROW(PLE.firstrow))),0,IF(OFFSET(PLE!$G$14,$M183,BF$13)="",10^12,OFFSET(PLE!$G$14,$M183,BF$13))))</f>
        <v>1000000000000</v>
      </c>
      <c r="BG183" s="212">
        <f ca="1">IF($D183&lt;&gt;"Serviço",0,IF(OR(AND(AUTOEVENTO="Manual",$M183=1),$M183&gt;(ROW(PLE.lastrow)-ROW(PLE.firstrow))),0,IF(OFFSET(PLE!$G$14,$M183,BG$13)="",10^12,OFFSET(PLE!$G$14,$M183,BG$13))))</f>
        <v>1000000000000</v>
      </c>
    </row>
    <row r="184" spans="1:59" ht="13.2">
      <c r="A184" s="9" t="str">
        <f t="shared" ca="1" si="11"/>
        <v>15</v>
      </c>
      <c r="B184" s="9" t="str">
        <f ca="1">OFFSET(ORÇAMENTO!C$15,ROW(B184)-ROW(B$15),0)</f>
        <v>S</v>
      </c>
      <c r="C184" s="9" t="str">
        <f ca="1">OFFSET(ORÇAMENTO!L$15,ROW(C184)-ROW(C$15),0)</f>
        <v/>
      </c>
      <c r="D184" s="141" t="str">
        <f ca="1">OFFSET(ORÇAMENTO!N$15,ROW(D184)-ROW(D$15),0)</f>
        <v>Serviço</v>
      </c>
      <c r="E184" s="201" t="str">
        <f ca="1">OFFSET(ORÇAMENTO!O$15,ROW(E184)-ROW(E$15),0)</f>
        <v>-</v>
      </c>
      <c r="F184" s="202" t="str">
        <f ca="1">OFFSET(ORÇAMENTO!R$15,ROW(F184)-ROW(F$15),0)</f>
        <v>(abra o arquivo 'Referência 11-2024.xlsm)</v>
      </c>
      <c r="G184" s="203" t="str">
        <f ca="1">IF($D184&lt;&gt;"Serviço","",OFFSET(ORÇAMENTO!S$15,ROW(G184)-ROW(G$15),0))</f>
        <v>-</v>
      </c>
      <c r="H184" s="147">
        <f ca="1">IF($D184&lt;&gt;"Serviço",0,IF(ACOMPANHAMENTO="BM",ROUND(OFFSET(ORÇAMENTO!AJ$15,ROW(H184)-ROW(H$15),0),15-13*ORÇAMENTO!$AF$7),SUMPRODUCT(($Q$12:$AA$12&lt;&gt;"")*ROUND($Q184:$AA184,15-13*ORÇAMENTO!$AF$7))))</f>
        <v>0</v>
      </c>
      <c r="I184" s="645"/>
      <c r="K184" s="204"/>
      <c r="L184" s="205" t="s">
        <v>255</v>
      </c>
      <c r="M184" s="206">
        <f ca="1">IF($D184&lt;&gt;"Serviço","",IF(AUTOEVENTO="manual",$A184,IF(ISERROR(MATCH($A184,$A$15:OFFSET($A184,-1,0),0)),MAX($M$15:OFFSET(M184,-1,0))+1,INDEX($M$15:OFFSET(M184,-1,0),MATCH($A184,$A$15:OFFSET($A184,-1,0),0)))))</f>
        <v>6</v>
      </c>
      <c r="N184" s="207" t="str">
        <f ca="1">IF($D184&lt;&gt;"Serviço","",IF(AUTOEVENTO="Manual",IF($A184=0,"&lt;-- defina o número do agrupador",OFFSET(EVENTOS!$D$14,$A184,0)),OFFSET($F$15,$A184,0)))</f>
        <v>DRENAGEM</v>
      </c>
      <c r="O184" s="208"/>
      <c r="Q184" s="208"/>
      <c r="R184" s="209"/>
      <c r="S184" s="209"/>
      <c r="T184" s="209"/>
      <c r="U184" s="209"/>
      <c r="V184" s="209"/>
      <c r="W184" s="209"/>
      <c r="X184" s="209"/>
      <c r="Y184" s="209"/>
      <c r="Z184" s="210"/>
      <c r="AB184" s="626">
        <f ca="1">IF(AND($D184="Serviço",AB$12&lt;&gt;0,$H184&gt;0,OR(AUTOEVENTO&lt;&gt;"manual",$M184&lt;&gt;1)),
IF(Import.TipoArredondamento&lt;&gt;"TransfereGOV",
ROUND(OFFSET($P184,0,AB$13),15-13*ORÇAMENTO!$AF$7)/$H184*OFFSET(ORÇAMENTO!$X$15,ROW(AB184)-ROW(AB$15),0),
ROUND(ROUND(OFFSET($P184,0,AB$13),15-13*ORÇAMENTO!$AF$7)*OFFSET(ORÇAMENTO!$W$15,ROW(AB184)-ROW(AB$15),0),15-13*ORÇAMENTO!$AF$11)),0)</f>
        <v>0</v>
      </c>
      <c r="AC184" s="627">
        <f ca="1">IF(AND($D184="Serviço",AC$12&lt;&gt;0,$H184&gt;0,OR(AUTOEVENTO&lt;&gt;"manual",$M184&lt;&gt;1)),
IF(Import.TipoArredondamento&lt;&gt;"TransfereGOV",
ROUND(OFFSET($P184,0,AC$13),15-13*ORÇAMENTO!$AF$7)/$H184*OFFSET(ORÇAMENTO!$X$15,ROW(AC184)-ROW(AC$15),0),
ROUND(ROUND(OFFSET($P184,0,AC$13),15-13*ORÇAMENTO!$AF$7)*OFFSET(ORÇAMENTO!$W$15,ROW(AC184)-ROW(AC$15),0),15-13*ORÇAMENTO!$AF$11)),0)</f>
        <v>0</v>
      </c>
      <c r="AD184" s="627">
        <f ca="1">IF(AND($D184="Serviço",AD$12&lt;&gt;0,$H184&gt;0,OR(AUTOEVENTO&lt;&gt;"manual",$M184&lt;&gt;1)),
IF(Import.TipoArredondamento&lt;&gt;"TransfereGOV",
ROUND(OFFSET($P184,0,AD$13),15-13*ORÇAMENTO!$AF$7)/$H184*OFFSET(ORÇAMENTO!$X$15,ROW(AD184)-ROW(AD$15),0),
ROUND(ROUND(OFFSET($P184,0,AD$13),15-13*ORÇAMENTO!$AF$7)*OFFSET(ORÇAMENTO!$W$15,ROW(AD184)-ROW(AD$15),0),15-13*ORÇAMENTO!$AF$11)),0)</f>
        <v>0</v>
      </c>
      <c r="AE184" s="627">
        <f ca="1">IF(AND($D184="Serviço",AE$12&lt;&gt;0,$H184&gt;0,OR(AUTOEVENTO&lt;&gt;"manual",$M184&lt;&gt;1)),
IF(Import.TipoArredondamento&lt;&gt;"TransfereGOV",
ROUND(OFFSET($P184,0,AE$13),15-13*ORÇAMENTO!$AF$7)/$H184*OFFSET(ORÇAMENTO!$X$15,ROW(AE184)-ROW(AE$15),0),
ROUND(ROUND(OFFSET($P184,0,AE$13),15-13*ORÇAMENTO!$AF$7)*OFFSET(ORÇAMENTO!$W$15,ROW(AE184)-ROW(AE$15),0),15-13*ORÇAMENTO!$AF$11)),0)</f>
        <v>0</v>
      </c>
      <c r="AF184" s="627">
        <f ca="1">IF(AND($D184="Serviço",AF$12&lt;&gt;0,$H184&gt;0,OR(AUTOEVENTO&lt;&gt;"manual",$M184&lt;&gt;1)),
IF(Import.TipoArredondamento&lt;&gt;"TransfereGOV",
ROUND(OFFSET($P184,0,AF$13),15-13*ORÇAMENTO!$AF$7)/$H184*OFFSET(ORÇAMENTO!$X$15,ROW(AF184)-ROW(AF$15),0),
ROUND(ROUND(OFFSET($P184,0,AF$13),15-13*ORÇAMENTO!$AF$7)*OFFSET(ORÇAMENTO!$W$15,ROW(AF184)-ROW(AF$15),0),15-13*ORÇAMENTO!$AF$11)),0)</f>
        <v>0</v>
      </c>
      <c r="AG184" s="627">
        <f ca="1">IF(AND($D184="Serviço",AG$12&lt;&gt;0,$H184&gt;0,OR(AUTOEVENTO&lt;&gt;"manual",$M184&lt;&gt;1)),
IF(Import.TipoArredondamento&lt;&gt;"TransfereGOV",
ROUND(OFFSET($P184,0,AG$13),15-13*ORÇAMENTO!$AF$7)/$H184*OFFSET(ORÇAMENTO!$X$15,ROW(AG184)-ROW(AG$15),0),
ROUND(ROUND(OFFSET($P184,0,AG$13),15-13*ORÇAMENTO!$AF$7)*OFFSET(ORÇAMENTO!$W$15,ROW(AG184)-ROW(AG$15),0),15-13*ORÇAMENTO!$AF$11)),0)</f>
        <v>0</v>
      </c>
      <c r="AH184" s="627">
        <f ca="1">IF(AND($D184="Serviço",AH$12&lt;&gt;0,$H184&gt;0,OR(AUTOEVENTO&lt;&gt;"manual",$M184&lt;&gt;1)),
IF(Import.TipoArredondamento&lt;&gt;"TransfereGOV",
ROUND(OFFSET($P184,0,AH$13),15-13*ORÇAMENTO!$AF$7)/$H184*OFFSET(ORÇAMENTO!$X$15,ROW(AH184)-ROW(AH$15),0),
ROUND(ROUND(OFFSET($P184,0,AH$13),15-13*ORÇAMENTO!$AF$7)*OFFSET(ORÇAMENTO!$W$15,ROW(AH184)-ROW(AH$15),0),15-13*ORÇAMENTO!$AF$11)),0)</f>
        <v>0</v>
      </c>
      <c r="AI184" s="627">
        <f ca="1">IF(AND($D184="Serviço",AI$12&lt;&gt;0,$H184&gt;0,OR(AUTOEVENTO&lt;&gt;"manual",$M184&lt;&gt;1)),
IF(Import.TipoArredondamento&lt;&gt;"TransfereGOV",
ROUND(OFFSET($P184,0,AI$13),15-13*ORÇAMENTO!$AF$7)/$H184*OFFSET(ORÇAMENTO!$X$15,ROW(AI184)-ROW(AI$15),0),
ROUND(ROUND(OFFSET($P184,0,AI$13),15-13*ORÇAMENTO!$AF$7)*OFFSET(ORÇAMENTO!$W$15,ROW(AI184)-ROW(AI$15),0),15-13*ORÇAMENTO!$AF$11)),0)</f>
        <v>0</v>
      </c>
      <c r="AJ184" s="627">
        <f ca="1">IF(AND($D184="Serviço",AJ$12&lt;&gt;0,$H184&gt;0,OR(AUTOEVENTO&lt;&gt;"manual",$M184&lt;&gt;1)),
IF(Import.TipoArredondamento&lt;&gt;"TransfereGOV",
ROUND(OFFSET($P184,0,AJ$13),15-13*ORÇAMENTO!$AF$7)/$H184*OFFSET(ORÇAMENTO!$X$15,ROW(AJ184)-ROW(AJ$15),0),
ROUND(ROUND(OFFSET($P184,0,AJ$13),15-13*ORÇAMENTO!$AF$7)*OFFSET(ORÇAMENTO!$W$15,ROW(AJ184)-ROW(AJ$15),0),15-13*ORÇAMENTO!$AF$11)),0)</f>
        <v>0</v>
      </c>
      <c r="AK184" s="628">
        <f ca="1">IF(AND($D184="Serviço",AK$12&lt;&gt;0,$H184&gt;0,OR(AUTOEVENTO&lt;&gt;"manual",$M184&lt;&gt;1)),
IF(Import.TipoArredondamento&lt;&gt;"TransfereGOV",
ROUND(OFFSET($P184,0,AK$13),15-13*ORÇAMENTO!$AF$7)/$H184*OFFSET(ORÇAMENTO!$X$15,ROW(AK184)-ROW(AK$15),0),
ROUND(ROUND(OFFSET($P184,0,AK$13),15-13*ORÇAMENTO!$AF$7)*OFFSET(ORÇAMENTO!$W$15,ROW(AK184)-ROW(AK$15),0),15-13*ORÇAMENTO!$AF$11)),0)</f>
        <v>0</v>
      </c>
      <c r="AM184" s="211">
        <f ca="1">IF($D184&lt;&gt;"Serviço",0,IF(AND(AUTOEVENTO="Manual",$M184=1),0,IF(OFFSET(CRONOPLE!$F$14,$M184,AM$13)="",10^12,OFFSET(CRONOPLE!$F$14,$M184,AM$13))))</f>
        <v>2</v>
      </c>
      <c r="AN184" s="211">
        <f ca="1">IF($D184&lt;&gt;"Serviço",0,IF(AND(AUTOEVENTO="Manual",$M184=1),0,IF(OFFSET(CRONOPLE!$F$14,$M184,AN$13)="",10^12,OFFSET(CRONOPLE!$F$14,$M184,AN$13))))</f>
        <v>1</v>
      </c>
      <c r="AO184" s="211">
        <f ca="1">IF($D184&lt;&gt;"Serviço",0,IF(AND(AUTOEVENTO="Manual",$M184=1),0,IF(OFFSET(CRONOPLE!$F$14,$M184,AO$13)="",10^12,OFFSET(CRONOPLE!$F$14,$M184,AO$13))))</f>
        <v>2</v>
      </c>
      <c r="AP184" s="211">
        <f ca="1">IF($D184&lt;&gt;"Serviço",0,IF(AND(AUTOEVENTO="Manual",$M184=1),0,IF(OFFSET(CRONOPLE!$F$14,$M184,AP$13)="",10^12,OFFSET(CRONOPLE!$F$14,$M184,AP$13))))</f>
        <v>2</v>
      </c>
      <c r="AQ184" s="211">
        <f ca="1">IF($D184&lt;&gt;"Serviço",0,IF(AND(AUTOEVENTO="Manual",$M184=1),0,IF(OFFSET(CRONOPLE!$F$14,$M184,AQ$13)="",10^12,OFFSET(CRONOPLE!$F$14,$M184,AQ$13))))</f>
        <v>1000000000000</v>
      </c>
      <c r="AR184" s="211">
        <f ca="1">IF($D184&lt;&gt;"Serviço",0,IF(AND(AUTOEVENTO="Manual",$M184=1),0,IF(OFFSET(CRONOPLE!$F$14,$M184,AR$13)="",10^12,OFFSET(CRONOPLE!$F$14,$M184,AR$13))))</f>
        <v>1000000000000</v>
      </c>
      <c r="AS184" s="211">
        <f ca="1">IF($D184&lt;&gt;"Serviço",0,IF(AND(AUTOEVENTO="Manual",$M184=1),0,IF(OFFSET(CRONOPLE!$F$14,$M184,AS$13)="",10^12,OFFSET(CRONOPLE!$F$14,$M184,AS$13))))</f>
        <v>1000000000000</v>
      </c>
      <c r="AT184" s="211">
        <f ca="1">IF($D184&lt;&gt;"Serviço",0,IF(AND(AUTOEVENTO="Manual",$M184=1),0,IF(OFFSET(CRONOPLE!$F$14,$M184,AT$13)="",10^12,OFFSET(CRONOPLE!$F$14,$M184,AT$13))))</f>
        <v>1000000000000</v>
      </c>
      <c r="AU184" s="211">
        <f ca="1">IF($D184&lt;&gt;"Serviço",0,IF(AND(AUTOEVENTO="Manual",$M184=1),0,IF(OFFSET(CRONOPLE!$F$14,$M184,AU$13)="",10^12,OFFSET(CRONOPLE!$F$14,$M184,AU$13))))</f>
        <v>1000000000000</v>
      </c>
      <c r="AV184" s="211">
        <f ca="1">IF($D184&lt;&gt;"Serviço",0,IF(AND(AUTOEVENTO="Manual",$M184=1),0,IF(OFFSET(CRONOPLE!$F$14,$M184,AV$13)="",10^12,OFFSET(CRONOPLE!$F$14,$M184,AV$13))))</f>
        <v>1000000000000</v>
      </c>
      <c r="AX184" s="212">
        <f ca="1">IF($D184&lt;&gt;"Serviço",0,IF(OR(AND(AUTOEVENTO="Manual",$M184=1),$M184&gt;(ROW(PLE.lastrow)-ROW(PLE.firstrow))),0,IF(OFFSET(PLE!$G$14,$M184,AX$13)="",10^12,OFFSET(PLE!$G$14,$M184,AX$13))))</f>
        <v>1000000000000</v>
      </c>
      <c r="AY184" s="212">
        <f ca="1">IF($D184&lt;&gt;"Serviço",0,IF(OR(AND(AUTOEVENTO="Manual",$M184=1),$M184&gt;(ROW(PLE.lastrow)-ROW(PLE.firstrow))),0,IF(OFFSET(PLE!$G$14,$M184,AY$13)="",10^12,OFFSET(PLE!$G$14,$M184,AY$13))))</f>
        <v>1000000000000</v>
      </c>
      <c r="AZ184" s="212">
        <f ca="1">IF($D184&lt;&gt;"Serviço",0,IF(OR(AND(AUTOEVENTO="Manual",$M184=1),$M184&gt;(ROW(PLE.lastrow)-ROW(PLE.firstrow))),0,IF(OFFSET(PLE!$G$14,$M184,AZ$13)="",10^12,OFFSET(PLE!$G$14,$M184,AZ$13))))</f>
        <v>1000000000000</v>
      </c>
      <c r="BA184" s="212">
        <f ca="1">IF($D184&lt;&gt;"Serviço",0,IF(OR(AND(AUTOEVENTO="Manual",$M184=1),$M184&gt;(ROW(PLE.lastrow)-ROW(PLE.firstrow))),0,IF(OFFSET(PLE!$G$14,$M184,BA$13)="",10^12,OFFSET(PLE!$G$14,$M184,BA$13))))</f>
        <v>1000000000000</v>
      </c>
      <c r="BB184" s="212">
        <f ca="1">IF($D184&lt;&gt;"Serviço",0,IF(OR(AND(AUTOEVENTO="Manual",$M184=1),$M184&gt;(ROW(PLE.lastrow)-ROW(PLE.firstrow))),0,IF(OFFSET(PLE!$G$14,$M184,BB$13)="",10^12,OFFSET(PLE!$G$14,$M184,BB$13))))</f>
        <v>1000000000000</v>
      </c>
      <c r="BC184" s="212">
        <f ca="1">IF($D184&lt;&gt;"Serviço",0,IF(OR(AND(AUTOEVENTO="Manual",$M184=1),$M184&gt;(ROW(PLE.lastrow)-ROW(PLE.firstrow))),0,IF(OFFSET(PLE!$G$14,$M184,BC$13)="",10^12,OFFSET(PLE!$G$14,$M184,BC$13))))</f>
        <v>1000000000000</v>
      </c>
      <c r="BD184" s="212">
        <f ca="1">IF($D184&lt;&gt;"Serviço",0,IF(OR(AND(AUTOEVENTO="Manual",$M184=1),$M184&gt;(ROW(PLE.lastrow)-ROW(PLE.firstrow))),0,IF(OFFSET(PLE!$G$14,$M184,BD$13)="",10^12,OFFSET(PLE!$G$14,$M184,BD$13))))</f>
        <v>1000000000000</v>
      </c>
      <c r="BE184" s="212">
        <f ca="1">IF($D184&lt;&gt;"Serviço",0,IF(OR(AND(AUTOEVENTO="Manual",$M184=1),$M184&gt;(ROW(PLE.lastrow)-ROW(PLE.firstrow))),0,IF(OFFSET(PLE!$G$14,$M184,BE$13)="",10^12,OFFSET(PLE!$G$14,$M184,BE$13))))</f>
        <v>1000000000000</v>
      </c>
      <c r="BF184" s="212">
        <f ca="1">IF($D184&lt;&gt;"Serviço",0,IF(OR(AND(AUTOEVENTO="Manual",$M184=1),$M184&gt;(ROW(PLE.lastrow)-ROW(PLE.firstrow))),0,IF(OFFSET(PLE!$G$14,$M184,BF$13)="",10^12,OFFSET(PLE!$G$14,$M184,BF$13))))</f>
        <v>1000000000000</v>
      </c>
      <c r="BG184" s="212">
        <f ca="1">IF($D184&lt;&gt;"Serviço",0,IF(OR(AND(AUTOEVENTO="Manual",$M184=1),$M184&gt;(ROW(PLE.lastrow)-ROW(PLE.firstrow))),0,IF(OFFSET(PLE!$G$14,$M184,BG$13)="",10^12,OFFSET(PLE!$G$14,$M184,BG$13))))</f>
        <v>1000000000000</v>
      </c>
    </row>
    <row r="185" spans="1:59" ht="13.2">
      <c r="A185" s="9" t="str">
        <f t="shared" ca="1" si="11"/>
        <v>15</v>
      </c>
      <c r="B185" s="9" t="str">
        <f ca="1">OFFSET(ORÇAMENTO!C$15,ROW(B185)-ROW(B$15),0)</f>
        <v>S</v>
      </c>
      <c r="C185" s="9" t="str">
        <f ca="1">OFFSET(ORÇAMENTO!L$15,ROW(C185)-ROW(C$15),0)</f>
        <v/>
      </c>
      <c r="D185" s="141" t="str">
        <f ca="1">OFFSET(ORÇAMENTO!N$15,ROW(D185)-ROW(D$15),0)</f>
        <v>Serviço</v>
      </c>
      <c r="E185" s="201" t="str">
        <f ca="1">OFFSET(ORÇAMENTO!O$15,ROW(E185)-ROW(E$15),0)</f>
        <v>-</v>
      </c>
      <c r="F185" s="202" t="str">
        <f ca="1">OFFSET(ORÇAMENTO!R$15,ROW(F185)-ROW(F$15),0)</f>
        <v>(abra o arquivo 'Referência 11-2024.xlsm)</v>
      </c>
      <c r="G185" s="203" t="str">
        <f ca="1">IF($D185&lt;&gt;"Serviço","",OFFSET(ORÇAMENTO!S$15,ROW(G185)-ROW(G$15),0))</f>
        <v>-</v>
      </c>
      <c r="H185" s="147">
        <f ca="1">IF($D185&lt;&gt;"Serviço",0,IF(ACOMPANHAMENTO="BM",ROUND(OFFSET(ORÇAMENTO!AJ$15,ROW(H185)-ROW(H$15),0),15-13*ORÇAMENTO!$AF$7),SUMPRODUCT(($Q$12:$AA$12&lt;&gt;"")*ROUND($Q185:$AA185,15-13*ORÇAMENTO!$AF$7))))</f>
        <v>0</v>
      </c>
      <c r="I185" s="645"/>
      <c r="K185" s="204"/>
      <c r="L185" s="205" t="s">
        <v>255</v>
      </c>
      <c r="M185" s="206">
        <f ca="1">IF($D185&lt;&gt;"Serviço","",IF(AUTOEVENTO="manual",$A185,IF(ISERROR(MATCH($A185,$A$15:OFFSET($A185,-1,0),0)),MAX($M$15:OFFSET(M185,-1,0))+1,INDEX($M$15:OFFSET(M185,-1,0),MATCH($A185,$A$15:OFFSET($A185,-1,0),0)))))</f>
        <v>6</v>
      </c>
      <c r="N185" s="207" t="str">
        <f ca="1">IF($D185&lt;&gt;"Serviço","",IF(AUTOEVENTO="Manual",IF($A185=0,"&lt;-- defina o número do agrupador",OFFSET(EVENTOS!$D$14,$A185,0)),OFFSET($F$15,$A185,0)))</f>
        <v>DRENAGEM</v>
      </c>
      <c r="O185" s="208"/>
      <c r="Q185" s="208"/>
      <c r="R185" s="209"/>
      <c r="S185" s="209"/>
      <c r="T185" s="209"/>
      <c r="U185" s="209"/>
      <c r="V185" s="209"/>
      <c r="W185" s="209"/>
      <c r="X185" s="209"/>
      <c r="Y185" s="209"/>
      <c r="Z185" s="210"/>
      <c r="AB185" s="626">
        <f ca="1">IF(AND($D185="Serviço",AB$12&lt;&gt;0,$H185&gt;0,OR(AUTOEVENTO&lt;&gt;"manual",$M185&lt;&gt;1)),
IF(Import.TipoArredondamento&lt;&gt;"TransfereGOV",
ROUND(OFFSET($P185,0,AB$13),15-13*ORÇAMENTO!$AF$7)/$H185*OFFSET(ORÇAMENTO!$X$15,ROW(AB185)-ROW(AB$15),0),
ROUND(ROUND(OFFSET($P185,0,AB$13),15-13*ORÇAMENTO!$AF$7)*OFFSET(ORÇAMENTO!$W$15,ROW(AB185)-ROW(AB$15),0),15-13*ORÇAMENTO!$AF$11)),0)</f>
        <v>0</v>
      </c>
      <c r="AC185" s="627">
        <f ca="1">IF(AND($D185="Serviço",AC$12&lt;&gt;0,$H185&gt;0,OR(AUTOEVENTO&lt;&gt;"manual",$M185&lt;&gt;1)),
IF(Import.TipoArredondamento&lt;&gt;"TransfereGOV",
ROUND(OFFSET($P185,0,AC$13),15-13*ORÇAMENTO!$AF$7)/$H185*OFFSET(ORÇAMENTO!$X$15,ROW(AC185)-ROW(AC$15),0),
ROUND(ROUND(OFFSET($P185,0,AC$13),15-13*ORÇAMENTO!$AF$7)*OFFSET(ORÇAMENTO!$W$15,ROW(AC185)-ROW(AC$15),0),15-13*ORÇAMENTO!$AF$11)),0)</f>
        <v>0</v>
      </c>
      <c r="AD185" s="627">
        <f ca="1">IF(AND($D185="Serviço",AD$12&lt;&gt;0,$H185&gt;0,OR(AUTOEVENTO&lt;&gt;"manual",$M185&lt;&gt;1)),
IF(Import.TipoArredondamento&lt;&gt;"TransfereGOV",
ROUND(OFFSET($P185,0,AD$13),15-13*ORÇAMENTO!$AF$7)/$H185*OFFSET(ORÇAMENTO!$X$15,ROW(AD185)-ROW(AD$15),0),
ROUND(ROUND(OFFSET($P185,0,AD$13),15-13*ORÇAMENTO!$AF$7)*OFFSET(ORÇAMENTO!$W$15,ROW(AD185)-ROW(AD$15),0),15-13*ORÇAMENTO!$AF$11)),0)</f>
        <v>0</v>
      </c>
      <c r="AE185" s="627">
        <f ca="1">IF(AND($D185="Serviço",AE$12&lt;&gt;0,$H185&gt;0,OR(AUTOEVENTO&lt;&gt;"manual",$M185&lt;&gt;1)),
IF(Import.TipoArredondamento&lt;&gt;"TransfereGOV",
ROUND(OFFSET($P185,0,AE$13),15-13*ORÇAMENTO!$AF$7)/$H185*OFFSET(ORÇAMENTO!$X$15,ROW(AE185)-ROW(AE$15),0),
ROUND(ROUND(OFFSET($P185,0,AE$13),15-13*ORÇAMENTO!$AF$7)*OFFSET(ORÇAMENTO!$W$15,ROW(AE185)-ROW(AE$15),0),15-13*ORÇAMENTO!$AF$11)),0)</f>
        <v>0</v>
      </c>
      <c r="AF185" s="627">
        <f ca="1">IF(AND($D185="Serviço",AF$12&lt;&gt;0,$H185&gt;0,OR(AUTOEVENTO&lt;&gt;"manual",$M185&lt;&gt;1)),
IF(Import.TipoArredondamento&lt;&gt;"TransfereGOV",
ROUND(OFFSET($P185,0,AF$13),15-13*ORÇAMENTO!$AF$7)/$H185*OFFSET(ORÇAMENTO!$X$15,ROW(AF185)-ROW(AF$15),0),
ROUND(ROUND(OFFSET($P185,0,AF$13),15-13*ORÇAMENTO!$AF$7)*OFFSET(ORÇAMENTO!$W$15,ROW(AF185)-ROW(AF$15),0),15-13*ORÇAMENTO!$AF$11)),0)</f>
        <v>0</v>
      </c>
      <c r="AG185" s="627">
        <f ca="1">IF(AND($D185="Serviço",AG$12&lt;&gt;0,$H185&gt;0,OR(AUTOEVENTO&lt;&gt;"manual",$M185&lt;&gt;1)),
IF(Import.TipoArredondamento&lt;&gt;"TransfereGOV",
ROUND(OFFSET($P185,0,AG$13),15-13*ORÇAMENTO!$AF$7)/$H185*OFFSET(ORÇAMENTO!$X$15,ROW(AG185)-ROW(AG$15),0),
ROUND(ROUND(OFFSET($P185,0,AG$13),15-13*ORÇAMENTO!$AF$7)*OFFSET(ORÇAMENTO!$W$15,ROW(AG185)-ROW(AG$15),0),15-13*ORÇAMENTO!$AF$11)),0)</f>
        <v>0</v>
      </c>
      <c r="AH185" s="627">
        <f ca="1">IF(AND($D185="Serviço",AH$12&lt;&gt;0,$H185&gt;0,OR(AUTOEVENTO&lt;&gt;"manual",$M185&lt;&gt;1)),
IF(Import.TipoArredondamento&lt;&gt;"TransfereGOV",
ROUND(OFFSET($P185,0,AH$13),15-13*ORÇAMENTO!$AF$7)/$H185*OFFSET(ORÇAMENTO!$X$15,ROW(AH185)-ROW(AH$15),0),
ROUND(ROUND(OFFSET($P185,0,AH$13),15-13*ORÇAMENTO!$AF$7)*OFFSET(ORÇAMENTO!$W$15,ROW(AH185)-ROW(AH$15),0),15-13*ORÇAMENTO!$AF$11)),0)</f>
        <v>0</v>
      </c>
      <c r="AI185" s="627">
        <f ca="1">IF(AND($D185="Serviço",AI$12&lt;&gt;0,$H185&gt;0,OR(AUTOEVENTO&lt;&gt;"manual",$M185&lt;&gt;1)),
IF(Import.TipoArredondamento&lt;&gt;"TransfereGOV",
ROUND(OFFSET($P185,0,AI$13),15-13*ORÇAMENTO!$AF$7)/$H185*OFFSET(ORÇAMENTO!$X$15,ROW(AI185)-ROW(AI$15),0),
ROUND(ROUND(OFFSET($P185,0,AI$13),15-13*ORÇAMENTO!$AF$7)*OFFSET(ORÇAMENTO!$W$15,ROW(AI185)-ROW(AI$15),0),15-13*ORÇAMENTO!$AF$11)),0)</f>
        <v>0</v>
      </c>
      <c r="AJ185" s="627">
        <f ca="1">IF(AND($D185="Serviço",AJ$12&lt;&gt;0,$H185&gt;0,OR(AUTOEVENTO&lt;&gt;"manual",$M185&lt;&gt;1)),
IF(Import.TipoArredondamento&lt;&gt;"TransfereGOV",
ROUND(OFFSET($P185,0,AJ$13),15-13*ORÇAMENTO!$AF$7)/$H185*OFFSET(ORÇAMENTO!$X$15,ROW(AJ185)-ROW(AJ$15),0),
ROUND(ROUND(OFFSET($P185,0,AJ$13),15-13*ORÇAMENTO!$AF$7)*OFFSET(ORÇAMENTO!$W$15,ROW(AJ185)-ROW(AJ$15),0),15-13*ORÇAMENTO!$AF$11)),0)</f>
        <v>0</v>
      </c>
      <c r="AK185" s="628">
        <f ca="1">IF(AND($D185="Serviço",AK$12&lt;&gt;0,$H185&gt;0,OR(AUTOEVENTO&lt;&gt;"manual",$M185&lt;&gt;1)),
IF(Import.TipoArredondamento&lt;&gt;"TransfereGOV",
ROUND(OFFSET($P185,0,AK$13),15-13*ORÇAMENTO!$AF$7)/$H185*OFFSET(ORÇAMENTO!$X$15,ROW(AK185)-ROW(AK$15),0),
ROUND(ROUND(OFFSET($P185,0,AK$13),15-13*ORÇAMENTO!$AF$7)*OFFSET(ORÇAMENTO!$W$15,ROW(AK185)-ROW(AK$15),0),15-13*ORÇAMENTO!$AF$11)),0)</f>
        <v>0</v>
      </c>
      <c r="AM185" s="211">
        <f ca="1">IF($D185&lt;&gt;"Serviço",0,IF(AND(AUTOEVENTO="Manual",$M185=1),0,IF(OFFSET(CRONOPLE!$F$14,$M185,AM$13)="",10^12,OFFSET(CRONOPLE!$F$14,$M185,AM$13))))</f>
        <v>2</v>
      </c>
      <c r="AN185" s="211">
        <f ca="1">IF($D185&lt;&gt;"Serviço",0,IF(AND(AUTOEVENTO="Manual",$M185=1),0,IF(OFFSET(CRONOPLE!$F$14,$M185,AN$13)="",10^12,OFFSET(CRONOPLE!$F$14,$M185,AN$13))))</f>
        <v>1</v>
      </c>
      <c r="AO185" s="211">
        <f ca="1">IF($D185&lt;&gt;"Serviço",0,IF(AND(AUTOEVENTO="Manual",$M185=1),0,IF(OFFSET(CRONOPLE!$F$14,$M185,AO$13)="",10^12,OFFSET(CRONOPLE!$F$14,$M185,AO$13))))</f>
        <v>2</v>
      </c>
      <c r="AP185" s="211">
        <f ca="1">IF($D185&lt;&gt;"Serviço",0,IF(AND(AUTOEVENTO="Manual",$M185=1),0,IF(OFFSET(CRONOPLE!$F$14,$M185,AP$13)="",10^12,OFFSET(CRONOPLE!$F$14,$M185,AP$13))))</f>
        <v>2</v>
      </c>
      <c r="AQ185" s="211">
        <f ca="1">IF($D185&lt;&gt;"Serviço",0,IF(AND(AUTOEVENTO="Manual",$M185=1),0,IF(OFFSET(CRONOPLE!$F$14,$M185,AQ$13)="",10^12,OFFSET(CRONOPLE!$F$14,$M185,AQ$13))))</f>
        <v>1000000000000</v>
      </c>
      <c r="AR185" s="211">
        <f ca="1">IF($D185&lt;&gt;"Serviço",0,IF(AND(AUTOEVENTO="Manual",$M185=1),0,IF(OFFSET(CRONOPLE!$F$14,$M185,AR$13)="",10^12,OFFSET(CRONOPLE!$F$14,$M185,AR$13))))</f>
        <v>1000000000000</v>
      </c>
      <c r="AS185" s="211">
        <f ca="1">IF($D185&lt;&gt;"Serviço",0,IF(AND(AUTOEVENTO="Manual",$M185=1),0,IF(OFFSET(CRONOPLE!$F$14,$M185,AS$13)="",10^12,OFFSET(CRONOPLE!$F$14,$M185,AS$13))))</f>
        <v>1000000000000</v>
      </c>
      <c r="AT185" s="211">
        <f ca="1">IF($D185&lt;&gt;"Serviço",0,IF(AND(AUTOEVENTO="Manual",$M185=1),0,IF(OFFSET(CRONOPLE!$F$14,$M185,AT$13)="",10^12,OFFSET(CRONOPLE!$F$14,$M185,AT$13))))</f>
        <v>1000000000000</v>
      </c>
      <c r="AU185" s="211">
        <f ca="1">IF($D185&lt;&gt;"Serviço",0,IF(AND(AUTOEVENTO="Manual",$M185=1),0,IF(OFFSET(CRONOPLE!$F$14,$M185,AU$13)="",10^12,OFFSET(CRONOPLE!$F$14,$M185,AU$13))))</f>
        <v>1000000000000</v>
      </c>
      <c r="AV185" s="211">
        <f ca="1">IF($D185&lt;&gt;"Serviço",0,IF(AND(AUTOEVENTO="Manual",$M185=1),0,IF(OFFSET(CRONOPLE!$F$14,$M185,AV$13)="",10^12,OFFSET(CRONOPLE!$F$14,$M185,AV$13))))</f>
        <v>1000000000000</v>
      </c>
      <c r="AX185" s="212">
        <f ca="1">IF($D185&lt;&gt;"Serviço",0,IF(OR(AND(AUTOEVENTO="Manual",$M185=1),$M185&gt;(ROW(PLE.lastrow)-ROW(PLE.firstrow))),0,IF(OFFSET(PLE!$G$14,$M185,AX$13)="",10^12,OFFSET(PLE!$G$14,$M185,AX$13))))</f>
        <v>1000000000000</v>
      </c>
      <c r="AY185" s="212">
        <f ca="1">IF($D185&lt;&gt;"Serviço",0,IF(OR(AND(AUTOEVENTO="Manual",$M185=1),$M185&gt;(ROW(PLE.lastrow)-ROW(PLE.firstrow))),0,IF(OFFSET(PLE!$G$14,$M185,AY$13)="",10^12,OFFSET(PLE!$G$14,$M185,AY$13))))</f>
        <v>1000000000000</v>
      </c>
      <c r="AZ185" s="212">
        <f ca="1">IF($D185&lt;&gt;"Serviço",0,IF(OR(AND(AUTOEVENTO="Manual",$M185=1),$M185&gt;(ROW(PLE.lastrow)-ROW(PLE.firstrow))),0,IF(OFFSET(PLE!$G$14,$M185,AZ$13)="",10^12,OFFSET(PLE!$G$14,$M185,AZ$13))))</f>
        <v>1000000000000</v>
      </c>
      <c r="BA185" s="212">
        <f ca="1">IF($D185&lt;&gt;"Serviço",0,IF(OR(AND(AUTOEVENTO="Manual",$M185=1),$M185&gt;(ROW(PLE.lastrow)-ROW(PLE.firstrow))),0,IF(OFFSET(PLE!$G$14,$M185,BA$13)="",10^12,OFFSET(PLE!$G$14,$M185,BA$13))))</f>
        <v>1000000000000</v>
      </c>
      <c r="BB185" s="212">
        <f ca="1">IF($D185&lt;&gt;"Serviço",0,IF(OR(AND(AUTOEVENTO="Manual",$M185=1),$M185&gt;(ROW(PLE.lastrow)-ROW(PLE.firstrow))),0,IF(OFFSET(PLE!$G$14,$M185,BB$13)="",10^12,OFFSET(PLE!$G$14,$M185,BB$13))))</f>
        <v>1000000000000</v>
      </c>
      <c r="BC185" s="212">
        <f ca="1">IF($D185&lt;&gt;"Serviço",0,IF(OR(AND(AUTOEVENTO="Manual",$M185=1),$M185&gt;(ROW(PLE.lastrow)-ROW(PLE.firstrow))),0,IF(OFFSET(PLE!$G$14,$M185,BC$13)="",10^12,OFFSET(PLE!$G$14,$M185,BC$13))))</f>
        <v>1000000000000</v>
      </c>
      <c r="BD185" s="212">
        <f ca="1">IF($D185&lt;&gt;"Serviço",0,IF(OR(AND(AUTOEVENTO="Manual",$M185=1),$M185&gt;(ROW(PLE.lastrow)-ROW(PLE.firstrow))),0,IF(OFFSET(PLE!$G$14,$M185,BD$13)="",10^12,OFFSET(PLE!$G$14,$M185,BD$13))))</f>
        <v>1000000000000</v>
      </c>
      <c r="BE185" s="212">
        <f ca="1">IF($D185&lt;&gt;"Serviço",0,IF(OR(AND(AUTOEVENTO="Manual",$M185=1),$M185&gt;(ROW(PLE.lastrow)-ROW(PLE.firstrow))),0,IF(OFFSET(PLE!$G$14,$M185,BE$13)="",10^12,OFFSET(PLE!$G$14,$M185,BE$13))))</f>
        <v>1000000000000</v>
      </c>
      <c r="BF185" s="212">
        <f ca="1">IF($D185&lt;&gt;"Serviço",0,IF(OR(AND(AUTOEVENTO="Manual",$M185=1),$M185&gt;(ROW(PLE.lastrow)-ROW(PLE.firstrow))),0,IF(OFFSET(PLE!$G$14,$M185,BF$13)="",10^12,OFFSET(PLE!$G$14,$M185,BF$13))))</f>
        <v>1000000000000</v>
      </c>
      <c r="BG185" s="212">
        <f ca="1">IF($D185&lt;&gt;"Serviço",0,IF(OR(AND(AUTOEVENTO="Manual",$M185=1),$M185&gt;(ROW(PLE.lastrow)-ROW(PLE.firstrow))),0,IF(OFFSET(PLE!$G$14,$M185,BG$13)="",10^12,OFFSET(PLE!$G$14,$M185,BG$13))))</f>
        <v>1000000000000</v>
      </c>
    </row>
    <row r="186" spans="1:59" ht="13.2">
      <c r="A186" s="9" t="str">
        <f t="shared" ca="1" si="11"/>
        <v>15</v>
      </c>
      <c r="B186" s="9" t="str">
        <f ca="1">OFFSET(ORÇAMENTO!C$15,ROW(B186)-ROW(B$15),0)</f>
        <v>S</v>
      </c>
      <c r="C186" s="9" t="str">
        <f ca="1">OFFSET(ORÇAMENTO!L$15,ROW(C186)-ROW(C$15),0)</f>
        <v/>
      </c>
      <c r="D186" s="141" t="str">
        <f ca="1">OFFSET(ORÇAMENTO!N$15,ROW(D186)-ROW(D$15),0)</f>
        <v>Serviço</v>
      </c>
      <c r="E186" s="201" t="str">
        <f ca="1">OFFSET(ORÇAMENTO!O$15,ROW(E186)-ROW(E$15),0)</f>
        <v>-</v>
      </c>
      <c r="F186" s="202" t="str">
        <f ca="1">OFFSET(ORÇAMENTO!R$15,ROW(F186)-ROW(F$15),0)</f>
        <v>(abra o arquivo 'Referência 11-2024.xlsm)</v>
      </c>
      <c r="G186" s="203" t="str">
        <f ca="1">IF($D186&lt;&gt;"Serviço","",OFFSET(ORÇAMENTO!S$15,ROW(G186)-ROW(G$15),0))</f>
        <v>-</v>
      </c>
      <c r="H186" s="147">
        <f ca="1">IF($D186&lt;&gt;"Serviço",0,IF(ACOMPANHAMENTO="BM",ROUND(OFFSET(ORÇAMENTO!AJ$15,ROW(H186)-ROW(H$15),0),15-13*ORÇAMENTO!$AF$7),SUMPRODUCT(($Q$12:$AA$12&lt;&gt;"")*ROUND($Q186:$AA186,15-13*ORÇAMENTO!$AF$7))))</f>
        <v>0</v>
      </c>
      <c r="I186" s="645"/>
      <c r="K186" s="204"/>
      <c r="L186" s="205" t="s">
        <v>255</v>
      </c>
      <c r="M186" s="206">
        <f ca="1">IF($D186&lt;&gt;"Serviço","",IF(AUTOEVENTO="manual",$A186,IF(ISERROR(MATCH($A186,$A$15:OFFSET($A186,-1,0),0)),MAX($M$15:OFFSET(M186,-1,0))+1,INDEX($M$15:OFFSET(M186,-1,0),MATCH($A186,$A$15:OFFSET($A186,-1,0),0)))))</f>
        <v>6</v>
      </c>
      <c r="N186" s="207" t="str">
        <f ca="1">IF($D186&lt;&gt;"Serviço","",IF(AUTOEVENTO="Manual",IF($A186=0,"&lt;-- defina o número do agrupador",OFFSET(EVENTOS!$D$14,$A186,0)),OFFSET($F$15,$A186,0)))</f>
        <v>DRENAGEM</v>
      </c>
      <c r="O186" s="208"/>
      <c r="Q186" s="208"/>
      <c r="R186" s="209"/>
      <c r="S186" s="209"/>
      <c r="T186" s="209"/>
      <c r="U186" s="209"/>
      <c r="V186" s="209"/>
      <c r="W186" s="209"/>
      <c r="X186" s="209"/>
      <c r="Y186" s="209"/>
      <c r="Z186" s="210"/>
      <c r="AB186" s="626">
        <f ca="1">IF(AND($D186="Serviço",AB$12&lt;&gt;0,$H186&gt;0,OR(AUTOEVENTO&lt;&gt;"manual",$M186&lt;&gt;1)),
IF(Import.TipoArredondamento&lt;&gt;"TransfereGOV",
ROUND(OFFSET($P186,0,AB$13),15-13*ORÇAMENTO!$AF$7)/$H186*OFFSET(ORÇAMENTO!$X$15,ROW(AB186)-ROW(AB$15),0),
ROUND(ROUND(OFFSET($P186,0,AB$13),15-13*ORÇAMENTO!$AF$7)*OFFSET(ORÇAMENTO!$W$15,ROW(AB186)-ROW(AB$15),0),15-13*ORÇAMENTO!$AF$11)),0)</f>
        <v>0</v>
      </c>
      <c r="AC186" s="627">
        <f ca="1">IF(AND($D186="Serviço",AC$12&lt;&gt;0,$H186&gt;0,OR(AUTOEVENTO&lt;&gt;"manual",$M186&lt;&gt;1)),
IF(Import.TipoArredondamento&lt;&gt;"TransfereGOV",
ROUND(OFFSET($P186,0,AC$13),15-13*ORÇAMENTO!$AF$7)/$H186*OFFSET(ORÇAMENTO!$X$15,ROW(AC186)-ROW(AC$15),0),
ROUND(ROUND(OFFSET($P186,0,AC$13),15-13*ORÇAMENTO!$AF$7)*OFFSET(ORÇAMENTO!$W$15,ROW(AC186)-ROW(AC$15),0),15-13*ORÇAMENTO!$AF$11)),0)</f>
        <v>0</v>
      </c>
      <c r="AD186" s="627">
        <f ca="1">IF(AND($D186="Serviço",AD$12&lt;&gt;0,$H186&gt;0,OR(AUTOEVENTO&lt;&gt;"manual",$M186&lt;&gt;1)),
IF(Import.TipoArredondamento&lt;&gt;"TransfereGOV",
ROUND(OFFSET($P186,0,AD$13),15-13*ORÇAMENTO!$AF$7)/$H186*OFFSET(ORÇAMENTO!$X$15,ROW(AD186)-ROW(AD$15),0),
ROUND(ROUND(OFFSET($P186,0,AD$13),15-13*ORÇAMENTO!$AF$7)*OFFSET(ORÇAMENTO!$W$15,ROW(AD186)-ROW(AD$15),0),15-13*ORÇAMENTO!$AF$11)),0)</f>
        <v>0</v>
      </c>
      <c r="AE186" s="627">
        <f ca="1">IF(AND($D186="Serviço",AE$12&lt;&gt;0,$H186&gt;0,OR(AUTOEVENTO&lt;&gt;"manual",$M186&lt;&gt;1)),
IF(Import.TipoArredondamento&lt;&gt;"TransfereGOV",
ROUND(OFFSET($P186,0,AE$13),15-13*ORÇAMENTO!$AF$7)/$H186*OFFSET(ORÇAMENTO!$X$15,ROW(AE186)-ROW(AE$15),0),
ROUND(ROUND(OFFSET($P186,0,AE$13),15-13*ORÇAMENTO!$AF$7)*OFFSET(ORÇAMENTO!$W$15,ROW(AE186)-ROW(AE$15),0),15-13*ORÇAMENTO!$AF$11)),0)</f>
        <v>0</v>
      </c>
      <c r="AF186" s="627">
        <f ca="1">IF(AND($D186="Serviço",AF$12&lt;&gt;0,$H186&gt;0,OR(AUTOEVENTO&lt;&gt;"manual",$M186&lt;&gt;1)),
IF(Import.TipoArredondamento&lt;&gt;"TransfereGOV",
ROUND(OFFSET($P186,0,AF$13),15-13*ORÇAMENTO!$AF$7)/$H186*OFFSET(ORÇAMENTO!$X$15,ROW(AF186)-ROW(AF$15),0),
ROUND(ROUND(OFFSET($P186,0,AF$13),15-13*ORÇAMENTO!$AF$7)*OFFSET(ORÇAMENTO!$W$15,ROW(AF186)-ROW(AF$15),0),15-13*ORÇAMENTO!$AF$11)),0)</f>
        <v>0</v>
      </c>
      <c r="AG186" s="627">
        <f ca="1">IF(AND($D186="Serviço",AG$12&lt;&gt;0,$H186&gt;0,OR(AUTOEVENTO&lt;&gt;"manual",$M186&lt;&gt;1)),
IF(Import.TipoArredondamento&lt;&gt;"TransfereGOV",
ROUND(OFFSET($P186,0,AG$13),15-13*ORÇAMENTO!$AF$7)/$H186*OFFSET(ORÇAMENTO!$X$15,ROW(AG186)-ROW(AG$15),0),
ROUND(ROUND(OFFSET($P186,0,AG$13),15-13*ORÇAMENTO!$AF$7)*OFFSET(ORÇAMENTO!$W$15,ROW(AG186)-ROW(AG$15),0),15-13*ORÇAMENTO!$AF$11)),0)</f>
        <v>0</v>
      </c>
      <c r="AH186" s="627">
        <f ca="1">IF(AND($D186="Serviço",AH$12&lt;&gt;0,$H186&gt;0,OR(AUTOEVENTO&lt;&gt;"manual",$M186&lt;&gt;1)),
IF(Import.TipoArredondamento&lt;&gt;"TransfereGOV",
ROUND(OFFSET($P186,0,AH$13),15-13*ORÇAMENTO!$AF$7)/$H186*OFFSET(ORÇAMENTO!$X$15,ROW(AH186)-ROW(AH$15),0),
ROUND(ROUND(OFFSET($P186,0,AH$13),15-13*ORÇAMENTO!$AF$7)*OFFSET(ORÇAMENTO!$W$15,ROW(AH186)-ROW(AH$15),0),15-13*ORÇAMENTO!$AF$11)),0)</f>
        <v>0</v>
      </c>
      <c r="AI186" s="627">
        <f ca="1">IF(AND($D186="Serviço",AI$12&lt;&gt;0,$H186&gt;0,OR(AUTOEVENTO&lt;&gt;"manual",$M186&lt;&gt;1)),
IF(Import.TipoArredondamento&lt;&gt;"TransfereGOV",
ROUND(OFFSET($P186,0,AI$13),15-13*ORÇAMENTO!$AF$7)/$H186*OFFSET(ORÇAMENTO!$X$15,ROW(AI186)-ROW(AI$15),0),
ROUND(ROUND(OFFSET($P186,0,AI$13),15-13*ORÇAMENTO!$AF$7)*OFFSET(ORÇAMENTO!$W$15,ROW(AI186)-ROW(AI$15),0),15-13*ORÇAMENTO!$AF$11)),0)</f>
        <v>0</v>
      </c>
      <c r="AJ186" s="627">
        <f ca="1">IF(AND($D186="Serviço",AJ$12&lt;&gt;0,$H186&gt;0,OR(AUTOEVENTO&lt;&gt;"manual",$M186&lt;&gt;1)),
IF(Import.TipoArredondamento&lt;&gt;"TransfereGOV",
ROUND(OFFSET($P186,0,AJ$13),15-13*ORÇAMENTO!$AF$7)/$H186*OFFSET(ORÇAMENTO!$X$15,ROW(AJ186)-ROW(AJ$15),0),
ROUND(ROUND(OFFSET($P186,0,AJ$13),15-13*ORÇAMENTO!$AF$7)*OFFSET(ORÇAMENTO!$W$15,ROW(AJ186)-ROW(AJ$15),0),15-13*ORÇAMENTO!$AF$11)),0)</f>
        <v>0</v>
      </c>
      <c r="AK186" s="628">
        <f ca="1">IF(AND($D186="Serviço",AK$12&lt;&gt;0,$H186&gt;0,OR(AUTOEVENTO&lt;&gt;"manual",$M186&lt;&gt;1)),
IF(Import.TipoArredondamento&lt;&gt;"TransfereGOV",
ROUND(OFFSET($P186,0,AK$13),15-13*ORÇAMENTO!$AF$7)/$H186*OFFSET(ORÇAMENTO!$X$15,ROW(AK186)-ROW(AK$15),0),
ROUND(ROUND(OFFSET($P186,0,AK$13),15-13*ORÇAMENTO!$AF$7)*OFFSET(ORÇAMENTO!$W$15,ROW(AK186)-ROW(AK$15),0),15-13*ORÇAMENTO!$AF$11)),0)</f>
        <v>0</v>
      </c>
      <c r="AM186" s="211">
        <f ca="1">IF($D186&lt;&gt;"Serviço",0,IF(AND(AUTOEVENTO="Manual",$M186=1),0,IF(OFFSET(CRONOPLE!$F$14,$M186,AM$13)="",10^12,OFFSET(CRONOPLE!$F$14,$M186,AM$13))))</f>
        <v>2</v>
      </c>
      <c r="AN186" s="211">
        <f ca="1">IF($D186&lt;&gt;"Serviço",0,IF(AND(AUTOEVENTO="Manual",$M186=1),0,IF(OFFSET(CRONOPLE!$F$14,$M186,AN$13)="",10^12,OFFSET(CRONOPLE!$F$14,$M186,AN$13))))</f>
        <v>1</v>
      </c>
      <c r="AO186" s="211">
        <f ca="1">IF($D186&lt;&gt;"Serviço",0,IF(AND(AUTOEVENTO="Manual",$M186=1),0,IF(OFFSET(CRONOPLE!$F$14,$M186,AO$13)="",10^12,OFFSET(CRONOPLE!$F$14,$M186,AO$13))))</f>
        <v>2</v>
      </c>
      <c r="AP186" s="211">
        <f ca="1">IF($D186&lt;&gt;"Serviço",0,IF(AND(AUTOEVENTO="Manual",$M186=1),0,IF(OFFSET(CRONOPLE!$F$14,$M186,AP$13)="",10^12,OFFSET(CRONOPLE!$F$14,$M186,AP$13))))</f>
        <v>2</v>
      </c>
      <c r="AQ186" s="211">
        <f ca="1">IF($D186&lt;&gt;"Serviço",0,IF(AND(AUTOEVENTO="Manual",$M186=1),0,IF(OFFSET(CRONOPLE!$F$14,$M186,AQ$13)="",10^12,OFFSET(CRONOPLE!$F$14,$M186,AQ$13))))</f>
        <v>1000000000000</v>
      </c>
      <c r="AR186" s="211">
        <f ca="1">IF($D186&lt;&gt;"Serviço",0,IF(AND(AUTOEVENTO="Manual",$M186=1),0,IF(OFFSET(CRONOPLE!$F$14,$M186,AR$13)="",10^12,OFFSET(CRONOPLE!$F$14,$M186,AR$13))))</f>
        <v>1000000000000</v>
      </c>
      <c r="AS186" s="211">
        <f ca="1">IF($D186&lt;&gt;"Serviço",0,IF(AND(AUTOEVENTO="Manual",$M186=1),0,IF(OFFSET(CRONOPLE!$F$14,$M186,AS$13)="",10^12,OFFSET(CRONOPLE!$F$14,$M186,AS$13))))</f>
        <v>1000000000000</v>
      </c>
      <c r="AT186" s="211">
        <f ca="1">IF($D186&lt;&gt;"Serviço",0,IF(AND(AUTOEVENTO="Manual",$M186=1),0,IF(OFFSET(CRONOPLE!$F$14,$M186,AT$13)="",10^12,OFFSET(CRONOPLE!$F$14,$M186,AT$13))))</f>
        <v>1000000000000</v>
      </c>
      <c r="AU186" s="211">
        <f ca="1">IF($D186&lt;&gt;"Serviço",0,IF(AND(AUTOEVENTO="Manual",$M186=1),0,IF(OFFSET(CRONOPLE!$F$14,$M186,AU$13)="",10^12,OFFSET(CRONOPLE!$F$14,$M186,AU$13))))</f>
        <v>1000000000000</v>
      </c>
      <c r="AV186" s="211">
        <f ca="1">IF($D186&lt;&gt;"Serviço",0,IF(AND(AUTOEVENTO="Manual",$M186=1),0,IF(OFFSET(CRONOPLE!$F$14,$M186,AV$13)="",10^12,OFFSET(CRONOPLE!$F$14,$M186,AV$13))))</f>
        <v>1000000000000</v>
      </c>
      <c r="AX186" s="212">
        <f ca="1">IF($D186&lt;&gt;"Serviço",0,IF(OR(AND(AUTOEVENTO="Manual",$M186=1),$M186&gt;(ROW(PLE.lastrow)-ROW(PLE.firstrow))),0,IF(OFFSET(PLE!$G$14,$M186,AX$13)="",10^12,OFFSET(PLE!$G$14,$M186,AX$13))))</f>
        <v>1000000000000</v>
      </c>
      <c r="AY186" s="212">
        <f ca="1">IF($D186&lt;&gt;"Serviço",0,IF(OR(AND(AUTOEVENTO="Manual",$M186=1),$M186&gt;(ROW(PLE.lastrow)-ROW(PLE.firstrow))),0,IF(OFFSET(PLE!$G$14,$M186,AY$13)="",10^12,OFFSET(PLE!$G$14,$M186,AY$13))))</f>
        <v>1000000000000</v>
      </c>
      <c r="AZ186" s="212">
        <f ca="1">IF($D186&lt;&gt;"Serviço",0,IF(OR(AND(AUTOEVENTO="Manual",$M186=1),$M186&gt;(ROW(PLE.lastrow)-ROW(PLE.firstrow))),0,IF(OFFSET(PLE!$G$14,$M186,AZ$13)="",10^12,OFFSET(PLE!$G$14,$M186,AZ$13))))</f>
        <v>1000000000000</v>
      </c>
      <c r="BA186" s="212">
        <f ca="1">IF($D186&lt;&gt;"Serviço",0,IF(OR(AND(AUTOEVENTO="Manual",$M186=1),$M186&gt;(ROW(PLE.lastrow)-ROW(PLE.firstrow))),0,IF(OFFSET(PLE!$G$14,$M186,BA$13)="",10^12,OFFSET(PLE!$G$14,$M186,BA$13))))</f>
        <v>1000000000000</v>
      </c>
      <c r="BB186" s="212">
        <f ca="1">IF($D186&lt;&gt;"Serviço",0,IF(OR(AND(AUTOEVENTO="Manual",$M186=1),$M186&gt;(ROW(PLE.lastrow)-ROW(PLE.firstrow))),0,IF(OFFSET(PLE!$G$14,$M186,BB$13)="",10^12,OFFSET(PLE!$G$14,$M186,BB$13))))</f>
        <v>1000000000000</v>
      </c>
      <c r="BC186" s="212">
        <f ca="1">IF($D186&lt;&gt;"Serviço",0,IF(OR(AND(AUTOEVENTO="Manual",$M186=1),$M186&gt;(ROW(PLE.lastrow)-ROW(PLE.firstrow))),0,IF(OFFSET(PLE!$G$14,$M186,BC$13)="",10^12,OFFSET(PLE!$G$14,$M186,BC$13))))</f>
        <v>1000000000000</v>
      </c>
      <c r="BD186" s="212">
        <f ca="1">IF($D186&lt;&gt;"Serviço",0,IF(OR(AND(AUTOEVENTO="Manual",$M186=1),$M186&gt;(ROW(PLE.lastrow)-ROW(PLE.firstrow))),0,IF(OFFSET(PLE!$G$14,$M186,BD$13)="",10^12,OFFSET(PLE!$G$14,$M186,BD$13))))</f>
        <v>1000000000000</v>
      </c>
      <c r="BE186" s="212">
        <f ca="1">IF($D186&lt;&gt;"Serviço",0,IF(OR(AND(AUTOEVENTO="Manual",$M186=1),$M186&gt;(ROW(PLE.lastrow)-ROW(PLE.firstrow))),0,IF(OFFSET(PLE!$G$14,$M186,BE$13)="",10^12,OFFSET(PLE!$G$14,$M186,BE$13))))</f>
        <v>1000000000000</v>
      </c>
      <c r="BF186" s="212">
        <f ca="1">IF($D186&lt;&gt;"Serviço",0,IF(OR(AND(AUTOEVENTO="Manual",$M186=1),$M186&gt;(ROW(PLE.lastrow)-ROW(PLE.firstrow))),0,IF(OFFSET(PLE!$G$14,$M186,BF$13)="",10^12,OFFSET(PLE!$G$14,$M186,BF$13))))</f>
        <v>1000000000000</v>
      </c>
      <c r="BG186" s="212">
        <f ca="1">IF($D186&lt;&gt;"Serviço",0,IF(OR(AND(AUTOEVENTO="Manual",$M186=1),$M186&gt;(ROW(PLE.lastrow)-ROW(PLE.firstrow))),0,IF(OFFSET(PLE!$G$14,$M186,BG$13)="",10^12,OFFSET(PLE!$G$14,$M186,BG$13))))</f>
        <v>1000000000000</v>
      </c>
    </row>
    <row r="187" spans="1:59" ht="13.2">
      <c r="A187" s="9" t="str">
        <f t="shared" ca="1" si="11"/>
        <v>15</v>
      </c>
      <c r="B187" s="9" t="str">
        <f ca="1">OFFSET(ORÇAMENTO!C$15,ROW(B187)-ROW(B$15),0)</f>
        <v>S</v>
      </c>
      <c r="C187" s="9" t="str">
        <f ca="1">OFFSET(ORÇAMENTO!L$15,ROW(C187)-ROW(C$15),0)</f>
        <v/>
      </c>
      <c r="D187" s="141" t="str">
        <f ca="1">OFFSET(ORÇAMENTO!N$15,ROW(D187)-ROW(D$15),0)</f>
        <v>Serviço</v>
      </c>
      <c r="E187" s="201" t="str">
        <f ca="1">OFFSET(ORÇAMENTO!O$15,ROW(E187)-ROW(E$15),0)</f>
        <v>-</v>
      </c>
      <c r="F187" s="202" t="str">
        <f ca="1">OFFSET(ORÇAMENTO!R$15,ROW(F187)-ROW(F$15),0)</f>
        <v>(abra o arquivo 'Referência 11-2024.xlsm)</v>
      </c>
      <c r="G187" s="203" t="str">
        <f ca="1">IF($D187&lt;&gt;"Serviço","",OFFSET(ORÇAMENTO!S$15,ROW(G187)-ROW(G$15),0))</f>
        <v>-</v>
      </c>
      <c r="H187" s="147">
        <f ca="1">IF($D187&lt;&gt;"Serviço",0,IF(ACOMPANHAMENTO="BM",ROUND(OFFSET(ORÇAMENTO!AJ$15,ROW(H187)-ROW(H$15),0),15-13*ORÇAMENTO!$AF$7),SUMPRODUCT(($Q$12:$AA$12&lt;&gt;"")*ROUND($Q187:$AA187,15-13*ORÇAMENTO!$AF$7))))</f>
        <v>0</v>
      </c>
      <c r="I187" s="645"/>
      <c r="K187" s="204"/>
      <c r="L187" s="205" t="s">
        <v>255</v>
      </c>
      <c r="M187" s="206">
        <f ca="1">IF($D187&lt;&gt;"Serviço","",IF(AUTOEVENTO="manual",$A187,IF(ISERROR(MATCH($A187,$A$15:OFFSET($A187,-1,0),0)),MAX($M$15:OFFSET(M187,-1,0))+1,INDEX($M$15:OFFSET(M187,-1,0),MATCH($A187,$A$15:OFFSET($A187,-1,0),0)))))</f>
        <v>6</v>
      </c>
      <c r="N187" s="207" t="str">
        <f ca="1">IF($D187&lt;&gt;"Serviço","",IF(AUTOEVENTO="Manual",IF($A187=0,"&lt;-- defina o número do agrupador",OFFSET(EVENTOS!$D$14,$A187,0)),OFFSET($F$15,$A187,0)))</f>
        <v>DRENAGEM</v>
      </c>
      <c r="O187" s="208"/>
      <c r="Q187" s="208"/>
      <c r="R187" s="209"/>
      <c r="S187" s="209"/>
      <c r="T187" s="209"/>
      <c r="U187" s="209"/>
      <c r="V187" s="209"/>
      <c r="W187" s="209"/>
      <c r="X187" s="209"/>
      <c r="Y187" s="209"/>
      <c r="Z187" s="210"/>
      <c r="AB187" s="626">
        <f ca="1">IF(AND($D187="Serviço",AB$12&lt;&gt;0,$H187&gt;0,OR(AUTOEVENTO&lt;&gt;"manual",$M187&lt;&gt;1)),
IF(Import.TipoArredondamento&lt;&gt;"TransfereGOV",
ROUND(OFFSET($P187,0,AB$13),15-13*ORÇAMENTO!$AF$7)/$H187*OFFSET(ORÇAMENTO!$X$15,ROW(AB187)-ROW(AB$15),0),
ROUND(ROUND(OFFSET($P187,0,AB$13),15-13*ORÇAMENTO!$AF$7)*OFFSET(ORÇAMENTO!$W$15,ROW(AB187)-ROW(AB$15),0),15-13*ORÇAMENTO!$AF$11)),0)</f>
        <v>0</v>
      </c>
      <c r="AC187" s="627">
        <f ca="1">IF(AND($D187="Serviço",AC$12&lt;&gt;0,$H187&gt;0,OR(AUTOEVENTO&lt;&gt;"manual",$M187&lt;&gt;1)),
IF(Import.TipoArredondamento&lt;&gt;"TransfereGOV",
ROUND(OFFSET($P187,0,AC$13),15-13*ORÇAMENTO!$AF$7)/$H187*OFFSET(ORÇAMENTO!$X$15,ROW(AC187)-ROW(AC$15),0),
ROUND(ROUND(OFFSET($P187,0,AC$13),15-13*ORÇAMENTO!$AF$7)*OFFSET(ORÇAMENTO!$W$15,ROW(AC187)-ROW(AC$15),0),15-13*ORÇAMENTO!$AF$11)),0)</f>
        <v>0</v>
      </c>
      <c r="AD187" s="627">
        <f ca="1">IF(AND($D187="Serviço",AD$12&lt;&gt;0,$H187&gt;0,OR(AUTOEVENTO&lt;&gt;"manual",$M187&lt;&gt;1)),
IF(Import.TipoArredondamento&lt;&gt;"TransfereGOV",
ROUND(OFFSET($P187,0,AD$13),15-13*ORÇAMENTO!$AF$7)/$H187*OFFSET(ORÇAMENTO!$X$15,ROW(AD187)-ROW(AD$15),0),
ROUND(ROUND(OFFSET($P187,0,AD$13),15-13*ORÇAMENTO!$AF$7)*OFFSET(ORÇAMENTO!$W$15,ROW(AD187)-ROW(AD$15),0),15-13*ORÇAMENTO!$AF$11)),0)</f>
        <v>0</v>
      </c>
      <c r="AE187" s="627">
        <f ca="1">IF(AND($D187="Serviço",AE$12&lt;&gt;0,$H187&gt;0,OR(AUTOEVENTO&lt;&gt;"manual",$M187&lt;&gt;1)),
IF(Import.TipoArredondamento&lt;&gt;"TransfereGOV",
ROUND(OFFSET($P187,0,AE$13),15-13*ORÇAMENTO!$AF$7)/$H187*OFFSET(ORÇAMENTO!$X$15,ROW(AE187)-ROW(AE$15),0),
ROUND(ROUND(OFFSET($P187,0,AE$13),15-13*ORÇAMENTO!$AF$7)*OFFSET(ORÇAMENTO!$W$15,ROW(AE187)-ROW(AE$15),0),15-13*ORÇAMENTO!$AF$11)),0)</f>
        <v>0</v>
      </c>
      <c r="AF187" s="627">
        <f ca="1">IF(AND($D187="Serviço",AF$12&lt;&gt;0,$H187&gt;0,OR(AUTOEVENTO&lt;&gt;"manual",$M187&lt;&gt;1)),
IF(Import.TipoArredondamento&lt;&gt;"TransfereGOV",
ROUND(OFFSET($P187,0,AF$13),15-13*ORÇAMENTO!$AF$7)/$H187*OFFSET(ORÇAMENTO!$X$15,ROW(AF187)-ROW(AF$15),0),
ROUND(ROUND(OFFSET($P187,0,AF$13),15-13*ORÇAMENTO!$AF$7)*OFFSET(ORÇAMENTO!$W$15,ROW(AF187)-ROW(AF$15),0),15-13*ORÇAMENTO!$AF$11)),0)</f>
        <v>0</v>
      </c>
      <c r="AG187" s="627">
        <f ca="1">IF(AND($D187="Serviço",AG$12&lt;&gt;0,$H187&gt;0,OR(AUTOEVENTO&lt;&gt;"manual",$M187&lt;&gt;1)),
IF(Import.TipoArredondamento&lt;&gt;"TransfereGOV",
ROUND(OFFSET($P187,0,AG$13),15-13*ORÇAMENTO!$AF$7)/$H187*OFFSET(ORÇAMENTO!$X$15,ROW(AG187)-ROW(AG$15),0),
ROUND(ROUND(OFFSET($P187,0,AG$13),15-13*ORÇAMENTO!$AF$7)*OFFSET(ORÇAMENTO!$W$15,ROW(AG187)-ROW(AG$15),0),15-13*ORÇAMENTO!$AF$11)),0)</f>
        <v>0</v>
      </c>
      <c r="AH187" s="627">
        <f ca="1">IF(AND($D187="Serviço",AH$12&lt;&gt;0,$H187&gt;0,OR(AUTOEVENTO&lt;&gt;"manual",$M187&lt;&gt;1)),
IF(Import.TipoArredondamento&lt;&gt;"TransfereGOV",
ROUND(OFFSET($P187,0,AH$13),15-13*ORÇAMENTO!$AF$7)/$H187*OFFSET(ORÇAMENTO!$X$15,ROW(AH187)-ROW(AH$15),0),
ROUND(ROUND(OFFSET($P187,0,AH$13),15-13*ORÇAMENTO!$AF$7)*OFFSET(ORÇAMENTO!$W$15,ROW(AH187)-ROW(AH$15),0),15-13*ORÇAMENTO!$AF$11)),0)</f>
        <v>0</v>
      </c>
      <c r="AI187" s="627">
        <f ca="1">IF(AND($D187="Serviço",AI$12&lt;&gt;0,$H187&gt;0,OR(AUTOEVENTO&lt;&gt;"manual",$M187&lt;&gt;1)),
IF(Import.TipoArredondamento&lt;&gt;"TransfereGOV",
ROUND(OFFSET($P187,0,AI$13),15-13*ORÇAMENTO!$AF$7)/$H187*OFFSET(ORÇAMENTO!$X$15,ROW(AI187)-ROW(AI$15),0),
ROUND(ROUND(OFFSET($P187,0,AI$13),15-13*ORÇAMENTO!$AF$7)*OFFSET(ORÇAMENTO!$W$15,ROW(AI187)-ROW(AI$15),0),15-13*ORÇAMENTO!$AF$11)),0)</f>
        <v>0</v>
      </c>
      <c r="AJ187" s="627">
        <f ca="1">IF(AND($D187="Serviço",AJ$12&lt;&gt;0,$H187&gt;0,OR(AUTOEVENTO&lt;&gt;"manual",$M187&lt;&gt;1)),
IF(Import.TipoArredondamento&lt;&gt;"TransfereGOV",
ROUND(OFFSET($P187,0,AJ$13),15-13*ORÇAMENTO!$AF$7)/$H187*OFFSET(ORÇAMENTO!$X$15,ROW(AJ187)-ROW(AJ$15),0),
ROUND(ROUND(OFFSET($P187,0,AJ$13),15-13*ORÇAMENTO!$AF$7)*OFFSET(ORÇAMENTO!$W$15,ROW(AJ187)-ROW(AJ$15),0),15-13*ORÇAMENTO!$AF$11)),0)</f>
        <v>0</v>
      </c>
      <c r="AK187" s="628">
        <f ca="1">IF(AND($D187="Serviço",AK$12&lt;&gt;0,$H187&gt;0,OR(AUTOEVENTO&lt;&gt;"manual",$M187&lt;&gt;1)),
IF(Import.TipoArredondamento&lt;&gt;"TransfereGOV",
ROUND(OFFSET($P187,0,AK$13),15-13*ORÇAMENTO!$AF$7)/$H187*OFFSET(ORÇAMENTO!$X$15,ROW(AK187)-ROW(AK$15),0),
ROUND(ROUND(OFFSET($P187,0,AK$13),15-13*ORÇAMENTO!$AF$7)*OFFSET(ORÇAMENTO!$W$15,ROW(AK187)-ROW(AK$15),0),15-13*ORÇAMENTO!$AF$11)),0)</f>
        <v>0</v>
      </c>
      <c r="AM187" s="211">
        <f ca="1">IF($D187&lt;&gt;"Serviço",0,IF(AND(AUTOEVENTO="Manual",$M187=1),0,IF(OFFSET(CRONOPLE!$F$14,$M187,AM$13)="",10^12,OFFSET(CRONOPLE!$F$14,$M187,AM$13))))</f>
        <v>2</v>
      </c>
      <c r="AN187" s="211">
        <f ca="1">IF($D187&lt;&gt;"Serviço",0,IF(AND(AUTOEVENTO="Manual",$M187=1),0,IF(OFFSET(CRONOPLE!$F$14,$M187,AN$13)="",10^12,OFFSET(CRONOPLE!$F$14,$M187,AN$13))))</f>
        <v>1</v>
      </c>
      <c r="AO187" s="211">
        <f ca="1">IF($D187&lt;&gt;"Serviço",0,IF(AND(AUTOEVENTO="Manual",$M187=1),0,IF(OFFSET(CRONOPLE!$F$14,$M187,AO$13)="",10^12,OFFSET(CRONOPLE!$F$14,$M187,AO$13))))</f>
        <v>2</v>
      </c>
      <c r="AP187" s="211">
        <f ca="1">IF($D187&lt;&gt;"Serviço",0,IF(AND(AUTOEVENTO="Manual",$M187=1),0,IF(OFFSET(CRONOPLE!$F$14,$M187,AP$13)="",10^12,OFFSET(CRONOPLE!$F$14,$M187,AP$13))))</f>
        <v>2</v>
      </c>
      <c r="AQ187" s="211">
        <f ca="1">IF($D187&lt;&gt;"Serviço",0,IF(AND(AUTOEVENTO="Manual",$M187=1),0,IF(OFFSET(CRONOPLE!$F$14,$M187,AQ$13)="",10^12,OFFSET(CRONOPLE!$F$14,$M187,AQ$13))))</f>
        <v>1000000000000</v>
      </c>
      <c r="AR187" s="211">
        <f ca="1">IF($D187&lt;&gt;"Serviço",0,IF(AND(AUTOEVENTO="Manual",$M187=1),0,IF(OFFSET(CRONOPLE!$F$14,$M187,AR$13)="",10^12,OFFSET(CRONOPLE!$F$14,$M187,AR$13))))</f>
        <v>1000000000000</v>
      </c>
      <c r="AS187" s="211">
        <f ca="1">IF($D187&lt;&gt;"Serviço",0,IF(AND(AUTOEVENTO="Manual",$M187=1),0,IF(OFFSET(CRONOPLE!$F$14,$M187,AS$13)="",10^12,OFFSET(CRONOPLE!$F$14,$M187,AS$13))))</f>
        <v>1000000000000</v>
      </c>
      <c r="AT187" s="211">
        <f ca="1">IF($D187&lt;&gt;"Serviço",0,IF(AND(AUTOEVENTO="Manual",$M187=1),0,IF(OFFSET(CRONOPLE!$F$14,$M187,AT$13)="",10^12,OFFSET(CRONOPLE!$F$14,$M187,AT$13))))</f>
        <v>1000000000000</v>
      </c>
      <c r="AU187" s="211">
        <f ca="1">IF($D187&lt;&gt;"Serviço",0,IF(AND(AUTOEVENTO="Manual",$M187=1),0,IF(OFFSET(CRONOPLE!$F$14,$M187,AU$13)="",10^12,OFFSET(CRONOPLE!$F$14,$M187,AU$13))))</f>
        <v>1000000000000</v>
      </c>
      <c r="AV187" s="211">
        <f ca="1">IF($D187&lt;&gt;"Serviço",0,IF(AND(AUTOEVENTO="Manual",$M187=1),0,IF(OFFSET(CRONOPLE!$F$14,$M187,AV$13)="",10^12,OFFSET(CRONOPLE!$F$14,$M187,AV$13))))</f>
        <v>1000000000000</v>
      </c>
      <c r="AX187" s="212">
        <f ca="1">IF($D187&lt;&gt;"Serviço",0,IF(OR(AND(AUTOEVENTO="Manual",$M187=1),$M187&gt;(ROW(PLE.lastrow)-ROW(PLE.firstrow))),0,IF(OFFSET(PLE!$G$14,$M187,AX$13)="",10^12,OFFSET(PLE!$G$14,$M187,AX$13))))</f>
        <v>1000000000000</v>
      </c>
      <c r="AY187" s="212">
        <f ca="1">IF($D187&lt;&gt;"Serviço",0,IF(OR(AND(AUTOEVENTO="Manual",$M187=1),$M187&gt;(ROW(PLE.lastrow)-ROW(PLE.firstrow))),0,IF(OFFSET(PLE!$G$14,$M187,AY$13)="",10^12,OFFSET(PLE!$G$14,$M187,AY$13))))</f>
        <v>1000000000000</v>
      </c>
      <c r="AZ187" s="212">
        <f ca="1">IF($D187&lt;&gt;"Serviço",0,IF(OR(AND(AUTOEVENTO="Manual",$M187=1),$M187&gt;(ROW(PLE.lastrow)-ROW(PLE.firstrow))),0,IF(OFFSET(PLE!$G$14,$M187,AZ$13)="",10^12,OFFSET(PLE!$G$14,$M187,AZ$13))))</f>
        <v>1000000000000</v>
      </c>
      <c r="BA187" s="212">
        <f ca="1">IF($D187&lt;&gt;"Serviço",0,IF(OR(AND(AUTOEVENTO="Manual",$M187=1),$M187&gt;(ROW(PLE.lastrow)-ROW(PLE.firstrow))),0,IF(OFFSET(PLE!$G$14,$M187,BA$13)="",10^12,OFFSET(PLE!$G$14,$M187,BA$13))))</f>
        <v>1000000000000</v>
      </c>
      <c r="BB187" s="212">
        <f ca="1">IF($D187&lt;&gt;"Serviço",0,IF(OR(AND(AUTOEVENTO="Manual",$M187=1),$M187&gt;(ROW(PLE.lastrow)-ROW(PLE.firstrow))),0,IF(OFFSET(PLE!$G$14,$M187,BB$13)="",10^12,OFFSET(PLE!$G$14,$M187,BB$13))))</f>
        <v>1000000000000</v>
      </c>
      <c r="BC187" s="212">
        <f ca="1">IF($D187&lt;&gt;"Serviço",0,IF(OR(AND(AUTOEVENTO="Manual",$M187=1),$M187&gt;(ROW(PLE.lastrow)-ROW(PLE.firstrow))),0,IF(OFFSET(PLE!$G$14,$M187,BC$13)="",10^12,OFFSET(PLE!$G$14,$M187,BC$13))))</f>
        <v>1000000000000</v>
      </c>
      <c r="BD187" s="212">
        <f ca="1">IF($D187&lt;&gt;"Serviço",0,IF(OR(AND(AUTOEVENTO="Manual",$M187=1),$M187&gt;(ROW(PLE.lastrow)-ROW(PLE.firstrow))),0,IF(OFFSET(PLE!$G$14,$M187,BD$13)="",10^12,OFFSET(PLE!$G$14,$M187,BD$13))))</f>
        <v>1000000000000</v>
      </c>
      <c r="BE187" s="212">
        <f ca="1">IF($D187&lt;&gt;"Serviço",0,IF(OR(AND(AUTOEVENTO="Manual",$M187=1),$M187&gt;(ROW(PLE.lastrow)-ROW(PLE.firstrow))),0,IF(OFFSET(PLE!$G$14,$M187,BE$13)="",10^12,OFFSET(PLE!$G$14,$M187,BE$13))))</f>
        <v>1000000000000</v>
      </c>
      <c r="BF187" s="212">
        <f ca="1">IF($D187&lt;&gt;"Serviço",0,IF(OR(AND(AUTOEVENTO="Manual",$M187=1),$M187&gt;(ROW(PLE.lastrow)-ROW(PLE.firstrow))),0,IF(OFFSET(PLE!$G$14,$M187,BF$13)="",10^12,OFFSET(PLE!$G$14,$M187,BF$13))))</f>
        <v>1000000000000</v>
      </c>
      <c r="BG187" s="212">
        <f ca="1">IF($D187&lt;&gt;"Serviço",0,IF(OR(AND(AUTOEVENTO="Manual",$M187=1),$M187&gt;(ROW(PLE.lastrow)-ROW(PLE.firstrow))),0,IF(OFFSET(PLE!$G$14,$M187,BG$13)="",10^12,OFFSET(PLE!$G$14,$M187,BG$13))))</f>
        <v>1000000000000</v>
      </c>
    </row>
    <row r="188" spans="1:59" ht="13.2">
      <c r="A188" s="9" t="str">
        <f t="shared" ca="1" si="11"/>
        <v>15</v>
      </c>
      <c r="B188" s="9" t="str">
        <f ca="1">OFFSET(ORÇAMENTO!C$15,ROW(B188)-ROW(B$15),0)</f>
        <v>S</v>
      </c>
      <c r="C188" s="9" t="str">
        <f ca="1">OFFSET(ORÇAMENTO!L$15,ROW(C188)-ROW(C$15),0)</f>
        <v/>
      </c>
      <c r="D188" s="141" t="str">
        <f ca="1">OFFSET(ORÇAMENTO!N$15,ROW(D188)-ROW(D$15),0)</f>
        <v>Serviço</v>
      </c>
      <c r="E188" s="201" t="str">
        <f ca="1">OFFSET(ORÇAMENTO!O$15,ROW(E188)-ROW(E$15),0)</f>
        <v>-</v>
      </c>
      <c r="F188" s="202" t="str">
        <f ca="1">OFFSET(ORÇAMENTO!R$15,ROW(F188)-ROW(F$15),0)</f>
        <v>(abra o arquivo 'Referência 11-2024.xlsm)</v>
      </c>
      <c r="G188" s="203" t="str">
        <f ca="1">IF($D188&lt;&gt;"Serviço","",OFFSET(ORÇAMENTO!S$15,ROW(G188)-ROW(G$15),0))</f>
        <v>-</v>
      </c>
      <c r="H188" s="147">
        <f ca="1">IF($D188&lt;&gt;"Serviço",0,IF(ACOMPANHAMENTO="BM",ROUND(OFFSET(ORÇAMENTO!AJ$15,ROW(H188)-ROW(H$15),0),15-13*ORÇAMENTO!$AF$7),SUMPRODUCT(($Q$12:$AA$12&lt;&gt;"")*ROUND($Q188:$AA188,15-13*ORÇAMENTO!$AF$7))))</f>
        <v>0</v>
      </c>
      <c r="I188" s="645"/>
      <c r="K188" s="204"/>
      <c r="L188" s="205" t="s">
        <v>255</v>
      </c>
      <c r="M188" s="206">
        <f ca="1">IF($D188&lt;&gt;"Serviço","",IF(AUTOEVENTO="manual",$A188,IF(ISERROR(MATCH($A188,$A$15:OFFSET($A188,-1,0),0)),MAX($M$15:OFFSET(M188,-1,0))+1,INDEX($M$15:OFFSET(M188,-1,0),MATCH($A188,$A$15:OFFSET($A188,-1,0),0)))))</f>
        <v>6</v>
      </c>
      <c r="N188" s="207" t="str">
        <f ca="1">IF($D188&lt;&gt;"Serviço","",IF(AUTOEVENTO="Manual",IF($A188=0,"&lt;-- defina o número do agrupador",OFFSET(EVENTOS!$D$14,$A188,0)),OFFSET($F$15,$A188,0)))</f>
        <v>DRENAGEM</v>
      </c>
      <c r="O188" s="208"/>
      <c r="Q188" s="208"/>
      <c r="R188" s="209"/>
      <c r="S188" s="209"/>
      <c r="T188" s="209"/>
      <c r="U188" s="209"/>
      <c r="V188" s="209"/>
      <c r="W188" s="209"/>
      <c r="X188" s="209"/>
      <c r="Y188" s="209"/>
      <c r="Z188" s="210"/>
      <c r="AB188" s="626">
        <f ca="1">IF(AND($D188="Serviço",AB$12&lt;&gt;0,$H188&gt;0,OR(AUTOEVENTO&lt;&gt;"manual",$M188&lt;&gt;1)),
IF(Import.TipoArredondamento&lt;&gt;"TransfereGOV",
ROUND(OFFSET($P188,0,AB$13),15-13*ORÇAMENTO!$AF$7)/$H188*OFFSET(ORÇAMENTO!$X$15,ROW(AB188)-ROW(AB$15),0),
ROUND(ROUND(OFFSET($P188,0,AB$13),15-13*ORÇAMENTO!$AF$7)*OFFSET(ORÇAMENTO!$W$15,ROW(AB188)-ROW(AB$15),0),15-13*ORÇAMENTO!$AF$11)),0)</f>
        <v>0</v>
      </c>
      <c r="AC188" s="627">
        <f ca="1">IF(AND($D188="Serviço",AC$12&lt;&gt;0,$H188&gt;0,OR(AUTOEVENTO&lt;&gt;"manual",$M188&lt;&gt;1)),
IF(Import.TipoArredondamento&lt;&gt;"TransfereGOV",
ROUND(OFFSET($P188,0,AC$13),15-13*ORÇAMENTO!$AF$7)/$H188*OFFSET(ORÇAMENTO!$X$15,ROW(AC188)-ROW(AC$15),0),
ROUND(ROUND(OFFSET($P188,0,AC$13),15-13*ORÇAMENTO!$AF$7)*OFFSET(ORÇAMENTO!$W$15,ROW(AC188)-ROW(AC$15),0),15-13*ORÇAMENTO!$AF$11)),0)</f>
        <v>0</v>
      </c>
      <c r="AD188" s="627">
        <f ca="1">IF(AND($D188="Serviço",AD$12&lt;&gt;0,$H188&gt;0,OR(AUTOEVENTO&lt;&gt;"manual",$M188&lt;&gt;1)),
IF(Import.TipoArredondamento&lt;&gt;"TransfereGOV",
ROUND(OFFSET($P188,0,AD$13),15-13*ORÇAMENTO!$AF$7)/$H188*OFFSET(ORÇAMENTO!$X$15,ROW(AD188)-ROW(AD$15),0),
ROUND(ROUND(OFFSET($P188,0,AD$13),15-13*ORÇAMENTO!$AF$7)*OFFSET(ORÇAMENTO!$W$15,ROW(AD188)-ROW(AD$15),0),15-13*ORÇAMENTO!$AF$11)),0)</f>
        <v>0</v>
      </c>
      <c r="AE188" s="627">
        <f ca="1">IF(AND($D188="Serviço",AE$12&lt;&gt;0,$H188&gt;0,OR(AUTOEVENTO&lt;&gt;"manual",$M188&lt;&gt;1)),
IF(Import.TipoArredondamento&lt;&gt;"TransfereGOV",
ROUND(OFFSET($P188,0,AE$13),15-13*ORÇAMENTO!$AF$7)/$H188*OFFSET(ORÇAMENTO!$X$15,ROW(AE188)-ROW(AE$15),0),
ROUND(ROUND(OFFSET($P188,0,AE$13),15-13*ORÇAMENTO!$AF$7)*OFFSET(ORÇAMENTO!$W$15,ROW(AE188)-ROW(AE$15),0),15-13*ORÇAMENTO!$AF$11)),0)</f>
        <v>0</v>
      </c>
      <c r="AF188" s="627">
        <f ca="1">IF(AND($D188="Serviço",AF$12&lt;&gt;0,$H188&gt;0,OR(AUTOEVENTO&lt;&gt;"manual",$M188&lt;&gt;1)),
IF(Import.TipoArredondamento&lt;&gt;"TransfereGOV",
ROUND(OFFSET($P188,0,AF$13),15-13*ORÇAMENTO!$AF$7)/$H188*OFFSET(ORÇAMENTO!$X$15,ROW(AF188)-ROW(AF$15),0),
ROUND(ROUND(OFFSET($P188,0,AF$13),15-13*ORÇAMENTO!$AF$7)*OFFSET(ORÇAMENTO!$W$15,ROW(AF188)-ROW(AF$15),0),15-13*ORÇAMENTO!$AF$11)),0)</f>
        <v>0</v>
      </c>
      <c r="AG188" s="627">
        <f ca="1">IF(AND($D188="Serviço",AG$12&lt;&gt;0,$H188&gt;0,OR(AUTOEVENTO&lt;&gt;"manual",$M188&lt;&gt;1)),
IF(Import.TipoArredondamento&lt;&gt;"TransfereGOV",
ROUND(OFFSET($P188,0,AG$13),15-13*ORÇAMENTO!$AF$7)/$H188*OFFSET(ORÇAMENTO!$X$15,ROW(AG188)-ROW(AG$15),0),
ROUND(ROUND(OFFSET($P188,0,AG$13),15-13*ORÇAMENTO!$AF$7)*OFFSET(ORÇAMENTO!$W$15,ROW(AG188)-ROW(AG$15),0),15-13*ORÇAMENTO!$AF$11)),0)</f>
        <v>0</v>
      </c>
      <c r="AH188" s="627">
        <f ca="1">IF(AND($D188="Serviço",AH$12&lt;&gt;0,$H188&gt;0,OR(AUTOEVENTO&lt;&gt;"manual",$M188&lt;&gt;1)),
IF(Import.TipoArredondamento&lt;&gt;"TransfereGOV",
ROUND(OFFSET($P188,0,AH$13),15-13*ORÇAMENTO!$AF$7)/$H188*OFFSET(ORÇAMENTO!$X$15,ROW(AH188)-ROW(AH$15),0),
ROUND(ROUND(OFFSET($P188,0,AH$13),15-13*ORÇAMENTO!$AF$7)*OFFSET(ORÇAMENTO!$W$15,ROW(AH188)-ROW(AH$15),0),15-13*ORÇAMENTO!$AF$11)),0)</f>
        <v>0</v>
      </c>
      <c r="AI188" s="627">
        <f ca="1">IF(AND($D188="Serviço",AI$12&lt;&gt;0,$H188&gt;0,OR(AUTOEVENTO&lt;&gt;"manual",$M188&lt;&gt;1)),
IF(Import.TipoArredondamento&lt;&gt;"TransfereGOV",
ROUND(OFFSET($P188,0,AI$13),15-13*ORÇAMENTO!$AF$7)/$H188*OFFSET(ORÇAMENTO!$X$15,ROW(AI188)-ROW(AI$15),0),
ROUND(ROUND(OFFSET($P188,0,AI$13),15-13*ORÇAMENTO!$AF$7)*OFFSET(ORÇAMENTO!$W$15,ROW(AI188)-ROW(AI$15),0),15-13*ORÇAMENTO!$AF$11)),0)</f>
        <v>0</v>
      </c>
      <c r="AJ188" s="627">
        <f ca="1">IF(AND($D188="Serviço",AJ$12&lt;&gt;0,$H188&gt;0,OR(AUTOEVENTO&lt;&gt;"manual",$M188&lt;&gt;1)),
IF(Import.TipoArredondamento&lt;&gt;"TransfereGOV",
ROUND(OFFSET($P188,0,AJ$13),15-13*ORÇAMENTO!$AF$7)/$H188*OFFSET(ORÇAMENTO!$X$15,ROW(AJ188)-ROW(AJ$15),0),
ROUND(ROUND(OFFSET($P188,0,AJ$13),15-13*ORÇAMENTO!$AF$7)*OFFSET(ORÇAMENTO!$W$15,ROW(AJ188)-ROW(AJ$15),0),15-13*ORÇAMENTO!$AF$11)),0)</f>
        <v>0</v>
      </c>
      <c r="AK188" s="628">
        <f ca="1">IF(AND($D188="Serviço",AK$12&lt;&gt;0,$H188&gt;0,OR(AUTOEVENTO&lt;&gt;"manual",$M188&lt;&gt;1)),
IF(Import.TipoArredondamento&lt;&gt;"TransfereGOV",
ROUND(OFFSET($P188,0,AK$13),15-13*ORÇAMENTO!$AF$7)/$H188*OFFSET(ORÇAMENTO!$X$15,ROW(AK188)-ROW(AK$15),0),
ROUND(ROUND(OFFSET($P188,0,AK$13),15-13*ORÇAMENTO!$AF$7)*OFFSET(ORÇAMENTO!$W$15,ROW(AK188)-ROW(AK$15),0),15-13*ORÇAMENTO!$AF$11)),0)</f>
        <v>0</v>
      </c>
      <c r="AM188" s="211">
        <f ca="1">IF($D188&lt;&gt;"Serviço",0,IF(AND(AUTOEVENTO="Manual",$M188=1),0,IF(OFFSET(CRONOPLE!$F$14,$M188,AM$13)="",10^12,OFFSET(CRONOPLE!$F$14,$M188,AM$13))))</f>
        <v>2</v>
      </c>
      <c r="AN188" s="211">
        <f ca="1">IF($D188&lt;&gt;"Serviço",0,IF(AND(AUTOEVENTO="Manual",$M188=1),0,IF(OFFSET(CRONOPLE!$F$14,$M188,AN$13)="",10^12,OFFSET(CRONOPLE!$F$14,$M188,AN$13))))</f>
        <v>1</v>
      </c>
      <c r="AO188" s="211">
        <f ca="1">IF($D188&lt;&gt;"Serviço",0,IF(AND(AUTOEVENTO="Manual",$M188=1),0,IF(OFFSET(CRONOPLE!$F$14,$M188,AO$13)="",10^12,OFFSET(CRONOPLE!$F$14,$M188,AO$13))))</f>
        <v>2</v>
      </c>
      <c r="AP188" s="211">
        <f ca="1">IF($D188&lt;&gt;"Serviço",0,IF(AND(AUTOEVENTO="Manual",$M188=1),0,IF(OFFSET(CRONOPLE!$F$14,$M188,AP$13)="",10^12,OFFSET(CRONOPLE!$F$14,$M188,AP$13))))</f>
        <v>2</v>
      </c>
      <c r="AQ188" s="211">
        <f ca="1">IF($D188&lt;&gt;"Serviço",0,IF(AND(AUTOEVENTO="Manual",$M188=1),0,IF(OFFSET(CRONOPLE!$F$14,$M188,AQ$13)="",10^12,OFFSET(CRONOPLE!$F$14,$M188,AQ$13))))</f>
        <v>1000000000000</v>
      </c>
      <c r="AR188" s="211">
        <f ca="1">IF($D188&lt;&gt;"Serviço",0,IF(AND(AUTOEVENTO="Manual",$M188=1),0,IF(OFFSET(CRONOPLE!$F$14,$M188,AR$13)="",10^12,OFFSET(CRONOPLE!$F$14,$M188,AR$13))))</f>
        <v>1000000000000</v>
      </c>
      <c r="AS188" s="211">
        <f ca="1">IF($D188&lt;&gt;"Serviço",0,IF(AND(AUTOEVENTO="Manual",$M188=1),0,IF(OFFSET(CRONOPLE!$F$14,$M188,AS$13)="",10^12,OFFSET(CRONOPLE!$F$14,$M188,AS$13))))</f>
        <v>1000000000000</v>
      </c>
      <c r="AT188" s="211">
        <f ca="1">IF($D188&lt;&gt;"Serviço",0,IF(AND(AUTOEVENTO="Manual",$M188=1),0,IF(OFFSET(CRONOPLE!$F$14,$M188,AT$13)="",10^12,OFFSET(CRONOPLE!$F$14,$M188,AT$13))))</f>
        <v>1000000000000</v>
      </c>
      <c r="AU188" s="211">
        <f ca="1">IF($D188&lt;&gt;"Serviço",0,IF(AND(AUTOEVENTO="Manual",$M188=1),0,IF(OFFSET(CRONOPLE!$F$14,$M188,AU$13)="",10^12,OFFSET(CRONOPLE!$F$14,$M188,AU$13))))</f>
        <v>1000000000000</v>
      </c>
      <c r="AV188" s="211">
        <f ca="1">IF($D188&lt;&gt;"Serviço",0,IF(AND(AUTOEVENTO="Manual",$M188=1),0,IF(OFFSET(CRONOPLE!$F$14,$M188,AV$13)="",10^12,OFFSET(CRONOPLE!$F$14,$M188,AV$13))))</f>
        <v>1000000000000</v>
      </c>
      <c r="AX188" s="212">
        <f ca="1">IF($D188&lt;&gt;"Serviço",0,IF(OR(AND(AUTOEVENTO="Manual",$M188=1),$M188&gt;(ROW(PLE.lastrow)-ROW(PLE.firstrow))),0,IF(OFFSET(PLE!$G$14,$M188,AX$13)="",10^12,OFFSET(PLE!$G$14,$M188,AX$13))))</f>
        <v>1000000000000</v>
      </c>
      <c r="AY188" s="212">
        <f ca="1">IF($D188&lt;&gt;"Serviço",0,IF(OR(AND(AUTOEVENTO="Manual",$M188=1),$M188&gt;(ROW(PLE.lastrow)-ROW(PLE.firstrow))),0,IF(OFFSET(PLE!$G$14,$M188,AY$13)="",10^12,OFFSET(PLE!$G$14,$M188,AY$13))))</f>
        <v>1000000000000</v>
      </c>
      <c r="AZ188" s="212">
        <f ca="1">IF($D188&lt;&gt;"Serviço",0,IF(OR(AND(AUTOEVENTO="Manual",$M188=1),$M188&gt;(ROW(PLE.lastrow)-ROW(PLE.firstrow))),0,IF(OFFSET(PLE!$G$14,$M188,AZ$13)="",10^12,OFFSET(PLE!$G$14,$M188,AZ$13))))</f>
        <v>1000000000000</v>
      </c>
      <c r="BA188" s="212">
        <f ca="1">IF($D188&lt;&gt;"Serviço",0,IF(OR(AND(AUTOEVENTO="Manual",$M188=1),$M188&gt;(ROW(PLE.lastrow)-ROW(PLE.firstrow))),0,IF(OFFSET(PLE!$G$14,$M188,BA$13)="",10^12,OFFSET(PLE!$G$14,$M188,BA$13))))</f>
        <v>1000000000000</v>
      </c>
      <c r="BB188" s="212">
        <f ca="1">IF($D188&lt;&gt;"Serviço",0,IF(OR(AND(AUTOEVENTO="Manual",$M188=1),$M188&gt;(ROW(PLE.lastrow)-ROW(PLE.firstrow))),0,IF(OFFSET(PLE!$G$14,$M188,BB$13)="",10^12,OFFSET(PLE!$G$14,$M188,BB$13))))</f>
        <v>1000000000000</v>
      </c>
      <c r="BC188" s="212">
        <f ca="1">IF($D188&lt;&gt;"Serviço",0,IF(OR(AND(AUTOEVENTO="Manual",$M188=1),$M188&gt;(ROW(PLE.lastrow)-ROW(PLE.firstrow))),0,IF(OFFSET(PLE!$G$14,$M188,BC$13)="",10^12,OFFSET(PLE!$G$14,$M188,BC$13))))</f>
        <v>1000000000000</v>
      </c>
      <c r="BD188" s="212">
        <f ca="1">IF($D188&lt;&gt;"Serviço",0,IF(OR(AND(AUTOEVENTO="Manual",$M188=1),$M188&gt;(ROW(PLE.lastrow)-ROW(PLE.firstrow))),0,IF(OFFSET(PLE!$G$14,$M188,BD$13)="",10^12,OFFSET(PLE!$G$14,$M188,BD$13))))</f>
        <v>1000000000000</v>
      </c>
      <c r="BE188" s="212">
        <f ca="1">IF($D188&lt;&gt;"Serviço",0,IF(OR(AND(AUTOEVENTO="Manual",$M188=1),$M188&gt;(ROW(PLE.lastrow)-ROW(PLE.firstrow))),0,IF(OFFSET(PLE!$G$14,$M188,BE$13)="",10^12,OFFSET(PLE!$G$14,$M188,BE$13))))</f>
        <v>1000000000000</v>
      </c>
      <c r="BF188" s="212">
        <f ca="1">IF($D188&lt;&gt;"Serviço",0,IF(OR(AND(AUTOEVENTO="Manual",$M188=1),$M188&gt;(ROW(PLE.lastrow)-ROW(PLE.firstrow))),0,IF(OFFSET(PLE!$G$14,$M188,BF$13)="",10^12,OFFSET(PLE!$G$14,$M188,BF$13))))</f>
        <v>1000000000000</v>
      </c>
      <c r="BG188" s="212">
        <f ca="1">IF($D188&lt;&gt;"Serviço",0,IF(OR(AND(AUTOEVENTO="Manual",$M188=1),$M188&gt;(ROW(PLE.lastrow)-ROW(PLE.firstrow))),0,IF(OFFSET(PLE!$G$14,$M188,BG$13)="",10^12,OFFSET(PLE!$G$14,$M188,BG$13))))</f>
        <v>1000000000000</v>
      </c>
    </row>
    <row r="189" spans="1:59" ht="13.2">
      <c r="A189" s="9" t="str">
        <f t="shared" ca="1" si="11"/>
        <v>15</v>
      </c>
      <c r="B189" s="9" t="str">
        <f ca="1">OFFSET(ORÇAMENTO!C$15,ROW(B189)-ROW(B$15),0)</f>
        <v>S</v>
      </c>
      <c r="C189" s="9" t="str">
        <f ca="1">OFFSET(ORÇAMENTO!L$15,ROW(C189)-ROW(C$15),0)</f>
        <v/>
      </c>
      <c r="D189" s="141" t="str">
        <f ca="1">OFFSET(ORÇAMENTO!N$15,ROW(D189)-ROW(D$15),0)</f>
        <v>Serviço</v>
      </c>
      <c r="E189" s="201" t="str">
        <f ca="1">OFFSET(ORÇAMENTO!O$15,ROW(E189)-ROW(E$15),0)</f>
        <v>-</v>
      </c>
      <c r="F189" s="202" t="str">
        <f ca="1">OFFSET(ORÇAMENTO!R$15,ROW(F189)-ROW(F$15),0)</f>
        <v>(abra o arquivo 'Referência 11-2024.xlsm)</v>
      </c>
      <c r="G189" s="203" t="str">
        <f ca="1">IF($D189&lt;&gt;"Serviço","",OFFSET(ORÇAMENTO!S$15,ROW(G189)-ROW(G$15),0))</f>
        <v>-</v>
      </c>
      <c r="H189" s="147">
        <f ca="1">IF($D189&lt;&gt;"Serviço",0,IF(ACOMPANHAMENTO="BM",ROUND(OFFSET(ORÇAMENTO!AJ$15,ROW(H189)-ROW(H$15),0),15-13*ORÇAMENTO!$AF$7),SUMPRODUCT(($Q$12:$AA$12&lt;&gt;"")*ROUND($Q189:$AA189,15-13*ORÇAMENTO!$AF$7))))</f>
        <v>0</v>
      </c>
      <c r="I189" s="645"/>
      <c r="K189" s="204"/>
      <c r="L189" s="205" t="s">
        <v>255</v>
      </c>
      <c r="M189" s="206">
        <f ca="1">IF($D189&lt;&gt;"Serviço","",IF(AUTOEVENTO="manual",$A189,IF(ISERROR(MATCH($A189,$A$15:OFFSET($A189,-1,0),0)),MAX($M$15:OFFSET(M189,-1,0))+1,INDEX($M$15:OFFSET(M189,-1,0),MATCH($A189,$A$15:OFFSET($A189,-1,0),0)))))</f>
        <v>6</v>
      </c>
      <c r="N189" s="207" t="str">
        <f ca="1">IF($D189&lt;&gt;"Serviço","",IF(AUTOEVENTO="Manual",IF($A189=0,"&lt;-- defina o número do agrupador",OFFSET(EVENTOS!$D$14,$A189,0)),OFFSET($F$15,$A189,0)))</f>
        <v>DRENAGEM</v>
      </c>
      <c r="O189" s="208"/>
      <c r="Q189" s="208"/>
      <c r="R189" s="209"/>
      <c r="S189" s="209"/>
      <c r="T189" s="209"/>
      <c r="U189" s="209"/>
      <c r="V189" s="209"/>
      <c r="W189" s="209"/>
      <c r="X189" s="209"/>
      <c r="Y189" s="209"/>
      <c r="Z189" s="210"/>
      <c r="AB189" s="626">
        <f ca="1">IF(AND($D189="Serviço",AB$12&lt;&gt;0,$H189&gt;0,OR(AUTOEVENTO&lt;&gt;"manual",$M189&lt;&gt;1)),
IF(Import.TipoArredondamento&lt;&gt;"TransfereGOV",
ROUND(OFFSET($P189,0,AB$13),15-13*ORÇAMENTO!$AF$7)/$H189*OFFSET(ORÇAMENTO!$X$15,ROW(AB189)-ROW(AB$15),0),
ROUND(ROUND(OFFSET($P189,0,AB$13),15-13*ORÇAMENTO!$AF$7)*OFFSET(ORÇAMENTO!$W$15,ROW(AB189)-ROW(AB$15),0),15-13*ORÇAMENTO!$AF$11)),0)</f>
        <v>0</v>
      </c>
      <c r="AC189" s="627">
        <f ca="1">IF(AND($D189="Serviço",AC$12&lt;&gt;0,$H189&gt;0,OR(AUTOEVENTO&lt;&gt;"manual",$M189&lt;&gt;1)),
IF(Import.TipoArredondamento&lt;&gt;"TransfereGOV",
ROUND(OFFSET($P189,0,AC$13),15-13*ORÇAMENTO!$AF$7)/$H189*OFFSET(ORÇAMENTO!$X$15,ROW(AC189)-ROW(AC$15),0),
ROUND(ROUND(OFFSET($P189,0,AC$13),15-13*ORÇAMENTO!$AF$7)*OFFSET(ORÇAMENTO!$W$15,ROW(AC189)-ROW(AC$15),0),15-13*ORÇAMENTO!$AF$11)),0)</f>
        <v>0</v>
      </c>
      <c r="AD189" s="627">
        <f ca="1">IF(AND($D189="Serviço",AD$12&lt;&gt;0,$H189&gt;0,OR(AUTOEVENTO&lt;&gt;"manual",$M189&lt;&gt;1)),
IF(Import.TipoArredondamento&lt;&gt;"TransfereGOV",
ROUND(OFFSET($P189,0,AD$13),15-13*ORÇAMENTO!$AF$7)/$H189*OFFSET(ORÇAMENTO!$X$15,ROW(AD189)-ROW(AD$15),0),
ROUND(ROUND(OFFSET($P189,0,AD$13),15-13*ORÇAMENTO!$AF$7)*OFFSET(ORÇAMENTO!$W$15,ROW(AD189)-ROW(AD$15),0),15-13*ORÇAMENTO!$AF$11)),0)</f>
        <v>0</v>
      </c>
      <c r="AE189" s="627">
        <f ca="1">IF(AND($D189="Serviço",AE$12&lt;&gt;0,$H189&gt;0,OR(AUTOEVENTO&lt;&gt;"manual",$M189&lt;&gt;1)),
IF(Import.TipoArredondamento&lt;&gt;"TransfereGOV",
ROUND(OFFSET($P189,0,AE$13),15-13*ORÇAMENTO!$AF$7)/$H189*OFFSET(ORÇAMENTO!$X$15,ROW(AE189)-ROW(AE$15),0),
ROUND(ROUND(OFFSET($P189,0,AE$13),15-13*ORÇAMENTO!$AF$7)*OFFSET(ORÇAMENTO!$W$15,ROW(AE189)-ROW(AE$15),0),15-13*ORÇAMENTO!$AF$11)),0)</f>
        <v>0</v>
      </c>
      <c r="AF189" s="627">
        <f ca="1">IF(AND($D189="Serviço",AF$12&lt;&gt;0,$H189&gt;0,OR(AUTOEVENTO&lt;&gt;"manual",$M189&lt;&gt;1)),
IF(Import.TipoArredondamento&lt;&gt;"TransfereGOV",
ROUND(OFFSET($P189,0,AF$13),15-13*ORÇAMENTO!$AF$7)/$H189*OFFSET(ORÇAMENTO!$X$15,ROW(AF189)-ROW(AF$15),0),
ROUND(ROUND(OFFSET($P189,0,AF$13),15-13*ORÇAMENTO!$AF$7)*OFFSET(ORÇAMENTO!$W$15,ROW(AF189)-ROW(AF$15),0),15-13*ORÇAMENTO!$AF$11)),0)</f>
        <v>0</v>
      </c>
      <c r="AG189" s="627">
        <f ca="1">IF(AND($D189="Serviço",AG$12&lt;&gt;0,$H189&gt;0,OR(AUTOEVENTO&lt;&gt;"manual",$M189&lt;&gt;1)),
IF(Import.TipoArredondamento&lt;&gt;"TransfereGOV",
ROUND(OFFSET($P189,0,AG$13),15-13*ORÇAMENTO!$AF$7)/$H189*OFFSET(ORÇAMENTO!$X$15,ROW(AG189)-ROW(AG$15),0),
ROUND(ROUND(OFFSET($P189,0,AG$13),15-13*ORÇAMENTO!$AF$7)*OFFSET(ORÇAMENTO!$W$15,ROW(AG189)-ROW(AG$15),0),15-13*ORÇAMENTO!$AF$11)),0)</f>
        <v>0</v>
      </c>
      <c r="AH189" s="627">
        <f ca="1">IF(AND($D189="Serviço",AH$12&lt;&gt;0,$H189&gt;0,OR(AUTOEVENTO&lt;&gt;"manual",$M189&lt;&gt;1)),
IF(Import.TipoArredondamento&lt;&gt;"TransfereGOV",
ROUND(OFFSET($P189,0,AH$13),15-13*ORÇAMENTO!$AF$7)/$H189*OFFSET(ORÇAMENTO!$X$15,ROW(AH189)-ROW(AH$15),0),
ROUND(ROUND(OFFSET($P189,0,AH$13),15-13*ORÇAMENTO!$AF$7)*OFFSET(ORÇAMENTO!$W$15,ROW(AH189)-ROW(AH$15),0),15-13*ORÇAMENTO!$AF$11)),0)</f>
        <v>0</v>
      </c>
      <c r="AI189" s="627">
        <f ca="1">IF(AND($D189="Serviço",AI$12&lt;&gt;0,$H189&gt;0,OR(AUTOEVENTO&lt;&gt;"manual",$M189&lt;&gt;1)),
IF(Import.TipoArredondamento&lt;&gt;"TransfereGOV",
ROUND(OFFSET($P189,0,AI$13),15-13*ORÇAMENTO!$AF$7)/$H189*OFFSET(ORÇAMENTO!$X$15,ROW(AI189)-ROW(AI$15),0),
ROUND(ROUND(OFFSET($P189,0,AI$13),15-13*ORÇAMENTO!$AF$7)*OFFSET(ORÇAMENTO!$W$15,ROW(AI189)-ROW(AI$15),0),15-13*ORÇAMENTO!$AF$11)),0)</f>
        <v>0</v>
      </c>
      <c r="AJ189" s="627">
        <f ca="1">IF(AND($D189="Serviço",AJ$12&lt;&gt;0,$H189&gt;0,OR(AUTOEVENTO&lt;&gt;"manual",$M189&lt;&gt;1)),
IF(Import.TipoArredondamento&lt;&gt;"TransfereGOV",
ROUND(OFFSET($P189,0,AJ$13),15-13*ORÇAMENTO!$AF$7)/$H189*OFFSET(ORÇAMENTO!$X$15,ROW(AJ189)-ROW(AJ$15),0),
ROUND(ROUND(OFFSET($P189,0,AJ$13),15-13*ORÇAMENTO!$AF$7)*OFFSET(ORÇAMENTO!$W$15,ROW(AJ189)-ROW(AJ$15),0),15-13*ORÇAMENTO!$AF$11)),0)</f>
        <v>0</v>
      </c>
      <c r="AK189" s="628">
        <f ca="1">IF(AND($D189="Serviço",AK$12&lt;&gt;0,$H189&gt;0,OR(AUTOEVENTO&lt;&gt;"manual",$M189&lt;&gt;1)),
IF(Import.TipoArredondamento&lt;&gt;"TransfereGOV",
ROUND(OFFSET($P189,0,AK$13),15-13*ORÇAMENTO!$AF$7)/$H189*OFFSET(ORÇAMENTO!$X$15,ROW(AK189)-ROW(AK$15),0),
ROUND(ROUND(OFFSET($P189,0,AK$13),15-13*ORÇAMENTO!$AF$7)*OFFSET(ORÇAMENTO!$W$15,ROW(AK189)-ROW(AK$15),0),15-13*ORÇAMENTO!$AF$11)),0)</f>
        <v>0</v>
      </c>
      <c r="AM189" s="211">
        <f ca="1">IF($D189&lt;&gt;"Serviço",0,IF(AND(AUTOEVENTO="Manual",$M189=1),0,IF(OFFSET(CRONOPLE!$F$14,$M189,AM$13)="",10^12,OFFSET(CRONOPLE!$F$14,$M189,AM$13))))</f>
        <v>2</v>
      </c>
      <c r="AN189" s="211">
        <f ca="1">IF($D189&lt;&gt;"Serviço",0,IF(AND(AUTOEVENTO="Manual",$M189=1),0,IF(OFFSET(CRONOPLE!$F$14,$M189,AN$13)="",10^12,OFFSET(CRONOPLE!$F$14,$M189,AN$13))))</f>
        <v>1</v>
      </c>
      <c r="AO189" s="211">
        <f ca="1">IF($D189&lt;&gt;"Serviço",0,IF(AND(AUTOEVENTO="Manual",$M189=1),0,IF(OFFSET(CRONOPLE!$F$14,$M189,AO$13)="",10^12,OFFSET(CRONOPLE!$F$14,$M189,AO$13))))</f>
        <v>2</v>
      </c>
      <c r="AP189" s="211">
        <f ca="1">IF($D189&lt;&gt;"Serviço",0,IF(AND(AUTOEVENTO="Manual",$M189=1),0,IF(OFFSET(CRONOPLE!$F$14,$M189,AP$13)="",10^12,OFFSET(CRONOPLE!$F$14,$M189,AP$13))))</f>
        <v>2</v>
      </c>
      <c r="AQ189" s="211">
        <f ca="1">IF($D189&lt;&gt;"Serviço",0,IF(AND(AUTOEVENTO="Manual",$M189=1),0,IF(OFFSET(CRONOPLE!$F$14,$M189,AQ$13)="",10^12,OFFSET(CRONOPLE!$F$14,$M189,AQ$13))))</f>
        <v>1000000000000</v>
      </c>
      <c r="AR189" s="211">
        <f ca="1">IF($D189&lt;&gt;"Serviço",0,IF(AND(AUTOEVENTO="Manual",$M189=1),0,IF(OFFSET(CRONOPLE!$F$14,$M189,AR$13)="",10^12,OFFSET(CRONOPLE!$F$14,$M189,AR$13))))</f>
        <v>1000000000000</v>
      </c>
      <c r="AS189" s="211">
        <f ca="1">IF($D189&lt;&gt;"Serviço",0,IF(AND(AUTOEVENTO="Manual",$M189=1),0,IF(OFFSET(CRONOPLE!$F$14,$M189,AS$13)="",10^12,OFFSET(CRONOPLE!$F$14,$M189,AS$13))))</f>
        <v>1000000000000</v>
      </c>
      <c r="AT189" s="211">
        <f ca="1">IF($D189&lt;&gt;"Serviço",0,IF(AND(AUTOEVENTO="Manual",$M189=1),0,IF(OFFSET(CRONOPLE!$F$14,$M189,AT$13)="",10^12,OFFSET(CRONOPLE!$F$14,$M189,AT$13))))</f>
        <v>1000000000000</v>
      </c>
      <c r="AU189" s="211">
        <f ca="1">IF($D189&lt;&gt;"Serviço",0,IF(AND(AUTOEVENTO="Manual",$M189=1),0,IF(OFFSET(CRONOPLE!$F$14,$M189,AU$13)="",10^12,OFFSET(CRONOPLE!$F$14,$M189,AU$13))))</f>
        <v>1000000000000</v>
      </c>
      <c r="AV189" s="211">
        <f ca="1">IF($D189&lt;&gt;"Serviço",0,IF(AND(AUTOEVENTO="Manual",$M189=1),0,IF(OFFSET(CRONOPLE!$F$14,$M189,AV$13)="",10^12,OFFSET(CRONOPLE!$F$14,$M189,AV$13))))</f>
        <v>1000000000000</v>
      </c>
      <c r="AX189" s="212">
        <f ca="1">IF($D189&lt;&gt;"Serviço",0,IF(OR(AND(AUTOEVENTO="Manual",$M189=1),$M189&gt;(ROW(PLE.lastrow)-ROW(PLE.firstrow))),0,IF(OFFSET(PLE!$G$14,$M189,AX$13)="",10^12,OFFSET(PLE!$G$14,$M189,AX$13))))</f>
        <v>1000000000000</v>
      </c>
      <c r="AY189" s="212">
        <f ca="1">IF($D189&lt;&gt;"Serviço",0,IF(OR(AND(AUTOEVENTO="Manual",$M189=1),$M189&gt;(ROW(PLE.lastrow)-ROW(PLE.firstrow))),0,IF(OFFSET(PLE!$G$14,$M189,AY$13)="",10^12,OFFSET(PLE!$G$14,$M189,AY$13))))</f>
        <v>1000000000000</v>
      </c>
      <c r="AZ189" s="212">
        <f ca="1">IF($D189&lt;&gt;"Serviço",0,IF(OR(AND(AUTOEVENTO="Manual",$M189=1),$M189&gt;(ROW(PLE.lastrow)-ROW(PLE.firstrow))),0,IF(OFFSET(PLE!$G$14,$M189,AZ$13)="",10^12,OFFSET(PLE!$G$14,$M189,AZ$13))))</f>
        <v>1000000000000</v>
      </c>
      <c r="BA189" s="212">
        <f ca="1">IF($D189&lt;&gt;"Serviço",0,IF(OR(AND(AUTOEVENTO="Manual",$M189=1),$M189&gt;(ROW(PLE.lastrow)-ROW(PLE.firstrow))),0,IF(OFFSET(PLE!$G$14,$M189,BA$13)="",10^12,OFFSET(PLE!$G$14,$M189,BA$13))))</f>
        <v>1000000000000</v>
      </c>
      <c r="BB189" s="212">
        <f ca="1">IF($D189&lt;&gt;"Serviço",0,IF(OR(AND(AUTOEVENTO="Manual",$M189=1),$M189&gt;(ROW(PLE.lastrow)-ROW(PLE.firstrow))),0,IF(OFFSET(PLE!$G$14,$M189,BB$13)="",10^12,OFFSET(PLE!$G$14,$M189,BB$13))))</f>
        <v>1000000000000</v>
      </c>
      <c r="BC189" s="212">
        <f ca="1">IF($D189&lt;&gt;"Serviço",0,IF(OR(AND(AUTOEVENTO="Manual",$M189=1),$M189&gt;(ROW(PLE.lastrow)-ROW(PLE.firstrow))),0,IF(OFFSET(PLE!$G$14,$M189,BC$13)="",10^12,OFFSET(PLE!$G$14,$M189,BC$13))))</f>
        <v>1000000000000</v>
      </c>
      <c r="BD189" s="212">
        <f ca="1">IF($D189&lt;&gt;"Serviço",0,IF(OR(AND(AUTOEVENTO="Manual",$M189=1),$M189&gt;(ROW(PLE.lastrow)-ROW(PLE.firstrow))),0,IF(OFFSET(PLE!$G$14,$M189,BD$13)="",10^12,OFFSET(PLE!$G$14,$M189,BD$13))))</f>
        <v>1000000000000</v>
      </c>
      <c r="BE189" s="212">
        <f ca="1">IF($D189&lt;&gt;"Serviço",0,IF(OR(AND(AUTOEVENTO="Manual",$M189=1),$M189&gt;(ROW(PLE.lastrow)-ROW(PLE.firstrow))),0,IF(OFFSET(PLE!$G$14,$M189,BE$13)="",10^12,OFFSET(PLE!$G$14,$M189,BE$13))))</f>
        <v>1000000000000</v>
      </c>
      <c r="BF189" s="212">
        <f ca="1">IF($D189&lt;&gt;"Serviço",0,IF(OR(AND(AUTOEVENTO="Manual",$M189=1),$M189&gt;(ROW(PLE.lastrow)-ROW(PLE.firstrow))),0,IF(OFFSET(PLE!$G$14,$M189,BF$13)="",10^12,OFFSET(PLE!$G$14,$M189,BF$13))))</f>
        <v>1000000000000</v>
      </c>
      <c r="BG189" s="212">
        <f ca="1">IF($D189&lt;&gt;"Serviço",0,IF(OR(AND(AUTOEVENTO="Manual",$M189=1),$M189&gt;(ROW(PLE.lastrow)-ROW(PLE.firstrow))),0,IF(OFFSET(PLE!$G$14,$M189,BG$13)="",10^12,OFFSET(PLE!$G$14,$M189,BG$13))))</f>
        <v>1000000000000</v>
      </c>
    </row>
    <row r="190" spans="1:59" ht="13.2">
      <c r="A190" s="9" t="str">
        <f t="shared" ca="1" si="11"/>
        <v>15</v>
      </c>
      <c r="B190" s="9" t="str">
        <f ca="1">OFFSET(ORÇAMENTO!C$15,ROW(B190)-ROW(B$15),0)</f>
        <v>S</v>
      </c>
      <c r="C190" s="9" t="str">
        <f ca="1">OFFSET(ORÇAMENTO!L$15,ROW(C190)-ROW(C$15),0)</f>
        <v/>
      </c>
      <c r="D190" s="141" t="str">
        <f ca="1">OFFSET(ORÇAMENTO!N$15,ROW(D190)-ROW(D$15),0)</f>
        <v>Serviço</v>
      </c>
      <c r="E190" s="201" t="str">
        <f ca="1">OFFSET(ORÇAMENTO!O$15,ROW(E190)-ROW(E$15),0)</f>
        <v>-</v>
      </c>
      <c r="F190" s="202" t="str">
        <f ca="1">OFFSET(ORÇAMENTO!R$15,ROW(F190)-ROW(F$15),0)</f>
        <v>(abra o arquivo 'Referência 11-2024.xlsm)</v>
      </c>
      <c r="G190" s="203" t="str">
        <f ca="1">IF($D190&lt;&gt;"Serviço","",OFFSET(ORÇAMENTO!S$15,ROW(G190)-ROW(G$15),0))</f>
        <v>-</v>
      </c>
      <c r="H190" s="147">
        <f ca="1">IF($D190&lt;&gt;"Serviço",0,IF(ACOMPANHAMENTO="BM",ROUND(OFFSET(ORÇAMENTO!AJ$15,ROW(H190)-ROW(H$15),0),15-13*ORÇAMENTO!$AF$7),SUMPRODUCT(($Q$12:$AA$12&lt;&gt;"")*ROUND($Q190:$AA190,15-13*ORÇAMENTO!$AF$7))))</f>
        <v>0</v>
      </c>
      <c r="I190" s="645"/>
      <c r="K190" s="204"/>
      <c r="L190" s="205" t="s">
        <v>255</v>
      </c>
      <c r="M190" s="206">
        <f ca="1">IF($D190&lt;&gt;"Serviço","",IF(AUTOEVENTO="manual",$A190,IF(ISERROR(MATCH($A190,$A$15:OFFSET($A190,-1,0),0)),MAX($M$15:OFFSET(M190,-1,0))+1,INDEX($M$15:OFFSET(M190,-1,0),MATCH($A190,$A$15:OFFSET($A190,-1,0),0)))))</f>
        <v>6</v>
      </c>
      <c r="N190" s="207" t="str">
        <f ca="1">IF($D190&lt;&gt;"Serviço","",IF(AUTOEVENTO="Manual",IF($A190=0,"&lt;-- defina o número do agrupador",OFFSET(EVENTOS!$D$14,$A190,0)),OFFSET($F$15,$A190,0)))</f>
        <v>DRENAGEM</v>
      </c>
      <c r="O190" s="208"/>
      <c r="Q190" s="208"/>
      <c r="R190" s="209"/>
      <c r="S190" s="209"/>
      <c r="T190" s="209"/>
      <c r="U190" s="209"/>
      <c r="V190" s="209"/>
      <c r="W190" s="209"/>
      <c r="X190" s="209"/>
      <c r="Y190" s="209"/>
      <c r="Z190" s="210"/>
      <c r="AB190" s="626">
        <f ca="1">IF(AND($D190="Serviço",AB$12&lt;&gt;0,$H190&gt;0,OR(AUTOEVENTO&lt;&gt;"manual",$M190&lt;&gt;1)),
IF(Import.TipoArredondamento&lt;&gt;"TransfereGOV",
ROUND(OFFSET($P190,0,AB$13),15-13*ORÇAMENTO!$AF$7)/$H190*OFFSET(ORÇAMENTO!$X$15,ROW(AB190)-ROW(AB$15),0),
ROUND(ROUND(OFFSET($P190,0,AB$13),15-13*ORÇAMENTO!$AF$7)*OFFSET(ORÇAMENTO!$W$15,ROW(AB190)-ROW(AB$15),0),15-13*ORÇAMENTO!$AF$11)),0)</f>
        <v>0</v>
      </c>
      <c r="AC190" s="627">
        <f ca="1">IF(AND($D190="Serviço",AC$12&lt;&gt;0,$H190&gt;0,OR(AUTOEVENTO&lt;&gt;"manual",$M190&lt;&gt;1)),
IF(Import.TipoArredondamento&lt;&gt;"TransfereGOV",
ROUND(OFFSET($P190,0,AC$13),15-13*ORÇAMENTO!$AF$7)/$H190*OFFSET(ORÇAMENTO!$X$15,ROW(AC190)-ROW(AC$15),0),
ROUND(ROUND(OFFSET($P190,0,AC$13),15-13*ORÇAMENTO!$AF$7)*OFFSET(ORÇAMENTO!$W$15,ROW(AC190)-ROW(AC$15),0),15-13*ORÇAMENTO!$AF$11)),0)</f>
        <v>0</v>
      </c>
      <c r="AD190" s="627">
        <f ca="1">IF(AND($D190="Serviço",AD$12&lt;&gt;0,$H190&gt;0,OR(AUTOEVENTO&lt;&gt;"manual",$M190&lt;&gt;1)),
IF(Import.TipoArredondamento&lt;&gt;"TransfereGOV",
ROUND(OFFSET($P190,0,AD$13),15-13*ORÇAMENTO!$AF$7)/$H190*OFFSET(ORÇAMENTO!$X$15,ROW(AD190)-ROW(AD$15),0),
ROUND(ROUND(OFFSET($P190,0,AD$13),15-13*ORÇAMENTO!$AF$7)*OFFSET(ORÇAMENTO!$W$15,ROW(AD190)-ROW(AD$15),0),15-13*ORÇAMENTO!$AF$11)),0)</f>
        <v>0</v>
      </c>
      <c r="AE190" s="627">
        <f ca="1">IF(AND($D190="Serviço",AE$12&lt;&gt;0,$H190&gt;0,OR(AUTOEVENTO&lt;&gt;"manual",$M190&lt;&gt;1)),
IF(Import.TipoArredondamento&lt;&gt;"TransfereGOV",
ROUND(OFFSET($P190,0,AE$13),15-13*ORÇAMENTO!$AF$7)/$H190*OFFSET(ORÇAMENTO!$X$15,ROW(AE190)-ROW(AE$15),0),
ROUND(ROUND(OFFSET($P190,0,AE$13),15-13*ORÇAMENTO!$AF$7)*OFFSET(ORÇAMENTO!$W$15,ROW(AE190)-ROW(AE$15),0),15-13*ORÇAMENTO!$AF$11)),0)</f>
        <v>0</v>
      </c>
      <c r="AF190" s="627">
        <f ca="1">IF(AND($D190="Serviço",AF$12&lt;&gt;0,$H190&gt;0,OR(AUTOEVENTO&lt;&gt;"manual",$M190&lt;&gt;1)),
IF(Import.TipoArredondamento&lt;&gt;"TransfereGOV",
ROUND(OFFSET($P190,0,AF$13),15-13*ORÇAMENTO!$AF$7)/$H190*OFFSET(ORÇAMENTO!$X$15,ROW(AF190)-ROW(AF$15),0),
ROUND(ROUND(OFFSET($P190,0,AF$13),15-13*ORÇAMENTO!$AF$7)*OFFSET(ORÇAMENTO!$W$15,ROW(AF190)-ROW(AF$15),0),15-13*ORÇAMENTO!$AF$11)),0)</f>
        <v>0</v>
      </c>
      <c r="AG190" s="627">
        <f ca="1">IF(AND($D190="Serviço",AG$12&lt;&gt;0,$H190&gt;0,OR(AUTOEVENTO&lt;&gt;"manual",$M190&lt;&gt;1)),
IF(Import.TipoArredondamento&lt;&gt;"TransfereGOV",
ROUND(OFFSET($P190,0,AG$13),15-13*ORÇAMENTO!$AF$7)/$H190*OFFSET(ORÇAMENTO!$X$15,ROW(AG190)-ROW(AG$15),0),
ROUND(ROUND(OFFSET($P190,0,AG$13),15-13*ORÇAMENTO!$AF$7)*OFFSET(ORÇAMENTO!$W$15,ROW(AG190)-ROW(AG$15),0),15-13*ORÇAMENTO!$AF$11)),0)</f>
        <v>0</v>
      </c>
      <c r="AH190" s="627">
        <f ca="1">IF(AND($D190="Serviço",AH$12&lt;&gt;0,$H190&gt;0,OR(AUTOEVENTO&lt;&gt;"manual",$M190&lt;&gt;1)),
IF(Import.TipoArredondamento&lt;&gt;"TransfereGOV",
ROUND(OFFSET($P190,0,AH$13),15-13*ORÇAMENTO!$AF$7)/$H190*OFFSET(ORÇAMENTO!$X$15,ROW(AH190)-ROW(AH$15),0),
ROUND(ROUND(OFFSET($P190,0,AH$13),15-13*ORÇAMENTO!$AF$7)*OFFSET(ORÇAMENTO!$W$15,ROW(AH190)-ROW(AH$15),0),15-13*ORÇAMENTO!$AF$11)),0)</f>
        <v>0</v>
      </c>
      <c r="AI190" s="627">
        <f ca="1">IF(AND($D190="Serviço",AI$12&lt;&gt;0,$H190&gt;0,OR(AUTOEVENTO&lt;&gt;"manual",$M190&lt;&gt;1)),
IF(Import.TipoArredondamento&lt;&gt;"TransfereGOV",
ROUND(OFFSET($P190,0,AI$13),15-13*ORÇAMENTO!$AF$7)/$H190*OFFSET(ORÇAMENTO!$X$15,ROW(AI190)-ROW(AI$15),0),
ROUND(ROUND(OFFSET($P190,0,AI$13),15-13*ORÇAMENTO!$AF$7)*OFFSET(ORÇAMENTO!$W$15,ROW(AI190)-ROW(AI$15),0),15-13*ORÇAMENTO!$AF$11)),0)</f>
        <v>0</v>
      </c>
      <c r="AJ190" s="627">
        <f ca="1">IF(AND($D190="Serviço",AJ$12&lt;&gt;0,$H190&gt;0,OR(AUTOEVENTO&lt;&gt;"manual",$M190&lt;&gt;1)),
IF(Import.TipoArredondamento&lt;&gt;"TransfereGOV",
ROUND(OFFSET($P190,0,AJ$13),15-13*ORÇAMENTO!$AF$7)/$H190*OFFSET(ORÇAMENTO!$X$15,ROW(AJ190)-ROW(AJ$15),0),
ROUND(ROUND(OFFSET($P190,0,AJ$13),15-13*ORÇAMENTO!$AF$7)*OFFSET(ORÇAMENTO!$W$15,ROW(AJ190)-ROW(AJ$15),0),15-13*ORÇAMENTO!$AF$11)),0)</f>
        <v>0</v>
      </c>
      <c r="AK190" s="628">
        <f ca="1">IF(AND($D190="Serviço",AK$12&lt;&gt;0,$H190&gt;0,OR(AUTOEVENTO&lt;&gt;"manual",$M190&lt;&gt;1)),
IF(Import.TipoArredondamento&lt;&gt;"TransfereGOV",
ROUND(OFFSET($P190,0,AK$13),15-13*ORÇAMENTO!$AF$7)/$H190*OFFSET(ORÇAMENTO!$X$15,ROW(AK190)-ROW(AK$15),0),
ROUND(ROUND(OFFSET($P190,0,AK$13),15-13*ORÇAMENTO!$AF$7)*OFFSET(ORÇAMENTO!$W$15,ROW(AK190)-ROW(AK$15),0),15-13*ORÇAMENTO!$AF$11)),0)</f>
        <v>0</v>
      </c>
      <c r="AM190" s="211">
        <f ca="1">IF($D190&lt;&gt;"Serviço",0,IF(AND(AUTOEVENTO="Manual",$M190=1),0,IF(OFFSET(CRONOPLE!$F$14,$M190,AM$13)="",10^12,OFFSET(CRONOPLE!$F$14,$M190,AM$13))))</f>
        <v>2</v>
      </c>
      <c r="AN190" s="211">
        <f ca="1">IF($D190&lt;&gt;"Serviço",0,IF(AND(AUTOEVENTO="Manual",$M190=1),0,IF(OFFSET(CRONOPLE!$F$14,$M190,AN$13)="",10^12,OFFSET(CRONOPLE!$F$14,$M190,AN$13))))</f>
        <v>1</v>
      </c>
      <c r="AO190" s="211">
        <f ca="1">IF($D190&lt;&gt;"Serviço",0,IF(AND(AUTOEVENTO="Manual",$M190=1),0,IF(OFFSET(CRONOPLE!$F$14,$M190,AO$13)="",10^12,OFFSET(CRONOPLE!$F$14,$M190,AO$13))))</f>
        <v>2</v>
      </c>
      <c r="AP190" s="211">
        <f ca="1">IF($D190&lt;&gt;"Serviço",0,IF(AND(AUTOEVENTO="Manual",$M190=1),0,IF(OFFSET(CRONOPLE!$F$14,$M190,AP$13)="",10^12,OFFSET(CRONOPLE!$F$14,$M190,AP$13))))</f>
        <v>2</v>
      </c>
      <c r="AQ190" s="211">
        <f ca="1">IF($D190&lt;&gt;"Serviço",0,IF(AND(AUTOEVENTO="Manual",$M190=1),0,IF(OFFSET(CRONOPLE!$F$14,$M190,AQ$13)="",10^12,OFFSET(CRONOPLE!$F$14,$M190,AQ$13))))</f>
        <v>1000000000000</v>
      </c>
      <c r="AR190" s="211">
        <f ca="1">IF($D190&lt;&gt;"Serviço",0,IF(AND(AUTOEVENTO="Manual",$M190=1),0,IF(OFFSET(CRONOPLE!$F$14,$M190,AR$13)="",10^12,OFFSET(CRONOPLE!$F$14,$M190,AR$13))))</f>
        <v>1000000000000</v>
      </c>
      <c r="AS190" s="211">
        <f ca="1">IF($D190&lt;&gt;"Serviço",0,IF(AND(AUTOEVENTO="Manual",$M190=1),0,IF(OFFSET(CRONOPLE!$F$14,$M190,AS$13)="",10^12,OFFSET(CRONOPLE!$F$14,$M190,AS$13))))</f>
        <v>1000000000000</v>
      </c>
      <c r="AT190" s="211">
        <f ca="1">IF($D190&lt;&gt;"Serviço",0,IF(AND(AUTOEVENTO="Manual",$M190=1),0,IF(OFFSET(CRONOPLE!$F$14,$M190,AT$13)="",10^12,OFFSET(CRONOPLE!$F$14,$M190,AT$13))))</f>
        <v>1000000000000</v>
      </c>
      <c r="AU190" s="211">
        <f ca="1">IF($D190&lt;&gt;"Serviço",0,IF(AND(AUTOEVENTO="Manual",$M190=1),0,IF(OFFSET(CRONOPLE!$F$14,$M190,AU$13)="",10^12,OFFSET(CRONOPLE!$F$14,$M190,AU$13))))</f>
        <v>1000000000000</v>
      </c>
      <c r="AV190" s="211">
        <f ca="1">IF($D190&lt;&gt;"Serviço",0,IF(AND(AUTOEVENTO="Manual",$M190=1),0,IF(OFFSET(CRONOPLE!$F$14,$M190,AV$13)="",10^12,OFFSET(CRONOPLE!$F$14,$M190,AV$13))))</f>
        <v>1000000000000</v>
      </c>
      <c r="AX190" s="212">
        <f ca="1">IF($D190&lt;&gt;"Serviço",0,IF(OR(AND(AUTOEVENTO="Manual",$M190=1),$M190&gt;(ROW(PLE.lastrow)-ROW(PLE.firstrow))),0,IF(OFFSET(PLE!$G$14,$M190,AX$13)="",10^12,OFFSET(PLE!$G$14,$M190,AX$13))))</f>
        <v>1000000000000</v>
      </c>
      <c r="AY190" s="212">
        <f ca="1">IF($D190&lt;&gt;"Serviço",0,IF(OR(AND(AUTOEVENTO="Manual",$M190=1),$M190&gt;(ROW(PLE.lastrow)-ROW(PLE.firstrow))),0,IF(OFFSET(PLE!$G$14,$M190,AY$13)="",10^12,OFFSET(PLE!$G$14,$M190,AY$13))))</f>
        <v>1000000000000</v>
      </c>
      <c r="AZ190" s="212">
        <f ca="1">IF($D190&lt;&gt;"Serviço",0,IF(OR(AND(AUTOEVENTO="Manual",$M190=1),$M190&gt;(ROW(PLE.lastrow)-ROW(PLE.firstrow))),0,IF(OFFSET(PLE!$G$14,$M190,AZ$13)="",10^12,OFFSET(PLE!$G$14,$M190,AZ$13))))</f>
        <v>1000000000000</v>
      </c>
      <c r="BA190" s="212">
        <f ca="1">IF($D190&lt;&gt;"Serviço",0,IF(OR(AND(AUTOEVENTO="Manual",$M190=1),$M190&gt;(ROW(PLE.lastrow)-ROW(PLE.firstrow))),0,IF(OFFSET(PLE!$G$14,$M190,BA$13)="",10^12,OFFSET(PLE!$G$14,$M190,BA$13))))</f>
        <v>1000000000000</v>
      </c>
      <c r="BB190" s="212">
        <f ca="1">IF($D190&lt;&gt;"Serviço",0,IF(OR(AND(AUTOEVENTO="Manual",$M190=1),$M190&gt;(ROW(PLE.lastrow)-ROW(PLE.firstrow))),0,IF(OFFSET(PLE!$G$14,$M190,BB$13)="",10^12,OFFSET(PLE!$G$14,$M190,BB$13))))</f>
        <v>1000000000000</v>
      </c>
      <c r="BC190" s="212">
        <f ca="1">IF($D190&lt;&gt;"Serviço",0,IF(OR(AND(AUTOEVENTO="Manual",$M190=1),$M190&gt;(ROW(PLE.lastrow)-ROW(PLE.firstrow))),0,IF(OFFSET(PLE!$G$14,$M190,BC$13)="",10^12,OFFSET(PLE!$G$14,$M190,BC$13))))</f>
        <v>1000000000000</v>
      </c>
      <c r="BD190" s="212">
        <f ca="1">IF($D190&lt;&gt;"Serviço",0,IF(OR(AND(AUTOEVENTO="Manual",$M190=1),$M190&gt;(ROW(PLE.lastrow)-ROW(PLE.firstrow))),0,IF(OFFSET(PLE!$G$14,$M190,BD$13)="",10^12,OFFSET(PLE!$G$14,$M190,BD$13))))</f>
        <v>1000000000000</v>
      </c>
      <c r="BE190" s="212">
        <f ca="1">IF($D190&lt;&gt;"Serviço",0,IF(OR(AND(AUTOEVENTO="Manual",$M190=1),$M190&gt;(ROW(PLE.lastrow)-ROW(PLE.firstrow))),0,IF(OFFSET(PLE!$G$14,$M190,BE$13)="",10^12,OFFSET(PLE!$G$14,$M190,BE$13))))</f>
        <v>1000000000000</v>
      </c>
      <c r="BF190" s="212">
        <f ca="1">IF($D190&lt;&gt;"Serviço",0,IF(OR(AND(AUTOEVENTO="Manual",$M190=1),$M190&gt;(ROW(PLE.lastrow)-ROW(PLE.firstrow))),0,IF(OFFSET(PLE!$G$14,$M190,BF$13)="",10^12,OFFSET(PLE!$G$14,$M190,BF$13))))</f>
        <v>1000000000000</v>
      </c>
      <c r="BG190" s="212">
        <f ca="1">IF($D190&lt;&gt;"Serviço",0,IF(OR(AND(AUTOEVENTO="Manual",$M190=1),$M190&gt;(ROW(PLE.lastrow)-ROW(PLE.firstrow))),0,IF(OFFSET(PLE!$G$14,$M190,BG$13)="",10^12,OFFSET(PLE!$G$14,$M190,BG$13))))</f>
        <v>1000000000000</v>
      </c>
    </row>
    <row r="191" spans="1:59" ht="13.2">
      <c r="A191" s="9" t="str">
        <f t="shared" ca="1" si="11"/>
        <v>15</v>
      </c>
      <c r="B191" s="9" t="str">
        <f ca="1">OFFSET(ORÇAMENTO!C$15,ROW(B191)-ROW(B$15),0)</f>
        <v>S</v>
      </c>
      <c r="C191" s="9" t="str">
        <f ca="1">OFFSET(ORÇAMENTO!L$15,ROW(C191)-ROW(C$15),0)</f>
        <v/>
      </c>
      <c r="D191" s="141" t="str">
        <f ca="1">OFFSET(ORÇAMENTO!N$15,ROW(D191)-ROW(D$15),0)</f>
        <v>Serviço</v>
      </c>
      <c r="E191" s="201" t="str">
        <f ca="1">OFFSET(ORÇAMENTO!O$15,ROW(E191)-ROW(E$15),0)</f>
        <v>-</v>
      </c>
      <c r="F191" s="202" t="str">
        <f ca="1">OFFSET(ORÇAMENTO!R$15,ROW(F191)-ROW(F$15),0)</f>
        <v>(abra o arquivo 'Referência 11-2024.xlsm)</v>
      </c>
      <c r="G191" s="203" t="str">
        <f ca="1">IF($D191&lt;&gt;"Serviço","",OFFSET(ORÇAMENTO!S$15,ROW(G191)-ROW(G$15),0))</f>
        <v>-</v>
      </c>
      <c r="H191" s="147">
        <f ca="1">IF($D191&lt;&gt;"Serviço",0,IF(ACOMPANHAMENTO="BM",ROUND(OFFSET(ORÇAMENTO!AJ$15,ROW(H191)-ROW(H$15),0),15-13*ORÇAMENTO!$AF$7),SUMPRODUCT(($Q$12:$AA$12&lt;&gt;"")*ROUND($Q191:$AA191,15-13*ORÇAMENTO!$AF$7))))</f>
        <v>0</v>
      </c>
      <c r="I191" s="645"/>
      <c r="K191" s="204"/>
      <c r="L191" s="205" t="s">
        <v>255</v>
      </c>
      <c r="M191" s="206">
        <f ca="1">IF($D191&lt;&gt;"Serviço","",IF(AUTOEVENTO="manual",$A191,IF(ISERROR(MATCH($A191,$A$15:OFFSET($A191,-1,0),0)),MAX($M$15:OFFSET(M191,-1,0))+1,INDEX($M$15:OFFSET(M191,-1,0),MATCH($A191,$A$15:OFFSET($A191,-1,0),0)))))</f>
        <v>6</v>
      </c>
      <c r="N191" s="207" t="str">
        <f ca="1">IF($D191&lt;&gt;"Serviço","",IF(AUTOEVENTO="Manual",IF($A191=0,"&lt;-- defina o número do agrupador",OFFSET(EVENTOS!$D$14,$A191,0)),OFFSET($F$15,$A191,0)))</f>
        <v>DRENAGEM</v>
      </c>
      <c r="O191" s="208"/>
      <c r="Q191" s="208"/>
      <c r="R191" s="209"/>
      <c r="S191" s="209"/>
      <c r="T191" s="209"/>
      <c r="U191" s="209"/>
      <c r="V191" s="209"/>
      <c r="W191" s="209"/>
      <c r="X191" s="209"/>
      <c r="Y191" s="209"/>
      <c r="Z191" s="210"/>
      <c r="AB191" s="626">
        <f ca="1">IF(AND($D191="Serviço",AB$12&lt;&gt;0,$H191&gt;0,OR(AUTOEVENTO&lt;&gt;"manual",$M191&lt;&gt;1)),
IF(Import.TipoArredondamento&lt;&gt;"TransfereGOV",
ROUND(OFFSET($P191,0,AB$13),15-13*ORÇAMENTO!$AF$7)/$H191*OFFSET(ORÇAMENTO!$X$15,ROW(AB191)-ROW(AB$15),0),
ROUND(ROUND(OFFSET($P191,0,AB$13),15-13*ORÇAMENTO!$AF$7)*OFFSET(ORÇAMENTO!$W$15,ROW(AB191)-ROW(AB$15),0),15-13*ORÇAMENTO!$AF$11)),0)</f>
        <v>0</v>
      </c>
      <c r="AC191" s="627">
        <f ca="1">IF(AND($D191="Serviço",AC$12&lt;&gt;0,$H191&gt;0,OR(AUTOEVENTO&lt;&gt;"manual",$M191&lt;&gt;1)),
IF(Import.TipoArredondamento&lt;&gt;"TransfereGOV",
ROUND(OFFSET($P191,0,AC$13),15-13*ORÇAMENTO!$AF$7)/$H191*OFFSET(ORÇAMENTO!$X$15,ROW(AC191)-ROW(AC$15),0),
ROUND(ROUND(OFFSET($P191,0,AC$13),15-13*ORÇAMENTO!$AF$7)*OFFSET(ORÇAMENTO!$W$15,ROW(AC191)-ROW(AC$15),0),15-13*ORÇAMENTO!$AF$11)),0)</f>
        <v>0</v>
      </c>
      <c r="AD191" s="627">
        <f ca="1">IF(AND($D191="Serviço",AD$12&lt;&gt;0,$H191&gt;0,OR(AUTOEVENTO&lt;&gt;"manual",$M191&lt;&gt;1)),
IF(Import.TipoArredondamento&lt;&gt;"TransfereGOV",
ROUND(OFFSET($P191,0,AD$13),15-13*ORÇAMENTO!$AF$7)/$H191*OFFSET(ORÇAMENTO!$X$15,ROW(AD191)-ROW(AD$15),0),
ROUND(ROUND(OFFSET($P191,0,AD$13),15-13*ORÇAMENTO!$AF$7)*OFFSET(ORÇAMENTO!$W$15,ROW(AD191)-ROW(AD$15),0),15-13*ORÇAMENTO!$AF$11)),0)</f>
        <v>0</v>
      </c>
      <c r="AE191" s="627">
        <f ca="1">IF(AND($D191="Serviço",AE$12&lt;&gt;0,$H191&gt;0,OR(AUTOEVENTO&lt;&gt;"manual",$M191&lt;&gt;1)),
IF(Import.TipoArredondamento&lt;&gt;"TransfereGOV",
ROUND(OFFSET($P191,0,AE$13),15-13*ORÇAMENTO!$AF$7)/$H191*OFFSET(ORÇAMENTO!$X$15,ROW(AE191)-ROW(AE$15),0),
ROUND(ROUND(OFFSET($P191,0,AE$13),15-13*ORÇAMENTO!$AF$7)*OFFSET(ORÇAMENTO!$W$15,ROW(AE191)-ROW(AE$15),0),15-13*ORÇAMENTO!$AF$11)),0)</f>
        <v>0</v>
      </c>
      <c r="AF191" s="627">
        <f ca="1">IF(AND($D191="Serviço",AF$12&lt;&gt;0,$H191&gt;0,OR(AUTOEVENTO&lt;&gt;"manual",$M191&lt;&gt;1)),
IF(Import.TipoArredondamento&lt;&gt;"TransfereGOV",
ROUND(OFFSET($P191,0,AF$13),15-13*ORÇAMENTO!$AF$7)/$H191*OFFSET(ORÇAMENTO!$X$15,ROW(AF191)-ROW(AF$15),0),
ROUND(ROUND(OFFSET($P191,0,AF$13),15-13*ORÇAMENTO!$AF$7)*OFFSET(ORÇAMENTO!$W$15,ROW(AF191)-ROW(AF$15),0),15-13*ORÇAMENTO!$AF$11)),0)</f>
        <v>0</v>
      </c>
      <c r="AG191" s="627">
        <f ca="1">IF(AND($D191="Serviço",AG$12&lt;&gt;0,$H191&gt;0,OR(AUTOEVENTO&lt;&gt;"manual",$M191&lt;&gt;1)),
IF(Import.TipoArredondamento&lt;&gt;"TransfereGOV",
ROUND(OFFSET($P191,0,AG$13),15-13*ORÇAMENTO!$AF$7)/$H191*OFFSET(ORÇAMENTO!$X$15,ROW(AG191)-ROW(AG$15),0),
ROUND(ROUND(OFFSET($P191,0,AG$13),15-13*ORÇAMENTO!$AF$7)*OFFSET(ORÇAMENTO!$W$15,ROW(AG191)-ROW(AG$15),0),15-13*ORÇAMENTO!$AF$11)),0)</f>
        <v>0</v>
      </c>
      <c r="AH191" s="627">
        <f ca="1">IF(AND($D191="Serviço",AH$12&lt;&gt;0,$H191&gt;0,OR(AUTOEVENTO&lt;&gt;"manual",$M191&lt;&gt;1)),
IF(Import.TipoArredondamento&lt;&gt;"TransfereGOV",
ROUND(OFFSET($P191,0,AH$13),15-13*ORÇAMENTO!$AF$7)/$H191*OFFSET(ORÇAMENTO!$X$15,ROW(AH191)-ROW(AH$15),0),
ROUND(ROUND(OFFSET($P191,0,AH$13),15-13*ORÇAMENTO!$AF$7)*OFFSET(ORÇAMENTO!$W$15,ROW(AH191)-ROW(AH$15),0),15-13*ORÇAMENTO!$AF$11)),0)</f>
        <v>0</v>
      </c>
      <c r="AI191" s="627">
        <f ca="1">IF(AND($D191="Serviço",AI$12&lt;&gt;0,$H191&gt;0,OR(AUTOEVENTO&lt;&gt;"manual",$M191&lt;&gt;1)),
IF(Import.TipoArredondamento&lt;&gt;"TransfereGOV",
ROUND(OFFSET($P191,0,AI$13),15-13*ORÇAMENTO!$AF$7)/$H191*OFFSET(ORÇAMENTO!$X$15,ROW(AI191)-ROW(AI$15),0),
ROUND(ROUND(OFFSET($P191,0,AI$13),15-13*ORÇAMENTO!$AF$7)*OFFSET(ORÇAMENTO!$W$15,ROW(AI191)-ROW(AI$15),0),15-13*ORÇAMENTO!$AF$11)),0)</f>
        <v>0</v>
      </c>
      <c r="AJ191" s="627">
        <f ca="1">IF(AND($D191="Serviço",AJ$12&lt;&gt;0,$H191&gt;0,OR(AUTOEVENTO&lt;&gt;"manual",$M191&lt;&gt;1)),
IF(Import.TipoArredondamento&lt;&gt;"TransfereGOV",
ROUND(OFFSET($P191,0,AJ$13),15-13*ORÇAMENTO!$AF$7)/$H191*OFFSET(ORÇAMENTO!$X$15,ROW(AJ191)-ROW(AJ$15),0),
ROUND(ROUND(OFFSET($P191,0,AJ$13),15-13*ORÇAMENTO!$AF$7)*OFFSET(ORÇAMENTO!$W$15,ROW(AJ191)-ROW(AJ$15),0),15-13*ORÇAMENTO!$AF$11)),0)</f>
        <v>0</v>
      </c>
      <c r="AK191" s="628">
        <f ca="1">IF(AND($D191="Serviço",AK$12&lt;&gt;0,$H191&gt;0,OR(AUTOEVENTO&lt;&gt;"manual",$M191&lt;&gt;1)),
IF(Import.TipoArredondamento&lt;&gt;"TransfereGOV",
ROUND(OFFSET($P191,0,AK$13),15-13*ORÇAMENTO!$AF$7)/$H191*OFFSET(ORÇAMENTO!$X$15,ROW(AK191)-ROW(AK$15),0),
ROUND(ROUND(OFFSET($P191,0,AK$13),15-13*ORÇAMENTO!$AF$7)*OFFSET(ORÇAMENTO!$W$15,ROW(AK191)-ROW(AK$15),0),15-13*ORÇAMENTO!$AF$11)),0)</f>
        <v>0</v>
      </c>
      <c r="AM191" s="211">
        <f ca="1">IF($D191&lt;&gt;"Serviço",0,IF(AND(AUTOEVENTO="Manual",$M191=1),0,IF(OFFSET(CRONOPLE!$F$14,$M191,AM$13)="",10^12,OFFSET(CRONOPLE!$F$14,$M191,AM$13))))</f>
        <v>2</v>
      </c>
      <c r="AN191" s="211">
        <f ca="1">IF($D191&lt;&gt;"Serviço",0,IF(AND(AUTOEVENTO="Manual",$M191=1),0,IF(OFFSET(CRONOPLE!$F$14,$M191,AN$13)="",10^12,OFFSET(CRONOPLE!$F$14,$M191,AN$13))))</f>
        <v>1</v>
      </c>
      <c r="AO191" s="211">
        <f ca="1">IF($D191&lt;&gt;"Serviço",0,IF(AND(AUTOEVENTO="Manual",$M191=1),0,IF(OFFSET(CRONOPLE!$F$14,$M191,AO$13)="",10^12,OFFSET(CRONOPLE!$F$14,$M191,AO$13))))</f>
        <v>2</v>
      </c>
      <c r="AP191" s="211">
        <f ca="1">IF($D191&lt;&gt;"Serviço",0,IF(AND(AUTOEVENTO="Manual",$M191=1),0,IF(OFFSET(CRONOPLE!$F$14,$M191,AP$13)="",10^12,OFFSET(CRONOPLE!$F$14,$M191,AP$13))))</f>
        <v>2</v>
      </c>
      <c r="AQ191" s="211">
        <f ca="1">IF($D191&lt;&gt;"Serviço",0,IF(AND(AUTOEVENTO="Manual",$M191=1),0,IF(OFFSET(CRONOPLE!$F$14,$M191,AQ$13)="",10^12,OFFSET(CRONOPLE!$F$14,$M191,AQ$13))))</f>
        <v>1000000000000</v>
      </c>
      <c r="AR191" s="211">
        <f ca="1">IF($D191&lt;&gt;"Serviço",0,IF(AND(AUTOEVENTO="Manual",$M191=1),0,IF(OFFSET(CRONOPLE!$F$14,$M191,AR$13)="",10^12,OFFSET(CRONOPLE!$F$14,$M191,AR$13))))</f>
        <v>1000000000000</v>
      </c>
      <c r="AS191" s="211">
        <f ca="1">IF($D191&lt;&gt;"Serviço",0,IF(AND(AUTOEVENTO="Manual",$M191=1),0,IF(OFFSET(CRONOPLE!$F$14,$M191,AS$13)="",10^12,OFFSET(CRONOPLE!$F$14,$M191,AS$13))))</f>
        <v>1000000000000</v>
      </c>
      <c r="AT191" s="211">
        <f ca="1">IF($D191&lt;&gt;"Serviço",0,IF(AND(AUTOEVENTO="Manual",$M191=1),0,IF(OFFSET(CRONOPLE!$F$14,$M191,AT$13)="",10^12,OFFSET(CRONOPLE!$F$14,$M191,AT$13))))</f>
        <v>1000000000000</v>
      </c>
      <c r="AU191" s="211">
        <f ca="1">IF($D191&lt;&gt;"Serviço",0,IF(AND(AUTOEVENTO="Manual",$M191=1),0,IF(OFFSET(CRONOPLE!$F$14,$M191,AU$13)="",10^12,OFFSET(CRONOPLE!$F$14,$M191,AU$13))))</f>
        <v>1000000000000</v>
      </c>
      <c r="AV191" s="211">
        <f ca="1">IF($D191&lt;&gt;"Serviço",0,IF(AND(AUTOEVENTO="Manual",$M191=1),0,IF(OFFSET(CRONOPLE!$F$14,$M191,AV$13)="",10^12,OFFSET(CRONOPLE!$F$14,$M191,AV$13))))</f>
        <v>1000000000000</v>
      </c>
      <c r="AX191" s="212">
        <f ca="1">IF($D191&lt;&gt;"Serviço",0,IF(OR(AND(AUTOEVENTO="Manual",$M191=1),$M191&gt;(ROW(PLE.lastrow)-ROW(PLE.firstrow))),0,IF(OFFSET(PLE!$G$14,$M191,AX$13)="",10^12,OFFSET(PLE!$G$14,$M191,AX$13))))</f>
        <v>1000000000000</v>
      </c>
      <c r="AY191" s="212">
        <f ca="1">IF($D191&lt;&gt;"Serviço",0,IF(OR(AND(AUTOEVENTO="Manual",$M191=1),$M191&gt;(ROW(PLE.lastrow)-ROW(PLE.firstrow))),0,IF(OFFSET(PLE!$G$14,$M191,AY$13)="",10^12,OFFSET(PLE!$G$14,$M191,AY$13))))</f>
        <v>1000000000000</v>
      </c>
      <c r="AZ191" s="212">
        <f ca="1">IF($D191&lt;&gt;"Serviço",0,IF(OR(AND(AUTOEVENTO="Manual",$M191=1),$M191&gt;(ROW(PLE.lastrow)-ROW(PLE.firstrow))),0,IF(OFFSET(PLE!$G$14,$M191,AZ$13)="",10^12,OFFSET(PLE!$G$14,$M191,AZ$13))))</f>
        <v>1000000000000</v>
      </c>
      <c r="BA191" s="212">
        <f ca="1">IF($D191&lt;&gt;"Serviço",0,IF(OR(AND(AUTOEVENTO="Manual",$M191=1),$M191&gt;(ROW(PLE.lastrow)-ROW(PLE.firstrow))),0,IF(OFFSET(PLE!$G$14,$M191,BA$13)="",10^12,OFFSET(PLE!$G$14,$M191,BA$13))))</f>
        <v>1000000000000</v>
      </c>
      <c r="BB191" s="212">
        <f ca="1">IF($D191&lt;&gt;"Serviço",0,IF(OR(AND(AUTOEVENTO="Manual",$M191=1),$M191&gt;(ROW(PLE.lastrow)-ROW(PLE.firstrow))),0,IF(OFFSET(PLE!$G$14,$M191,BB$13)="",10^12,OFFSET(PLE!$G$14,$M191,BB$13))))</f>
        <v>1000000000000</v>
      </c>
      <c r="BC191" s="212">
        <f ca="1">IF($D191&lt;&gt;"Serviço",0,IF(OR(AND(AUTOEVENTO="Manual",$M191=1),$M191&gt;(ROW(PLE.lastrow)-ROW(PLE.firstrow))),0,IF(OFFSET(PLE!$G$14,$M191,BC$13)="",10^12,OFFSET(PLE!$G$14,$M191,BC$13))))</f>
        <v>1000000000000</v>
      </c>
      <c r="BD191" s="212">
        <f ca="1">IF($D191&lt;&gt;"Serviço",0,IF(OR(AND(AUTOEVENTO="Manual",$M191=1),$M191&gt;(ROW(PLE.lastrow)-ROW(PLE.firstrow))),0,IF(OFFSET(PLE!$G$14,$M191,BD$13)="",10^12,OFFSET(PLE!$G$14,$M191,BD$13))))</f>
        <v>1000000000000</v>
      </c>
      <c r="BE191" s="212">
        <f ca="1">IF($D191&lt;&gt;"Serviço",0,IF(OR(AND(AUTOEVENTO="Manual",$M191=1),$M191&gt;(ROW(PLE.lastrow)-ROW(PLE.firstrow))),0,IF(OFFSET(PLE!$G$14,$M191,BE$13)="",10^12,OFFSET(PLE!$G$14,$M191,BE$13))))</f>
        <v>1000000000000</v>
      </c>
      <c r="BF191" s="212">
        <f ca="1">IF($D191&lt;&gt;"Serviço",0,IF(OR(AND(AUTOEVENTO="Manual",$M191=1),$M191&gt;(ROW(PLE.lastrow)-ROW(PLE.firstrow))),0,IF(OFFSET(PLE!$G$14,$M191,BF$13)="",10^12,OFFSET(PLE!$G$14,$M191,BF$13))))</f>
        <v>1000000000000</v>
      </c>
      <c r="BG191" s="212">
        <f ca="1">IF($D191&lt;&gt;"Serviço",0,IF(OR(AND(AUTOEVENTO="Manual",$M191=1),$M191&gt;(ROW(PLE.lastrow)-ROW(PLE.firstrow))),0,IF(OFFSET(PLE!$G$14,$M191,BG$13)="",10^12,OFFSET(PLE!$G$14,$M191,BG$13))))</f>
        <v>1000000000000</v>
      </c>
    </row>
    <row r="192" spans="1:59" ht="13.2">
      <c r="A192" s="9" t="str">
        <f t="shared" ca="1" si="11"/>
        <v>15</v>
      </c>
      <c r="B192" s="9" t="str">
        <f ca="1">OFFSET(ORÇAMENTO!C$15,ROW(B192)-ROW(B$15),0)</f>
        <v>S</v>
      </c>
      <c r="C192" s="9" t="str">
        <f ca="1">OFFSET(ORÇAMENTO!L$15,ROW(C192)-ROW(C$15),0)</f>
        <v/>
      </c>
      <c r="D192" s="141" t="str">
        <f ca="1">OFFSET(ORÇAMENTO!N$15,ROW(D192)-ROW(D$15),0)</f>
        <v>Serviço</v>
      </c>
      <c r="E192" s="201" t="str">
        <f ca="1">OFFSET(ORÇAMENTO!O$15,ROW(E192)-ROW(E$15),0)</f>
        <v>-</v>
      </c>
      <c r="F192" s="202" t="str">
        <f ca="1">OFFSET(ORÇAMENTO!R$15,ROW(F192)-ROW(F$15),0)</f>
        <v>(abra o arquivo 'Referência 11-2024.xlsm)</v>
      </c>
      <c r="G192" s="203" t="str">
        <f ca="1">IF($D192&lt;&gt;"Serviço","",OFFSET(ORÇAMENTO!S$15,ROW(G192)-ROW(G$15),0))</f>
        <v>-</v>
      </c>
      <c r="H192" s="147">
        <f ca="1">IF($D192&lt;&gt;"Serviço",0,IF(ACOMPANHAMENTO="BM",ROUND(OFFSET(ORÇAMENTO!AJ$15,ROW(H192)-ROW(H$15),0),15-13*ORÇAMENTO!$AF$7),SUMPRODUCT(($Q$12:$AA$12&lt;&gt;"")*ROUND($Q192:$AA192,15-13*ORÇAMENTO!$AF$7))))</f>
        <v>0</v>
      </c>
      <c r="I192" s="645"/>
      <c r="K192" s="204"/>
      <c r="L192" s="205" t="s">
        <v>255</v>
      </c>
      <c r="M192" s="206">
        <f ca="1">IF($D192&lt;&gt;"Serviço","",IF(AUTOEVENTO="manual",$A192,IF(ISERROR(MATCH($A192,$A$15:OFFSET($A192,-1,0),0)),MAX($M$15:OFFSET(M192,-1,0))+1,INDEX($M$15:OFFSET(M192,-1,0),MATCH($A192,$A$15:OFFSET($A192,-1,0),0)))))</f>
        <v>6</v>
      </c>
      <c r="N192" s="207" t="str">
        <f ca="1">IF($D192&lt;&gt;"Serviço","",IF(AUTOEVENTO="Manual",IF($A192=0,"&lt;-- defina o número do agrupador",OFFSET(EVENTOS!$D$14,$A192,0)),OFFSET($F$15,$A192,0)))</f>
        <v>DRENAGEM</v>
      </c>
      <c r="O192" s="208"/>
      <c r="Q192" s="208"/>
      <c r="R192" s="209"/>
      <c r="S192" s="209"/>
      <c r="T192" s="209"/>
      <c r="U192" s="209"/>
      <c r="V192" s="209"/>
      <c r="W192" s="209"/>
      <c r="X192" s="209"/>
      <c r="Y192" s="209"/>
      <c r="Z192" s="210"/>
      <c r="AB192" s="626">
        <f ca="1">IF(AND($D192="Serviço",AB$12&lt;&gt;0,$H192&gt;0,OR(AUTOEVENTO&lt;&gt;"manual",$M192&lt;&gt;1)),
IF(Import.TipoArredondamento&lt;&gt;"TransfereGOV",
ROUND(OFFSET($P192,0,AB$13),15-13*ORÇAMENTO!$AF$7)/$H192*OFFSET(ORÇAMENTO!$X$15,ROW(AB192)-ROW(AB$15),0),
ROUND(ROUND(OFFSET($P192,0,AB$13),15-13*ORÇAMENTO!$AF$7)*OFFSET(ORÇAMENTO!$W$15,ROW(AB192)-ROW(AB$15),0),15-13*ORÇAMENTO!$AF$11)),0)</f>
        <v>0</v>
      </c>
      <c r="AC192" s="627">
        <f ca="1">IF(AND($D192="Serviço",AC$12&lt;&gt;0,$H192&gt;0,OR(AUTOEVENTO&lt;&gt;"manual",$M192&lt;&gt;1)),
IF(Import.TipoArredondamento&lt;&gt;"TransfereGOV",
ROUND(OFFSET($P192,0,AC$13),15-13*ORÇAMENTO!$AF$7)/$H192*OFFSET(ORÇAMENTO!$X$15,ROW(AC192)-ROW(AC$15),0),
ROUND(ROUND(OFFSET($P192,0,AC$13),15-13*ORÇAMENTO!$AF$7)*OFFSET(ORÇAMENTO!$W$15,ROW(AC192)-ROW(AC$15),0),15-13*ORÇAMENTO!$AF$11)),0)</f>
        <v>0</v>
      </c>
      <c r="AD192" s="627">
        <f ca="1">IF(AND($D192="Serviço",AD$12&lt;&gt;0,$H192&gt;0,OR(AUTOEVENTO&lt;&gt;"manual",$M192&lt;&gt;1)),
IF(Import.TipoArredondamento&lt;&gt;"TransfereGOV",
ROUND(OFFSET($P192,0,AD$13),15-13*ORÇAMENTO!$AF$7)/$H192*OFFSET(ORÇAMENTO!$X$15,ROW(AD192)-ROW(AD$15),0),
ROUND(ROUND(OFFSET($P192,0,AD$13),15-13*ORÇAMENTO!$AF$7)*OFFSET(ORÇAMENTO!$W$15,ROW(AD192)-ROW(AD$15),0),15-13*ORÇAMENTO!$AF$11)),0)</f>
        <v>0</v>
      </c>
      <c r="AE192" s="627">
        <f ca="1">IF(AND($D192="Serviço",AE$12&lt;&gt;0,$H192&gt;0,OR(AUTOEVENTO&lt;&gt;"manual",$M192&lt;&gt;1)),
IF(Import.TipoArredondamento&lt;&gt;"TransfereGOV",
ROUND(OFFSET($P192,0,AE$13),15-13*ORÇAMENTO!$AF$7)/$H192*OFFSET(ORÇAMENTO!$X$15,ROW(AE192)-ROW(AE$15),0),
ROUND(ROUND(OFFSET($P192,0,AE$13),15-13*ORÇAMENTO!$AF$7)*OFFSET(ORÇAMENTO!$W$15,ROW(AE192)-ROW(AE$15),0),15-13*ORÇAMENTO!$AF$11)),0)</f>
        <v>0</v>
      </c>
      <c r="AF192" s="627">
        <f ca="1">IF(AND($D192="Serviço",AF$12&lt;&gt;0,$H192&gt;0,OR(AUTOEVENTO&lt;&gt;"manual",$M192&lt;&gt;1)),
IF(Import.TipoArredondamento&lt;&gt;"TransfereGOV",
ROUND(OFFSET($P192,0,AF$13),15-13*ORÇAMENTO!$AF$7)/$H192*OFFSET(ORÇAMENTO!$X$15,ROW(AF192)-ROW(AF$15),0),
ROUND(ROUND(OFFSET($P192,0,AF$13),15-13*ORÇAMENTO!$AF$7)*OFFSET(ORÇAMENTO!$W$15,ROW(AF192)-ROW(AF$15),0),15-13*ORÇAMENTO!$AF$11)),0)</f>
        <v>0</v>
      </c>
      <c r="AG192" s="627">
        <f ca="1">IF(AND($D192="Serviço",AG$12&lt;&gt;0,$H192&gt;0,OR(AUTOEVENTO&lt;&gt;"manual",$M192&lt;&gt;1)),
IF(Import.TipoArredondamento&lt;&gt;"TransfereGOV",
ROUND(OFFSET($P192,0,AG$13),15-13*ORÇAMENTO!$AF$7)/$H192*OFFSET(ORÇAMENTO!$X$15,ROW(AG192)-ROW(AG$15),0),
ROUND(ROUND(OFFSET($P192,0,AG$13),15-13*ORÇAMENTO!$AF$7)*OFFSET(ORÇAMENTO!$W$15,ROW(AG192)-ROW(AG$15),0),15-13*ORÇAMENTO!$AF$11)),0)</f>
        <v>0</v>
      </c>
      <c r="AH192" s="627">
        <f ca="1">IF(AND($D192="Serviço",AH$12&lt;&gt;0,$H192&gt;0,OR(AUTOEVENTO&lt;&gt;"manual",$M192&lt;&gt;1)),
IF(Import.TipoArredondamento&lt;&gt;"TransfereGOV",
ROUND(OFFSET($P192,0,AH$13),15-13*ORÇAMENTO!$AF$7)/$H192*OFFSET(ORÇAMENTO!$X$15,ROW(AH192)-ROW(AH$15),0),
ROUND(ROUND(OFFSET($P192,0,AH$13),15-13*ORÇAMENTO!$AF$7)*OFFSET(ORÇAMENTO!$W$15,ROW(AH192)-ROW(AH$15),0),15-13*ORÇAMENTO!$AF$11)),0)</f>
        <v>0</v>
      </c>
      <c r="AI192" s="627">
        <f ca="1">IF(AND($D192="Serviço",AI$12&lt;&gt;0,$H192&gt;0,OR(AUTOEVENTO&lt;&gt;"manual",$M192&lt;&gt;1)),
IF(Import.TipoArredondamento&lt;&gt;"TransfereGOV",
ROUND(OFFSET($P192,0,AI$13),15-13*ORÇAMENTO!$AF$7)/$H192*OFFSET(ORÇAMENTO!$X$15,ROW(AI192)-ROW(AI$15),0),
ROUND(ROUND(OFFSET($P192,0,AI$13),15-13*ORÇAMENTO!$AF$7)*OFFSET(ORÇAMENTO!$W$15,ROW(AI192)-ROW(AI$15),0),15-13*ORÇAMENTO!$AF$11)),0)</f>
        <v>0</v>
      </c>
      <c r="AJ192" s="627">
        <f ca="1">IF(AND($D192="Serviço",AJ$12&lt;&gt;0,$H192&gt;0,OR(AUTOEVENTO&lt;&gt;"manual",$M192&lt;&gt;1)),
IF(Import.TipoArredondamento&lt;&gt;"TransfereGOV",
ROUND(OFFSET($P192,0,AJ$13),15-13*ORÇAMENTO!$AF$7)/$H192*OFFSET(ORÇAMENTO!$X$15,ROW(AJ192)-ROW(AJ$15),0),
ROUND(ROUND(OFFSET($P192,0,AJ$13),15-13*ORÇAMENTO!$AF$7)*OFFSET(ORÇAMENTO!$W$15,ROW(AJ192)-ROW(AJ$15),0),15-13*ORÇAMENTO!$AF$11)),0)</f>
        <v>0</v>
      </c>
      <c r="AK192" s="628">
        <f ca="1">IF(AND($D192="Serviço",AK$12&lt;&gt;0,$H192&gt;0,OR(AUTOEVENTO&lt;&gt;"manual",$M192&lt;&gt;1)),
IF(Import.TipoArredondamento&lt;&gt;"TransfereGOV",
ROUND(OFFSET($P192,0,AK$13),15-13*ORÇAMENTO!$AF$7)/$H192*OFFSET(ORÇAMENTO!$X$15,ROW(AK192)-ROW(AK$15),0),
ROUND(ROUND(OFFSET($P192,0,AK$13),15-13*ORÇAMENTO!$AF$7)*OFFSET(ORÇAMENTO!$W$15,ROW(AK192)-ROW(AK$15),0),15-13*ORÇAMENTO!$AF$11)),0)</f>
        <v>0</v>
      </c>
      <c r="AM192" s="211">
        <f ca="1">IF($D192&lt;&gt;"Serviço",0,IF(AND(AUTOEVENTO="Manual",$M192=1),0,IF(OFFSET(CRONOPLE!$F$14,$M192,AM$13)="",10^12,OFFSET(CRONOPLE!$F$14,$M192,AM$13))))</f>
        <v>2</v>
      </c>
      <c r="AN192" s="211">
        <f ca="1">IF($D192&lt;&gt;"Serviço",0,IF(AND(AUTOEVENTO="Manual",$M192=1),0,IF(OFFSET(CRONOPLE!$F$14,$M192,AN$13)="",10^12,OFFSET(CRONOPLE!$F$14,$M192,AN$13))))</f>
        <v>1</v>
      </c>
      <c r="AO192" s="211">
        <f ca="1">IF($D192&lt;&gt;"Serviço",0,IF(AND(AUTOEVENTO="Manual",$M192=1),0,IF(OFFSET(CRONOPLE!$F$14,$M192,AO$13)="",10^12,OFFSET(CRONOPLE!$F$14,$M192,AO$13))))</f>
        <v>2</v>
      </c>
      <c r="AP192" s="211">
        <f ca="1">IF($D192&lt;&gt;"Serviço",0,IF(AND(AUTOEVENTO="Manual",$M192=1),0,IF(OFFSET(CRONOPLE!$F$14,$M192,AP$13)="",10^12,OFFSET(CRONOPLE!$F$14,$M192,AP$13))))</f>
        <v>2</v>
      </c>
      <c r="AQ192" s="211">
        <f ca="1">IF($D192&lt;&gt;"Serviço",0,IF(AND(AUTOEVENTO="Manual",$M192=1),0,IF(OFFSET(CRONOPLE!$F$14,$M192,AQ$13)="",10^12,OFFSET(CRONOPLE!$F$14,$M192,AQ$13))))</f>
        <v>1000000000000</v>
      </c>
      <c r="AR192" s="211">
        <f ca="1">IF($D192&lt;&gt;"Serviço",0,IF(AND(AUTOEVENTO="Manual",$M192=1),0,IF(OFFSET(CRONOPLE!$F$14,$M192,AR$13)="",10^12,OFFSET(CRONOPLE!$F$14,$M192,AR$13))))</f>
        <v>1000000000000</v>
      </c>
      <c r="AS192" s="211">
        <f ca="1">IF($D192&lt;&gt;"Serviço",0,IF(AND(AUTOEVENTO="Manual",$M192=1),0,IF(OFFSET(CRONOPLE!$F$14,$M192,AS$13)="",10^12,OFFSET(CRONOPLE!$F$14,$M192,AS$13))))</f>
        <v>1000000000000</v>
      </c>
      <c r="AT192" s="211">
        <f ca="1">IF($D192&lt;&gt;"Serviço",0,IF(AND(AUTOEVENTO="Manual",$M192=1),0,IF(OFFSET(CRONOPLE!$F$14,$M192,AT$13)="",10^12,OFFSET(CRONOPLE!$F$14,$M192,AT$13))))</f>
        <v>1000000000000</v>
      </c>
      <c r="AU192" s="211">
        <f ca="1">IF($D192&lt;&gt;"Serviço",0,IF(AND(AUTOEVENTO="Manual",$M192=1),0,IF(OFFSET(CRONOPLE!$F$14,$M192,AU$13)="",10^12,OFFSET(CRONOPLE!$F$14,$M192,AU$13))))</f>
        <v>1000000000000</v>
      </c>
      <c r="AV192" s="211">
        <f ca="1">IF($D192&lt;&gt;"Serviço",0,IF(AND(AUTOEVENTO="Manual",$M192=1),0,IF(OFFSET(CRONOPLE!$F$14,$M192,AV$13)="",10^12,OFFSET(CRONOPLE!$F$14,$M192,AV$13))))</f>
        <v>1000000000000</v>
      </c>
      <c r="AX192" s="212">
        <f ca="1">IF($D192&lt;&gt;"Serviço",0,IF(OR(AND(AUTOEVENTO="Manual",$M192=1),$M192&gt;(ROW(PLE.lastrow)-ROW(PLE.firstrow))),0,IF(OFFSET(PLE!$G$14,$M192,AX$13)="",10^12,OFFSET(PLE!$G$14,$M192,AX$13))))</f>
        <v>1000000000000</v>
      </c>
      <c r="AY192" s="212">
        <f ca="1">IF($D192&lt;&gt;"Serviço",0,IF(OR(AND(AUTOEVENTO="Manual",$M192=1),$M192&gt;(ROW(PLE.lastrow)-ROW(PLE.firstrow))),0,IF(OFFSET(PLE!$G$14,$M192,AY$13)="",10^12,OFFSET(PLE!$G$14,$M192,AY$13))))</f>
        <v>1000000000000</v>
      </c>
      <c r="AZ192" s="212">
        <f ca="1">IF($D192&lt;&gt;"Serviço",0,IF(OR(AND(AUTOEVENTO="Manual",$M192=1),$M192&gt;(ROW(PLE.lastrow)-ROW(PLE.firstrow))),0,IF(OFFSET(PLE!$G$14,$M192,AZ$13)="",10^12,OFFSET(PLE!$G$14,$M192,AZ$13))))</f>
        <v>1000000000000</v>
      </c>
      <c r="BA192" s="212">
        <f ca="1">IF($D192&lt;&gt;"Serviço",0,IF(OR(AND(AUTOEVENTO="Manual",$M192=1),$M192&gt;(ROW(PLE.lastrow)-ROW(PLE.firstrow))),0,IF(OFFSET(PLE!$G$14,$M192,BA$13)="",10^12,OFFSET(PLE!$G$14,$M192,BA$13))))</f>
        <v>1000000000000</v>
      </c>
      <c r="BB192" s="212">
        <f ca="1">IF($D192&lt;&gt;"Serviço",0,IF(OR(AND(AUTOEVENTO="Manual",$M192=1),$M192&gt;(ROW(PLE.lastrow)-ROW(PLE.firstrow))),0,IF(OFFSET(PLE!$G$14,$M192,BB$13)="",10^12,OFFSET(PLE!$G$14,$M192,BB$13))))</f>
        <v>1000000000000</v>
      </c>
      <c r="BC192" s="212">
        <f ca="1">IF($D192&lt;&gt;"Serviço",0,IF(OR(AND(AUTOEVENTO="Manual",$M192=1),$M192&gt;(ROW(PLE.lastrow)-ROW(PLE.firstrow))),0,IF(OFFSET(PLE!$G$14,$M192,BC$13)="",10^12,OFFSET(PLE!$G$14,$M192,BC$13))))</f>
        <v>1000000000000</v>
      </c>
      <c r="BD192" s="212">
        <f ca="1">IF($D192&lt;&gt;"Serviço",0,IF(OR(AND(AUTOEVENTO="Manual",$M192=1),$M192&gt;(ROW(PLE.lastrow)-ROW(PLE.firstrow))),0,IF(OFFSET(PLE!$G$14,$M192,BD$13)="",10^12,OFFSET(PLE!$G$14,$M192,BD$13))))</f>
        <v>1000000000000</v>
      </c>
      <c r="BE192" s="212">
        <f ca="1">IF($D192&lt;&gt;"Serviço",0,IF(OR(AND(AUTOEVENTO="Manual",$M192=1),$M192&gt;(ROW(PLE.lastrow)-ROW(PLE.firstrow))),0,IF(OFFSET(PLE!$G$14,$M192,BE$13)="",10^12,OFFSET(PLE!$G$14,$M192,BE$13))))</f>
        <v>1000000000000</v>
      </c>
      <c r="BF192" s="212">
        <f ca="1">IF($D192&lt;&gt;"Serviço",0,IF(OR(AND(AUTOEVENTO="Manual",$M192=1),$M192&gt;(ROW(PLE.lastrow)-ROW(PLE.firstrow))),0,IF(OFFSET(PLE!$G$14,$M192,BF$13)="",10^12,OFFSET(PLE!$G$14,$M192,BF$13))))</f>
        <v>1000000000000</v>
      </c>
      <c r="BG192" s="212">
        <f ca="1">IF($D192&lt;&gt;"Serviço",0,IF(OR(AND(AUTOEVENTO="Manual",$M192=1),$M192&gt;(ROW(PLE.lastrow)-ROW(PLE.firstrow))),0,IF(OFFSET(PLE!$G$14,$M192,BG$13)="",10^12,OFFSET(PLE!$G$14,$M192,BG$13))))</f>
        <v>1000000000000</v>
      </c>
    </row>
    <row r="193" spans="1:59" ht="13.2">
      <c r="A193" s="9" t="str">
        <f t="shared" ca="1" si="11"/>
        <v>15</v>
      </c>
      <c r="B193" s="9" t="str">
        <f ca="1">OFFSET(ORÇAMENTO!C$15,ROW(B193)-ROW(B$15),0)</f>
        <v>S</v>
      </c>
      <c r="C193" s="9" t="str">
        <f ca="1">OFFSET(ORÇAMENTO!L$15,ROW(C193)-ROW(C$15),0)</f>
        <v/>
      </c>
      <c r="D193" s="141" t="str">
        <f ca="1">OFFSET(ORÇAMENTO!N$15,ROW(D193)-ROW(D$15),0)</f>
        <v>Serviço</v>
      </c>
      <c r="E193" s="201" t="str">
        <f ca="1">OFFSET(ORÇAMENTO!O$15,ROW(E193)-ROW(E$15),0)</f>
        <v>-</v>
      </c>
      <c r="F193" s="202" t="str">
        <f ca="1">OFFSET(ORÇAMENTO!R$15,ROW(F193)-ROW(F$15),0)</f>
        <v>(abra o arquivo 'Referência 11-2024.xlsm)</v>
      </c>
      <c r="G193" s="203" t="str">
        <f ca="1">IF($D193&lt;&gt;"Serviço","",OFFSET(ORÇAMENTO!S$15,ROW(G193)-ROW(G$15),0))</f>
        <v>-</v>
      </c>
      <c r="H193" s="147">
        <f ca="1">IF($D193&lt;&gt;"Serviço",0,IF(ACOMPANHAMENTO="BM",ROUND(OFFSET(ORÇAMENTO!AJ$15,ROW(H193)-ROW(H$15),0),15-13*ORÇAMENTO!$AF$7),SUMPRODUCT(($Q$12:$AA$12&lt;&gt;"")*ROUND($Q193:$AA193,15-13*ORÇAMENTO!$AF$7))))</f>
        <v>0</v>
      </c>
      <c r="I193" s="645"/>
      <c r="K193" s="204"/>
      <c r="L193" s="205" t="s">
        <v>255</v>
      </c>
      <c r="M193" s="206">
        <f ca="1">IF($D193&lt;&gt;"Serviço","",IF(AUTOEVENTO="manual",$A193,IF(ISERROR(MATCH($A193,$A$15:OFFSET($A193,-1,0),0)),MAX($M$15:OFFSET(M193,-1,0))+1,INDEX($M$15:OFFSET(M193,-1,0),MATCH($A193,$A$15:OFFSET($A193,-1,0),0)))))</f>
        <v>6</v>
      </c>
      <c r="N193" s="207" t="str">
        <f ca="1">IF($D193&lt;&gt;"Serviço","",IF(AUTOEVENTO="Manual",IF($A193=0,"&lt;-- defina o número do agrupador",OFFSET(EVENTOS!$D$14,$A193,0)),OFFSET($F$15,$A193,0)))</f>
        <v>DRENAGEM</v>
      </c>
      <c r="O193" s="208"/>
      <c r="Q193" s="208"/>
      <c r="R193" s="209"/>
      <c r="S193" s="209"/>
      <c r="T193" s="209"/>
      <c r="U193" s="209"/>
      <c r="V193" s="209"/>
      <c r="W193" s="209"/>
      <c r="X193" s="209"/>
      <c r="Y193" s="209"/>
      <c r="Z193" s="210"/>
      <c r="AB193" s="626">
        <f ca="1">IF(AND($D193="Serviço",AB$12&lt;&gt;0,$H193&gt;0,OR(AUTOEVENTO&lt;&gt;"manual",$M193&lt;&gt;1)),
IF(Import.TipoArredondamento&lt;&gt;"TransfereGOV",
ROUND(OFFSET($P193,0,AB$13),15-13*ORÇAMENTO!$AF$7)/$H193*OFFSET(ORÇAMENTO!$X$15,ROW(AB193)-ROW(AB$15),0),
ROUND(ROUND(OFFSET($P193,0,AB$13),15-13*ORÇAMENTO!$AF$7)*OFFSET(ORÇAMENTO!$W$15,ROW(AB193)-ROW(AB$15),0),15-13*ORÇAMENTO!$AF$11)),0)</f>
        <v>0</v>
      </c>
      <c r="AC193" s="627">
        <f ca="1">IF(AND($D193="Serviço",AC$12&lt;&gt;0,$H193&gt;0,OR(AUTOEVENTO&lt;&gt;"manual",$M193&lt;&gt;1)),
IF(Import.TipoArredondamento&lt;&gt;"TransfereGOV",
ROUND(OFFSET($P193,0,AC$13),15-13*ORÇAMENTO!$AF$7)/$H193*OFFSET(ORÇAMENTO!$X$15,ROW(AC193)-ROW(AC$15),0),
ROUND(ROUND(OFFSET($P193,0,AC$13),15-13*ORÇAMENTO!$AF$7)*OFFSET(ORÇAMENTO!$W$15,ROW(AC193)-ROW(AC$15),0),15-13*ORÇAMENTO!$AF$11)),0)</f>
        <v>0</v>
      </c>
      <c r="AD193" s="627">
        <f ca="1">IF(AND($D193="Serviço",AD$12&lt;&gt;0,$H193&gt;0,OR(AUTOEVENTO&lt;&gt;"manual",$M193&lt;&gt;1)),
IF(Import.TipoArredondamento&lt;&gt;"TransfereGOV",
ROUND(OFFSET($P193,0,AD$13),15-13*ORÇAMENTO!$AF$7)/$H193*OFFSET(ORÇAMENTO!$X$15,ROW(AD193)-ROW(AD$15),0),
ROUND(ROUND(OFFSET($P193,0,AD$13),15-13*ORÇAMENTO!$AF$7)*OFFSET(ORÇAMENTO!$W$15,ROW(AD193)-ROW(AD$15),0),15-13*ORÇAMENTO!$AF$11)),0)</f>
        <v>0</v>
      </c>
      <c r="AE193" s="627">
        <f ca="1">IF(AND($D193="Serviço",AE$12&lt;&gt;0,$H193&gt;0,OR(AUTOEVENTO&lt;&gt;"manual",$M193&lt;&gt;1)),
IF(Import.TipoArredondamento&lt;&gt;"TransfereGOV",
ROUND(OFFSET($P193,0,AE$13),15-13*ORÇAMENTO!$AF$7)/$H193*OFFSET(ORÇAMENTO!$X$15,ROW(AE193)-ROW(AE$15),0),
ROUND(ROUND(OFFSET($P193,0,AE$13),15-13*ORÇAMENTO!$AF$7)*OFFSET(ORÇAMENTO!$W$15,ROW(AE193)-ROW(AE$15),0),15-13*ORÇAMENTO!$AF$11)),0)</f>
        <v>0</v>
      </c>
      <c r="AF193" s="627">
        <f ca="1">IF(AND($D193="Serviço",AF$12&lt;&gt;0,$H193&gt;0,OR(AUTOEVENTO&lt;&gt;"manual",$M193&lt;&gt;1)),
IF(Import.TipoArredondamento&lt;&gt;"TransfereGOV",
ROUND(OFFSET($P193,0,AF$13),15-13*ORÇAMENTO!$AF$7)/$H193*OFFSET(ORÇAMENTO!$X$15,ROW(AF193)-ROW(AF$15),0),
ROUND(ROUND(OFFSET($P193,0,AF$13),15-13*ORÇAMENTO!$AF$7)*OFFSET(ORÇAMENTO!$W$15,ROW(AF193)-ROW(AF$15),0),15-13*ORÇAMENTO!$AF$11)),0)</f>
        <v>0</v>
      </c>
      <c r="AG193" s="627">
        <f ca="1">IF(AND($D193="Serviço",AG$12&lt;&gt;0,$H193&gt;0,OR(AUTOEVENTO&lt;&gt;"manual",$M193&lt;&gt;1)),
IF(Import.TipoArredondamento&lt;&gt;"TransfereGOV",
ROUND(OFFSET($P193,0,AG$13),15-13*ORÇAMENTO!$AF$7)/$H193*OFFSET(ORÇAMENTO!$X$15,ROW(AG193)-ROW(AG$15),0),
ROUND(ROUND(OFFSET($P193,0,AG$13),15-13*ORÇAMENTO!$AF$7)*OFFSET(ORÇAMENTO!$W$15,ROW(AG193)-ROW(AG$15),0),15-13*ORÇAMENTO!$AF$11)),0)</f>
        <v>0</v>
      </c>
      <c r="AH193" s="627">
        <f ca="1">IF(AND($D193="Serviço",AH$12&lt;&gt;0,$H193&gt;0,OR(AUTOEVENTO&lt;&gt;"manual",$M193&lt;&gt;1)),
IF(Import.TipoArredondamento&lt;&gt;"TransfereGOV",
ROUND(OFFSET($P193,0,AH$13),15-13*ORÇAMENTO!$AF$7)/$H193*OFFSET(ORÇAMENTO!$X$15,ROW(AH193)-ROW(AH$15),0),
ROUND(ROUND(OFFSET($P193,0,AH$13),15-13*ORÇAMENTO!$AF$7)*OFFSET(ORÇAMENTO!$W$15,ROW(AH193)-ROW(AH$15),0),15-13*ORÇAMENTO!$AF$11)),0)</f>
        <v>0</v>
      </c>
      <c r="AI193" s="627">
        <f ca="1">IF(AND($D193="Serviço",AI$12&lt;&gt;0,$H193&gt;0,OR(AUTOEVENTO&lt;&gt;"manual",$M193&lt;&gt;1)),
IF(Import.TipoArredondamento&lt;&gt;"TransfereGOV",
ROUND(OFFSET($P193,0,AI$13),15-13*ORÇAMENTO!$AF$7)/$H193*OFFSET(ORÇAMENTO!$X$15,ROW(AI193)-ROW(AI$15),0),
ROUND(ROUND(OFFSET($P193,0,AI$13),15-13*ORÇAMENTO!$AF$7)*OFFSET(ORÇAMENTO!$W$15,ROW(AI193)-ROW(AI$15),0),15-13*ORÇAMENTO!$AF$11)),0)</f>
        <v>0</v>
      </c>
      <c r="AJ193" s="627">
        <f ca="1">IF(AND($D193="Serviço",AJ$12&lt;&gt;0,$H193&gt;0,OR(AUTOEVENTO&lt;&gt;"manual",$M193&lt;&gt;1)),
IF(Import.TipoArredondamento&lt;&gt;"TransfereGOV",
ROUND(OFFSET($P193,0,AJ$13),15-13*ORÇAMENTO!$AF$7)/$H193*OFFSET(ORÇAMENTO!$X$15,ROW(AJ193)-ROW(AJ$15),0),
ROUND(ROUND(OFFSET($P193,0,AJ$13),15-13*ORÇAMENTO!$AF$7)*OFFSET(ORÇAMENTO!$W$15,ROW(AJ193)-ROW(AJ$15),0),15-13*ORÇAMENTO!$AF$11)),0)</f>
        <v>0</v>
      </c>
      <c r="AK193" s="628">
        <f ca="1">IF(AND($D193="Serviço",AK$12&lt;&gt;0,$H193&gt;0,OR(AUTOEVENTO&lt;&gt;"manual",$M193&lt;&gt;1)),
IF(Import.TipoArredondamento&lt;&gt;"TransfereGOV",
ROUND(OFFSET($P193,0,AK$13),15-13*ORÇAMENTO!$AF$7)/$H193*OFFSET(ORÇAMENTO!$X$15,ROW(AK193)-ROW(AK$15),0),
ROUND(ROUND(OFFSET($P193,0,AK$13),15-13*ORÇAMENTO!$AF$7)*OFFSET(ORÇAMENTO!$W$15,ROW(AK193)-ROW(AK$15),0),15-13*ORÇAMENTO!$AF$11)),0)</f>
        <v>0</v>
      </c>
      <c r="AM193" s="211">
        <f ca="1">IF($D193&lt;&gt;"Serviço",0,IF(AND(AUTOEVENTO="Manual",$M193=1),0,IF(OFFSET(CRONOPLE!$F$14,$M193,AM$13)="",10^12,OFFSET(CRONOPLE!$F$14,$M193,AM$13))))</f>
        <v>2</v>
      </c>
      <c r="AN193" s="211">
        <f ca="1">IF($D193&lt;&gt;"Serviço",0,IF(AND(AUTOEVENTO="Manual",$M193=1),0,IF(OFFSET(CRONOPLE!$F$14,$M193,AN$13)="",10^12,OFFSET(CRONOPLE!$F$14,$M193,AN$13))))</f>
        <v>1</v>
      </c>
      <c r="AO193" s="211">
        <f ca="1">IF($D193&lt;&gt;"Serviço",0,IF(AND(AUTOEVENTO="Manual",$M193=1),0,IF(OFFSET(CRONOPLE!$F$14,$M193,AO$13)="",10^12,OFFSET(CRONOPLE!$F$14,$M193,AO$13))))</f>
        <v>2</v>
      </c>
      <c r="AP193" s="211">
        <f ca="1">IF($D193&lt;&gt;"Serviço",0,IF(AND(AUTOEVENTO="Manual",$M193=1),0,IF(OFFSET(CRONOPLE!$F$14,$M193,AP$13)="",10^12,OFFSET(CRONOPLE!$F$14,$M193,AP$13))))</f>
        <v>2</v>
      </c>
      <c r="AQ193" s="211">
        <f ca="1">IF($D193&lt;&gt;"Serviço",0,IF(AND(AUTOEVENTO="Manual",$M193=1),0,IF(OFFSET(CRONOPLE!$F$14,$M193,AQ$13)="",10^12,OFFSET(CRONOPLE!$F$14,$M193,AQ$13))))</f>
        <v>1000000000000</v>
      </c>
      <c r="AR193" s="211">
        <f ca="1">IF($D193&lt;&gt;"Serviço",0,IF(AND(AUTOEVENTO="Manual",$M193=1),0,IF(OFFSET(CRONOPLE!$F$14,$M193,AR$13)="",10^12,OFFSET(CRONOPLE!$F$14,$M193,AR$13))))</f>
        <v>1000000000000</v>
      </c>
      <c r="AS193" s="211">
        <f ca="1">IF($D193&lt;&gt;"Serviço",0,IF(AND(AUTOEVENTO="Manual",$M193=1),0,IF(OFFSET(CRONOPLE!$F$14,$M193,AS$13)="",10^12,OFFSET(CRONOPLE!$F$14,$M193,AS$13))))</f>
        <v>1000000000000</v>
      </c>
      <c r="AT193" s="211">
        <f ca="1">IF($D193&lt;&gt;"Serviço",0,IF(AND(AUTOEVENTO="Manual",$M193=1),0,IF(OFFSET(CRONOPLE!$F$14,$M193,AT$13)="",10^12,OFFSET(CRONOPLE!$F$14,$M193,AT$13))))</f>
        <v>1000000000000</v>
      </c>
      <c r="AU193" s="211">
        <f ca="1">IF($D193&lt;&gt;"Serviço",0,IF(AND(AUTOEVENTO="Manual",$M193=1),0,IF(OFFSET(CRONOPLE!$F$14,$M193,AU$13)="",10^12,OFFSET(CRONOPLE!$F$14,$M193,AU$13))))</f>
        <v>1000000000000</v>
      </c>
      <c r="AV193" s="211">
        <f ca="1">IF($D193&lt;&gt;"Serviço",0,IF(AND(AUTOEVENTO="Manual",$M193=1),0,IF(OFFSET(CRONOPLE!$F$14,$M193,AV$13)="",10^12,OFFSET(CRONOPLE!$F$14,$M193,AV$13))))</f>
        <v>1000000000000</v>
      </c>
      <c r="AX193" s="212">
        <f ca="1">IF($D193&lt;&gt;"Serviço",0,IF(OR(AND(AUTOEVENTO="Manual",$M193=1),$M193&gt;(ROW(PLE.lastrow)-ROW(PLE.firstrow))),0,IF(OFFSET(PLE!$G$14,$M193,AX$13)="",10^12,OFFSET(PLE!$G$14,$M193,AX$13))))</f>
        <v>1000000000000</v>
      </c>
      <c r="AY193" s="212">
        <f ca="1">IF($D193&lt;&gt;"Serviço",0,IF(OR(AND(AUTOEVENTO="Manual",$M193=1),$M193&gt;(ROW(PLE.lastrow)-ROW(PLE.firstrow))),0,IF(OFFSET(PLE!$G$14,$M193,AY$13)="",10^12,OFFSET(PLE!$G$14,$M193,AY$13))))</f>
        <v>1000000000000</v>
      </c>
      <c r="AZ193" s="212">
        <f ca="1">IF($D193&lt;&gt;"Serviço",0,IF(OR(AND(AUTOEVENTO="Manual",$M193=1),$M193&gt;(ROW(PLE.lastrow)-ROW(PLE.firstrow))),0,IF(OFFSET(PLE!$G$14,$M193,AZ$13)="",10^12,OFFSET(PLE!$G$14,$M193,AZ$13))))</f>
        <v>1000000000000</v>
      </c>
      <c r="BA193" s="212">
        <f ca="1">IF($D193&lt;&gt;"Serviço",0,IF(OR(AND(AUTOEVENTO="Manual",$M193=1),$M193&gt;(ROW(PLE.lastrow)-ROW(PLE.firstrow))),0,IF(OFFSET(PLE!$G$14,$M193,BA$13)="",10^12,OFFSET(PLE!$G$14,$M193,BA$13))))</f>
        <v>1000000000000</v>
      </c>
      <c r="BB193" s="212">
        <f ca="1">IF($D193&lt;&gt;"Serviço",0,IF(OR(AND(AUTOEVENTO="Manual",$M193=1),$M193&gt;(ROW(PLE.lastrow)-ROW(PLE.firstrow))),0,IF(OFFSET(PLE!$G$14,$M193,BB$13)="",10^12,OFFSET(PLE!$G$14,$M193,BB$13))))</f>
        <v>1000000000000</v>
      </c>
      <c r="BC193" s="212">
        <f ca="1">IF($D193&lt;&gt;"Serviço",0,IF(OR(AND(AUTOEVENTO="Manual",$M193=1),$M193&gt;(ROW(PLE.lastrow)-ROW(PLE.firstrow))),0,IF(OFFSET(PLE!$G$14,$M193,BC$13)="",10^12,OFFSET(PLE!$G$14,$M193,BC$13))))</f>
        <v>1000000000000</v>
      </c>
      <c r="BD193" s="212">
        <f ca="1">IF($D193&lt;&gt;"Serviço",0,IF(OR(AND(AUTOEVENTO="Manual",$M193=1),$M193&gt;(ROW(PLE.lastrow)-ROW(PLE.firstrow))),0,IF(OFFSET(PLE!$G$14,$M193,BD$13)="",10^12,OFFSET(PLE!$G$14,$M193,BD$13))))</f>
        <v>1000000000000</v>
      </c>
      <c r="BE193" s="212">
        <f ca="1">IF($D193&lt;&gt;"Serviço",0,IF(OR(AND(AUTOEVENTO="Manual",$M193=1),$M193&gt;(ROW(PLE.lastrow)-ROW(PLE.firstrow))),0,IF(OFFSET(PLE!$G$14,$M193,BE$13)="",10^12,OFFSET(PLE!$G$14,$M193,BE$13))))</f>
        <v>1000000000000</v>
      </c>
      <c r="BF193" s="212">
        <f ca="1">IF($D193&lt;&gt;"Serviço",0,IF(OR(AND(AUTOEVENTO="Manual",$M193=1),$M193&gt;(ROW(PLE.lastrow)-ROW(PLE.firstrow))),0,IF(OFFSET(PLE!$G$14,$M193,BF$13)="",10^12,OFFSET(PLE!$G$14,$M193,BF$13))))</f>
        <v>1000000000000</v>
      </c>
      <c r="BG193" s="212">
        <f ca="1">IF($D193&lt;&gt;"Serviço",0,IF(OR(AND(AUTOEVENTO="Manual",$M193=1),$M193&gt;(ROW(PLE.lastrow)-ROW(PLE.firstrow))),0,IF(OFFSET(PLE!$G$14,$M193,BG$13)="",10^12,OFFSET(PLE!$G$14,$M193,BG$13))))</f>
        <v>1000000000000</v>
      </c>
    </row>
    <row r="194" spans="1:59" ht="13.2">
      <c r="A194" s="9" t="str">
        <f t="shared" ca="1" si="11"/>
        <v>15</v>
      </c>
      <c r="B194" s="9" t="str">
        <f ca="1">OFFSET(ORÇAMENTO!C$15,ROW(B194)-ROW(B$15),0)</f>
        <v>S</v>
      </c>
      <c r="C194" s="9" t="str">
        <f ca="1">OFFSET(ORÇAMENTO!L$15,ROW(C194)-ROW(C$15),0)</f>
        <v/>
      </c>
      <c r="D194" s="141" t="str">
        <f ca="1">OFFSET(ORÇAMENTO!N$15,ROW(D194)-ROW(D$15),0)</f>
        <v>Serviço</v>
      </c>
      <c r="E194" s="201" t="str">
        <f ca="1">OFFSET(ORÇAMENTO!O$15,ROW(E194)-ROW(E$15),0)</f>
        <v>-</v>
      </c>
      <c r="F194" s="202" t="str">
        <f ca="1">OFFSET(ORÇAMENTO!R$15,ROW(F194)-ROW(F$15),0)</f>
        <v>(abra o arquivo 'Referência 11-2024.xlsm)</v>
      </c>
      <c r="G194" s="203" t="str">
        <f ca="1">IF($D194&lt;&gt;"Serviço","",OFFSET(ORÇAMENTO!S$15,ROW(G194)-ROW(G$15),0))</f>
        <v>-</v>
      </c>
      <c r="H194" s="147">
        <f ca="1">IF($D194&lt;&gt;"Serviço",0,IF(ACOMPANHAMENTO="BM",ROUND(OFFSET(ORÇAMENTO!AJ$15,ROW(H194)-ROW(H$15),0),15-13*ORÇAMENTO!$AF$7),SUMPRODUCT(($Q$12:$AA$12&lt;&gt;"")*ROUND($Q194:$AA194,15-13*ORÇAMENTO!$AF$7))))</f>
        <v>0</v>
      </c>
      <c r="I194" s="645"/>
      <c r="K194" s="204"/>
      <c r="L194" s="205" t="s">
        <v>255</v>
      </c>
      <c r="M194" s="206">
        <f ca="1">IF($D194&lt;&gt;"Serviço","",IF(AUTOEVENTO="manual",$A194,IF(ISERROR(MATCH($A194,$A$15:OFFSET($A194,-1,0),0)),MAX($M$15:OFFSET(M194,-1,0))+1,INDEX($M$15:OFFSET(M194,-1,0),MATCH($A194,$A$15:OFFSET($A194,-1,0),0)))))</f>
        <v>6</v>
      </c>
      <c r="N194" s="207" t="str">
        <f ca="1">IF($D194&lt;&gt;"Serviço","",IF(AUTOEVENTO="Manual",IF($A194=0,"&lt;-- defina o número do agrupador",OFFSET(EVENTOS!$D$14,$A194,0)),OFFSET($F$15,$A194,0)))</f>
        <v>DRENAGEM</v>
      </c>
      <c r="O194" s="208"/>
      <c r="Q194" s="208"/>
      <c r="R194" s="209"/>
      <c r="S194" s="209"/>
      <c r="T194" s="209"/>
      <c r="U194" s="209"/>
      <c r="V194" s="209"/>
      <c r="W194" s="209"/>
      <c r="X194" s="209"/>
      <c r="Y194" s="209"/>
      <c r="Z194" s="210"/>
      <c r="AB194" s="626">
        <f ca="1">IF(AND($D194="Serviço",AB$12&lt;&gt;0,$H194&gt;0,OR(AUTOEVENTO&lt;&gt;"manual",$M194&lt;&gt;1)),
IF(Import.TipoArredondamento&lt;&gt;"TransfereGOV",
ROUND(OFFSET($P194,0,AB$13),15-13*ORÇAMENTO!$AF$7)/$H194*OFFSET(ORÇAMENTO!$X$15,ROW(AB194)-ROW(AB$15),0),
ROUND(ROUND(OFFSET($P194,0,AB$13),15-13*ORÇAMENTO!$AF$7)*OFFSET(ORÇAMENTO!$W$15,ROW(AB194)-ROW(AB$15),0),15-13*ORÇAMENTO!$AF$11)),0)</f>
        <v>0</v>
      </c>
      <c r="AC194" s="627">
        <f ca="1">IF(AND($D194="Serviço",AC$12&lt;&gt;0,$H194&gt;0,OR(AUTOEVENTO&lt;&gt;"manual",$M194&lt;&gt;1)),
IF(Import.TipoArredondamento&lt;&gt;"TransfereGOV",
ROUND(OFFSET($P194,0,AC$13),15-13*ORÇAMENTO!$AF$7)/$H194*OFFSET(ORÇAMENTO!$X$15,ROW(AC194)-ROW(AC$15),0),
ROUND(ROUND(OFFSET($P194,0,AC$13),15-13*ORÇAMENTO!$AF$7)*OFFSET(ORÇAMENTO!$W$15,ROW(AC194)-ROW(AC$15),0),15-13*ORÇAMENTO!$AF$11)),0)</f>
        <v>0</v>
      </c>
      <c r="AD194" s="627">
        <f ca="1">IF(AND($D194="Serviço",AD$12&lt;&gt;0,$H194&gt;0,OR(AUTOEVENTO&lt;&gt;"manual",$M194&lt;&gt;1)),
IF(Import.TipoArredondamento&lt;&gt;"TransfereGOV",
ROUND(OFFSET($P194,0,AD$13),15-13*ORÇAMENTO!$AF$7)/$H194*OFFSET(ORÇAMENTO!$X$15,ROW(AD194)-ROW(AD$15),0),
ROUND(ROUND(OFFSET($P194,0,AD$13),15-13*ORÇAMENTO!$AF$7)*OFFSET(ORÇAMENTO!$W$15,ROW(AD194)-ROW(AD$15),0),15-13*ORÇAMENTO!$AF$11)),0)</f>
        <v>0</v>
      </c>
      <c r="AE194" s="627">
        <f ca="1">IF(AND($D194="Serviço",AE$12&lt;&gt;0,$H194&gt;0,OR(AUTOEVENTO&lt;&gt;"manual",$M194&lt;&gt;1)),
IF(Import.TipoArredondamento&lt;&gt;"TransfereGOV",
ROUND(OFFSET($P194,0,AE$13),15-13*ORÇAMENTO!$AF$7)/$H194*OFFSET(ORÇAMENTO!$X$15,ROW(AE194)-ROW(AE$15),0),
ROUND(ROUND(OFFSET($P194,0,AE$13),15-13*ORÇAMENTO!$AF$7)*OFFSET(ORÇAMENTO!$W$15,ROW(AE194)-ROW(AE$15),0),15-13*ORÇAMENTO!$AF$11)),0)</f>
        <v>0</v>
      </c>
      <c r="AF194" s="627">
        <f ca="1">IF(AND($D194="Serviço",AF$12&lt;&gt;0,$H194&gt;0,OR(AUTOEVENTO&lt;&gt;"manual",$M194&lt;&gt;1)),
IF(Import.TipoArredondamento&lt;&gt;"TransfereGOV",
ROUND(OFFSET($P194,0,AF$13),15-13*ORÇAMENTO!$AF$7)/$H194*OFFSET(ORÇAMENTO!$X$15,ROW(AF194)-ROW(AF$15),0),
ROUND(ROUND(OFFSET($P194,0,AF$13),15-13*ORÇAMENTO!$AF$7)*OFFSET(ORÇAMENTO!$W$15,ROW(AF194)-ROW(AF$15),0),15-13*ORÇAMENTO!$AF$11)),0)</f>
        <v>0</v>
      </c>
      <c r="AG194" s="627">
        <f ca="1">IF(AND($D194="Serviço",AG$12&lt;&gt;0,$H194&gt;0,OR(AUTOEVENTO&lt;&gt;"manual",$M194&lt;&gt;1)),
IF(Import.TipoArredondamento&lt;&gt;"TransfereGOV",
ROUND(OFFSET($P194,0,AG$13),15-13*ORÇAMENTO!$AF$7)/$H194*OFFSET(ORÇAMENTO!$X$15,ROW(AG194)-ROW(AG$15),0),
ROUND(ROUND(OFFSET($P194,0,AG$13),15-13*ORÇAMENTO!$AF$7)*OFFSET(ORÇAMENTO!$W$15,ROW(AG194)-ROW(AG$15),0),15-13*ORÇAMENTO!$AF$11)),0)</f>
        <v>0</v>
      </c>
      <c r="AH194" s="627">
        <f ca="1">IF(AND($D194="Serviço",AH$12&lt;&gt;0,$H194&gt;0,OR(AUTOEVENTO&lt;&gt;"manual",$M194&lt;&gt;1)),
IF(Import.TipoArredondamento&lt;&gt;"TransfereGOV",
ROUND(OFFSET($P194,0,AH$13),15-13*ORÇAMENTO!$AF$7)/$H194*OFFSET(ORÇAMENTO!$X$15,ROW(AH194)-ROW(AH$15),0),
ROUND(ROUND(OFFSET($P194,0,AH$13),15-13*ORÇAMENTO!$AF$7)*OFFSET(ORÇAMENTO!$W$15,ROW(AH194)-ROW(AH$15),0),15-13*ORÇAMENTO!$AF$11)),0)</f>
        <v>0</v>
      </c>
      <c r="AI194" s="627">
        <f ca="1">IF(AND($D194="Serviço",AI$12&lt;&gt;0,$H194&gt;0,OR(AUTOEVENTO&lt;&gt;"manual",$M194&lt;&gt;1)),
IF(Import.TipoArredondamento&lt;&gt;"TransfereGOV",
ROUND(OFFSET($P194,0,AI$13),15-13*ORÇAMENTO!$AF$7)/$H194*OFFSET(ORÇAMENTO!$X$15,ROW(AI194)-ROW(AI$15),0),
ROUND(ROUND(OFFSET($P194,0,AI$13),15-13*ORÇAMENTO!$AF$7)*OFFSET(ORÇAMENTO!$W$15,ROW(AI194)-ROW(AI$15),0),15-13*ORÇAMENTO!$AF$11)),0)</f>
        <v>0</v>
      </c>
      <c r="AJ194" s="627">
        <f ca="1">IF(AND($D194="Serviço",AJ$12&lt;&gt;0,$H194&gt;0,OR(AUTOEVENTO&lt;&gt;"manual",$M194&lt;&gt;1)),
IF(Import.TipoArredondamento&lt;&gt;"TransfereGOV",
ROUND(OFFSET($P194,0,AJ$13),15-13*ORÇAMENTO!$AF$7)/$H194*OFFSET(ORÇAMENTO!$X$15,ROW(AJ194)-ROW(AJ$15),0),
ROUND(ROUND(OFFSET($P194,0,AJ$13),15-13*ORÇAMENTO!$AF$7)*OFFSET(ORÇAMENTO!$W$15,ROW(AJ194)-ROW(AJ$15),0),15-13*ORÇAMENTO!$AF$11)),0)</f>
        <v>0</v>
      </c>
      <c r="AK194" s="628">
        <f ca="1">IF(AND($D194="Serviço",AK$12&lt;&gt;0,$H194&gt;0,OR(AUTOEVENTO&lt;&gt;"manual",$M194&lt;&gt;1)),
IF(Import.TipoArredondamento&lt;&gt;"TransfereGOV",
ROUND(OFFSET($P194,0,AK$13),15-13*ORÇAMENTO!$AF$7)/$H194*OFFSET(ORÇAMENTO!$X$15,ROW(AK194)-ROW(AK$15),0),
ROUND(ROUND(OFFSET($P194,0,AK$13),15-13*ORÇAMENTO!$AF$7)*OFFSET(ORÇAMENTO!$W$15,ROW(AK194)-ROW(AK$15),0),15-13*ORÇAMENTO!$AF$11)),0)</f>
        <v>0</v>
      </c>
      <c r="AM194" s="211">
        <f ca="1">IF($D194&lt;&gt;"Serviço",0,IF(AND(AUTOEVENTO="Manual",$M194=1),0,IF(OFFSET(CRONOPLE!$F$14,$M194,AM$13)="",10^12,OFFSET(CRONOPLE!$F$14,$M194,AM$13))))</f>
        <v>2</v>
      </c>
      <c r="AN194" s="211">
        <f ca="1">IF($D194&lt;&gt;"Serviço",0,IF(AND(AUTOEVENTO="Manual",$M194=1),0,IF(OFFSET(CRONOPLE!$F$14,$M194,AN$13)="",10^12,OFFSET(CRONOPLE!$F$14,$M194,AN$13))))</f>
        <v>1</v>
      </c>
      <c r="AO194" s="211">
        <f ca="1">IF($D194&lt;&gt;"Serviço",0,IF(AND(AUTOEVENTO="Manual",$M194=1),0,IF(OFFSET(CRONOPLE!$F$14,$M194,AO$13)="",10^12,OFFSET(CRONOPLE!$F$14,$M194,AO$13))))</f>
        <v>2</v>
      </c>
      <c r="AP194" s="211">
        <f ca="1">IF($D194&lt;&gt;"Serviço",0,IF(AND(AUTOEVENTO="Manual",$M194=1),0,IF(OFFSET(CRONOPLE!$F$14,$M194,AP$13)="",10^12,OFFSET(CRONOPLE!$F$14,$M194,AP$13))))</f>
        <v>2</v>
      </c>
      <c r="AQ194" s="211">
        <f ca="1">IF($D194&lt;&gt;"Serviço",0,IF(AND(AUTOEVENTO="Manual",$M194=1),0,IF(OFFSET(CRONOPLE!$F$14,$M194,AQ$13)="",10^12,OFFSET(CRONOPLE!$F$14,$M194,AQ$13))))</f>
        <v>1000000000000</v>
      </c>
      <c r="AR194" s="211">
        <f ca="1">IF($D194&lt;&gt;"Serviço",0,IF(AND(AUTOEVENTO="Manual",$M194=1),0,IF(OFFSET(CRONOPLE!$F$14,$M194,AR$13)="",10^12,OFFSET(CRONOPLE!$F$14,$M194,AR$13))))</f>
        <v>1000000000000</v>
      </c>
      <c r="AS194" s="211">
        <f ca="1">IF($D194&lt;&gt;"Serviço",0,IF(AND(AUTOEVENTO="Manual",$M194=1),0,IF(OFFSET(CRONOPLE!$F$14,$M194,AS$13)="",10^12,OFFSET(CRONOPLE!$F$14,$M194,AS$13))))</f>
        <v>1000000000000</v>
      </c>
      <c r="AT194" s="211">
        <f ca="1">IF($D194&lt;&gt;"Serviço",0,IF(AND(AUTOEVENTO="Manual",$M194=1),0,IF(OFFSET(CRONOPLE!$F$14,$M194,AT$13)="",10^12,OFFSET(CRONOPLE!$F$14,$M194,AT$13))))</f>
        <v>1000000000000</v>
      </c>
      <c r="AU194" s="211">
        <f ca="1">IF($D194&lt;&gt;"Serviço",0,IF(AND(AUTOEVENTO="Manual",$M194=1),0,IF(OFFSET(CRONOPLE!$F$14,$M194,AU$13)="",10^12,OFFSET(CRONOPLE!$F$14,$M194,AU$13))))</f>
        <v>1000000000000</v>
      </c>
      <c r="AV194" s="211">
        <f ca="1">IF($D194&lt;&gt;"Serviço",0,IF(AND(AUTOEVENTO="Manual",$M194=1),0,IF(OFFSET(CRONOPLE!$F$14,$M194,AV$13)="",10^12,OFFSET(CRONOPLE!$F$14,$M194,AV$13))))</f>
        <v>1000000000000</v>
      </c>
      <c r="AX194" s="212">
        <f ca="1">IF($D194&lt;&gt;"Serviço",0,IF(OR(AND(AUTOEVENTO="Manual",$M194=1),$M194&gt;(ROW(PLE.lastrow)-ROW(PLE.firstrow))),0,IF(OFFSET(PLE!$G$14,$M194,AX$13)="",10^12,OFFSET(PLE!$G$14,$M194,AX$13))))</f>
        <v>1000000000000</v>
      </c>
      <c r="AY194" s="212">
        <f ca="1">IF($D194&lt;&gt;"Serviço",0,IF(OR(AND(AUTOEVENTO="Manual",$M194=1),$M194&gt;(ROW(PLE.lastrow)-ROW(PLE.firstrow))),0,IF(OFFSET(PLE!$G$14,$M194,AY$13)="",10^12,OFFSET(PLE!$G$14,$M194,AY$13))))</f>
        <v>1000000000000</v>
      </c>
      <c r="AZ194" s="212">
        <f ca="1">IF($D194&lt;&gt;"Serviço",0,IF(OR(AND(AUTOEVENTO="Manual",$M194=1),$M194&gt;(ROW(PLE.lastrow)-ROW(PLE.firstrow))),0,IF(OFFSET(PLE!$G$14,$M194,AZ$13)="",10^12,OFFSET(PLE!$G$14,$M194,AZ$13))))</f>
        <v>1000000000000</v>
      </c>
      <c r="BA194" s="212">
        <f ca="1">IF($D194&lt;&gt;"Serviço",0,IF(OR(AND(AUTOEVENTO="Manual",$M194=1),$M194&gt;(ROW(PLE.lastrow)-ROW(PLE.firstrow))),0,IF(OFFSET(PLE!$G$14,$M194,BA$13)="",10^12,OFFSET(PLE!$G$14,$M194,BA$13))))</f>
        <v>1000000000000</v>
      </c>
      <c r="BB194" s="212">
        <f ca="1">IF($D194&lt;&gt;"Serviço",0,IF(OR(AND(AUTOEVENTO="Manual",$M194=1),$M194&gt;(ROW(PLE.lastrow)-ROW(PLE.firstrow))),0,IF(OFFSET(PLE!$G$14,$M194,BB$13)="",10^12,OFFSET(PLE!$G$14,$M194,BB$13))))</f>
        <v>1000000000000</v>
      </c>
      <c r="BC194" s="212">
        <f ca="1">IF($D194&lt;&gt;"Serviço",0,IF(OR(AND(AUTOEVENTO="Manual",$M194=1),$M194&gt;(ROW(PLE.lastrow)-ROW(PLE.firstrow))),0,IF(OFFSET(PLE!$G$14,$M194,BC$13)="",10^12,OFFSET(PLE!$G$14,$M194,BC$13))))</f>
        <v>1000000000000</v>
      </c>
      <c r="BD194" s="212">
        <f ca="1">IF($D194&lt;&gt;"Serviço",0,IF(OR(AND(AUTOEVENTO="Manual",$M194=1),$M194&gt;(ROW(PLE.lastrow)-ROW(PLE.firstrow))),0,IF(OFFSET(PLE!$G$14,$M194,BD$13)="",10^12,OFFSET(PLE!$G$14,$M194,BD$13))))</f>
        <v>1000000000000</v>
      </c>
      <c r="BE194" s="212">
        <f ca="1">IF($D194&lt;&gt;"Serviço",0,IF(OR(AND(AUTOEVENTO="Manual",$M194=1),$M194&gt;(ROW(PLE.lastrow)-ROW(PLE.firstrow))),0,IF(OFFSET(PLE!$G$14,$M194,BE$13)="",10^12,OFFSET(PLE!$G$14,$M194,BE$13))))</f>
        <v>1000000000000</v>
      </c>
      <c r="BF194" s="212">
        <f ca="1">IF($D194&lt;&gt;"Serviço",0,IF(OR(AND(AUTOEVENTO="Manual",$M194=1),$M194&gt;(ROW(PLE.lastrow)-ROW(PLE.firstrow))),0,IF(OFFSET(PLE!$G$14,$M194,BF$13)="",10^12,OFFSET(PLE!$G$14,$M194,BF$13))))</f>
        <v>1000000000000</v>
      </c>
      <c r="BG194" s="212">
        <f ca="1">IF($D194&lt;&gt;"Serviço",0,IF(OR(AND(AUTOEVENTO="Manual",$M194=1),$M194&gt;(ROW(PLE.lastrow)-ROW(PLE.firstrow))),0,IF(OFFSET(PLE!$G$14,$M194,BG$13)="",10^12,OFFSET(PLE!$G$14,$M194,BG$13))))</f>
        <v>1000000000000</v>
      </c>
    </row>
    <row r="195" spans="1:59" ht="13.2">
      <c r="A195" s="9" t="str">
        <f t="shared" ca="1" si="11"/>
        <v>15</v>
      </c>
      <c r="B195" s="9" t="str">
        <f ca="1">OFFSET(ORÇAMENTO!C$15,ROW(B195)-ROW(B$15),0)</f>
        <v>S</v>
      </c>
      <c r="C195" s="9" t="str">
        <f ca="1">OFFSET(ORÇAMENTO!L$15,ROW(C195)-ROW(C$15),0)</f>
        <v/>
      </c>
      <c r="D195" s="141" t="str">
        <f ca="1">OFFSET(ORÇAMENTO!N$15,ROW(D195)-ROW(D$15),0)</f>
        <v>Serviço</v>
      </c>
      <c r="E195" s="201" t="str">
        <f ca="1">OFFSET(ORÇAMENTO!O$15,ROW(E195)-ROW(E$15),0)</f>
        <v>-</v>
      </c>
      <c r="F195" s="202" t="str">
        <f ca="1">OFFSET(ORÇAMENTO!R$15,ROW(F195)-ROW(F$15),0)</f>
        <v>(abra o arquivo 'Referência 11-2024.xlsm)</v>
      </c>
      <c r="G195" s="203" t="str">
        <f ca="1">IF($D195&lt;&gt;"Serviço","",OFFSET(ORÇAMENTO!S$15,ROW(G195)-ROW(G$15),0))</f>
        <v>-</v>
      </c>
      <c r="H195" s="147">
        <f ca="1">IF($D195&lt;&gt;"Serviço",0,IF(ACOMPANHAMENTO="BM",ROUND(OFFSET(ORÇAMENTO!AJ$15,ROW(H195)-ROW(H$15),0),15-13*ORÇAMENTO!$AF$7),SUMPRODUCT(($Q$12:$AA$12&lt;&gt;"")*ROUND($Q195:$AA195,15-13*ORÇAMENTO!$AF$7))))</f>
        <v>0</v>
      </c>
      <c r="I195" s="645"/>
      <c r="K195" s="204"/>
      <c r="L195" s="205" t="s">
        <v>255</v>
      </c>
      <c r="M195" s="206">
        <f ca="1">IF($D195&lt;&gt;"Serviço","",IF(AUTOEVENTO="manual",$A195,IF(ISERROR(MATCH($A195,$A$15:OFFSET($A195,-1,0),0)),MAX($M$15:OFFSET(M195,-1,0))+1,INDEX($M$15:OFFSET(M195,-1,0),MATCH($A195,$A$15:OFFSET($A195,-1,0),0)))))</f>
        <v>6</v>
      </c>
      <c r="N195" s="207" t="str">
        <f ca="1">IF($D195&lt;&gt;"Serviço","",IF(AUTOEVENTO="Manual",IF($A195=0,"&lt;-- defina o número do agrupador",OFFSET(EVENTOS!$D$14,$A195,0)),OFFSET($F$15,$A195,0)))</f>
        <v>DRENAGEM</v>
      </c>
      <c r="O195" s="208"/>
      <c r="Q195" s="208"/>
      <c r="R195" s="209"/>
      <c r="S195" s="209"/>
      <c r="T195" s="209"/>
      <c r="U195" s="209"/>
      <c r="V195" s="209"/>
      <c r="W195" s="209"/>
      <c r="X195" s="209"/>
      <c r="Y195" s="209"/>
      <c r="Z195" s="210"/>
      <c r="AB195" s="626">
        <f ca="1">IF(AND($D195="Serviço",AB$12&lt;&gt;0,$H195&gt;0,OR(AUTOEVENTO&lt;&gt;"manual",$M195&lt;&gt;1)),
IF(Import.TipoArredondamento&lt;&gt;"TransfereGOV",
ROUND(OFFSET($P195,0,AB$13),15-13*ORÇAMENTO!$AF$7)/$H195*OFFSET(ORÇAMENTO!$X$15,ROW(AB195)-ROW(AB$15),0),
ROUND(ROUND(OFFSET($P195,0,AB$13),15-13*ORÇAMENTO!$AF$7)*OFFSET(ORÇAMENTO!$W$15,ROW(AB195)-ROW(AB$15),0),15-13*ORÇAMENTO!$AF$11)),0)</f>
        <v>0</v>
      </c>
      <c r="AC195" s="627">
        <f ca="1">IF(AND($D195="Serviço",AC$12&lt;&gt;0,$H195&gt;0,OR(AUTOEVENTO&lt;&gt;"manual",$M195&lt;&gt;1)),
IF(Import.TipoArredondamento&lt;&gt;"TransfereGOV",
ROUND(OFFSET($P195,0,AC$13),15-13*ORÇAMENTO!$AF$7)/$H195*OFFSET(ORÇAMENTO!$X$15,ROW(AC195)-ROW(AC$15),0),
ROUND(ROUND(OFFSET($P195,0,AC$13),15-13*ORÇAMENTO!$AF$7)*OFFSET(ORÇAMENTO!$W$15,ROW(AC195)-ROW(AC$15),0),15-13*ORÇAMENTO!$AF$11)),0)</f>
        <v>0</v>
      </c>
      <c r="AD195" s="627">
        <f ca="1">IF(AND($D195="Serviço",AD$12&lt;&gt;0,$H195&gt;0,OR(AUTOEVENTO&lt;&gt;"manual",$M195&lt;&gt;1)),
IF(Import.TipoArredondamento&lt;&gt;"TransfereGOV",
ROUND(OFFSET($P195,0,AD$13),15-13*ORÇAMENTO!$AF$7)/$H195*OFFSET(ORÇAMENTO!$X$15,ROW(AD195)-ROW(AD$15),0),
ROUND(ROUND(OFFSET($P195,0,AD$13),15-13*ORÇAMENTO!$AF$7)*OFFSET(ORÇAMENTO!$W$15,ROW(AD195)-ROW(AD$15),0),15-13*ORÇAMENTO!$AF$11)),0)</f>
        <v>0</v>
      </c>
      <c r="AE195" s="627">
        <f ca="1">IF(AND($D195="Serviço",AE$12&lt;&gt;0,$H195&gt;0,OR(AUTOEVENTO&lt;&gt;"manual",$M195&lt;&gt;1)),
IF(Import.TipoArredondamento&lt;&gt;"TransfereGOV",
ROUND(OFFSET($P195,0,AE$13),15-13*ORÇAMENTO!$AF$7)/$H195*OFFSET(ORÇAMENTO!$X$15,ROW(AE195)-ROW(AE$15),0),
ROUND(ROUND(OFFSET($P195,0,AE$13),15-13*ORÇAMENTO!$AF$7)*OFFSET(ORÇAMENTO!$W$15,ROW(AE195)-ROW(AE$15),0),15-13*ORÇAMENTO!$AF$11)),0)</f>
        <v>0</v>
      </c>
      <c r="AF195" s="627">
        <f ca="1">IF(AND($D195="Serviço",AF$12&lt;&gt;0,$H195&gt;0,OR(AUTOEVENTO&lt;&gt;"manual",$M195&lt;&gt;1)),
IF(Import.TipoArredondamento&lt;&gt;"TransfereGOV",
ROUND(OFFSET($P195,0,AF$13),15-13*ORÇAMENTO!$AF$7)/$H195*OFFSET(ORÇAMENTO!$X$15,ROW(AF195)-ROW(AF$15),0),
ROUND(ROUND(OFFSET($P195,0,AF$13),15-13*ORÇAMENTO!$AF$7)*OFFSET(ORÇAMENTO!$W$15,ROW(AF195)-ROW(AF$15),0),15-13*ORÇAMENTO!$AF$11)),0)</f>
        <v>0</v>
      </c>
      <c r="AG195" s="627">
        <f ca="1">IF(AND($D195="Serviço",AG$12&lt;&gt;0,$H195&gt;0,OR(AUTOEVENTO&lt;&gt;"manual",$M195&lt;&gt;1)),
IF(Import.TipoArredondamento&lt;&gt;"TransfereGOV",
ROUND(OFFSET($P195,0,AG$13),15-13*ORÇAMENTO!$AF$7)/$H195*OFFSET(ORÇAMENTO!$X$15,ROW(AG195)-ROW(AG$15),0),
ROUND(ROUND(OFFSET($P195,0,AG$13),15-13*ORÇAMENTO!$AF$7)*OFFSET(ORÇAMENTO!$W$15,ROW(AG195)-ROW(AG$15),0),15-13*ORÇAMENTO!$AF$11)),0)</f>
        <v>0</v>
      </c>
      <c r="AH195" s="627">
        <f ca="1">IF(AND($D195="Serviço",AH$12&lt;&gt;0,$H195&gt;0,OR(AUTOEVENTO&lt;&gt;"manual",$M195&lt;&gt;1)),
IF(Import.TipoArredondamento&lt;&gt;"TransfereGOV",
ROUND(OFFSET($P195,0,AH$13),15-13*ORÇAMENTO!$AF$7)/$H195*OFFSET(ORÇAMENTO!$X$15,ROW(AH195)-ROW(AH$15),0),
ROUND(ROUND(OFFSET($P195,0,AH$13),15-13*ORÇAMENTO!$AF$7)*OFFSET(ORÇAMENTO!$W$15,ROW(AH195)-ROW(AH$15),0),15-13*ORÇAMENTO!$AF$11)),0)</f>
        <v>0</v>
      </c>
      <c r="AI195" s="627">
        <f ca="1">IF(AND($D195="Serviço",AI$12&lt;&gt;0,$H195&gt;0,OR(AUTOEVENTO&lt;&gt;"manual",$M195&lt;&gt;1)),
IF(Import.TipoArredondamento&lt;&gt;"TransfereGOV",
ROUND(OFFSET($P195,0,AI$13),15-13*ORÇAMENTO!$AF$7)/$H195*OFFSET(ORÇAMENTO!$X$15,ROW(AI195)-ROW(AI$15),0),
ROUND(ROUND(OFFSET($P195,0,AI$13),15-13*ORÇAMENTO!$AF$7)*OFFSET(ORÇAMENTO!$W$15,ROW(AI195)-ROW(AI$15),0),15-13*ORÇAMENTO!$AF$11)),0)</f>
        <v>0</v>
      </c>
      <c r="AJ195" s="627">
        <f ca="1">IF(AND($D195="Serviço",AJ$12&lt;&gt;0,$H195&gt;0,OR(AUTOEVENTO&lt;&gt;"manual",$M195&lt;&gt;1)),
IF(Import.TipoArredondamento&lt;&gt;"TransfereGOV",
ROUND(OFFSET($P195,0,AJ$13),15-13*ORÇAMENTO!$AF$7)/$H195*OFFSET(ORÇAMENTO!$X$15,ROW(AJ195)-ROW(AJ$15),0),
ROUND(ROUND(OFFSET($P195,0,AJ$13),15-13*ORÇAMENTO!$AF$7)*OFFSET(ORÇAMENTO!$W$15,ROW(AJ195)-ROW(AJ$15),0),15-13*ORÇAMENTO!$AF$11)),0)</f>
        <v>0</v>
      </c>
      <c r="AK195" s="628">
        <f ca="1">IF(AND($D195="Serviço",AK$12&lt;&gt;0,$H195&gt;0,OR(AUTOEVENTO&lt;&gt;"manual",$M195&lt;&gt;1)),
IF(Import.TipoArredondamento&lt;&gt;"TransfereGOV",
ROUND(OFFSET($P195,0,AK$13),15-13*ORÇAMENTO!$AF$7)/$H195*OFFSET(ORÇAMENTO!$X$15,ROW(AK195)-ROW(AK$15),0),
ROUND(ROUND(OFFSET($P195,0,AK$13),15-13*ORÇAMENTO!$AF$7)*OFFSET(ORÇAMENTO!$W$15,ROW(AK195)-ROW(AK$15),0),15-13*ORÇAMENTO!$AF$11)),0)</f>
        <v>0</v>
      </c>
      <c r="AM195" s="211">
        <f ca="1">IF($D195&lt;&gt;"Serviço",0,IF(AND(AUTOEVENTO="Manual",$M195=1),0,IF(OFFSET(CRONOPLE!$F$14,$M195,AM$13)="",10^12,OFFSET(CRONOPLE!$F$14,$M195,AM$13))))</f>
        <v>2</v>
      </c>
      <c r="AN195" s="211">
        <f ca="1">IF($D195&lt;&gt;"Serviço",0,IF(AND(AUTOEVENTO="Manual",$M195=1),0,IF(OFFSET(CRONOPLE!$F$14,$M195,AN$13)="",10^12,OFFSET(CRONOPLE!$F$14,$M195,AN$13))))</f>
        <v>1</v>
      </c>
      <c r="AO195" s="211">
        <f ca="1">IF($D195&lt;&gt;"Serviço",0,IF(AND(AUTOEVENTO="Manual",$M195=1),0,IF(OFFSET(CRONOPLE!$F$14,$M195,AO$13)="",10^12,OFFSET(CRONOPLE!$F$14,$M195,AO$13))))</f>
        <v>2</v>
      </c>
      <c r="AP195" s="211">
        <f ca="1">IF($D195&lt;&gt;"Serviço",0,IF(AND(AUTOEVENTO="Manual",$M195=1),0,IF(OFFSET(CRONOPLE!$F$14,$M195,AP$13)="",10^12,OFFSET(CRONOPLE!$F$14,$M195,AP$13))))</f>
        <v>2</v>
      </c>
      <c r="AQ195" s="211">
        <f ca="1">IF($D195&lt;&gt;"Serviço",0,IF(AND(AUTOEVENTO="Manual",$M195=1),0,IF(OFFSET(CRONOPLE!$F$14,$M195,AQ$13)="",10^12,OFFSET(CRONOPLE!$F$14,$M195,AQ$13))))</f>
        <v>1000000000000</v>
      </c>
      <c r="AR195" s="211">
        <f ca="1">IF($D195&lt;&gt;"Serviço",0,IF(AND(AUTOEVENTO="Manual",$M195=1),0,IF(OFFSET(CRONOPLE!$F$14,$M195,AR$13)="",10^12,OFFSET(CRONOPLE!$F$14,$M195,AR$13))))</f>
        <v>1000000000000</v>
      </c>
      <c r="AS195" s="211">
        <f ca="1">IF($D195&lt;&gt;"Serviço",0,IF(AND(AUTOEVENTO="Manual",$M195=1),0,IF(OFFSET(CRONOPLE!$F$14,$M195,AS$13)="",10^12,OFFSET(CRONOPLE!$F$14,$M195,AS$13))))</f>
        <v>1000000000000</v>
      </c>
      <c r="AT195" s="211">
        <f ca="1">IF($D195&lt;&gt;"Serviço",0,IF(AND(AUTOEVENTO="Manual",$M195=1),0,IF(OFFSET(CRONOPLE!$F$14,$M195,AT$13)="",10^12,OFFSET(CRONOPLE!$F$14,$M195,AT$13))))</f>
        <v>1000000000000</v>
      </c>
      <c r="AU195" s="211">
        <f ca="1">IF($D195&lt;&gt;"Serviço",0,IF(AND(AUTOEVENTO="Manual",$M195=1),0,IF(OFFSET(CRONOPLE!$F$14,$M195,AU$13)="",10^12,OFFSET(CRONOPLE!$F$14,$M195,AU$13))))</f>
        <v>1000000000000</v>
      </c>
      <c r="AV195" s="211">
        <f ca="1">IF($D195&lt;&gt;"Serviço",0,IF(AND(AUTOEVENTO="Manual",$M195=1),0,IF(OFFSET(CRONOPLE!$F$14,$M195,AV$13)="",10^12,OFFSET(CRONOPLE!$F$14,$M195,AV$13))))</f>
        <v>1000000000000</v>
      </c>
      <c r="AX195" s="212">
        <f ca="1">IF($D195&lt;&gt;"Serviço",0,IF(OR(AND(AUTOEVENTO="Manual",$M195=1),$M195&gt;(ROW(PLE.lastrow)-ROW(PLE.firstrow))),0,IF(OFFSET(PLE!$G$14,$M195,AX$13)="",10^12,OFFSET(PLE!$G$14,$M195,AX$13))))</f>
        <v>1000000000000</v>
      </c>
      <c r="AY195" s="212">
        <f ca="1">IF($D195&lt;&gt;"Serviço",0,IF(OR(AND(AUTOEVENTO="Manual",$M195=1),$M195&gt;(ROW(PLE.lastrow)-ROW(PLE.firstrow))),0,IF(OFFSET(PLE!$G$14,$M195,AY$13)="",10^12,OFFSET(PLE!$G$14,$M195,AY$13))))</f>
        <v>1000000000000</v>
      </c>
      <c r="AZ195" s="212">
        <f ca="1">IF($D195&lt;&gt;"Serviço",0,IF(OR(AND(AUTOEVENTO="Manual",$M195=1),$M195&gt;(ROW(PLE.lastrow)-ROW(PLE.firstrow))),0,IF(OFFSET(PLE!$G$14,$M195,AZ$13)="",10^12,OFFSET(PLE!$G$14,$M195,AZ$13))))</f>
        <v>1000000000000</v>
      </c>
      <c r="BA195" s="212">
        <f ca="1">IF($D195&lt;&gt;"Serviço",0,IF(OR(AND(AUTOEVENTO="Manual",$M195=1),$M195&gt;(ROW(PLE.lastrow)-ROW(PLE.firstrow))),0,IF(OFFSET(PLE!$G$14,$M195,BA$13)="",10^12,OFFSET(PLE!$G$14,$M195,BA$13))))</f>
        <v>1000000000000</v>
      </c>
      <c r="BB195" s="212">
        <f ca="1">IF($D195&lt;&gt;"Serviço",0,IF(OR(AND(AUTOEVENTO="Manual",$M195=1),$M195&gt;(ROW(PLE.lastrow)-ROW(PLE.firstrow))),0,IF(OFFSET(PLE!$G$14,$M195,BB$13)="",10^12,OFFSET(PLE!$G$14,$M195,BB$13))))</f>
        <v>1000000000000</v>
      </c>
      <c r="BC195" s="212">
        <f ca="1">IF($D195&lt;&gt;"Serviço",0,IF(OR(AND(AUTOEVENTO="Manual",$M195=1),$M195&gt;(ROW(PLE.lastrow)-ROW(PLE.firstrow))),0,IF(OFFSET(PLE!$G$14,$M195,BC$13)="",10^12,OFFSET(PLE!$G$14,$M195,BC$13))))</f>
        <v>1000000000000</v>
      </c>
      <c r="BD195" s="212">
        <f ca="1">IF($D195&lt;&gt;"Serviço",0,IF(OR(AND(AUTOEVENTO="Manual",$M195=1),$M195&gt;(ROW(PLE.lastrow)-ROW(PLE.firstrow))),0,IF(OFFSET(PLE!$G$14,$M195,BD$13)="",10^12,OFFSET(PLE!$G$14,$M195,BD$13))))</f>
        <v>1000000000000</v>
      </c>
      <c r="BE195" s="212">
        <f ca="1">IF($D195&lt;&gt;"Serviço",0,IF(OR(AND(AUTOEVENTO="Manual",$M195=1),$M195&gt;(ROW(PLE.lastrow)-ROW(PLE.firstrow))),0,IF(OFFSET(PLE!$G$14,$M195,BE$13)="",10^12,OFFSET(PLE!$G$14,$M195,BE$13))))</f>
        <v>1000000000000</v>
      </c>
      <c r="BF195" s="212">
        <f ca="1">IF($D195&lt;&gt;"Serviço",0,IF(OR(AND(AUTOEVENTO="Manual",$M195=1),$M195&gt;(ROW(PLE.lastrow)-ROW(PLE.firstrow))),0,IF(OFFSET(PLE!$G$14,$M195,BF$13)="",10^12,OFFSET(PLE!$G$14,$M195,BF$13))))</f>
        <v>1000000000000</v>
      </c>
      <c r="BG195" s="212">
        <f ca="1">IF($D195&lt;&gt;"Serviço",0,IF(OR(AND(AUTOEVENTO="Manual",$M195=1),$M195&gt;(ROW(PLE.lastrow)-ROW(PLE.firstrow))),0,IF(OFFSET(PLE!$G$14,$M195,BG$13)="",10^12,OFFSET(PLE!$G$14,$M195,BG$13))))</f>
        <v>1000000000000</v>
      </c>
    </row>
    <row r="196" spans="1:59" ht="13.2">
      <c r="A196" s="9" t="str">
        <f t="shared" ca="1" si="11"/>
        <v>15</v>
      </c>
      <c r="B196" s="9" t="str">
        <f ca="1">OFFSET(ORÇAMENTO!C$15,ROW(B196)-ROW(B$15),0)</f>
        <v>S</v>
      </c>
      <c r="C196" s="9" t="str">
        <f ca="1">OFFSET(ORÇAMENTO!L$15,ROW(C196)-ROW(C$15),0)</f>
        <v/>
      </c>
      <c r="D196" s="141" t="str">
        <f ca="1">OFFSET(ORÇAMENTO!N$15,ROW(D196)-ROW(D$15),0)</f>
        <v>Serviço</v>
      </c>
      <c r="E196" s="201" t="str">
        <f ca="1">OFFSET(ORÇAMENTO!O$15,ROW(E196)-ROW(E$15),0)</f>
        <v>-</v>
      </c>
      <c r="F196" s="202" t="str">
        <f ca="1">OFFSET(ORÇAMENTO!R$15,ROW(F196)-ROW(F$15),0)</f>
        <v>(abra o arquivo 'Referência 11-2024.xlsm)</v>
      </c>
      <c r="G196" s="203" t="str">
        <f ca="1">IF($D196&lt;&gt;"Serviço","",OFFSET(ORÇAMENTO!S$15,ROW(G196)-ROW(G$15),0))</f>
        <v>-</v>
      </c>
      <c r="H196" s="147">
        <f ca="1">IF($D196&lt;&gt;"Serviço",0,IF(ACOMPANHAMENTO="BM",ROUND(OFFSET(ORÇAMENTO!AJ$15,ROW(H196)-ROW(H$15),0),15-13*ORÇAMENTO!$AF$7),SUMPRODUCT(($Q$12:$AA$12&lt;&gt;"")*ROUND($Q196:$AA196,15-13*ORÇAMENTO!$AF$7))))</f>
        <v>0</v>
      </c>
      <c r="I196" s="645"/>
      <c r="K196" s="204"/>
      <c r="L196" s="205" t="s">
        <v>255</v>
      </c>
      <c r="M196" s="206">
        <f ca="1">IF($D196&lt;&gt;"Serviço","",IF(AUTOEVENTO="manual",$A196,IF(ISERROR(MATCH($A196,$A$15:OFFSET($A196,-1,0),0)),MAX($M$15:OFFSET(M196,-1,0))+1,INDEX($M$15:OFFSET(M196,-1,0),MATCH($A196,$A$15:OFFSET($A196,-1,0),0)))))</f>
        <v>6</v>
      </c>
      <c r="N196" s="207" t="str">
        <f ca="1">IF($D196&lt;&gt;"Serviço","",IF(AUTOEVENTO="Manual",IF($A196=0,"&lt;-- defina o número do agrupador",OFFSET(EVENTOS!$D$14,$A196,0)),OFFSET($F$15,$A196,0)))</f>
        <v>DRENAGEM</v>
      </c>
      <c r="O196" s="208"/>
      <c r="Q196" s="208"/>
      <c r="R196" s="209"/>
      <c r="S196" s="209"/>
      <c r="T196" s="209"/>
      <c r="U196" s="209"/>
      <c r="V196" s="209"/>
      <c r="W196" s="209"/>
      <c r="X196" s="209"/>
      <c r="Y196" s="209"/>
      <c r="Z196" s="210"/>
      <c r="AB196" s="626">
        <f ca="1">IF(AND($D196="Serviço",AB$12&lt;&gt;0,$H196&gt;0,OR(AUTOEVENTO&lt;&gt;"manual",$M196&lt;&gt;1)),
IF(Import.TipoArredondamento&lt;&gt;"TransfereGOV",
ROUND(OFFSET($P196,0,AB$13),15-13*ORÇAMENTO!$AF$7)/$H196*OFFSET(ORÇAMENTO!$X$15,ROW(AB196)-ROW(AB$15),0),
ROUND(ROUND(OFFSET($P196,0,AB$13),15-13*ORÇAMENTO!$AF$7)*OFFSET(ORÇAMENTO!$W$15,ROW(AB196)-ROW(AB$15),0),15-13*ORÇAMENTO!$AF$11)),0)</f>
        <v>0</v>
      </c>
      <c r="AC196" s="627">
        <f ca="1">IF(AND($D196="Serviço",AC$12&lt;&gt;0,$H196&gt;0,OR(AUTOEVENTO&lt;&gt;"manual",$M196&lt;&gt;1)),
IF(Import.TipoArredondamento&lt;&gt;"TransfereGOV",
ROUND(OFFSET($P196,0,AC$13),15-13*ORÇAMENTO!$AF$7)/$H196*OFFSET(ORÇAMENTO!$X$15,ROW(AC196)-ROW(AC$15),0),
ROUND(ROUND(OFFSET($P196,0,AC$13),15-13*ORÇAMENTO!$AF$7)*OFFSET(ORÇAMENTO!$W$15,ROW(AC196)-ROW(AC$15),0),15-13*ORÇAMENTO!$AF$11)),0)</f>
        <v>0</v>
      </c>
      <c r="AD196" s="627">
        <f ca="1">IF(AND($D196="Serviço",AD$12&lt;&gt;0,$H196&gt;0,OR(AUTOEVENTO&lt;&gt;"manual",$M196&lt;&gt;1)),
IF(Import.TipoArredondamento&lt;&gt;"TransfereGOV",
ROUND(OFFSET($P196,0,AD$13),15-13*ORÇAMENTO!$AF$7)/$H196*OFFSET(ORÇAMENTO!$X$15,ROW(AD196)-ROW(AD$15),0),
ROUND(ROUND(OFFSET($P196,0,AD$13),15-13*ORÇAMENTO!$AF$7)*OFFSET(ORÇAMENTO!$W$15,ROW(AD196)-ROW(AD$15),0),15-13*ORÇAMENTO!$AF$11)),0)</f>
        <v>0</v>
      </c>
      <c r="AE196" s="627">
        <f ca="1">IF(AND($D196="Serviço",AE$12&lt;&gt;0,$H196&gt;0,OR(AUTOEVENTO&lt;&gt;"manual",$M196&lt;&gt;1)),
IF(Import.TipoArredondamento&lt;&gt;"TransfereGOV",
ROUND(OFFSET($P196,0,AE$13),15-13*ORÇAMENTO!$AF$7)/$H196*OFFSET(ORÇAMENTO!$X$15,ROW(AE196)-ROW(AE$15),0),
ROUND(ROUND(OFFSET($P196,0,AE$13),15-13*ORÇAMENTO!$AF$7)*OFFSET(ORÇAMENTO!$W$15,ROW(AE196)-ROW(AE$15),0),15-13*ORÇAMENTO!$AF$11)),0)</f>
        <v>0</v>
      </c>
      <c r="AF196" s="627">
        <f ca="1">IF(AND($D196="Serviço",AF$12&lt;&gt;0,$H196&gt;0,OR(AUTOEVENTO&lt;&gt;"manual",$M196&lt;&gt;1)),
IF(Import.TipoArredondamento&lt;&gt;"TransfereGOV",
ROUND(OFFSET($P196,0,AF$13),15-13*ORÇAMENTO!$AF$7)/$H196*OFFSET(ORÇAMENTO!$X$15,ROW(AF196)-ROW(AF$15),0),
ROUND(ROUND(OFFSET($P196,0,AF$13),15-13*ORÇAMENTO!$AF$7)*OFFSET(ORÇAMENTO!$W$15,ROW(AF196)-ROW(AF$15),0),15-13*ORÇAMENTO!$AF$11)),0)</f>
        <v>0</v>
      </c>
      <c r="AG196" s="627">
        <f ca="1">IF(AND($D196="Serviço",AG$12&lt;&gt;0,$H196&gt;0,OR(AUTOEVENTO&lt;&gt;"manual",$M196&lt;&gt;1)),
IF(Import.TipoArredondamento&lt;&gt;"TransfereGOV",
ROUND(OFFSET($P196,0,AG$13),15-13*ORÇAMENTO!$AF$7)/$H196*OFFSET(ORÇAMENTO!$X$15,ROW(AG196)-ROW(AG$15),0),
ROUND(ROUND(OFFSET($P196,0,AG$13),15-13*ORÇAMENTO!$AF$7)*OFFSET(ORÇAMENTO!$W$15,ROW(AG196)-ROW(AG$15),0),15-13*ORÇAMENTO!$AF$11)),0)</f>
        <v>0</v>
      </c>
      <c r="AH196" s="627">
        <f ca="1">IF(AND($D196="Serviço",AH$12&lt;&gt;0,$H196&gt;0,OR(AUTOEVENTO&lt;&gt;"manual",$M196&lt;&gt;1)),
IF(Import.TipoArredondamento&lt;&gt;"TransfereGOV",
ROUND(OFFSET($P196,0,AH$13),15-13*ORÇAMENTO!$AF$7)/$H196*OFFSET(ORÇAMENTO!$X$15,ROW(AH196)-ROW(AH$15),0),
ROUND(ROUND(OFFSET($P196,0,AH$13),15-13*ORÇAMENTO!$AF$7)*OFFSET(ORÇAMENTO!$W$15,ROW(AH196)-ROW(AH$15),0),15-13*ORÇAMENTO!$AF$11)),0)</f>
        <v>0</v>
      </c>
      <c r="AI196" s="627">
        <f ca="1">IF(AND($D196="Serviço",AI$12&lt;&gt;0,$H196&gt;0,OR(AUTOEVENTO&lt;&gt;"manual",$M196&lt;&gt;1)),
IF(Import.TipoArredondamento&lt;&gt;"TransfereGOV",
ROUND(OFFSET($P196,0,AI$13),15-13*ORÇAMENTO!$AF$7)/$H196*OFFSET(ORÇAMENTO!$X$15,ROW(AI196)-ROW(AI$15),0),
ROUND(ROUND(OFFSET($P196,0,AI$13),15-13*ORÇAMENTO!$AF$7)*OFFSET(ORÇAMENTO!$W$15,ROW(AI196)-ROW(AI$15),0),15-13*ORÇAMENTO!$AF$11)),0)</f>
        <v>0</v>
      </c>
      <c r="AJ196" s="627">
        <f ca="1">IF(AND($D196="Serviço",AJ$12&lt;&gt;0,$H196&gt;0,OR(AUTOEVENTO&lt;&gt;"manual",$M196&lt;&gt;1)),
IF(Import.TipoArredondamento&lt;&gt;"TransfereGOV",
ROUND(OFFSET($P196,0,AJ$13),15-13*ORÇAMENTO!$AF$7)/$H196*OFFSET(ORÇAMENTO!$X$15,ROW(AJ196)-ROW(AJ$15),0),
ROUND(ROUND(OFFSET($P196,0,AJ$13),15-13*ORÇAMENTO!$AF$7)*OFFSET(ORÇAMENTO!$W$15,ROW(AJ196)-ROW(AJ$15),0),15-13*ORÇAMENTO!$AF$11)),0)</f>
        <v>0</v>
      </c>
      <c r="AK196" s="628">
        <f ca="1">IF(AND($D196="Serviço",AK$12&lt;&gt;0,$H196&gt;0,OR(AUTOEVENTO&lt;&gt;"manual",$M196&lt;&gt;1)),
IF(Import.TipoArredondamento&lt;&gt;"TransfereGOV",
ROUND(OFFSET($P196,0,AK$13),15-13*ORÇAMENTO!$AF$7)/$H196*OFFSET(ORÇAMENTO!$X$15,ROW(AK196)-ROW(AK$15),0),
ROUND(ROUND(OFFSET($P196,0,AK$13),15-13*ORÇAMENTO!$AF$7)*OFFSET(ORÇAMENTO!$W$15,ROW(AK196)-ROW(AK$15),0),15-13*ORÇAMENTO!$AF$11)),0)</f>
        <v>0</v>
      </c>
      <c r="AM196" s="211">
        <f ca="1">IF($D196&lt;&gt;"Serviço",0,IF(AND(AUTOEVENTO="Manual",$M196=1),0,IF(OFFSET(CRONOPLE!$F$14,$M196,AM$13)="",10^12,OFFSET(CRONOPLE!$F$14,$M196,AM$13))))</f>
        <v>2</v>
      </c>
      <c r="AN196" s="211">
        <f ca="1">IF($D196&lt;&gt;"Serviço",0,IF(AND(AUTOEVENTO="Manual",$M196=1),0,IF(OFFSET(CRONOPLE!$F$14,$M196,AN$13)="",10^12,OFFSET(CRONOPLE!$F$14,$M196,AN$13))))</f>
        <v>1</v>
      </c>
      <c r="AO196" s="211">
        <f ca="1">IF($D196&lt;&gt;"Serviço",0,IF(AND(AUTOEVENTO="Manual",$M196=1),0,IF(OFFSET(CRONOPLE!$F$14,$M196,AO$13)="",10^12,OFFSET(CRONOPLE!$F$14,$M196,AO$13))))</f>
        <v>2</v>
      </c>
      <c r="AP196" s="211">
        <f ca="1">IF($D196&lt;&gt;"Serviço",0,IF(AND(AUTOEVENTO="Manual",$M196=1),0,IF(OFFSET(CRONOPLE!$F$14,$M196,AP$13)="",10^12,OFFSET(CRONOPLE!$F$14,$M196,AP$13))))</f>
        <v>2</v>
      </c>
      <c r="AQ196" s="211">
        <f ca="1">IF($D196&lt;&gt;"Serviço",0,IF(AND(AUTOEVENTO="Manual",$M196=1),0,IF(OFFSET(CRONOPLE!$F$14,$M196,AQ$13)="",10^12,OFFSET(CRONOPLE!$F$14,$M196,AQ$13))))</f>
        <v>1000000000000</v>
      </c>
      <c r="AR196" s="211">
        <f ca="1">IF($D196&lt;&gt;"Serviço",0,IF(AND(AUTOEVENTO="Manual",$M196=1),0,IF(OFFSET(CRONOPLE!$F$14,$M196,AR$13)="",10^12,OFFSET(CRONOPLE!$F$14,$M196,AR$13))))</f>
        <v>1000000000000</v>
      </c>
      <c r="AS196" s="211">
        <f ca="1">IF($D196&lt;&gt;"Serviço",0,IF(AND(AUTOEVENTO="Manual",$M196=1),0,IF(OFFSET(CRONOPLE!$F$14,$M196,AS$13)="",10^12,OFFSET(CRONOPLE!$F$14,$M196,AS$13))))</f>
        <v>1000000000000</v>
      </c>
      <c r="AT196" s="211">
        <f ca="1">IF($D196&lt;&gt;"Serviço",0,IF(AND(AUTOEVENTO="Manual",$M196=1),0,IF(OFFSET(CRONOPLE!$F$14,$M196,AT$13)="",10^12,OFFSET(CRONOPLE!$F$14,$M196,AT$13))))</f>
        <v>1000000000000</v>
      </c>
      <c r="AU196" s="211">
        <f ca="1">IF($D196&lt;&gt;"Serviço",0,IF(AND(AUTOEVENTO="Manual",$M196=1),0,IF(OFFSET(CRONOPLE!$F$14,$M196,AU$13)="",10^12,OFFSET(CRONOPLE!$F$14,$M196,AU$13))))</f>
        <v>1000000000000</v>
      </c>
      <c r="AV196" s="211">
        <f ca="1">IF($D196&lt;&gt;"Serviço",0,IF(AND(AUTOEVENTO="Manual",$M196=1),0,IF(OFFSET(CRONOPLE!$F$14,$M196,AV$13)="",10^12,OFFSET(CRONOPLE!$F$14,$M196,AV$13))))</f>
        <v>1000000000000</v>
      </c>
      <c r="AX196" s="212">
        <f ca="1">IF($D196&lt;&gt;"Serviço",0,IF(OR(AND(AUTOEVENTO="Manual",$M196=1),$M196&gt;(ROW(PLE.lastrow)-ROW(PLE.firstrow))),0,IF(OFFSET(PLE!$G$14,$M196,AX$13)="",10^12,OFFSET(PLE!$G$14,$M196,AX$13))))</f>
        <v>1000000000000</v>
      </c>
      <c r="AY196" s="212">
        <f ca="1">IF($D196&lt;&gt;"Serviço",0,IF(OR(AND(AUTOEVENTO="Manual",$M196=1),$M196&gt;(ROW(PLE.lastrow)-ROW(PLE.firstrow))),0,IF(OFFSET(PLE!$G$14,$M196,AY$13)="",10^12,OFFSET(PLE!$G$14,$M196,AY$13))))</f>
        <v>1000000000000</v>
      </c>
      <c r="AZ196" s="212">
        <f ca="1">IF($D196&lt;&gt;"Serviço",0,IF(OR(AND(AUTOEVENTO="Manual",$M196=1),$M196&gt;(ROW(PLE.lastrow)-ROW(PLE.firstrow))),0,IF(OFFSET(PLE!$G$14,$M196,AZ$13)="",10^12,OFFSET(PLE!$G$14,$M196,AZ$13))))</f>
        <v>1000000000000</v>
      </c>
      <c r="BA196" s="212">
        <f ca="1">IF($D196&lt;&gt;"Serviço",0,IF(OR(AND(AUTOEVENTO="Manual",$M196=1),$M196&gt;(ROW(PLE.lastrow)-ROW(PLE.firstrow))),0,IF(OFFSET(PLE!$G$14,$M196,BA$13)="",10^12,OFFSET(PLE!$G$14,$M196,BA$13))))</f>
        <v>1000000000000</v>
      </c>
      <c r="BB196" s="212">
        <f ca="1">IF($D196&lt;&gt;"Serviço",0,IF(OR(AND(AUTOEVENTO="Manual",$M196=1),$M196&gt;(ROW(PLE.lastrow)-ROW(PLE.firstrow))),0,IF(OFFSET(PLE!$G$14,$M196,BB$13)="",10^12,OFFSET(PLE!$G$14,$M196,BB$13))))</f>
        <v>1000000000000</v>
      </c>
      <c r="BC196" s="212">
        <f ca="1">IF($D196&lt;&gt;"Serviço",0,IF(OR(AND(AUTOEVENTO="Manual",$M196=1),$M196&gt;(ROW(PLE.lastrow)-ROW(PLE.firstrow))),0,IF(OFFSET(PLE!$G$14,$M196,BC$13)="",10^12,OFFSET(PLE!$G$14,$M196,BC$13))))</f>
        <v>1000000000000</v>
      </c>
      <c r="BD196" s="212">
        <f ca="1">IF($D196&lt;&gt;"Serviço",0,IF(OR(AND(AUTOEVENTO="Manual",$M196=1),$M196&gt;(ROW(PLE.lastrow)-ROW(PLE.firstrow))),0,IF(OFFSET(PLE!$G$14,$M196,BD$13)="",10^12,OFFSET(PLE!$G$14,$M196,BD$13))))</f>
        <v>1000000000000</v>
      </c>
      <c r="BE196" s="212">
        <f ca="1">IF($D196&lt;&gt;"Serviço",0,IF(OR(AND(AUTOEVENTO="Manual",$M196=1),$M196&gt;(ROW(PLE.lastrow)-ROW(PLE.firstrow))),0,IF(OFFSET(PLE!$G$14,$M196,BE$13)="",10^12,OFFSET(PLE!$G$14,$M196,BE$13))))</f>
        <v>1000000000000</v>
      </c>
      <c r="BF196" s="212">
        <f ca="1">IF($D196&lt;&gt;"Serviço",0,IF(OR(AND(AUTOEVENTO="Manual",$M196=1),$M196&gt;(ROW(PLE.lastrow)-ROW(PLE.firstrow))),0,IF(OFFSET(PLE!$G$14,$M196,BF$13)="",10^12,OFFSET(PLE!$G$14,$M196,BF$13))))</f>
        <v>1000000000000</v>
      </c>
      <c r="BG196" s="212">
        <f ca="1">IF($D196&lt;&gt;"Serviço",0,IF(OR(AND(AUTOEVENTO="Manual",$M196=1),$M196&gt;(ROW(PLE.lastrow)-ROW(PLE.firstrow))),0,IF(OFFSET(PLE!$G$14,$M196,BG$13)="",10^12,OFFSET(PLE!$G$14,$M196,BG$13))))</f>
        <v>1000000000000</v>
      </c>
    </row>
    <row r="197" spans="1:59" ht="13.2">
      <c r="A197" s="9" t="str">
        <f t="shared" ca="1" si="11"/>
        <v>15</v>
      </c>
      <c r="B197" s="9" t="str">
        <f ca="1">OFFSET(ORÇAMENTO!C$15,ROW(B197)-ROW(B$15),0)</f>
        <v>S</v>
      </c>
      <c r="C197" s="9" t="str">
        <f ca="1">OFFSET(ORÇAMENTO!L$15,ROW(C197)-ROW(C$15),0)</f>
        <v/>
      </c>
      <c r="D197" s="141" t="str">
        <f ca="1">OFFSET(ORÇAMENTO!N$15,ROW(D197)-ROW(D$15),0)</f>
        <v>Serviço</v>
      </c>
      <c r="E197" s="201" t="str">
        <f ca="1">OFFSET(ORÇAMENTO!O$15,ROW(E197)-ROW(E$15),0)</f>
        <v>-</v>
      </c>
      <c r="F197" s="202" t="str">
        <f ca="1">OFFSET(ORÇAMENTO!R$15,ROW(F197)-ROW(F$15),0)</f>
        <v>(abra o arquivo 'Referência 11-2024.xlsm)</v>
      </c>
      <c r="G197" s="203" t="str">
        <f ca="1">IF($D197&lt;&gt;"Serviço","",OFFSET(ORÇAMENTO!S$15,ROW(G197)-ROW(G$15),0))</f>
        <v>-</v>
      </c>
      <c r="H197" s="147">
        <f ca="1">IF($D197&lt;&gt;"Serviço",0,IF(ACOMPANHAMENTO="BM",ROUND(OFFSET(ORÇAMENTO!AJ$15,ROW(H197)-ROW(H$15),0),15-13*ORÇAMENTO!$AF$7),SUMPRODUCT(($Q$12:$AA$12&lt;&gt;"")*ROUND($Q197:$AA197,15-13*ORÇAMENTO!$AF$7))))</f>
        <v>0</v>
      </c>
      <c r="I197" s="645"/>
      <c r="K197" s="204"/>
      <c r="L197" s="205" t="s">
        <v>255</v>
      </c>
      <c r="M197" s="206">
        <f ca="1">IF($D197&lt;&gt;"Serviço","",IF(AUTOEVENTO="manual",$A197,IF(ISERROR(MATCH($A197,$A$15:OFFSET($A197,-1,0),0)),MAX($M$15:OFFSET(M197,-1,0))+1,INDEX($M$15:OFFSET(M197,-1,0),MATCH($A197,$A$15:OFFSET($A197,-1,0),0)))))</f>
        <v>6</v>
      </c>
      <c r="N197" s="207" t="str">
        <f ca="1">IF($D197&lt;&gt;"Serviço","",IF(AUTOEVENTO="Manual",IF($A197=0,"&lt;-- defina o número do agrupador",OFFSET(EVENTOS!$D$14,$A197,0)),OFFSET($F$15,$A197,0)))</f>
        <v>DRENAGEM</v>
      </c>
      <c r="O197" s="208"/>
      <c r="Q197" s="208"/>
      <c r="R197" s="209"/>
      <c r="S197" s="209"/>
      <c r="T197" s="209"/>
      <c r="U197" s="209"/>
      <c r="V197" s="209"/>
      <c r="W197" s="209"/>
      <c r="X197" s="209"/>
      <c r="Y197" s="209"/>
      <c r="Z197" s="210"/>
      <c r="AB197" s="626">
        <f ca="1">IF(AND($D197="Serviço",AB$12&lt;&gt;0,$H197&gt;0,OR(AUTOEVENTO&lt;&gt;"manual",$M197&lt;&gt;1)),
IF(Import.TipoArredondamento&lt;&gt;"TransfereGOV",
ROUND(OFFSET($P197,0,AB$13),15-13*ORÇAMENTO!$AF$7)/$H197*OFFSET(ORÇAMENTO!$X$15,ROW(AB197)-ROW(AB$15),0),
ROUND(ROUND(OFFSET($P197,0,AB$13),15-13*ORÇAMENTO!$AF$7)*OFFSET(ORÇAMENTO!$W$15,ROW(AB197)-ROW(AB$15),0),15-13*ORÇAMENTO!$AF$11)),0)</f>
        <v>0</v>
      </c>
      <c r="AC197" s="627">
        <f ca="1">IF(AND($D197="Serviço",AC$12&lt;&gt;0,$H197&gt;0,OR(AUTOEVENTO&lt;&gt;"manual",$M197&lt;&gt;1)),
IF(Import.TipoArredondamento&lt;&gt;"TransfereGOV",
ROUND(OFFSET($P197,0,AC$13),15-13*ORÇAMENTO!$AF$7)/$H197*OFFSET(ORÇAMENTO!$X$15,ROW(AC197)-ROW(AC$15),0),
ROUND(ROUND(OFFSET($P197,0,AC$13),15-13*ORÇAMENTO!$AF$7)*OFFSET(ORÇAMENTO!$W$15,ROW(AC197)-ROW(AC$15),0),15-13*ORÇAMENTO!$AF$11)),0)</f>
        <v>0</v>
      </c>
      <c r="AD197" s="627">
        <f ca="1">IF(AND($D197="Serviço",AD$12&lt;&gt;0,$H197&gt;0,OR(AUTOEVENTO&lt;&gt;"manual",$M197&lt;&gt;1)),
IF(Import.TipoArredondamento&lt;&gt;"TransfereGOV",
ROUND(OFFSET($P197,0,AD$13),15-13*ORÇAMENTO!$AF$7)/$H197*OFFSET(ORÇAMENTO!$X$15,ROW(AD197)-ROW(AD$15),0),
ROUND(ROUND(OFFSET($P197,0,AD$13),15-13*ORÇAMENTO!$AF$7)*OFFSET(ORÇAMENTO!$W$15,ROW(AD197)-ROW(AD$15),0),15-13*ORÇAMENTO!$AF$11)),0)</f>
        <v>0</v>
      </c>
      <c r="AE197" s="627">
        <f ca="1">IF(AND($D197="Serviço",AE$12&lt;&gt;0,$H197&gt;0,OR(AUTOEVENTO&lt;&gt;"manual",$M197&lt;&gt;1)),
IF(Import.TipoArredondamento&lt;&gt;"TransfereGOV",
ROUND(OFFSET($P197,0,AE$13),15-13*ORÇAMENTO!$AF$7)/$H197*OFFSET(ORÇAMENTO!$X$15,ROW(AE197)-ROW(AE$15),0),
ROUND(ROUND(OFFSET($P197,0,AE$13),15-13*ORÇAMENTO!$AF$7)*OFFSET(ORÇAMENTO!$W$15,ROW(AE197)-ROW(AE$15),0),15-13*ORÇAMENTO!$AF$11)),0)</f>
        <v>0</v>
      </c>
      <c r="AF197" s="627">
        <f ca="1">IF(AND($D197="Serviço",AF$12&lt;&gt;0,$H197&gt;0,OR(AUTOEVENTO&lt;&gt;"manual",$M197&lt;&gt;1)),
IF(Import.TipoArredondamento&lt;&gt;"TransfereGOV",
ROUND(OFFSET($P197,0,AF$13),15-13*ORÇAMENTO!$AF$7)/$H197*OFFSET(ORÇAMENTO!$X$15,ROW(AF197)-ROW(AF$15),0),
ROUND(ROUND(OFFSET($P197,0,AF$13),15-13*ORÇAMENTO!$AF$7)*OFFSET(ORÇAMENTO!$W$15,ROW(AF197)-ROW(AF$15),0),15-13*ORÇAMENTO!$AF$11)),0)</f>
        <v>0</v>
      </c>
      <c r="AG197" s="627">
        <f ca="1">IF(AND($D197="Serviço",AG$12&lt;&gt;0,$H197&gt;0,OR(AUTOEVENTO&lt;&gt;"manual",$M197&lt;&gt;1)),
IF(Import.TipoArredondamento&lt;&gt;"TransfereGOV",
ROUND(OFFSET($P197,0,AG$13),15-13*ORÇAMENTO!$AF$7)/$H197*OFFSET(ORÇAMENTO!$X$15,ROW(AG197)-ROW(AG$15),0),
ROUND(ROUND(OFFSET($P197,0,AG$13),15-13*ORÇAMENTO!$AF$7)*OFFSET(ORÇAMENTO!$W$15,ROW(AG197)-ROW(AG$15),0),15-13*ORÇAMENTO!$AF$11)),0)</f>
        <v>0</v>
      </c>
      <c r="AH197" s="627">
        <f ca="1">IF(AND($D197="Serviço",AH$12&lt;&gt;0,$H197&gt;0,OR(AUTOEVENTO&lt;&gt;"manual",$M197&lt;&gt;1)),
IF(Import.TipoArredondamento&lt;&gt;"TransfereGOV",
ROUND(OFFSET($P197,0,AH$13),15-13*ORÇAMENTO!$AF$7)/$H197*OFFSET(ORÇAMENTO!$X$15,ROW(AH197)-ROW(AH$15),0),
ROUND(ROUND(OFFSET($P197,0,AH$13),15-13*ORÇAMENTO!$AF$7)*OFFSET(ORÇAMENTO!$W$15,ROW(AH197)-ROW(AH$15),0),15-13*ORÇAMENTO!$AF$11)),0)</f>
        <v>0</v>
      </c>
      <c r="AI197" s="627">
        <f ca="1">IF(AND($D197="Serviço",AI$12&lt;&gt;0,$H197&gt;0,OR(AUTOEVENTO&lt;&gt;"manual",$M197&lt;&gt;1)),
IF(Import.TipoArredondamento&lt;&gt;"TransfereGOV",
ROUND(OFFSET($P197,0,AI$13),15-13*ORÇAMENTO!$AF$7)/$H197*OFFSET(ORÇAMENTO!$X$15,ROW(AI197)-ROW(AI$15),0),
ROUND(ROUND(OFFSET($P197,0,AI$13),15-13*ORÇAMENTO!$AF$7)*OFFSET(ORÇAMENTO!$W$15,ROW(AI197)-ROW(AI$15),0),15-13*ORÇAMENTO!$AF$11)),0)</f>
        <v>0</v>
      </c>
      <c r="AJ197" s="627">
        <f ca="1">IF(AND($D197="Serviço",AJ$12&lt;&gt;0,$H197&gt;0,OR(AUTOEVENTO&lt;&gt;"manual",$M197&lt;&gt;1)),
IF(Import.TipoArredondamento&lt;&gt;"TransfereGOV",
ROUND(OFFSET($P197,0,AJ$13),15-13*ORÇAMENTO!$AF$7)/$H197*OFFSET(ORÇAMENTO!$X$15,ROW(AJ197)-ROW(AJ$15),0),
ROUND(ROUND(OFFSET($P197,0,AJ$13),15-13*ORÇAMENTO!$AF$7)*OFFSET(ORÇAMENTO!$W$15,ROW(AJ197)-ROW(AJ$15),0),15-13*ORÇAMENTO!$AF$11)),0)</f>
        <v>0</v>
      </c>
      <c r="AK197" s="628">
        <f ca="1">IF(AND($D197="Serviço",AK$12&lt;&gt;0,$H197&gt;0,OR(AUTOEVENTO&lt;&gt;"manual",$M197&lt;&gt;1)),
IF(Import.TipoArredondamento&lt;&gt;"TransfereGOV",
ROUND(OFFSET($P197,0,AK$13),15-13*ORÇAMENTO!$AF$7)/$H197*OFFSET(ORÇAMENTO!$X$15,ROW(AK197)-ROW(AK$15),0),
ROUND(ROUND(OFFSET($P197,0,AK$13),15-13*ORÇAMENTO!$AF$7)*OFFSET(ORÇAMENTO!$W$15,ROW(AK197)-ROW(AK$15),0),15-13*ORÇAMENTO!$AF$11)),0)</f>
        <v>0</v>
      </c>
      <c r="AM197" s="211">
        <f ca="1">IF($D197&lt;&gt;"Serviço",0,IF(AND(AUTOEVENTO="Manual",$M197=1),0,IF(OFFSET(CRONOPLE!$F$14,$M197,AM$13)="",10^12,OFFSET(CRONOPLE!$F$14,$M197,AM$13))))</f>
        <v>2</v>
      </c>
      <c r="AN197" s="211">
        <f ca="1">IF($D197&lt;&gt;"Serviço",0,IF(AND(AUTOEVENTO="Manual",$M197=1),0,IF(OFFSET(CRONOPLE!$F$14,$M197,AN$13)="",10^12,OFFSET(CRONOPLE!$F$14,$M197,AN$13))))</f>
        <v>1</v>
      </c>
      <c r="AO197" s="211">
        <f ca="1">IF($D197&lt;&gt;"Serviço",0,IF(AND(AUTOEVENTO="Manual",$M197=1),0,IF(OFFSET(CRONOPLE!$F$14,$M197,AO$13)="",10^12,OFFSET(CRONOPLE!$F$14,$M197,AO$13))))</f>
        <v>2</v>
      </c>
      <c r="AP197" s="211">
        <f ca="1">IF($D197&lt;&gt;"Serviço",0,IF(AND(AUTOEVENTO="Manual",$M197=1),0,IF(OFFSET(CRONOPLE!$F$14,$M197,AP$13)="",10^12,OFFSET(CRONOPLE!$F$14,$M197,AP$13))))</f>
        <v>2</v>
      </c>
      <c r="AQ197" s="211">
        <f ca="1">IF($D197&lt;&gt;"Serviço",0,IF(AND(AUTOEVENTO="Manual",$M197=1),0,IF(OFFSET(CRONOPLE!$F$14,$M197,AQ$13)="",10^12,OFFSET(CRONOPLE!$F$14,$M197,AQ$13))))</f>
        <v>1000000000000</v>
      </c>
      <c r="AR197" s="211">
        <f ca="1">IF($D197&lt;&gt;"Serviço",0,IF(AND(AUTOEVENTO="Manual",$M197=1),0,IF(OFFSET(CRONOPLE!$F$14,$M197,AR$13)="",10^12,OFFSET(CRONOPLE!$F$14,$M197,AR$13))))</f>
        <v>1000000000000</v>
      </c>
      <c r="AS197" s="211">
        <f ca="1">IF($D197&lt;&gt;"Serviço",0,IF(AND(AUTOEVENTO="Manual",$M197=1),0,IF(OFFSET(CRONOPLE!$F$14,$M197,AS$13)="",10^12,OFFSET(CRONOPLE!$F$14,$M197,AS$13))))</f>
        <v>1000000000000</v>
      </c>
      <c r="AT197" s="211">
        <f ca="1">IF($D197&lt;&gt;"Serviço",0,IF(AND(AUTOEVENTO="Manual",$M197=1),0,IF(OFFSET(CRONOPLE!$F$14,$M197,AT$13)="",10^12,OFFSET(CRONOPLE!$F$14,$M197,AT$13))))</f>
        <v>1000000000000</v>
      </c>
      <c r="AU197" s="211">
        <f ca="1">IF($D197&lt;&gt;"Serviço",0,IF(AND(AUTOEVENTO="Manual",$M197=1),0,IF(OFFSET(CRONOPLE!$F$14,$M197,AU$13)="",10^12,OFFSET(CRONOPLE!$F$14,$M197,AU$13))))</f>
        <v>1000000000000</v>
      </c>
      <c r="AV197" s="211">
        <f ca="1">IF($D197&lt;&gt;"Serviço",0,IF(AND(AUTOEVENTO="Manual",$M197=1),0,IF(OFFSET(CRONOPLE!$F$14,$M197,AV$13)="",10^12,OFFSET(CRONOPLE!$F$14,$M197,AV$13))))</f>
        <v>1000000000000</v>
      </c>
      <c r="AX197" s="212">
        <f ca="1">IF($D197&lt;&gt;"Serviço",0,IF(OR(AND(AUTOEVENTO="Manual",$M197=1),$M197&gt;(ROW(PLE.lastrow)-ROW(PLE.firstrow))),0,IF(OFFSET(PLE!$G$14,$M197,AX$13)="",10^12,OFFSET(PLE!$G$14,$M197,AX$13))))</f>
        <v>1000000000000</v>
      </c>
      <c r="AY197" s="212">
        <f ca="1">IF($D197&lt;&gt;"Serviço",0,IF(OR(AND(AUTOEVENTO="Manual",$M197=1),$M197&gt;(ROW(PLE.lastrow)-ROW(PLE.firstrow))),0,IF(OFFSET(PLE!$G$14,$M197,AY$13)="",10^12,OFFSET(PLE!$G$14,$M197,AY$13))))</f>
        <v>1000000000000</v>
      </c>
      <c r="AZ197" s="212">
        <f ca="1">IF($D197&lt;&gt;"Serviço",0,IF(OR(AND(AUTOEVENTO="Manual",$M197=1),$M197&gt;(ROW(PLE.lastrow)-ROW(PLE.firstrow))),0,IF(OFFSET(PLE!$G$14,$M197,AZ$13)="",10^12,OFFSET(PLE!$G$14,$M197,AZ$13))))</f>
        <v>1000000000000</v>
      </c>
      <c r="BA197" s="212">
        <f ca="1">IF($D197&lt;&gt;"Serviço",0,IF(OR(AND(AUTOEVENTO="Manual",$M197=1),$M197&gt;(ROW(PLE.lastrow)-ROW(PLE.firstrow))),0,IF(OFFSET(PLE!$G$14,$M197,BA$13)="",10^12,OFFSET(PLE!$G$14,$M197,BA$13))))</f>
        <v>1000000000000</v>
      </c>
      <c r="BB197" s="212">
        <f ca="1">IF($D197&lt;&gt;"Serviço",0,IF(OR(AND(AUTOEVENTO="Manual",$M197=1),$M197&gt;(ROW(PLE.lastrow)-ROW(PLE.firstrow))),0,IF(OFFSET(PLE!$G$14,$M197,BB$13)="",10^12,OFFSET(PLE!$G$14,$M197,BB$13))))</f>
        <v>1000000000000</v>
      </c>
      <c r="BC197" s="212">
        <f ca="1">IF($D197&lt;&gt;"Serviço",0,IF(OR(AND(AUTOEVENTO="Manual",$M197=1),$M197&gt;(ROW(PLE.lastrow)-ROW(PLE.firstrow))),0,IF(OFFSET(PLE!$G$14,$M197,BC$13)="",10^12,OFFSET(PLE!$G$14,$M197,BC$13))))</f>
        <v>1000000000000</v>
      </c>
      <c r="BD197" s="212">
        <f ca="1">IF($D197&lt;&gt;"Serviço",0,IF(OR(AND(AUTOEVENTO="Manual",$M197=1),$M197&gt;(ROW(PLE.lastrow)-ROW(PLE.firstrow))),0,IF(OFFSET(PLE!$G$14,$M197,BD$13)="",10^12,OFFSET(PLE!$G$14,$M197,BD$13))))</f>
        <v>1000000000000</v>
      </c>
      <c r="BE197" s="212">
        <f ca="1">IF($D197&lt;&gt;"Serviço",0,IF(OR(AND(AUTOEVENTO="Manual",$M197=1),$M197&gt;(ROW(PLE.lastrow)-ROW(PLE.firstrow))),0,IF(OFFSET(PLE!$G$14,$M197,BE$13)="",10^12,OFFSET(PLE!$G$14,$M197,BE$13))))</f>
        <v>1000000000000</v>
      </c>
      <c r="BF197" s="212">
        <f ca="1">IF($D197&lt;&gt;"Serviço",0,IF(OR(AND(AUTOEVENTO="Manual",$M197=1),$M197&gt;(ROW(PLE.lastrow)-ROW(PLE.firstrow))),0,IF(OFFSET(PLE!$G$14,$M197,BF$13)="",10^12,OFFSET(PLE!$G$14,$M197,BF$13))))</f>
        <v>1000000000000</v>
      </c>
      <c r="BG197" s="212">
        <f ca="1">IF($D197&lt;&gt;"Serviço",0,IF(OR(AND(AUTOEVENTO="Manual",$M197=1),$M197&gt;(ROW(PLE.lastrow)-ROW(PLE.firstrow))),0,IF(OFFSET(PLE!$G$14,$M197,BG$13)="",10^12,OFFSET(PLE!$G$14,$M197,BG$13))))</f>
        <v>1000000000000</v>
      </c>
    </row>
    <row r="198" spans="1:59" ht="13.2">
      <c r="A198" s="9" t="str">
        <f t="shared" ca="1" si="11"/>
        <v>15</v>
      </c>
      <c r="B198" s="9" t="str">
        <f ca="1">OFFSET(ORÇAMENTO!C$15,ROW(B198)-ROW(B$15),0)</f>
        <v>S</v>
      </c>
      <c r="C198" s="9" t="str">
        <f ca="1">OFFSET(ORÇAMENTO!L$15,ROW(C198)-ROW(C$15),0)</f>
        <v/>
      </c>
      <c r="D198" s="141" t="str">
        <f ca="1">OFFSET(ORÇAMENTO!N$15,ROW(D198)-ROW(D$15),0)</f>
        <v>Serviço</v>
      </c>
      <c r="E198" s="201" t="str">
        <f ca="1">OFFSET(ORÇAMENTO!O$15,ROW(E198)-ROW(E$15),0)</f>
        <v>-</v>
      </c>
      <c r="F198" s="202" t="str">
        <f ca="1">OFFSET(ORÇAMENTO!R$15,ROW(F198)-ROW(F$15),0)</f>
        <v>(abra o arquivo 'Referência 11-2024.xlsm)</v>
      </c>
      <c r="G198" s="203" t="str">
        <f ca="1">IF($D198&lt;&gt;"Serviço","",OFFSET(ORÇAMENTO!S$15,ROW(G198)-ROW(G$15),0))</f>
        <v>-</v>
      </c>
      <c r="H198" s="147">
        <f ca="1">IF($D198&lt;&gt;"Serviço",0,IF(ACOMPANHAMENTO="BM",ROUND(OFFSET(ORÇAMENTO!AJ$15,ROW(H198)-ROW(H$15),0),15-13*ORÇAMENTO!$AF$7),SUMPRODUCT(($Q$12:$AA$12&lt;&gt;"")*ROUND($Q198:$AA198,15-13*ORÇAMENTO!$AF$7))))</f>
        <v>0</v>
      </c>
      <c r="I198" s="645"/>
      <c r="K198" s="204"/>
      <c r="L198" s="205" t="s">
        <v>255</v>
      </c>
      <c r="M198" s="206">
        <f ca="1">IF($D198&lt;&gt;"Serviço","",IF(AUTOEVENTO="manual",$A198,IF(ISERROR(MATCH($A198,$A$15:OFFSET($A198,-1,0),0)),MAX($M$15:OFFSET(M198,-1,0))+1,INDEX($M$15:OFFSET(M198,-1,0),MATCH($A198,$A$15:OFFSET($A198,-1,0),0)))))</f>
        <v>6</v>
      </c>
      <c r="N198" s="207" t="str">
        <f ca="1">IF($D198&lt;&gt;"Serviço","",IF(AUTOEVENTO="Manual",IF($A198=0,"&lt;-- defina o número do agrupador",OFFSET(EVENTOS!$D$14,$A198,0)),OFFSET($F$15,$A198,0)))</f>
        <v>DRENAGEM</v>
      </c>
      <c r="O198" s="208"/>
      <c r="Q198" s="208"/>
      <c r="R198" s="209"/>
      <c r="S198" s="209"/>
      <c r="T198" s="209"/>
      <c r="U198" s="209"/>
      <c r="V198" s="209"/>
      <c r="W198" s="209"/>
      <c r="X198" s="209"/>
      <c r="Y198" s="209"/>
      <c r="Z198" s="210"/>
      <c r="AB198" s="626">
        <f ca="1">IF(AND($D198="Serviço",AB$12&lt;&gt;0,$H198&gt;0,OR(AUTOEVENTO&lt;&gt;"manual",$M198&lt;&gt;1)),
IF(Import.TipoArredondamento&lt;&gt;"TransfereGOV",
ROUND(OFFSET($P198,0,AB$13),15-13*ORÇAMENTO!$AF$7)/$H198*OFFSET(ORÇAMENTO!$X$15,ROW(AB198)-ROW(AB$15),0),
ROUND(ROUND(OFFSET($P198,0,AB$13),15-13*ORÇAMENTO!$AF$7)*OFFSET(ORÇAMENTO!$W$15,ROW(AB198)-ROW(AB$15),0),15-13*ORÇAMENTO!$AF$11)),0)</f>
        <v>0</v>
      </c>
      <c r="AC198" s="627">
        <f ca="1">IF(AND($D198="Serviço",AC$12&lt;&gt;0,$H198&gt;0,OR(AUTOEVENTO&lt;&gt;"manual",$M198&lt;&gt;1)),
IF(Import.TipoArredondamento&lt;&gt;"TransfereGOV",
ROUND(OFFSET($P198,0,AC$13),15-13*ORÇAMENTO!$AF$7)/$H198*OFFSET(ORÇAMENTO!$X$15,ROW(AC198)-ROW(AC$15),0),
ROUND(ROUND(OFFSET($P198,0,AC$13),15-13*ORÇAMENTO!$AF$7)*OFFSET(ORÇAMENTO!$W$15,ROW(AC198)-ROW(AC$15),0),15-13*ORÇAMENTO!$AF$11)),0)</f>
        <v>0</v>
      </c>
      <c r="AD198" s="627">
        <f ca="1">IF(AND($D198="Serviço",AD$12&lt;&gt;0,$H198&gt;0,OR(AUTOEVENTO&lt;&gt;"manual",$M198&lt;&gt;1)),
IF(Import.TipoArredondamento&lt;&gt;"TransfereGOV",
ROUND(OFFSET($P198,0,AD$13),15-13*ORÇAMENTO!$AF$7)/$H198*OFFSET(ORÇAMENTO!$X$15,ROW(AD198)-ROW(AD$15),0),
ROUND(ROUND(OFFSET($P198,0,AD$13),15-13*ORÇAMENTO!$AF$7)*OFFSET(ORÇAMENTO!$W$15,ROW(AD198)-ROW(AD$15),0),15-13*ORÇAMENTO!$AF$11)),0)</f>
        <v>0</v>
      </c>
      <c r="AE198" s="627">
        <f ca="1">IF(AND($D198="Serviço",AE$12&lt;&gt;0,$H198&gt;0,OR(AUTOEVENTO&lt;&gt;"manual",$M198&lt;&gt;1)),
IF(Import.TipoArredondamento&lt;&gt;"TransfereGOV",
ROUND(OFFSET($P198,0,AE$13),15-13*ORÇAMENTO!$AF$7)/$H198*OFFSET(ORÇAMENTO!$X$15,ROW(AE198)-ROW(AE$15),0),
ROUND(ROUND(OFFSET($P198,0,AE$13),15-13*ORÇAMENTO!$AF$7)*OFFSET(ORÇAMENTO!$W$15,ROW(AE198)-ROW(AE$15),0),15-13*ORÇAMENTO!$AF$11)),0)</f>
        <v>0</v>
      </c>
      <c r="AF198" s="627">
        <f ca="1">IF(AND($D198="Serviço",AF$12&lt;&gt;0,$H198&gt;0,OR(AUTOEVENTO&lt;&gt;"manual",$M198&lt;&gt;1)),
IF(Import.TipoArredondamento&lt;&gt;"TransfereGOV",
ROUND(OFFSET($P198,0,AF$13),15-13*ORÇAMENTO!$AF$7)/$H198*OFFSET(ORÇAMENTO!$X$15,ROW(AF198)-ROW(AF$15),0),
ROUND(ROUND(OFFSET($P198,0,AF$13),15-13*ORÇAMENTO!$AF$7)*OFFSET(ORÇAMENTO!$W$15,ROW(AF198)-ROW(AF$15),0),15-13*ORÇAMENTO!$AF$11)),0)</f>
        <v>0</v>
      </c>
      <c r="AG198" s="627">
        <f ca="1">IF(AND($D198="Serviço",AG$12&lt;&gt;0,$H198&gt;0,OR(AUTOEVENTO&lt;&gt;"manual",$M198&lt;&gt;1)),
IF(Import.TipoArredondamento&lt;&gt;"TransfereGOV",
ROUND(OFFSET($P198,0,AG$13),15-13*ORÇAMENTO!$AF$7)/$H198*OFFSET(ORÇAMENTO!$X$15,ROW(AG198)-ROW(AG$15),0),
ROUND(ROUND(OFFSET($P198,0,AG$13),15-13*ORÇAMENTO!$AF$7)*OFFSET(ORÇAMENTO!$W$15,ROW(AG198)-ROW(AG$15),0),15-13*ORÇAMENTO!$AF$11)),0)</f>
        <v>0</v>
      </c>
      <c r="AH198" s="627">
        <f ca="1">IF(AND($D198="Serviço",AH$12&lt;&gt;0,$H198&gt;0,OR(AUTOEVENTO&lt;&gt;"manual",$M198&lt;&gt;1)),
IF(Import.TipoArredondamento&lt;&gt;"TransfereGOV",
ROUND(OFFSET($P198,0,AH$13),15-13*ORÇAMENTO!$AF$7)/$H198*OFFSET(ORÇAMENTO!$X$15,ROW(AH198)-ROW(AH$15),0),
ROUND(ROUND(OFFSET($P198,0,AH$13),15-13*ORÇAMENTO!$AF$7)*OFFSET(ORÇAMENTO!$W$15,ROW(AH198)-ROW(AH$15),0),15-13*ORÇAMENTO!$AF$11)),0)</f>
        <v>0</v>
      </c>
      <c r="AI198" s="627">
        <f ca="1">IF(AND($D198="Serviço",AI$12&lt;&gt;0,$H198&gt;0,OR(AUTOEVENTO&lt;&gt;"manual",$M198&lt;&gt;1)),
IF(Import.TipoArredondamento&lt;&gt;"TransfereGOV",
ROUND(OFFSET($P198,0,AI$13),15-13*ORÇAMENTO!$AF$7)/$H198*OFFSET(ORÇAMENTO!$X$15,ROW(AI198)-ROW(AI$15),0),
ROUND(ROUND(OFFSET($P198,0,AI$13),15-13*ORÇAMENTO!$AF$7)*OFFSET(ORÇAMENTO!$W$15,ROW(AI198)-ROW(AI$15),0),15-13*ORÇAMENTO!$AF$11)),0)</f>
        <v>0</v>
      </c>
      <c r="AJ198" s="627">
        <f ca="1">IF(AND($D198="Serviço",AJ$12&lt;&gt;0,$H198&gt;0,OR(AUTOEVENTO&lt;&gt;"manual",$M198&lt;&gt;1)),
IF(Import.TipoArredondamento&lt;&gt;"TransfereGOV",
ROUND(OFFSET($P198,0,AJ$13),15-13*ORÇAMENTO!$AF$7)/$H198*OFFSET(ORÇAMENTO!$X$15,ROW(AJ198)-ROW(AJ$15),0),
ROUND(ROUND(OFFSET($P198,0,AJ$13),15-13*ORÇAMENTO!$AF$7)*OFFSET(ORÇAMENTO!$W$15,ROW(AJ198)-ROW(AJ$15),0),15-13*ORÇAMENTO!$AF$11)),0)</f>
        <v>0</v>
      </c>
      <c r="AK198" s="628">
        <f ca="1">IF(AND($D198="Serviço",AK$12&lt;&gt;0,$H198&gt;0,OR(AUTOEVENTO&lt;&gt;"manual",$M198&lt;&gt;1)),
IF(Import.TipoArredondamento&lt;&gt;"TransfereGOV",
ROUND(OFFSET($P198,0,AK$13),15-13*ORÇAMENTO!$AF$7)/$H198*OFFSET(ORÇAMENTO!$X$15,ROW(AK198)-ROW(AK$15),0),
ROUND(ROUND(OFFSET($P198,0,AK$13),15-13*ORÇAMENTO!$AF$7)*OFFSET(ORÇAMENTO!$W$15,ROW(AK198)-ROW(AK$15),0),15-13*ORÇAMENTO!$AF$11)),0)</f>
        <v>0</v>
      </c>
      <c r="AM198" s="211">
        <f ca="1">IF($D198&lt;&gt;"Serviço",0,IF(AND(AUTOEVENTO="Manual",$M198=1),0,IF(OFFSET(CRONOPLE!$F$14,$M198,AM$13)="",10^12,OFFSET(CRONOPLE!$F$14,$M198,AM$13))))</f>
        <v>2</v>
      </c>
      <c r="AN198" s="211">
        <f ca="1">IF($D198&lt;&gt;"Serviço",0,IF(AND(AUTOEVENTO="Manual",$M198=1),0,IF(OFFSET(CRONOPLE!$F$14,$M198,AN$13)="",10^12,OFFSET(CRONOPLE!$F$14,$M198,AN$13))))</f>
        <v>1</v>
      </c>
      <c r="AO198" s="211">
        <f ca="1">IF($D198&lt;&gt;"Serviço",0,IF(AND(AUTOEVENTO="Manual",$M198=1),0,IF(OFFSET(CRONOPLE!$F$14,$M198,AO$13)="",10^12,OFFSET(CRONOPLE!$F$14,$M198,AO$13))))</f>
        <v>2</v>
      </c>
      <c r="AP198" s="211">
        <f ca="1">IF($D198&lt;&gt;"Serviço",0,IF(AND(AUTOEVENTO="Manual",$M198=1),0,IF(OFFSET(CRONOPLE!$F$14,$M198,AP$13)="",10^12,OFFSET(CRONOPLE!$F$14,$M198,AP$13))))</f>
        <v>2</v>
      </c>
      <c r="AQ198" s="211">
        <f ca="1">IF($D198&lt;&gt;"Serviço",0,IF(AND(AUTOEVENTO="Manual",$M198=1),0,IF(OFFSET(CRONOPLE!$F$14,$M198,AQ$13)="",10^12,OFFSET(CRONOPLE!$F$14,$M198,AQ$13))))</f>
        <v>1000000000000</v>
      </c>
      <c r="AR198" s="211">
        <f ca="1">IF($D198&lt;&gt;"Serviço",0,IF(AND(AUTOEVENTO="Manual",$M198=1),0,IF(OFFSET(CRONOPLE!$F$14,$M198,AR$13)="",10^12,OFFSET(CRONOPLE!$F$14,$M198,AR$13))))</f>
        <v>1000000000000</v>
      </c>
      <c r="AS198" s="211">
        <f ca="1">IF($D198&lt;&gt;"Serviço",0,IF(AND(AUTOEVENTO="Manual",$M198=1),0,IF(OFFSET(CRONOPLE!$F$14,$M198,AS$13)="",10^12,OFFSET(CRONOPLE!$F$14,$M198,AS$13))))</f>
        <v>1000000000000</v>
      </c>
      <c r="AT198" s="211">
        <f ca="1">IF($D198&lt;&gt;"Serviço",0,IF(AND(AUTOEVENTO="Manual",$M198=1),0,IF(OFFSET(CRONOPLE!$F$14,$M198,AT$13)="",10^12,OFFSET(CRONOPLE!$F$14,$M198,AT$13))))</f>
        <v>1000000000000</v>
      </c>
      <c r="AU198" s="211">
        <f ca="1">IF($D198&lt;&gt;"Serviço",0,IF(AND(AUTOEVENTO="Manual",$M198=1),0,IF(OFFSET(CRONOPLE!$F$14,$M198,AU$13)="",10^12,OFFSET(CRONOPLE!$F$14,$M198,AU$13))))</f>
        <v>1000000000000</v>
      </c>
      <c r="AV198" s="211">
        <f ca="1">IF($D198&lt;&gt;"Serviço",0,IF(AND(AUTOEVENTO="Manual",$M198=1),0,IF(OFFSET(CRONOPLE!$F$14,$M198,AV$13)="",10^12,OFFSET(CRONOPLE!$F$14,$M198,AV$13))))</f>
        <v>1000000000000</v>
      </c>
      <c r="AX198" s="212">
        <f ca="1">IF($D198&lt;&gt;"Serviço",0,IF(OR(AND(AUTOEVENTO="Manual",$M198=1),$M198&gt;(ROW(PLE.lastrow)-ROW(PLE.firstrow))),0,IF(OFFSET(PLE!$G$14,$M198,AX$13)="",10^12,OFFSET(PLE!$G$14,$M198,AX$13))))</f>
        <v>1000000000000</v>
      </c>
      <c r="AY198" s="212">
        <f ca="1">IF($D198&lt;&gt;"Serviço",0,IF(OR(AND(AUTOEVENTO="Manual",$M198=1),$M198&gt;(ROW(PLE.lastrow)-ROW(PLE.firstrow))),0,IF(OFFSET(PLE!$G$14,$M198,AY$13)="",10^12,OFFSET(PLE!$G$14,$M198,AY$13))))</f>
        <v>1000000000000</v>
      </c>
      <c r="AZ198" s="212">
        <f ca="1">IF($D198&lt;&gt;"Serviço",0,IF(OR(AND(AUTOEVENTO="Manual",$M198=1),$M198&gt;(ROW(PLE.lastrow)-ROW(PLE.firstrow))),0,IF(OFFSET(PLE!$G$14,$M198,AZ$13)="",10^12,OFFSET(PLE!$G$14,$M198,AZ$13))))</f>
        <v>1000000000000</v>
      </c>
      <c r="BA198" s="212">
        <f ca="1">IF($D198&lt;&gt;"Serviço",0,IF(OR(AND(AUTOEVENTO="Manual",$M198=1),$M198&gt;(ROW(PLE.lastrow)-ROW(PLE.firstrow))),0,IF(OFFSET(PLE!$G$14,$M198,BA$13)="",10^12,OFFSET(PLE!$G$14,$M198,BA$13))))</f>
        <v>1000000000000</v>
      </c>
      <c r="BB198" s="212">
        <f ca="1">IF($D198&lt;&gt;"Serviço",0,IF(OR(AND(AUTOEVENTO="Manual",$M198=1),$M198&gt;(ROW(PLE.lastrow)-ROW(PLE.firstrow))),0,IF(OFFSET(PLE!$G$14,$M198,BB$13)="",10^12,OFFSET(PLE!$G$14,$M198,BB$13))))</f>
        <v>1000000000000</v>
      </c>
      <c r="BC198" s="212">
        <f ca="1">IF($D198&lt;&gt;"Serviço",0,IF(OR(AND(AUTOEVENTO="Manual",$M198=1),$M198&gt;(ROW(PLE.lastrow)-ROW(PLE.firstrow))),0,IF(OFFSET(PLE!$G$14,$M198,BC$13)="",10^12,OFFSET(PLE!$G$14,$M198,BC$13))))</f>
        <v>1000000000000</v>
      </c>
      <c r="BD198" s="212">
        <f ca="1">IF($D198&lt;&gt;"Serviço",0,IF(OR(AND(AUTOEVENTO="Manual",$M198=1),$M198&gt;(ROW(PLE.lastrow)-ROW(PLE.firstrow))),0,IF(OFFSET(PLE!$G$14,$M198,BD$13)="",10^12,OFFSET(PLE!$G$14,$M198,BD$13))))</f>
        <v>1000000000000</v>
      </c>
      <c r="BE198" s="212">
        <f ca="1">IF($D198&lt;&gt;"Serviço",0,IF(OR(AND(AUTOEVENTO="Manual",$M198=1),$M198&gt;(ROW(PLE.lastrow)-ROW(PLE.firstrow))),0,IF(OFFSET(PLE!$G$14,$M198,BE$13)="",10^12,OFFSET(PLE!$G$14,$M198,BE$13))))</f>
        <v>1000000000000</v>
      </c>
      <c r="BF198" s="212">
        <f ca="1">IF($D198&lt;&gt;"Serviço",0,IF(OR(AND(AUTOEVENTO="Manual",$M198=1),$M198&gt;(ROW(PLE.lastrow)-ROW(PLE.firstrow))),0,IF(OFFSET(PLE!$G$14,$M198,BF$13)="",10^12,OFFSET(PLE!$G$14,$M198,BF$13))))</f>
        <v>1000000000000</v>
      </c>
      <c r="BG198" s="212">
        <f ca="1">IF($D198&lt;&gt;"Serviço",0,IF(OR(AND(AUTOEVENTO="Manual",$M198=1),$M198&gt;(ROW(PLE.lastrow)-ROW(PLE.firstrow))),0,IF(OFFSET(PLE!$G$14,$M198,BG$13)="",10^12,OFFSET(PLE!$G$14,$M198,BG$13))))</f>
        <v>1000000000000</v>
      </c>
    </row>
    <row r="199" spans="1:59" ht="13.2">
      <c r="A199" s="9" t="str">
        <f t="shared" ca="1" si="11"/>
        <v>15</v>
      </c>
      <c r="B199" s="9" t="str">
        <f ca="1">OFFSET(ORÇAMENTO!C$15,ROW(B199)-ROW(B$15),0)</f>
        <v>S</v>
      </c>
      <c r="C199" s="9" t="str">
        <f ca="1">OFFSET(ORÇAMENTO!L$15,ROW(C199)-ROW(C$15),0)</f>
        <v/>
      </c>
      <c r="D199" s="141" t="str">
        <f ca="1">OFFSET(ORÇAMENTO!N$15,ROW(D199)-ROW(D$15),0)</f>
        <v>Serviço</v>
      </c>
      <c r="E199" s="201" t="str">
        <f ca="1">OFFSET(ORÇAMENTO!O$15,ROW(E199)-ROW(E$15),0)</f>
        <v>-</v>
      </c>
      <c r="F199" s="202" t="str">
        <f ca="1">OFFSET(ORÇAMENTO!R$15,ROW(F199)-ROW(F$15),0)</f>
        <v>(abra o arquivo 'Referência 11-2024.xlsm)</v>
      </c>
      <c r="G199" s="203" t="str">
        <f ca="1">IF($D199&lt;&gt;"Serviço","",OFFSET(ORÇAMENTO!S$15,ROW(G199)-ROW(G$15),0))</f>
        <v>-</v>
      </c>
      <c r="H199" s="147">
        <f ca="1">IF($D199&lt;&gt;"Serviço",0,IF(ACOMPANHAMENTO="BM",ROUND(OFFSET(ORÇAMENTO!AJ$15,ROW(H199)-ROW(H$15),0),15-13*ORÇAMENTO!$AF$7),SUMPRODUCT(($Q$12:$AA$12&lt;&gt;"")*ROUND($Q199:$AA199,15-13*ORÇAMENTO!$AF$7))))</f>
        <v>0</v>
      </c>
      <c r="I199" s="645"/>
      <c r="K199" s="204"/>
      <c r="L199" s="205" t="s">
        <v>255</v>
      </c>
      <c r="M199" s="206">
        <f ca="1">IF($D199&lt;&gt;"Serviço","",IF(AUTOEVENTO="manual",$A199,IF(ISERROR(MATCH($A199,$A$15:OFFSET($A199,-1,0),0)),MAX($M$15:OFFSET(M199,-1,0))+1,INDEX($M$15:OFFSET(M199,-1,0),MATCH($A199,$A$15:OFFSET($A199,-1,0),0)))))</f>
        <v>6</v>
      </c>
      <c r="N199" s="207" t="str">
        <f ca="1">IF($D199&lt;&gt;"Serviço","",IF(AUTOEVENTO="Manual",IF($A199=0,"&lt;-- defina o número do agrupador",OFFSET(EVENTOS!$D$14,$A199,0)),OFFSET($F$15,$A199,0)))</f>
        <v>DRENAGEM</v>
      </c>
      <c r="O199" s="208"/>
      <c r="Q199" s="208"/>
      <c r="R199" s="209"/>
      <c r="S199" s="209"/>
      <c r="T199" s="209"/>
      <c r="U199" s="209"/>
      <c r="V199" s="209"/>
      <c r="W199" s="209"/>
      <c r="X199" s="209"/>
      <c r="Y199" s="209"/>
      <c r="Z199" s="210"/>
      <c r="AB199" s="626">
        <f ca="1">IF(AND($D199="Serviço",AB$12&lt;&gt;0,$H199&gt;0,OR(AUTOEVENTO&lt;&gt;"manual",$M199&lt;&gt;1)),
IF(Import.TipoArredondamento&lt;&gt;"TransfereGOV",
ROUND(OFFSET($P199,0,AB$13),15-13*ORÇAMENTO!$AF$7)/$H199*OFFSET(ORÇAMENTO!$X$15,ROW(AB199)-ROW(AB$15),0),
ROUND(ROUND(OFFSET($P199,0,AB$13),15-13*ORÇAMENTO!$AF$7)*OFFSET(ORÇAMENTO!$W$15,ROW(AB199)-ROW(AB$15),0),15-13*ORÇAMENTO!$AF$11)),0)</f>
        <v>0</v>
      </c>
      <c r="AC199" s="627">
        <f ca="1">IF(AND($D199="Serviço",AC$12&lt;&gt;0,$H199&gt;0,OR(AUTOEVENTO&lt;&gt;"manual",$M199&lt;&gt;1)),
IF(Import.TipoArredondamento&lt;&gt;"TransfereGOV",
ROUND(OFFSET($P199,0,AC$13),15-13*ORÇAMENTO!$AF$7)/$H199*OFFSET(ORÇAMENTO!$X$15,ROW(AC199)-ROW(AC$15),0),
ROUND(ROUND(OFFSET($P199,0,AC$13),15-13*ORÇAMENTO!$AF$7)*OFFSET(ORÇAMENTO!$W$15,ROW(AC199)-ROW(AC$15),0),15-13*ORÇAMENTO!$AF$11)),0)</f>
        <v>0</v>
      </c>
      <c r="AD199" s="627">
        <f ca="1">IF(AND($D199="Serviço",AD$12&lt;&gt;0,$H199&gt;0,OR(AUTOEVENTO&lt;&gt;"manual",$M199&lt;&gt;1)),
IF(Import.TipoArredondamento&lt;&gt;"TransfereGOV",
ROUND(OFFSET($P199,0,AD$13),15-13*ORÇAMENTO!$AF$7)/$H199*OFFSET(ORÇAMENTO!$X$15,ROW(AD199)-ROW(AD$15),0),
ROUND(ROUND(OFFSET($P199,0,AD$13),15-13*ORÇAMENTO!$AF$7)*OFFSET(ORÇAMENTO!$W$15,ROW(AD199)-ROW(AD$15),0),15-13*ORÇAMENTO!$AF$11)),0)</f>
        <v>0</v>
      </c>
      <c r="AE199" s="627">
        <f ca="1">IF(AND($D199="Serviço",AE$12&lt;&gt;0,$H199&gt;0,OR(AUTOEVENTO&lt;&gt;"manual",$M199&lt;&gt;1)),
IF(Import.TipoArredondamento&lt;&gt;"TransfereGOV",
ROUND(OFFSET($P199,0,AE$13),15-13*ORÇAMENTO!$AF$7)/$H199*OFFSET(ORÇAMENTO!$X$15,ROW(AE199)-ROW(AE$15),0),
ROUND(ROUND(OFFSET($P199,0,AE$13),15-13*ORÇAMENTO!$AF$7)*OFFSET(ORÇAMENTO!$W$15,ROW(AE199)-ROW(AE$15),0),15-13*ORÇAMENTO!$AF$11)),0)</f>
        <v>0</v>
      </c>
      <c r="AF199" s="627">
        <f ca="1">IF(AND($D199="Serviço",AF$12&lt;&gt;0,$H199&gt;0,OR(AUTOEVENTO&lt;&gt;"manual",$M199&lt;&gt;1)),
IF(Import.TipoArredondamento&lt;&gt;"TransfereGOV",
ROUND(OFFSET($P199,0,AF$13),15-13*ORÇAMENTO!$AF$7)/$H199*OFFSET(ORÇAMENTO!$X$15,ROW(AF199)-ROW(AF$15),0),
ROUND(ROUND(OFFSET($P199,0,AF$13),15-13*ORÇAMENTO!$AF$7)*OFFSET(ORÇAMENTO!$W$15,ROW(AF199)-ROW(AF$15),0),15-13*ORÇAMENTO!$AF$11)),0)</f>
        <v>0</v>
      </c>
      <c r="AG199" s="627">
        <f ca="1">IF(AND($D199="Serviço",AG$12&lt;&gt;0,$H199&gt;0,OR(AUTOEVENTO&lt;&gt;"manual",$M199&lt;&gt;1)),
IF(Import.TipoArredondamento&lt;&gt;"TransfereGOV",
ROUND(OFFSET($P199,0,AG$13),15-13*ORÇAMENTO!$AF$7)/$H199*OFFSET(ORÇAMENTO!$X$15,ROW(AG199)-ROW(AG$15),0),
ROUND(ROUND(OFFSET($P199,0,AG$13),15-13*ORÇAMENTO!$AF$7)*OFFSET(ORÇAMENTO!$W$15,ROW(AG199)-ROW(AG$15),0),15-13*ORÇAMENTO!$AF$11)),0)</f>
        <v>0</v>
      </c>
      <c r="AH199" s="627">
        <f ca="1">IF(AND($D199="Serviço",AH$12&lt;&gt;0,$H199&gt;0,OR(AUTOEVENTO&lt;&gt;"manual",$M199&lt;&gt;1)),
IF(Import.TipoArredondamento&lt;&gt;"TransfereGOV",
ROUND(OFFSET($P199,0,AH$13),15-13*ORÇAMENTO!$AF$7)/$H199*OFFSET(ORÇAMENTO!$X$15,ROW(AH199)-ROW(AH$15),0),
ROUND(ROUND(OFFSET($P199,0,AH$13),15-13*ORÇAMENTO!$AF$7)*OFFSET(ORÇAMENTO!$W$15,ROW(AH199)-ROW(AH$15),0),15-13*ORÇAMENTO!$AF$11)),0)</f>
        <v>0</v>
      </c>
      <c r="AI199" s="627">
        <f ca="1">IF(AND($D199="Serviço",AI$12&lt;&gt;0,$H199&gt;0,OR(AUTOEVENTO&lt;&gt;"manual",$M199&lt;&gt;1)),
IF(Import.TipoArredondamento&lt;&gt;"TransfereGOV",
ROUND(OFFSET($P199,0,AI$13),15-13*ORÇAMENTO!$AF$7)/$H199*OFFSET(ORÇAMENTO!$X$15,ROW(AI199)-ROW(AI$15),0),
ROUND(ROUND(OFFSET($P199,0,AI$13),15-13*ORÇAMENTO!$AF$7)*OFFSET(ORÇAMENTO!$W$15,ROW(AI199)-ROW(AI$15),0),15-13*ORÇAMENTO!$AF$11)),0)</f>
        <v>0</v>
      </c>
      <c r="AJ199" s="627">
        <f ca="1">IF(AND($D199="Serviço",AJ$12&lt;&gt;0,$H199&gt;0,OR(AUTOEVENTO&lt;&gt;"manual",$M199&lt;&gt;1)),
IF(Import.TipoArredondamento&lt;&gt;"TransfereGOV",
ROUND(OFFSET($P199,0,AJ$13),15-13*ORÇAMENTO!$AF$7)/$H199*OFFSET(ORÇAMENTO!$X$15,ROW(AJ199)-ROW(AJ$15),0),
ROUND(ROUND(OFFSET($P199,0,AJ$13),15-13*ORÇAMENTO!$AF$7)*OFFSET(ORÇAMENTO!$W$15,ROW(AJ199)-ROW(AJ$15),0),15-13*ORÇAMENTO!$AF$11)),0)</f>
        <v>0</v>
      </c>
      <c r="AK199" s="628">
        <f ca="1">IF(AND($D199="Serviço",AK$12&lt;&gt;0,$H199&gt;0,OR(AUTOEVENTO&lt;&gt;"manual",$M199&lt;&gt;1)),
IF(Import.TipoArredondamento&lt;&gt;"TransfereGOV",
ROUND(OFFSET($P199,0,AK$13),15-13*ORÇAMENTO!$AF$7)/$H199*OFFSET(ORÇAMENTO!$X$15,ROW(AK199)-ROW(AK$15),0),
ROUND(ROUND(OFFSET($P199,0,AK$13),15-13*ORÇAMENTO!$AF$7)*OFFSET(ORÇAMENTO!$W$15,ROW(AK199)-ROW(AK$15),0),15-13*ORÇAMENTO!$AF$11)),0)</f>
        <v>0</v>
      </c>
      <c r="AM199" s="211">
        <f ca="1">IF($D199&lt;&gt;"Serviço",0,IF(AND(AUTOEVENTO="Manual",$M199=1),0,IF(OFFSET(CRONOPLE!$F$14,$M199,AM$13)="",10^12,OFFSET(CRONOPLE!$F$14,$M199,AM$13))))</f>
        <v>2</v>
      </c>
      <c r="AN199" s="211">
        <f ca="1">IF($D199&lt;&gt;"Serviço",0,IF(AND(AUTOEVENTO="Manual",$M199=1),0,IF(OFFSET(CRONOPLE!$F$14,$M199,AN$13)="",10^12,OFFSET(CRONOPLE!$F$14,$M199,AN$13))))</f>
        <v>1</v>
      </c>
      <c r="AO199" s="211">
        <f ca="1">IF($D199&lt;&gt;"Serviço",0,IF(AND(AUTOEVENTO="Manual",$M199=1),0,IF(OFFSET(CRONOPLE!$F$14,$M199,AO$13)="",10^12,OFFSET(CRONOPLE!$F$14,$M199,AO$13))))</f>
        <v>2</v>
      </c>
      <c r="AP199" s="211">
        <f ca="1">IF($D199&lt;&gt;"Serviço",0,IF(AND(AUTOEVENTO="Manual",$M199=1),0,IF(OFFSET(CRONOPLE!$F$14,$M199,AP$13)="",10^12,OFFSET(CRONOPLE!$F$14,$M199,AP$13))))</f>
        <v>2</v>
      </c>
      <c r="AQ199" s="211">
        <f ca="1">IF($D199&lt;&gt;"Serviço",0,IF(AND(AUTOEVENTO="Manual",$M199=1),0,IF(OFFSET(CRONOPLE!$F$14,$M199,AQ$13)="",10^12,OFFSET(CRONOPLE!$F$14,$M199,AQ$13))))</f>
        <v>1000000000000</v>
      </c>
      <c r="AR199" s="211">
        <f ca="1">IF($D199&lt;&gt;"Serviço",0,IF(AND(AUTOEVENTO="Manual",$M199=1),0,IF(OFFSET(CRONOPLE!$F$14,$M199,AR$13)="",10^12,OFFSET(CRONOPLE!$F$14,$M199,AR$13))))</f>
        <v>1000000000000</v>
      </c>
      <c r="AS199" s="211">
        <f ca="1">IF($D199&lt;&gt;"Serviço",0,IF(AND(AUTOEVENTO="Manual",$M199=1),0,IF(OFFSET(CRONOPLE!$F$14,$M199,AS$13)="",10^12,OFFSET(CRONOPLE!$F$14,$M199,AS$13))))</f>
        <v>1000000000000</v>
      </c>
      <c r="AT199" s="211">
        <f ca="1">IF($D199&lt;&gt;"Serviço",0,IF(AND(AUTOEVENTO="Manual",$M199=1),0,IF(OFFSET(CRONOPLE!$F$14,$M199,AT$13)="",10^12,OFFSET(CRONOPLE!$F$14,$M199,AT$13))))</f>
        <v>1000000000000</v>
      </c>
      <c r="AU199" s="211">
        <f ca="1">IF($D199&lt;&gt;"Serviço",0,IF(AND(AUTOEVENTO="Manual",$M199=1),0,IF(OFFSET(CRONOPLE!$F$14,$M199,AU$13)="",10^12,OFFSET(CRONOPLE!$F$14,$M199,AU$13))))</f>
        <v>1000000000000</v>
      </c>
      <c r="AV199" s="211">
        <f ca="1">IF($D199&lt;&gt;"Serviço",0,IF(AND(AUTOEVENTO="Manual",$M199=1),0,IF(OFFSET(CRONOPLE!$F$14,$M199,AV$13)="",10^12,OFFSET(CRONOPLE!$F$14,$M199,AV$13))))</f>
        <v>1000000000000</v>
      </c>
      <c r="AX199" s="212">
        <f ca="1">IF($D199&lt;&gt;"Serviço",0,IF(OR(AND(AUTOEVENTO="Manual",$M199=1),$M199&gt;(ROW(PLE.lastrow)-ROW(PLE.firstrow))),0,IF(OFFSET(PLE!$G$14,$M199,AX$13)="",10^12,OFFSET(PLE!$G$14,$M199,AX$13))))</f>
        <v>1000000000000</v>
      </c>
      <c r="AY199" s="212">
        <f ca="1">IF($D199&lt;&gt;"Serviço",0,IF(OR(AND(AUTOEVENTO="Manual",$M199=1),$M199&gt;(ROW(PLE.lastrow)-ROW(PLE.firstrow))),0,IF(OFFSET(PLE!$G$14,$M199,AY$13)="",10^12,OFFSET(PLE!$G$14,$M199,AY$13))))</f>
        <v>1000000000000</v>
      </c>
      <c r="AZ199" s="212">
        <f ca="1">IF($D199&lt;&gt;"Serviço",0,IF(OR(AND(AUTOEVENTO="Manual",$M199=1),$M199&gt;(ROW(PLE.lastrow)-ROW(PLE.firstrow))),0,IF(OFFSET(PLE!$G$14,$M199,AZ$13)="",10^12,OFFSET(PLE!$G$14,$M199,AZ$13))))</f>
        <v>1000000000000</v>
      </c>
      <c r="BA199" s="212">
        <f ca="1">IF($D199&lt;&gt;"Serviço",0,IF(OR(AND(AUTOEVENTO="Manual",$M199=1),$M199&gt;(ROW(PLE.lastrow)-ROW(PLE.firstrow))),0,IF(OFFSET(PLE!$G$14,$M199,BA$13)="",10^12,OFFSET(PLE!$G$14,$M199,BA$13))))</f>
        <v>1000000000000</v>
      </c>
      <c r="BB199" s="212">
        <f ca="1">IF($D199&lt;&gt;"Serviço",0,IF(OR(AND(AUTOEVENTO="Manual",$M199=1),$M199&gt;(ROW(PLE.lastrow)-ROW(PLE.firstrow))),0,IF(OFFSET(PLE!$G$14,$M199,BB$13)="",10^12,OFFSET(PLE!$G$14,$M199,BB$13))))</f>
        <v>1000000000000</v>
      </c>
      <c r="BC199" s="212">
        <f ca="1">IF($D199&lt;&gt;"Serviço",0,IF(OR(AND(AUTOEVENTO="Manual",$M199=1),$M199&gt;(ROW(PLE.lastrow)-ROW(PLE.firstrow))),0,IF(OFFSET(PLE!$G$14,$M199,BC$13)="",10^12,OFFSET(PLE!$G$14,$M199,BC$13))))</f>
        <v>1000000000000</v>
      </c>
      <c r="BD199" s="212">
        <f ca="1">IF($D199&lt;&gt;"Serviço",0,IF(OR(AND(AUTOEVENTO="Manual",$M199=1),$M199&gt;(ROW(PLE.lastrow)-ROW(PLE.firstrow))),0,IF(OFFSET(PLE!$G$14,$M199,BD$13)="",10^12,OFFSET(PLE!$G$14,$M199,BD$13))))</f>
        <v>1000000000000</v>
      </c>
      <c r="BE199" s="212">
        <f ca="1">IF($D199&lt;&gt;"Serviço",0,IF(OR(AND(AUTOEVENTO="Manual",$M199=1),$M199&gt;(ROW(PLE.lastrow)-ROW(PLE.firstrow))),0,IF(OFFSET(PLE!$G$14,$M199,BE$13)="",10^12,OFFSET(PLE!$G$14,$M199,BE$13))))</f>
        <v>1000000000000</v>
      </c>
      <c r="BF199" s="212">
        <f ca="1">IF($D199&lt;&gt;"Serviço",0,IF(OR(AND(AUTOEVENTO="Manual",$M199=1),$M199&gt;(ROW(PLE.lastrow)-ROW(PLE.firstrow))),0,IF(OFFSET(PLE!$G$14,$M199,BF$13)="",10^12,OFFSET(PLE!$G$14,$M199,BF$13))))</f>
        <v>1000000000000</v>
      </c>
      <c r="BG199" s="212">
        <f ca="1">IF($D199&lt;&gt;"Serviço",0,IF(OR(AND(AUTOEVENTO="Manual",$M199=1),$M199&gt;(ROW(PLE.lastrow)-ROW(PLE.firstrow))),0,IF(OFFSET(PLE!$G$14,$M199,BG$13)="",10^12,OFFSET(PLE!$G$14,$M199,BG$13))))</f>
        <v>1000000000000</v>
      </c>
    </row>
    <row r="200" spans="1:59" ht="13.2">
      <c r="A200" s="9" t="str">
        <f t="shared" ca="1" si="11"/>
        <v>15</v>
      </c>
      <c r="B200" s="9" t="str">
        <f ca="1">OFFSET(ORÇAMENTO!C$15,ROW(B200)-ROW(B$15),0)</f>
        <v>S</v>
      </c>
      <c r="C200" s="9" t="str">
        <f ca="1">OFFSET(ORÇAMENTO!L$15,ROW(C200)-ROW(C$15),0)</f>
        <v/>
      </c>
      <c r="D200" s="141" t="str">
        <f ca="1">OFFSET(ORÇAMENTO!N$15,ROW(D200)-ROW(D$15),0)</f>
        <v>Serviço</v>
      </c>
      <c r="E200" s="201" t="str">
        <f ca="1">OFFSET(ORÇAMENTO!O$15,ROW(E200)-ROW(E$15),0)</f>
        <v>-</v>
      </c>
      <c r="F200" s="202" t="str">
        <f ca="1">OFFSET(ORÇAMENTO!R$15,ROW(F200)-ROW(F$15),0)</f>
        <v>(abra o arquivo 'Referência 11-2024.xlsm)</v>
      </c>
      <c r="G200" s="203" t="str">
        <f ca="1">IF($D200&lt;&gt;"Serviço","",OFFSET(ORÇAMENTO!S$15,ROW(G200)-ROW(G$15),0))</f>
        <v>-</v>
      </c>
      <c r="H200" s="147">
        <f ca="1">IF($D200&lt;&gt;"Serviço",0,IF(ACOMPANHAMENTO="BM",ROUND(OFFSET(ORÇAMENTO!AJ$15,ROW(H200)-ROW(H$15),0),15-13*ORÇAMENTO!$AF$7),SUMPRODUCT(($Q$12:$AA$12&lt;&gt;"")*ROUND($Q200:$AA200,15-13*ORÇAMENTO!$AF$7))))</f>
        <v>0</v>
      </c>
      <c r="I200" s="645"/>
      <c r="K200" s="204"/>
      <c r="L200" s="205" t="s">
        <v>255</v>
      </c>
      <c r="M200" s="206">
        <f ca="1">IF($D200&lt;&gt;"Serviço","",IF(AUTOEVENTO="manual",$A200,IF(ISERROR(MATCH($A200,$A$15:OFFSET($A200,-1,0),0)),MAX($M$15:OFFSET(M200,-1,0))+1,INDEX($M$15:OFFSET(M200,-1,0),MATCH($A200,$A$15:OFFSET($A200,-1,0),0)))))</f>
        <v>6</v>
      </c>
      <c r="N200" s="207" t="str">
        <f ca="1">IF($D200&lt;&gt;"Serviço","",IF(AUTOEVENTO="Manual",IF($A200=0,"&lt;-- defina o número do agrupador",OFFSET(EVENTOS!$D$14,$A200,0)),OFFSET($F$15,$A200,0)))</f>
        <v>DRENAGEM</v>
      </c>
      <c r="O200" s="208"/>
      <c r="Q200" s="208"/>
      <c r="R200" s="209"/>
      <c r="S200" s="209"/>
      <c r="T200" s="209"/>
      <c r="U200" s="209"/>
      <c r="V200" s="209"/>
      <c r="W200" s="209"/>
      <c r="X200" s="209"/>
      <c r="Y200" s="209"/>
      <c r="Z200" s="210"/>
      <c r="AB200" s="626">
        <f ca="1">IF(AND($D200="Serviço",AB$12&lt;&gt;0,$H200&gt;0,OR(AUTOEVENTO&lt;&gt;"manual",$M200&lt;&gt;1)),
IF(Import.TipoArredondamento&lt;&gt;"TransfereGOV",
ROUND(OFFSET($P200,0,AB$13),15-13*ORÇAMENTO!$AF$7)/$H200*OFFSET(ORÇAMENTO!$X$15,ROW(AB200)-ROW(AB$15),0),
ROUND(ROUND(OFFSET($P200,0,AB$13),15-13*ORÇAMENTO!$AF$7)*OFFSET(ORÇAMENTO!$W$15,ROW(AB200)-ROW(AB$15),0),15-13*ORÇAMENTO!$AF$11)),0)</f>
        <v>0</v>
      </c>
      <c r="AC200" s="627">
        <f ca="1">IF(AND($D200="Serviço",AC$12&lt;&gt;0,$H200&gt;0,OR(AUTOEVENTO&lt;&gt;"manual",$M200&lt;&gt;1)),
IF(Import.TipoArredondamento&lt;&gt;"TransfereGOV",
ROUND(OFFSET($P200,0,AC$13),15-13*ORÇAMENTO!$AF$7)/$H200*OFFSET(ORÇAMENTO!$X$15,ROW(AC200)-ROW(AC$15),0),
ROUND(ROUND(OFFSET($P200,0,AC$13),15-13*ORÇAMENTO!$AF$7)*OFFSET(ORÇAMENTO!$W$15,ROW(AC200)-ROW(AC$15),0),15-13*ORÇAMENTO!$AF$11)),0)</f>
        <v>0</v>
      </c>
      <c r="AD200" s="627">
        <f ca="1">IF(AND($D200="Serviço",AD$12&lt;&gt;0,$H200&gt;0,OR(AUTOEVENTO&lt;&gt;"manual",$M200&lt;&gt;1)),
IF(Import.TipoArredondamento&lt;&gt;"TransfereGOV",
ROUND(OFFSET($P200,0,AD$13),15-13*ORÇAMENTO!$AF$7)/$H200*OFFSET(ORÇAMENTO!$X$15,ROW(AD200)-ROW(AD$15),0),
ROUND(ROUND(OFFSET($P200,0,AD$13),15-13*ORÇAMENTO!$AF$7)*OFFSET(ORÇAMENTO!$W$15,ROW(AD200)-ROW(AD$15),0),15-13*ORÇAMENTO!$AF$11)),0)</f>
        <v>0</v>
      </c>
      <c r="AE200" s="627">
        <f ca="1">IF(AND($D200="Serviço",AE$12&lt;&gt;0,$H200&gt;0,OR(AUTOEVENTO&lt;&gt;"manual",$M200&lt;&gt;1)),
IF(Import.TipoArredondamento&lt;&gt;"TransfereGOV",
ROUND(OFFSET($P200,0,AE$13),15-13*ORÇAMENTO!$AF$7)/$H200*OFFSET(ORÇAMENTO!$X$15,ROW(AE200)-ROW(AE$15),0),
ROUND(ROUND(OFFSET($P200,0,AE$13),15-13*ORÇAMENTO!$AF$7)*OFFSET(ORÇAMENTO!$W$15,ROW(AE200)-ROW(AE$15),0),15-13*ORÇAMENTO!$AF$11)),0)</f>
        <v>0</v>
      </c>
      <c r="AF200" s="627">
        <f ca="1">IF(AND($D200="Serviço",AF$12&lt;&gt;0,$H200&gt;0,OR(AUTOEVENTO&lt;&gt;"manual",$M200&lt;&gt;1)),
IF(Import.TipoArredondamento&lt;&gt;"TransfereGOV",
ROUND(OFFSET($P200,0,AF$13),15-13*ORÇAMENTO!$AF$7)/$H200*OFFSET(ORÇAMENTO!$X$15,ROW(AF200)-ROW(AF$15),0),
ROUND(ROUND(OFFSET($P200,0,AF$13),15-13*ORÇAMENTO!$AF$7)*OFFSET(ORÇAMENTO!$W$15,ROW(AF200)-ROW(AF$15),0),15-13*ORÇAMENTO!$AF$11)),0)</f>
        <v>0</v>
      </c>
      <c r="AG200" s="627">
        <f ca="1">IF(AND($D200="Serviço",AG$12&lt;&gt;0,$H200&gt;0,OR(AUTOEVENTO&lt;&gt;"manual",$M200&lt;&gt;1)),
IF(Import.TipoArredondamento&lt;&gt;"TransfereGOV",
ROUND(OFFSET($P200,0,AG$13),15-13*ORÇAMENTO!$AF$7)/$H200*OFFSET(ORÇAMENTO!$X$15,ROW(AG200)-ROW(AG$15),0),
ROUND(ROUND(OFFSET($P200,0,AG$13),15-13*ORÇAMENTO!$AF$7)*OFFSET(ORÇAMENTO!$W$15,ROW(AG200)-ROW(AG$15),0),15-13*ORÇAMENTO!$AF$11)),0)</f>
        <v>0</v>
      </c>
      <c r="AH200" s="627">
        <f ca="1">IF(AND($D200="Serviço",AH$12&lt;&gt;0,$H200&gt;0,OR(AUTOEVENTO&lt;&gt;"manual",$M200&lt;&gt;1)),
IF(Import.TipoArredondamento&lt;&gt;"TransfereGOV",
ROUND(OFFSET($P200,0,AH$13),15-13*ORÇAMENTO!$AF$7)/$H200*OFFSET(ORÇAMENTO!$X$15,ROW(AH200)-ROW(AH$15),0),
ROUND(ROUND(OFFSET($P200,0,AH$13),15-13*ORÇAMENTO!$AF$7)*OFFSET(ORÇAMENTO!$W$15,ROW(AH200)-ROW(AH$15),0),15-13*ORÇAMENTO!$AF$11)),0)</f>
        <v>0</v>
      </c>
      <c r="AI200" s="627">
        <f ca="1">IF(AND($D200="Serviço",AI$12&lt;&gt;0,$H200&gt;0,OR(AUTOEVENTO&lt;&gt;"manual",$M200&lt;&gt;1)),
IF(Import.TipoArredondamento&lt;&gt;"TransfereGOV",
ROUND(OFFSET($P200,0,AI$13),15-13*ORÇAMENTO!$AF$7)/$H200*OFFSET(ORÇAMENTO!$X$15,ROW(AI200)-ROW(AI$15),0),
ROUND(ROUND(OFFSET($P200,0,AI$13),15-13*ORÇAMENTO!$AF$7)*OFFSET(ORÇAMENTO!$W$15,ROW(AI200)-ROW(AI$15),0),15-13*ORÇAMENTO!$AF$11)),0)</f>
        <v>0</v>
      </c>
      <c r="AJ200" s="627">
        <f ca="1">IF(AND($D200="Serviço",AJ$12&lt;&gt;0,$H200&gt;0,OR(AUTOEVENTO&lt;&gt;"manual",$M200&lt;&gt;1)),
IF(Import.TipoArredondamento&lt;&gt;"TransfereGOV",
ROUND(OFFSET($P200,0,AJ$13),15-13*ORÇAMENTO!$AF$7)/$H200*OFFSET(ORÇAMENTO!$X$15,ROW(AJ200)-ROW(AJ$15),0),
ROUND(ROUND(OFFSET($P200,0,AJ$13),15-13*ORÇAMENTO!$AF$7)*OFFSET(ORÇAMENTO!$W$15,ROW(AJ200)-ROW(AJ$15),0),15-13*ORÇAMENTO!$AF$11)),0)</f>
        <v>0</v>
      </c>
      <c r="AK200" s="628">
        <f ca="1">IF(AND($D200="Serviço",AK$12&lt;&gt;0,$H200&gt;0,OR(AUTOEVENTO&lt;&gt;"manual",$M200&lt;&gt;1)),
IF(Import.TipoArredondamento&lt;&gt;"TransfereGOV",
ROUND(OFFSET($P200,0,AK$13),15-13*ORÇAMENTO!$AF$7)/$H200*OFFSET(ORÇAMENTO!$X$15,ROW(AK200)-ROW(AK$15),0),
ROUND(ROUND(OFFSET($P200,0,AK$13),15-13*ORÇAMENTO!$AF$7)*OFFSET(ORÇAMENTO!$W$15,ROW(AK200)-ROW(AK$15),0),15-13*ORÇAMENTO!$AF$11)),0)</f>
        <v>0</v>
      </c>
      <c r="AM200" s="211">
        <f ca="1">IF($D200&lt;&gt;"Serviço",0,IF(AND(AUTOEVENTO="Manual",$M200=1),0,IF(OFFSET(CRONOPLE!$F$14,$M200,AM$13)="",10^12,OFFSET(CRONOPLE!$F$14,$M200,AM$13))))</f>
        <v>2</v>
      </c>
      <c r="AN200" s="211">
        <f ca="1">IF($D200&lt;&gt;"Serviço",0,IF(AND(AUTOEVENTO="Manual",$M200=1),0,IF(OFFSET(CRONOPLE!$F$14,$M200,AN$13)="",10^12,OFFSET(CRONOPLE!$F$14,$M200,AN$13))))</f>
        <v>1</v>
      </c>
      <c r="AO200" s="211">
        <f ca="1">IF($D200&lt;&gt;"Serviço",0,IF(AND(AUTOEVENTO="Manual",$M200=1),0,IF(OFFSET(CRONOPLE!$F$14,$M200,AO$13)="",10^12,OFFSET(CRONOPLE!$F$14,$M200,AO$13))))</f>
        <v>2</v>
      </c>
      <c r="AP200" s="211">
        <f ca="1">IF($D200&lt;&gt;"Serviço",0,IF(AND(AUTOEVENTO="Manual",$M200=1),0,IF(OFFSET(CRONOPLE!$F$14,$M200,AP$13)="",10^12,OFFSET(CRONOPLE!$F$14,$M200,AP$13))))</f>
        <v>2</v>
      </c>
      <c r="AQ200" s="211">
        <f ca="1">IF($D200&lt;&gt;"Serviço",0,IF(AND(AUTOEVENTO="Manual",$M200=1),0,IF(OFFSET(CRONOPLE!$F$14,$M200,AQ$13)="",10^12,OFFSET(CRONOPLE!$F$14,$M200,AQ$13))))</f>
        <v>1000000000000</v>
      </c>
      <c r="AR200" s="211">
        <f ca="1">IF($D200&lt;&gt;"Serviço",0,IF(AND(AUTOEVENTO="Manual",$M200=1),0,IF(OFFSET(CRONOPLE!$F$14,$M200,AR$13)="",10^12,OFFSET(CRONOPLE!$F$14,$M200,AR$13))))</f>
        <v>1000000000000</v>
      </c>
      <c r="AS200" s="211">
        <f ca="1">IF($D200&lt;&gt;"Serviço",0,IF(AND(AUTOEVENTO="Manual",$M200=1),0,IF(OFFSET(CRONOPLE!$F$14,$M200,AS$13)="",10^12,OFFSET(CRONOPLE!$F$14,$M200,AS$13))))</f>
        <v>1000000000000</v>
      </c>
      <c r="AT200" s="211">
        <f ca="1">IF($D200&lt;&gt;"Serviço",0,IF(AND(AUTOEVENTO="Manual",$M200=1),0,IF(OFFSET(CRONOPLE!$F$14,$M200,AT$13)="",10^12,OFFSET(CRONOPLE!$F$14,$M200,AT$13))))</f>
        <v>1000000000000</v>
      </c>
      <c r="AU200" s="211">
        <f ca="1">IF($D200&lt;&gt;"Serviço",0,IF(AND(AUTOEVENTO="Manual",$M200=1),0,IF(OFFSET(CRONOPLE!$F$14,$M200,AU$13)="",10^12,OFFSET(CRONOPLE!$F$14,$M200,AU$13))))</f>
        <v>1000000000000</v>
      </c>
      <c r="AV200" s="211">
        <f ca="1">IF($D200&lt;&gt;"Serviço",0,IF(AND(AUTOEVENTO="Manual",$M200=1),0,IF(OFFSET(CRONOPLE!$F$14,$M200,AV$13)="",10^12,OFFSET(CRONOPLE!$F$14,$M200,AV$13))))</f>
        <v>1000000000000</v>
      </c>
      <c r="AX200" s="212">
        <f ca="1">IF($D200&lt;&gt;"Serviço",0,IF(OR(AND(AUTOEVENTO="Manual",$M200=1),$M200&gt;(ROW(PLE.lastrow)-ROW(PLE.firstrow))),0,IF(OFFSET(PLE!$G$14,$M200,AX$13)="",10^12,OFFSET(PLE!$G$14,$M200,AX$13))))</f>
        <v>1000000000000</v>
      </c>
      <c r="AY200" s="212">
        <f ca="1">IF($D200&lt;&gt;"Serviço",0,IF(OR(AND(AUTOEVENTO="Manual",$M200=1),$M200&gt;(ROW(PLE.lastrow)-ROW(PLE.firstrow))),0,IF(OFFSET(PLE!$G$14,$M200,AY$13)="",10^12,OFFSET(PLE!$G$14,$M200,AY$13))))</f>
        <v>1000000000000</v>
      </c>
      <c r="AZ200" s="212">
        <f ca="1">IF($D200&lt;&gt;"Serviço",0,IF(OR(AND(AUTOEVENTO="Manual",$M200=1),$M200&gt;(ROW(PLE.lastrow)-ROW(PLE.firstrow))),0,IF(OFFSET(PLE!$G$14,$M200,AZ$13)="",10^12,OFFSET(PLE!$G$14,$M200,AZ$13))))</f>
        <v>1000000000000</v>
      </c>
      <c r="BA200" s="212">
        <f ca="1">IF($D200&lt;&gt;"Serviço",0,IF(OR(AND(AUTOEVENTO="Manual",$M200=1),$M200&gt;(ROW(PLE.lastrow)-ROW(PLE.firstrow))),0,IF(OFFSET(PLE!$G$14,$M200,BA$13)="",10^12,OFFSET(PLE!$G$14,$M200,BA$13))))</f>
        <v>1000000000000</v>
      </c>
      <c r="BB200" s="212">
        <f ca="1">IF($D200&lt;&gt;"Serviço",0,IF(OR(AND(AUTOEVENTO="Manual",$M200=1),$M200&gt;(ROW(PLE.lastrow)-ROW(PLE.firstrow))),0,IF(OFFSET(PLE!$G$14,$M200,BB$13)="",10^12,OFFSET(PLE!$G$14,$M200,BB$13))))</f>
        <v>1000000000000</v>
      </c>
      <c r="BC200" s="212">
        <f ca="1">IF($D200&lt;&gt;"Serviço",0,IF(OR(AND(AUTOEVENTO="Manual",$M200=1),$M200&gt;(ROW(PLE.lastrow)-ROW(PLE.firstrow))),0,IF(OFFSET(PLE!$G$14,$M200,BC$13)="",10^12,OFFSET(PLE!$G$14,$M200,BC$13))))</f>
        <v>1000000000000</v>
      </c>
      <c r="BD200" s="212">
        <f ca="1">IF($D200&lt;&gt;"Serviço",0,IF(OR(AND(AUTOEVENTO="Manual",$M200=1),$M200&gt;(ROW(PLE.lastrow)-ROW(PLE.firstrow))),0,IF(OFFSET(PLE!$G$14,$M200,BD$13)="",10^12,OFFSET(PLE!$G$14,$M200,BD$13))))</f>
        <v>1000000000000</v>
      </c>
      <c r="BE200" s="212">
        <f ca="1">IF($D200&lt;&gt;"Serviço",0,IF(OR(AND(AUTOEVENTO="Manual",$M200=1),$M200&gt;(ROW(PLE.lastrow)-ROW(PLE.firstrow))),0,IF(OFFSET(PLE!$G$14,$M200,BE$13)="",10^12,OFFSET(PLE!$G$14,$M200,BE$13))))</f>
        <v>1000000000000</v>
      </c>
      <c r="BF200" s="212">
        <f ca="1">IF($D200&lt;&gt;"Serviço",0,IF(OR(AND(AUTOEVENTO="Manual",$M200=1),$M200&gt;(ROW(PLE.lastrow)-ROW(PLE.firstrow))),0,IF(OFFSET(PLE!$G$14,$M200,BF$13)="",10^12,OFFSET(PLE!$G$14,$M200,BF$13))))</f>
        <v>1000000000000</v>
      </c>
      <c r="BG200" s="212">
        <f ca="1">IF($D200&lt;&gt;"Serviço",0,IF(OR(AND(AUTOEVENTO="Manual",$M200=1),$M200&gt;(ROW(PLE.lastrow)-ROW(PLE.firstrow))),0,IF(OFFSET(PLE!$G$14,$M200,BG$13)="",10^12,OFFSET(PLE!$G$14,$M200,BG$13))))</f>
        <v>1000000000000</v>
      </c>
    </row>
    <row r="201" spans="1:59" ht="13.2">
      <c r="A201" s="9" t="str">
        <f t="shared" ca="1" si="11"/>
        <v>15</v>
      </c>
      <c r="B201" s="9" t="str">
        <f ca="1">OFFSET(ORÇAMENTO!C$15,ROW(B201)-ROW(B$15),0)</f>
        <v>S</v>
      </c>
      <c r="C201" s="9" t="str">
        <f ca="1">OFFSET(ORÇAMENTO!L$15,ROW(C201)-ROW(C$15),0)</f>
        <v/>
      </c>
      <c r="D201" s="141" t="str">
        <f ca="1">OFFSET(ORÇAMENTO!N$15,ROW(D201)-ROW(D$15),0)</f>
        <v>Serviço</v>
      </c>
      <c r="E201" s="201" t="str">
        <f ca="1">OFFSET(ORÇAMENTO!O$15,ROW(E201)-ROW(E$15),0)</f>
        <v>-</v>
      </c>
      <c r="F201" s="202" t="str">
        <f ca="1">OFFSET(ORÇAMENTO!R$15,ROW(F201)-ROW(F$15),0)</f>
        <v>(abra o arquivo 'Referência 11-2024.xlsm)</v>
      </c>
      <c r="G201" s="203" t="str">
        <f ca="1">IF($D201&lt;&gt;"Serviço","",OFFSET(ORÇAMENTO!S$15,ROW(G201)-ROW(G$15),0))</f>
        <v>-</v>
      </c>
      <c r="H201" s="147">
        <f ca="1">IF($D201&lt;&gt;"Serviço",0,IF(ACOMPANHAMENTO="BM",ROUND(OFFSET(ORÇAMENTO!AJ$15,ROW(H201)-ROW(H$15),0),15-13*ORÇAMENTO!$AF$7),SUMPRODUCT(($Q$12:$AA$12&lt;&gt;"")*ROUND($Q201:$AA201,15-13*ORÇAMENTO!$AF$7))))</f>
        <v>0</v>
      </c>
      <c r="I201" s="645"/>
      <c r="K201" s="204"/>
      <c r="L201" s="205" t="s">
        <v>255</v>
      </c>
      <c r="M201" s="206">
        <f ca="1">IF($D201&lt;&gt;"Serviço","",IF(AUTOEVENTO="manual",$A201,IF(ISERROR(MATCH($A201,$A$15:OFFSET($A201,-1,0),0)),MAX($M$15:OFFSET(M201,-1,0))+1,INDEX($M$15:OFFSET(M201,-1,0),MATCH($A201,$A$15:OFFSET($A201,-1,0),0)))))</f>
        <v>6</v>
      </c>
      <c r="N201" s="207" t="str">
        <f ca="1">IF($D201&lt;&gt;"Serviço","",IF(AUTOEVENTO="Manual",IF($A201=0,"&lt;-- defina o número do agrupador",OFFSET(EVENTOS!$D$14,$A201,0)),OFFSET($F$15,$A201,0)))</f>
        <v>DRENAGEM</v>
      </c>
      <c r="O201" s="208"/>
      <c r="Q201" s="208"/>
      <c r="R201" s="209"/>
      <c r="S201" s="209"/>
      <c r="T201" s="209"/>
      <c r="U201" s="209"/>
      <c r="V201" s="209"/>
      <c r="W201" s="209"/>
      <c r="X201" s="209"/>
      <c r="Y201" s="209"/>
      <c r="Z201" s="210"/>
      <c r="AB201" s="626">
        <f ca="1">IF(AND($D201="Serviço",AB$12&lt;&gt;0,$H201&gt;0,OR(AUTOEVENTO&lt;&gt;"manual",$M201&lt;&gt;1)),
IF(Import.TipoArredondamento&lt;&gt;"TransfereGOV",
ROUND(OFFSET($P201,0,AB$13),15-13*ORÇAMENTO!$AF$7)/$H201*OFFSET(ORÇAMENTO!$X$15,ROW(AB201)-ROW(AB$15),0),
ROUND(ROUND(OFFSET($P201,0,AB$13),15-13*ORÇAMENTO!$AF$7)*OFFSET(ORÇAMENTO!$W$15,ROW(AB201)-ROW(AB$15),0),15-13*ORÇAMENTO!$AF$11)),0)</f>
        <v>0</v>
      </c>
      <c r="AC201" s="627">
        <f ca="1">IF(AND($D201="Serviço",AC$12&lt;&gt;0,$H201&gt;0,OR(AUTOEVENTO&lt;&gt;"manual",$M201&lt;&gt;1)),
IF(Import.TipoArredondamento&lt;&gt;"TransfereGOV",
ROUND(OFFSET($P201,0,AC$13),15-13*ORÇAMENTO!$AF$7)/$H201*OFFSET(ORÇAMENTO!$X$15,ROW(AC201)-ROW(AC$15),0),
ROUND(ROUND(OFFSET($P201,0,AC$13),15-13*ORÇAMENTO!$AF$7)*OFFSET(ORÇAMENTO!$W$15,ROW(AC201)-ROW(AC$15),0),15-13*ORÇAMENTO!$AF$11)),0)</f>
        <v>0</v>
      </c>
      <c r="AD201" s="627">
        <f ca="1">IF(AND($D201="Serviço",AD$12&lt;&gt;0,$H201&gt;0,OR(AUTOEVENTO&lt;&gt;"manual",$M201&lt;&gt;1)),
IF(Import.TipoArredondamento&lt;&gt;"TransfereGOV",
ROUND(OFFSET($P201,0,AD$13),15-13*ORÇAMENTO!$AF$7)/$H201*OFFSET(ORÇAMENTO!$X$15,ROW(AD201)-ROW(AD$15),0),
ROUND(ROUND(OFFSET($P201,0,AD$13),15-13*ORÇAMENTO!$AF$7)*OFFSET(ORÇAMENTO!$W$15,ROW(AD201)-ROW(AD$15),0),15-13*ORÇAMENTO!$AF$11)),0)</f>
        <v>0</v>
      </c>
      <c r="AE201" s="627">
        <f ca="1">IF(AND($D201="Serviço",AE$12&lt;&gt;0,$H201&gt;0,OR(AUTOEVENTO&lt;&gt;"manual",$M201&lt;&gt;1)),
IF(Import.TipoArredondamento&lt;&gt;"TransfereGOV",
ROUND(OFFSET($P201,0,AE$13),15-13*ORÇAMENTO!$AF$7)/$H201*OFFSET(ORÇAMENTO!$X$15,ROW(AE201)-ROW(AE$15),0),
ROUND(ROUND(OFFSET($P201,0,AE$13),15-13*ORÇAMENTO!$AF$7)*OFFSET(ORÇAMENTO!$W$15,ROW(AE201)-ROW(AE$15),0),15-13*ORÇAMENTO!$AF$11)),0)</f>
        <v>0</v>
      </c>
      <c r="AF201" s="627">
        <f ca="1">IF(AND($D201="Serviço",AF$12&lt;&gt;0,$H201&gt;0,OR(AUTOEVENTO&lt;&gt;"manual",$M201&lt;&gt;1)),
IF(Import.TipoArredondamento&lt;&gt;"TransfereGOV",
ROUND(OFFSET($P201,0,AF$13),15-13*ORÇAMENTO!$AF$7)/$H201*OFFSET(ORÇAMENTO!$X$15,ROW(AF201)-ROW(AF$15),0),
ROUND(ROUND(OFFSET($P201,0,AF$13),15-13*ORÇAMENTO!$AF$7)*OFFSET(ORÇAMENTO!$W$15,ROW(AF201)-ROW(AF$15),0),15-13*ORÇAMENTO!$AF$11)),0)</f>
        <v>0</v>
      </c>
      <c r="AG201" s="627">
        <f ca="1">IF(AND($D201="Serviço",AG$12&lt;&gt;0,$H201&gt;0,OR(AUTOEVENTO&lt;&gt;"manual",$M201&lt;&gt;1)),
IF(Import.TipoArredondamento&lt;&gt;"TransfereGOV",
ROUND(OFFSET($P201,0,AG$13),15-13*ORÇAMENTO!$AF$7)/$H201*OFFSET(ORÇAMENTO!$X$15,ROW(AG201)-ROW(AG$15),0),
ROUND(ROUND(OFFSET($P201,0,AG$13),15-13*ORÇAMENTO!$AF$7)*OFFSET(ORÇAMENTO!$W$15,ROW(AG201)-ROW(AG$15),0),15-13*ORÇAMENTO!$AF$11)),0)</f>
        <v>0</v>
      </c>
      <c r="AH201" s="627">
        <f ca="1">IF(AND($D201="Serviço",AH$12&lt;&gt;0,$H201&gt;0,OR(AUTOEVENTO&lt;&gt;"manual",$M201&lt;&gt;1)),
IF(Import.TipoArredondamento&lt;&gt;"TransfereGOV",
ROUND(OFFSET($P201,0,AH$13),15-13*ORÇAMENTO!$AF$7)/$H201*OFFSET(ORÇAMENTO!$X$15,ROW(AH201)-ROW(AH$15),0),
ROUND(ROUND(OFFSET($P201,0,AH$13),15-13*ORÇAMENTO!$AF$7)*OFFSET(ORÇAMENTO!$W$15,ROW(AH201)-ROW(AH$15),0),15-13*ORÇAMENTO!$AF$11)),0)</f>
        <v>0</v>
      </c>
      <c r="AI201" s="627">
        <f ca="1">IF(AND($D201="Serviço",AI$12&lt;&gt;0,$H201&gt;0,OR(AUTOEVENTO&lt;&gt;"manual",$M201&lt;&gt;1)),
IF(Import.TipoArredondamento&lt;&gt;"TransfereGOV",
ROUND(OFFSET($P201,0,AI$13),15-13*ORÇAMENTO!$AF$7)/$H201*OFFSET(ORÇAMENTO!$X$15,ROW(AI201)-ROW(AI$15),0),
ROUND(ROUND(OFFSET($P201,0,AI$13),15-13*ORÇAMENTO!$AF$7)*OFFSET(ORÇAMENTO!$W$15,ROW(AI201)-ROW(AI$15),0),15-13*ORÇAMENTO!$AF$11)),0)</f>
        <v>0</v>
      </c>
      <c r="AJ201" s="627">
        <f ca="1">IF(AND($D201="Serviço",AJ$12&lt;&gt;0,$H201&gt;0,OR(AUTOEVENTO&lt;&gt;"manual",$M201&lt;&gt;1)),
IF(Import.TipoArredondamento&lt;&gt;"TransfereGOV",
ROUND(OFFSET($P201,0,AJ$13),15-13*ORÇAMENTO!$AF$7)/$H201*OFFSET(ORÇAMENTO!$X$15,ROW(AJ201)-ROW(AJ$15),0),
ROUND(ROUND(OFFSET($P201,0,AJ$13),15-13*ORÇAMENTO!$AF$7)*OFFSET(ORÇAMENTO!$W$15,ROW(AJ201)-ROW(AJ$15),0),15-13*ORÇAMENTO!$AF$11)),0)</f>
        <v>0</v>
      </c>
      <c r="AK201" s="628">
        <f ca="1">IF(AND($D201="Serviço",AK$12&lt;&gt;0,$H201&gt;0,OR(AUTOEVENTO&lt;&gt;"manual",$M201&lt;&gt;1)),
IF(Import.TipoArredondamento&lt;&gt;"TransfereGOV",
ROUND(OFFSET($P201,0,AK$13),15-13*ORÇAMENTO!$AF$7)/$H201*OFFSET(ORÇAMENTO!$X$15,ROW(AK201)-ROW(AK$15),0),
ROUND(ROUND(OFFSET($P201,0,AK$13),15-13*ORÇAMENTO!$AF$7)*OFFSET(ORÇAMENTO!$W$15,ROW(AK201)-ROW(AK$15),0),15-13*ORÇAMENTO!$AF$11)),0)</f>
        <v>0</v>
      </c>
      <c r="AM201" s="211">
        <f ca="1">IF($D201&lt;&gt;"Serviço",0,IF(AND(AUTOEVENTO="Manual",$M201=1),0,IF(OFFSET(CRONOPLE!$F$14,$M201,AM$13)="",10^12,OFFSET(CRONOPLE!$F$14,$M201,AM$13))))</f>
        <v>2</v>
      </c>
      <c r="AN201" s="211">
        <f ca="1">IF($D201&lt;&gt;"Serviço",0,IF(AND(AUTOEVENTO="Manual",$M201=1),0,IF(OFFSET(CRONOPLE!$F$14,$M201,AN$13)="",10^12,OFFSET(CRONOPLE!$F$14,$M201,AN$13))))</f>
        <v>1</v>
      </c>
      <c r="AO201" s="211">
        <f ca="1">IF($D201&lt;&gt;"Serviço",0,IF(AND(AUTOEVENTO="Manual",$M201=1),0,IF(OFFSET(CRONOPLE!$F$14,$M201,AO$13)="",10^12,OFFSET(CRONOPLE!$F$14,$M201,AO$13))))</f>
        <v>2</v>
      </c>
      <c r="AP201" s="211">
        <f ca="1">IF($D201&lt;&gt;"Serviço",0,IF(AND(AUTOEVENTO="Manual",$M201=1),0,IF(OFFSET(CRONOPLE!$F$14,$M201,AP$13)="",10^12,OFFSET(CRONOPLE!$F$14,$M201,AP$13))))</f>
        <v>2</v>
      </c>
      <c r="AQ201" s="211">
        <f ca="1">IF($D201&lt;&gt;"Serviço",0,IF(AND(AUTOEVENTO="Manual",$M201=1),0,IF(OFFSET(CRONOPLE!$F$14,$M201,AQ$13)="",10^12,OFFSET(CRONOPLE!$F$14,$M201,AQ$13))))</f>
        <v>1000000000000</v>
      </c>
      <c r="AR201" s="211">
        <f ca="1">IF($D201&lt;&gt;"Serviço",0,IF(AND(AUTOEVENTO="Manual",$M201=1),0,IF(OFFSET(CRONOPLE!$F$14,$M201,AR$13)="",10^12,OFFSET(CRONOPLE!$F$14,$M201,AR$13))))</f>
        <v>1000000000000</v>
      </c>
      <c r="AS201" s="211">
        <f ca="1">IF($D201&lt;&gt;"Serviço",0,IF(AND(AUTOEVENTO="Manual",$M201=1),0,IF(OFFSET(CRONOPLE!$F$14,$M201,AS$13)="",10^12,OFFSET(CRONOPLE!$F$14,$M201,AS$13))))</f>
        <v>1000000000000</v>
      </c>
      <c r="AT201" s="211">
        <f ca="1">IF($D201&lt;&gt;"Serviço",0,IF(AND(AUTOEVENTO="Manual",$M201=1),0,IF(OFFSET(CRONOPLE!$F$14,$M201,AT$13)="",10^12,OFFSET(CRONOPLE!$F$14,$M201,AT$13))))</f>
        <v>1000000000000</v>
      </c>
      <c r="AU201" s="211">
        <f ca="1">IF($D201&lt;&gt;"Serviço",0,IF(AND(AUTOEVENTO="Manual",$M201=1),0,IF(OFFSET(CRONOPLE!$F$14,$M201,AU$13)="",10^12,OFFSET(CRONOPLE!$F$14,$M201,AU$13))))</f>
        <v>1000000000000</v>
      </c>
      <c r="AV201" s="211">
        <f ca="1">IF($D201&lt;&gt;"Serviço",0,IF(AND(AUTOEVENTO="Manual",$M201=1),0,IF(OFFSET(CRONOPLE!$F$14,$M201,AV$13)="",10^12,OFFSET(CRONOPLE!$F$14,$M201,AV$13))))</f>
        <v>1000000000000</v>
      </c>
      <c r="AX201" s="212">
        <f ca="1">IF($D201&lt;&gt;"Serviço",0,IF(OR(AND(AUTOEVENTO="Manual",$M201=1),$M201&gt;(ROW(PLE.lastrow)-ROW(PLE.firstrow))),0,IF(OFFSET(PLE!$G$14,$M201,AX$13)="",10^12,OFFSET(PLE!$G$14,$M201,AX$13))))</f>
        <v>1000000000000</v>
      </c>
      <c r="AY201" s="212">
        <f ca="1">IF($D201&lt;&gt;"Serviço",0,IF(OR(AND(AUTOEVENTO="Manual",$M201=1),$M201&gt;(ROW(PLE.lastrow)-ROW(PLE.firstrow))),0,IF(OFFSET(PLE!$G$14,$M201,AY$13)="",10^12,OFFSET(PLE!$G$14,$M201,AY$13))))</f>
        <v>1000000000000</v>
      </c>
      <c r="AZ201" s="212">
        <f ca="1">IF($D201&lt;&gt;"Serviço",0,IF(OR(AND(AUTOEVENTO="Manual",$M201=1),$M201&gt;(ROW(PLE.lastrow)-ROW(PLE.firstrow))),0,IF(OFFSET(PLE!$G$14,$M201,AZ$13)="",10^12,OFFSET(PLE!$G$14,$M201,AZ$13))))</f>
        <v>1000000000000</v>
      </c>
      <c r="BA201" s="212">
        <f ca="1">IF($D201&lt;&gt;"Serviço",0,IF(OR(AND(AUTOEVENTO="Manual",$M201=1),$M201&gt;(ROW(PLE.lastrow)-ROW(PLE.firstrow))),0,IF(OFFSET(PLE!$G$14,$M201,BA$13)="",10^12,OFFSET(PLE!$G$14,$M201,BA$13))))</f>
        <v>1000000000000</v>
      </c>
      <c r="BB201" s="212">
        <f ca="1">IF($D201&lt;&gt;"Serviço",0,IF(OR(AND(AUTOEVENTO="Manual",$M201=1),$M201&gt;(ROW(PLE.lastrow)-ROW(PLE.firstrow))),0,IF(OFFSET(PLE!$G$14,$M201,BB$13)="",10^12,OFFSET(PLE!$G$14,$M201,BB$13))))</f>
        <v>1000000000000</v>
      </c>
      <c r="BC201" s="212">
        <f ca="1">IF($D201&lt;&gt;"Serviço",0,IF(OR(AND(AUTOEVENTO="Manual",$M201=1),$M201&gt;(ROW(PLE.lastrow)-ROW(PLE.firstrow))),0,IF(OFFSET(PLE!$G$14,$M201,BC$13)="",10^12,OFFSET(PLE!$G$14,$M201,BC$13))))</f>
        <v>1000000000000</v>
      </c>
      <c r="BD201" s="212">
        <f ca="1">IF($D201&lt;&gt;"Serviço",0,IF(OR(AND(AUTOEVENTO="Manual",$M201=1),$M201&gt;(ROW(PLE.lastrow)-ROW(PLE.firstrow))),0,IF(OFFSET(PLE!$G$14,$M201,BD$13)="",10^12,OFFSET(PLE!$G$14,$M201,BD$13))))</f>
        <v>1000000000000</v>
      </c>
      <c r="BE201" s="212">
        <f ca="1">IF($D201&lt;&gt;"Serviço",0,IF(OR(AND(AUTOEVENTO="Manual",$M201=1),$M201&gt;(ROW(PLE.lastrow)-ROW(PLE.firstrow))),0,IF(OFFSET(PLE!$G$14,$M201,BE$13)="",10^12,OFFSET(PLE!$G$14,$M201,BE$13))))</f>
        <v>1000000000000</v>
      </c>
      <c r="BF201" s="212">
        <f ca="1">IF($D201&lt;&gt;"Serviço",0,IF(OR(AND(AUTOEVENTO="Manual",$M201=1),$M201&gt;(ROW(PLE.lastrow)-ROW(PLE.firstrow))),0,IF(OFFSET(PLE!$G$14,$M201,BF$13)="",10^12,OFFSET(PLE!$G$14,$M201,BF$13))))</f>
        <v>1000000000000</v>
      </c>
      <c r="BG201" s="212">
        <f ca="1">IF($D201&lt;&gt;"Serviço",0,IF(OR(AND(AUTOEVENTO="Manual",$M201=1),$M201&gt;(ROW(PLE.lastrow)-ROW(PLE.firstrow))),0,IF(OFFSET(PLE!$G$14,$M201,BG$13)="",10^12,OFFSET(PLE!$G$14,$M201,BG$13))))</f>
        <v>1000000000000</v>
      </c>
    </row>
    <row r="202" spans="1:59" ht="13.2">
      <c r="A202" s="9" t="str">
        <f t="shared" ca="1" si="11"/>
        <v>15</v>
      </c>
      <c r="B202" s="9" t="str">
        <f ca="1">OFFSET(ORÇAMENTO!C$15,ROW(B202)-ROW(B$15),0)</f>
        <v>S</v>
      </c>
      <c r="C202" s="9" t="str">
        <f ca="1">OFFSET(ORÇAMENTO!L$15,ROW(C202)-ROW(C$15),0)</f>
        <v/>
      </c>
      <c r="D202" s="141" t="str">
        <f ca="1">OFFSET(ORÇAMENTO!N$15,ROW(D202)-ROW(D$15),0)</f>
        <v>Serviço</v>
      </c>
      <c r="E202" s="201" t="str">
        <f ca="1">OFFSET(ORÇAMENTO!O$15,ROW(E202)-ROW(E$15),0)</f>
        <v>-</v>
      </c>
      <c r="F202" s="202" t="str">
        <f ca="1">OFFSET(ORÇAMENTO!R$15,ROW(F202)-ROW(F$15),0)</f>
        <v>(abra o arquivo 'Referência 11-2024.xlsm)</v>
      </c>
      <c r="G202" s="203" t="str">
        <f ca="1">IF($D202&lt;&gt;"Serviço","",OFFSET(ORÇAMENTO!S$15,ROW(G202)-ROW(G$15),0))</f>
        <v>-</v>
      </c>
      <c r="H202" s="147">
        <f ca="1">IF($D202&lt;&gt;"Serviço",0,IF(ACOMPANHAMENTO="BM",ROUND(OFFSET(ORÇAMENTO!AJ$15,ROW(H202)-ROW(H$15),0),15-13*ORÇAMENTO!$AF$7),SUMPRODUCT(($Q$12:$AA$12&lt;&gt;"")*ROUND($Q202:$AA202,15-13*ORÇAMENTO!$AF$7))))</f>
        <v>0</v>
      </c>
      <c r="I202" s="645"/>
      <c r="K202" s="204"/>
      <c r="L202" s="205" t="s">
        <v>255</v>
      </c>
      <c r="M202" s="206">
        <f ca="1">IF($D202&lt;&gt;"Serviço","",IF(AUTOEVENTO="manual",$A202,IF(ISERROR(MATCH($A202,$A$15:OFFSET($A202,-1,0),0)),MAX($M$15:OFFSET(M202,-1,0))+1,INDEX($M$15:OFFSET(M202,-1,0),MATCH($A202,$A$15:OFFSET($A202,-1,0),0)))))</f>
        <v>6</v>
      </c>
      <c r="N202" s="207" t="str">
        <f ca="1">IF($D202&lt;&gt;"Serviço","",IF(AUTOEVENTO="Manual",IF($A202=0,"&lt;-- defina o número do agrupador",OFFSET(EVENTOS!$D$14,$A202,0)),OFFSET($F$15,$A202,0)))</f>
        <v>DRENAGEM</v>
      </c>
      <c r="O202" s="208"/>
      <c r="Q202" s="208"/>
      <c r="R202" s="209"/>
      <c r="S202" s="209"/>
      <c r="T202" s="209"/>
      <c r="U202" s="209"/>
      <c r="V202" s="209"/>
      <c r="W202" s="209"/>
      <c r="X202" s="209"/>
      <c r="Y202" s="209"/>
      <c r="Z202" s="210"/>
      <c r="AB202" s="626">
        <f ca="1">IF(AND($D202="Serviço",AB$12&lt;&gt;0,$H202&gt;0,OR(AUTOEVENTO&lt;&gt;"manual",$M202&lt;&gt;1)),
IF(Import.TipoArredondamento&lt;&gt;"TransfereGOV",
ROUND(OFFSET($P202,0,AB$13),15-13*ORÇAMENTO!$AF$7)/$H202*OFFSET(ORÇAMENTO!$X$15,ROW(AB202)-ROW(AB$15),0),
ROUND(ROUND(OFFSET($P202,0,AB$13),15-13*ORÇAMENTO!$AF$7)*OFFSET(ORÇAMENTO!$W$15,ROW(AB202)-ROW(AB$15),0),15-13*ORÇAMENTO!$AF$11)),0)</f>
        <v>0</v>
      </c>
      <c r="AC202" s="627">
        <f ca="1">IF(AND($D202="Serviço",AC$12&lt;&gt;0,$H202&gt;0,OR(AUTOEVENTO&lt;&gt;"manual",$M202&lt;&gt;1)),
IF(Import.TipoArredondamento&lt;&gt;"TransfereGOV",
ROUND(OFFSET($P202,0,AC$13),15-13*ORÇAMENTO!$AF$7)/$H202*OFFSET(ORÇAMENTO!$X$15,ROW(AC202)-ROW(AC$15),0),
ROUND(ROUND(OFFSET($P202,0,AC$13),15-13*ORÇAMENTO!$AF$7)*OFFSET(ORÇAMENTO!$W$15,ROW(AC202)-ROW(AC$15),0),15-13*ORÇAMENTO!$AF$11)),0)</f>
        <v>0</v>
      </c>
      <c r="AD202" s="627">
        <f ca="1">IF(AND($D202="Serviço",AD$12&lt;&gt;0,$H202&gt;0,OR(AUTOEVENTO&lt;&gt;"manual",$M202&lt;&gt;1)),
IF(Import.TipoArredondamento&lt;&gt;"TransfereGOV",
ROUND(OFFSET($P202,0,AD$13),15-13*ORÇAMENTO!$AF$7)/$H202*OFFSET(ORÇAMENTO!$X$15,ROW(AD202)-ROW(AD$15),0),
ROUND(ROUND(OFFSET($P202,0,AD$13),15-13*ORÇAMENTO!$AF$7)*OFFSET(ORÇAMENTO!$W$15,ROW(AD202)-ROW(AD$15),0),15-13*ORÇAMENTO!$AF$11)),0)</f>
        <v>0</v>
      </c>
      <c r="AE202" s="627">
        <f ca="1">IF(AND($D202="Serviço",AE$12&lt;&gt;0,$H202&gt;0,OR(AUTOEVENTO&lt;&gt;"manual",$M202&lt;&gt;1)),
IF(Import.TipoArredondamento&lt;&gt;"TransfereGOV",
ROUND(OFFSET($P202,0,AE$13),15-13*ORÇAMENTO!$AF$7)/$H202*OFFSET(ORÇAMENTO!$X$15,ROW(AE202)-ROW(AE$15),0),
ROUND(ROUND(OFFSET($P202,0,AE$13),15-13*ORÇAMENTO!$AF$7)*OFFSET(ORÇAMENTO!$W$15,ROW(AE202)-ROW(AE$15),0),15-13*ORÇAMENTO!$AF$11)),0)</f>
        <v>0</v>
      </c>
      <c r="AF202" s="627">
        <f ca="1">IF(AND($D202="Serviço",AF$12&lt;&gt;0,$H202&gt;0,OR(AUTOEVENTO&lt;&gt;"manual",$M202&lt;&gt;1)),
IF(Import.TipoArredondamento&lt;&gt;"TransfereGOV",
ROUND(OFFSET($P202,0,AF$13),15-13*ORÇAMENTO!$AF$7)/$H202*OFFSET(ORÇAMENTO!$X$15,ROW(AF202)-ROW(AF$15),0),
ROUND(ROUND(OFFSET($P202,0,AF$13),15-13*ORÇAMENTO!$AF$7)*OFFSET(ORÇAMENTO!$W$15,ROW(AF202)-ROW(AF$15),0),15-13*ORÇAMENTO!$AF$11)),0)</f>
        <v>0</v>
      </c>
      <c r="AG202" s="627">
        <f ca="1">IF(AND($D202="Serviço",AG$12&lt;&gt;0,$H202&gt;0,OR(AUTOEVENTO&lt;&gt;"manual",$M202&lt;&gt;1)),
IF(Import.TipoArredondamento&lt;&gt;"TransfereGOV",
ROUND(OFFSET($P202,0,AG$13),15-13*ORÇAMENTO!$AF$7)/$H202*OFFSET(ORÇAMENTO!$X$15,ROW(AG202)-ROW(AG$15),0),
ROUND(ROUND(OFFSET($P202,0,AG$13),15-13*ORÇAMENTO!$AF$7)*OFFSET(ORÇAMENTO!$W$15,ROW(AG202)-ROW(AG$15),0),15-13*ORÇAMENTO!$AF$11)),0)</f>
        <v>0</v>
      </c>
      <c r="AH202" s="627">
        <f ca="1">IF(AND($D202="Serviço",AH$12&lt;&gt;0,$H202&gt;0,OR(AUTOEVENTO&lt;&gt;"manual",$M202&lt;&gt;1)),
IF(Import.TipoArredondamento&lt;&gt;"TransfereGOV",
ROUND(OFFSET($P202,0,AH$13),15-13*ORÇAMENTO!$AF$7)/$H202*OFFSET(ORÇAMENTO!$X$15,ROW(AH202)-ROW(AH$15),0),
ROUND(ROUND(OFFSET($P202,0,AH$13),15-13*ORÇAMENTO!$AF$7)*OFFSET(ORÇAMENTO!$W$15,ROW(AH202)-ROW(AH$15),0),15-13*ORÇAMENTO!$AF$11)),0)</f>
        <v>0</v>
      </c>
      <c r="AI202" s="627">
        <f ca="1">IF(AND($D202="Serviço",AI$12&lt;&gt;0,$H202&gt;0,OR(AUTOEVENTO&lt;&gt;"manual",$M202&lt;&gt;1)),
IF(Import.TipoArredondamento&lt;&gt;"TransfereGOV",
ROUND(OFFSET($P202,0,AI$13),15-13*ORÇAMENTO!$AF$7)/$H202*OFFSET(ORÇAMENTO!$X$15,ROW(AI202)-ROW(AI$15),0),
ROUND(ROUND(OFFSET($P202,0,AI$13),15-13*ORÇAMENTO!$AF$7)*OFFSET(ORÇAMENTO!$W$15,ROW(AI202)-ROW(AI$15),0),15-13*ORÇAMENTO!$AF$11)),0)</f>
        <v>0</v>
      </c>
      <c r="AJ202" s="627">
        <f ca="1">IF(AND($D202="Serviço",AJ$12&lt;&gt;0,$H202&gt;0,OR(AUTOEVENTO&lt;&gt;"manual",$M202&lt;&gt;1)),
IF(Import.TipoArredondamento&lt;&gt;"TransfereGOV",
ROUND(OFFSET($P202,0,AJ$13),15-13*ORÇAMENTO!$AF$7)/$H202*OFFSET(ORÇAMENTO!$X$15,ROW(AJ202)-ROW(AJ$15),0),
ROUND(ROUND(OFFSET($P202,0,AJ$13),15-13*ORÇAMENTO!$AF$7)*OFFSET(ORÇAMENTO!$W$15,ROW(AJ202)-ROW(AJ$15),0),15-13*ORÇAMENTO!$AF$11)),0)</f>
        <v>0</v>
      </c>
      <c r="AK202" s="628">
        <f ca="1">IF(AND($D202="Serviço",AK$12&lt;&gt;0,$H202&gt;0,OR(AUTOEVENTO&lt;&gt;"manual",$M202&lt;&gt;1)),
IF(Import.TipoArredondamento&lt;&gt;"TransfereGOV",
ROUND(OFFSET($P202,0,AK$13),15-13*ORÇAMENTO!$AF$7)/$H202*OFFSET(ORÇAMENTO!$X$15,ROW(AK202)-ROW(AK$15),0),
ROUND(ROUND(OFFSET($P202,0,AK$13),15-13*ORÇAMENTO!$AF$7)*OFFSET(ORÇAMENTO!$W$15,ROW(AK202)-ROW(AK$15),0),15-13*ORÇAMENTO!$AF$11)),0)</f>
        <v>0</v>
      </c>
      <c r="AM202" s="211">
        <f ca="1">IF($D202&lt;&gt;"Serviço",0,IF(AND(AUTOEVENTO="Manual",$M202=1),0,IF(OFFSET(CRONOPLE!$F$14,$M202,AM$13)="",10^12,OFFSET(CRONOPLE!$F$14,$M202,AM$13))))</f>
        <v>2</v>
      </c>
      <c r="AN202" s="211">
        <f ca="1">IF($D202&lt;&gt;"Serviço",0,IF(AND(AUTOEVENTO="Manual",$M202=1),0,IF(OFFSET(CRONOPLE!$F$14,$M202,AN$13)="",10^12,OFFSET(CRONOPLE!$F$14,$M202,AN$13))))</f>
        <v>1</v>
      </c>
      <c r="AO202" s="211">
        <f ca="1">IF($D202&lt;&gt;"Serviço",0,IF(AND(AUTOEVENTO="Manual",$M202=1),0,IF(OFFSET(CRONOPLE!$F$14,$M202,AO$13)="",10^12,OFFSET(CRONOPLE!$F$14,$M202,AO$13))))</f>
        <v>2</v>
      </c>
      <c r="AP202" s="211">
        <f ca="1">IF($D202&lt;&gt;"Serviço",0,IF(AND(AUTOEVENTO="Manual",$M202=1),0,IF(OFFSET(CRONOPLE!$F$14,$M202,AP$13)="",10^12,OFFSET(CRONOPLE!$F$14,$M202,AP$13))))</f>
        <v>2</v>
      </c>
      <c r="AQ202" s="211">
        <f ca="1">IF($D202&lt;&gt;"Serviço",0,IF(AND(AUTOEVENTO="Manual",$M202=1),0,IF(OFFSET(CRONOPLE!$F$14,$M202,AQ$13)="",10^12,OFFSET(CRONOPLE!$F$14,$M202,AQ$13))))</f>
        <v>1000000000000</v>
      </c>
      <c r="AR202" s="211">
        <f ca="1">IF($D202&lt;&gt;"Serviço",0,IF(AND(AUTOEVENTO="Manual",$M202=1),0,IF(OFFSET(CRONOPLE!$F$14,$M202,AR$13)="",10^12,OFFSET(CRONOPLE!$F$14,$M202,AR$13))))</f>
        <v>1000000000000</v>
      </c>
      <c r="AS202" s="211">
        <f ca="1">IF($D202&lt;&gt;"Serviço",0,IF(AND(AUTOEVENTO="Manual",$M202=1),0,IF(OFFSET(CRONOPLE!$F$14,$M202,AS$13)="",10^12,OFFSET(CRONOPLE!$F$14,$M202,AS$13))))</f>
        <v>1000000000000</v>
      </c>
      <c r="AT202" s="211">
        <f ca="1">IF($D202&lt;&gt;"Serviço",0,IF(AND(AUTOEVENTO="Manual",$M202=1),0,IF(OFFSET(CRONOPLE!$F$14,$M202,AT$13)="",10^12,OFFSET(CRONOPLE!$F$14,$M202,AT$13))))</f>
        <v>1000000000000</v>
      </c>
      <c r="AU202" s="211">
        <f ca="1">IF($D202&lt;&gt;"Serviço",0,IF(AND(AUTOEVENTO="Manual",$M202=1),0,IF(OFFSET(CRONOPLE!$F$14,$M202,AU$13)="",10^12,OFFSET(CRONOPLE!$F$14,$M202,AU$13))))</f>
        <v>1000000000000</v>
      </c>
      <c r="AV202" s="211">
        <f ca="1">IF($D202&lt;&gt;"Serviço",0,IF(AND(AUTOEVENTO="Manual",$M202=1),0,IF(OFFSET(CRONOPLE!$F$14,$M202,AV$13)="",10^12,OFFSET(CRONOPLE!$F$14,$M202,AV$13))))</f>
        <v>1000000000000</v>
      </c>
      <c r="AX202" s="212">
        <f ca="1">IF($D202&lt;&gt;"Serviço",0,IF(OR(AND(AUTOEVENTO="Manual",$M202=1),$M202&gt;(ROW(PLE.lastrow)-ROW(PLE.firstrow))),0,IF(OFFSET(PLE!$G$14,$M202,AX$13)="",10^12,OFFSET(PLE!$G$14,$M202,AX$13))))</f>
        <v>1000000000000</v>
      </c>
      <c r="AY202" s="212">
        <f ca="1">IF($D202&lt;&gt;"Serviço",0,IF(OR(AND(AUTOEVENTO="Manual",$M202=1),$M202&gt;(ROW(PLE.lastrow)-ROW(PLE.firstrow))),0,IF(OFFSET(PLE!$G$14,$M202,AY$13)="",10^12,OFFSET(PLE!$G$14,$M202,AY$13))))</f>
        <v>1000000000000</v>
      </c>
      <c r="AZ202" s="212">
        <f ca="1">IF($D202&lt;&gt;"Serviço",0,IF(OR(AND(AUTOEVENTO="Manual",$M202=1),$M202&gt;(ROW(PLE.lastrow)-ROW(PLE.firstrow))),0,IF(OFFSET(PLE!$G$14,$M202,AZ$13)="",10^12,OFFSET(PLE!$G$14,$M202,AZ$13))))</f>
        <v>1000000000000</v>
      </c>
      <c r="BA202" s="212">
        <f ca="1">IF($D202&lt;&gt;"Serviço",0,IF(OR(AND(AUTOEVENTO="Manual",$M202=1),$M202&gt;(ROW(PLE.lastrow)-ROW(PLE.firstrow))),0,IF(OFFSET(PLE!$G$14,$M202,BA$13)="",10^12,OFFSET(PLE!$G$14,$M202,BA$13))))</f>
        <v>1000000000000</v>
      </c>
      <c r="BB202" s="212">
        <f ca="1">IF($D202&lt;&gt;"Serviço",0,IF(OR(AND(AUTOEVENTO="Manual",$M202=1),$M202&gt;(ROW(PLE.lastrow)-ROW(PLE.firstrow))),0,IF(OFFSET(PLE!$G$14,$M202,BB$13)="",10^12,OFFSET(PLE!$G$14,$M202,BB$13))))</f>
        <v>1000000000000</v>
      </c>
      <c r="BC202" s="212">
        <f ca="1">IF($D202&lt;&gt;"Serviço",0,IF(OR(AND(AUTOEVENTO="Manual",$M202=1),$M202&gt;(ROW(PLE.lastrow)-ROW(PLE.firstrow))),0,IF(OFFSET(PLE!$G$14,$M202,BC$13)="",10^12,OFFSET(PLE!$G$14,$M202,BC$13))))</f>
        <v>1000000000000</v>
      </c>
      <c r="BD202" s="212">
        <f ca="1">IF($D202&lt;&gt;"Serviço",0,IF(OR(AND(AUTOEVENTO="Manual",$M202=1),$M202&gt;(ROW(PLE.lastrow)-ROW(PLE.firstrow))),0,IF(OFFSET(PLE!$G$14,$M202,BD$13)="",10^12,OFFSET(PLE!$G$14,$M202,BD$13))))</f>
        <v>1000000000000</v>
      </c>
      <c r="BE202" s="212">
        <f ca="1">IF($D202&lt;&gt;"Serviço",0,IF(OR(AND(AUTOEVENTO="Manual",$M202=1),$M202&gt;(ROW(PLE.lastrow)-ROW(PLE.firstrow))),0,IF(OFFSET(PLE!$G$14,$M202,BE$13)="",10^12,OFFSET(PLE!$G$14,$M202,BE$13))))</f>
        <v>1000000000000</v>
      </c>
      <c r="BF202" s="212">
        <f ca="1">IF($D202&lt;&gt;"Serviço",0,IF(OR(AND(AUTOEVENTO="Manual",$M202=1),$M202&gt;(ROW(PLE.lastrow)-ROW(PLE.firstrow))),0,IF(OFFSET(PLE!$G$14,$M202,BF$13)="",10^12,OFFSET(PLE!$G$14,$M202,BF$13))))</f>
        <v>1000000000000</v>
      </c>
      <c r="BG202" s="212">
        <f ca="1">IF($D202&lt;&gt;"Serviço",0,IF(OR(AND(AUTOEVENTO="Manual",$M202=1),$M202&gt;(ROW(PLE.lastrow)-ROW(PLE.firstrow))),0,IF(OFFSET(PLE!$G$14,$M202,BG$13)="",10^12,OFFSET(PLE!$G$14,$M202,BG$13))))</f>
        <v>1000000000000</v>
      </c>
    </row>
    <row r="203" spans="1:59" ht="13.2">
      <c r="A203" s="9" t="str">
        <f t="shared" ca="1" si="11"/>
        <v>15</v>
      </c>
      <c r="B203" s="9" t="str">
        <f ca="1">OFFSET(ORÇAMENTO!C$15,ROW(B203)-ROW(B$15),0)</f>
        <v>S</v>
      </c>
      <c r="C203" s="9" t="str">
        <f ca="1">OFFSET(ORÇAMENTO!L$15,ROW(C203)-ROW(C$15),0)</f>
        <v/>
      </c>
      <c r="D203" s="141" t="str">
        <f ca="1">OFFSET(ORÇAMENTO!N$15,ROW(D203)-ROW(D$15),0)</f>
        <v>Serviço</v>
      </c>
      <c r="E203" s="201" t="str">
        <f ca="1">OFFSET(ORÇAMENTO!O$15,ROW(E203)-ROW(E$15),0)</f>
        <v>-</v>
      </c>
      <c r="F203" s="202" t="str">
        <f ca="1">OFFSET(ORÇAMENTO!R$15,ROW(F203)-ROW(F$15),0)</f>
        <v>(abra o arquivo 'Referência 11-2024.xlsm)</v>
      </c>
      <c r="G203" s="203" t="str">
        <f ca="1">IF($D203&lt;&gt;"Serviço","",OFFSET(ORÇAMENTO!S$15,ROW(G203)-ROW(G$15),0))</f>
        <v>-</v>
      </c>
      <c r="H203" s="147">
        <f ca="1">IF($D203&lt;&gt;"Serviço",0,IF(ACOMPANHAMENTO="BM",ROUND(OFFSET(ORÇAMENTO!AJ$15,ROW(H203)-ROW(H$15),0),15-13*ORÇAMENTO!$AF$7),SUMPRODUCT(($Q$12:$AA$12&lt;&gt;"")*ROUND($Q203:$AA203,15-13*ORÇAMENTO!$AF$7))))</f>
        <v>0</v>
      </c>
      <c r="I203" s="645"/>
      <c r="K203" s="204"/>
      <c r="L203" s="205" t="s">
        <v>255</v>
      </c>
      <c r="M203" s="206">
        <f ca="1">IF($D203&lt;&gt;"Serviço","",IF(AUTOEVENTO="manual",$A203,IF(ISERROR(MATCH($A203,$A$15:OFFSET($A203,-1,0),0)),MAX($M$15:OFFSET(M203,-1,0))+1,INDEX($M$15:OFFSET(M203,-1,0),MATCH($A203,$A$15:OFFSET($A203,-1,0),0)))))</f>
        <v>6</v>
      </c>
      <c r="N203" s="207" t="str">
        <f ca="1">IF($D203&lt;&gt;"Serviço","",IF(AUTOEVENTO="Manual",IF($A203=0,"&lt;-- defina o número do agrupador",OFFSET(EVENTOS!$D$14,$A203,0)),OFFSET($F$15,$A203,0)))</f>
        <v>DRENAGEM</v>
      </c>
      <c r="O203" s="208"/>
      <c r="Q203" s="208"/>
      <c r="R203" s="209"/>
      <c r="S203" s="209"/>
      <c r="T203" s="209"/>
      <c r="U203" s="209"/>
      <c r="V203" s="209"/>
      <c r="W203" s="209"/>
      <c r="X203" s="209"/>
      <c r="Y203" s="209"/>
      <c r="Z203" s="210"/>
      <c r="AB203" s="626">
        <f ca="1">IF(AND($D203="Serviço",AB$12&lt;&gt;0,$H203&gt;0,OR(AUTOEVENTO&lt;&gt;"manual",$M203&lt;&gt;1)),
IF(Import.TipoArredondamento&lt;&gt;"TransfereGOV",
ROUND(OFFSET($P203,0,AB$13),15-13*ORÇAMENTO!$AF$7)/$H203*OFFSET(ORÇAMENTO!$X$15,ROW(AB203)-ROW(AB$15),0),
ROUND(ROUND(OFFSET($P203,0,AB$13),15-13*ORÇAMENTO!$AF$7)*OFFSET(ORÇAMENTO!$W$15,ROW(AB203)-ROW(AB$15),0),15-13*ORÇAMENTO!$AF$11)),0)</f>
        <v>0</v>
      </c>
      <c r="AC203" s="627">
        <f ca="1">IF(AND($D203="Serviço",AC$12&lt;&gt;0,$H203&gt;0,OR(AUTOEVENTO&lt;&gt;"manual",$M203&lt;&gt;1)),
IF(Import.TipoArredondamento&lt;&gt;"TransfereGOV",
ROUND(OFFSET($P203,0,AC$13),15-13*ORÇAMENTO!$AF$7)/$H203*OFFSET(ORÇAMENTO!$X$15,ROW(AC203)-ROW(AC$15),0),
ROUND(ROUND(OFFSET($P203,0,AC$13),15-13*ORÇAMENTO!$AF$7)*OFFSET(ORÇAMENTO!$W$15,ROW(AC203)-ROW(AC$15),0),15-13*ORÇAMENTO!$AF$11)),0)</f>
        <v>0</v>
      </c>
      <c r="AD203" s="627">
        <f ca="1">IF(AND($D203="Serviço",AD$12&lt;&gt;0,$H203&gt;0,OR(AUTOEVENTO&lt;&gt;"manual",$M203&lt;&gt;1)),
IF(Import.TipoArredondamento&lt;&gt;"TransfereGOV",
ROUND(OFFSET($P203,0,AD$13),15-13*ORÇAMENTO!$AF$7)/$H203*OFFSET(ORÇAMENTO!$X$15,ROW(AD203)-ROW(AD$15),0),
ROUND(ROUND(OFFSET($P203,0,AD$13),15-13*ORÇAMENTO!$AF$7)*OFFSET(ORÇAMENTO!$W$15,ROW(AD203)-ROW(AD$15),0),15-13*ORÇAMENTO!$AF$11)),0)</f>
        <v>0</v>
      </c>
      <c r="AE203" s="627">
        <f ca="1">IF(AND($D203="Serviço",AE$12&lt;&gt;0,$H203&gt;0,OR(AUTOEVENTO&lt;&gt;"manual",$M203&lt;&gt;1)),
IF(Import.TipoArredondamento&lt;&gt;"TransfereGOV",
ROUND(OFFSET($P203,0,AE$13),15-13*ORÇAMENTO!$AF$7)/$H203*OFFSET(ORÇAMENTO!$X$15,ROW(AE203)-ROW(AE$15),0),
ROUND(ROUND(OFFSET($P203,0,AE$13),15-13*ORÇAMENTO!$AF$7)*OFFSET(ORÇAMENTO!$W$15,ROW(AE203)-ROW(AE$15),0),15-13*ORÇAMENTO!$AF$11)),0)</f>
        <v>0</v>
      </c>
      <c r="AF203" s="627">
        <f ca="1">IF(AND($D203="Serviço",AF$12&lt;&gt;0,$H203&gt;0,OR(AUTOEVENTO&lt;&gt;"manual",$M203&lt;&gt;1)),
IF(Import.TipoArredondamento&lt;&gt;"TransfereGOV",
ROUND(OFFSET($P203,0,AF$13),15-13*ORÇAMENTO!$AF$7)/$H203*OFFSET(ORÇAMENTO!$X$15,ROW(AF203)-ROW(AF$15),0),
ROUND(ROUND(OFFSET($P203,0,AF$13),15-13*ORÇAMENTO!$AF$7)*OFFSET(ORÇAMENTO!$W$15,ROW(AF203)-ROW(AF$15),0),15-13*ORÇAMENTO!$AF$11)),0)</f>
        <v>0</v>
      </c>
      <c r="AG203" s="627">
        <f ca="1">IF(AND($D203="Serviço",AG$12&lt;&gt;0,$H203&gt;0,OR(AUTOEVENTO&lt;&gt;"manual",$M203&lt;&gt;1)),
IF(Import.TipoArredondamento&lt;&gt;"TransfereGOV",
ROUND(OFFSET($P203,0,AG$13),15-13*ORÇAMENTO!$AF$7)/$H203*OFFSET(ORÇAMENTO!$X$15,ROW(AG203)-ROW(AG$15),0),
ROUND(ROUND(OFFSET($P203,0,AG$13),15-13*ORÇAMENTO!$AF$7)*OFFSET(ORÇAMENTO!$W$15,ROW(AG203)-ROW(AG$15),0),15-13*ORÇAMENTO!$AF$11)),0)</f>
        <v>0</v>
      </c>
      <c r="AH203" s="627">
        <f ca="1">IF(AND($D203="Serviço",AH$12&lt;&gt;0,$H203&gt;0,OR(AUTOEVENTO&lt;&gt;"manual",$M203&lt;&gt;1)),
IF(Import.TipoArredondamento&lt;&gt;"TransfereGOV",
ROUND(OFFSET($P203,0,AH$13),15-13*ORÇAMENTO!$AF$7)/$H203*OFFSET(ORÇAMENTO!$X$15,ROW(AH203)-ROW(AH$15),0),
ROUND(ROUND(OFFSET($P203,0,AH$13),15-13*ORÇAMENTO!$AF$7)*OFFSET(ORÇAMENTO!$W$15,ROW(AH203)-ROW(AH$15),0),15-13*ORÇAMENTO!$AF$11)),0)</f>
        <v>0</v>
      </c>
      <c r="AI203" s="627">
        <f ca="1">IF(AND($D203="Serviço",AI$12&lt;&gt;0,$H203&gt;0,OR(AUTOEVENTO&lt;&gt;"manual",$M203&lt;&gt;1)),
IF(Import.TipoArredondamento&lt;&gt;"TransfereGOV",
ROUND(OFFSET($P203,0,AI$13),15-13*ORÇAMENTO!$AF$7)/$H203*OFFSET(ORÇAMENTO!$X$15,ROW(AI203)-ROW(AI$15),0),
ROUND(ROUND(OFFSET($P203,0,AI$13),15-13*ORÇAMENTO!$AF$7)*OFFSET(ORÇAMENTO!$W$15,ROW(AI203)-ROW(AI$15),0),15-13*ORÇAMENTO!$AF$11)),0)</f>
        <v>0</v>
      </c>
      <c r="AJ203" s="627">
        <f ca="1">IF(AND($D203="Serviço",AJ$12&lt;&gt;0,$H203&gt;0,OR(AUTOEVENTO&lt;&gt;"manual",$M203&lt;&gt;1)),
IF(Import.TipoArredondamento&lt;&gt;"TransfereGOV",
ROUND(OFFSET($P203,0,AJ$13),15-13*ORÇAMENTO!$AF$7)/$H203*OFFSET(ORÇAMENTO!$X$15,ROW(AJ203)-ROW(AJ$15),0),
ROUND(ROUND(OFFSET($P203,0,AJ$13),15-13*ORÇAMENTO!$AF$7)*OFFSET(ORÇAMENTO!$W$15,ROW(AJ203)-ROW(AJ$15),0),15-13*ORÇAMENTO!$AF$11)),0)</f>
        <v>0</v>
      </c>
      <c r="AK203" s="628">
        <f ca="1">IF(AND($D203="Serviço",AK$12&lt;&gt;0,$H203&gt;0,OR(AUTOEVENTO&lt;&gt;"manual",$M203&lt;&gt;1)),
IF(Import.TipoArredondamento&lt;&gt;"TransfereGOV",
ROUND(OFFSET($P203,0,AK$13),15-13*ORÇAMENTO!$AF$7)/$H203*OFFSET(ORÇAMENTO!$X$15,ROW(AK203)-ROW(AK$15),0),
ROUND(ROUND(OFFSET($P203,0,AK$13),15-13*ORÇAMENTO!$AF$7)*OFFSET(ORÇAMENTO!$W$15,ROW(AK203)-ROW(AK$15),0),15-13*ORÇAMENTO!$AF$11)),0)</f>
        <v>0</v>
      </c>
      <c r="AM203" s="211">
        <f ca="1">IF($D203&lt;&gt;"Serviço",0,IF(AND(AUTOEVENTO="Manual",$M203=1),0,IF(OFFSET(CRONOPLE!$F$14,$M203,AM$13)="",10^12,OFFSET(CRONOPLE!$F$14,$M203,AM$13))))</f>
        <v>2</v>
      </c>
      <c r="AN203" s="211">
        <f ca="1">IF($D203&lt;&gt;"Serviço",0,IF(AND(AUTOEVENTO="Manual",$M203=1),0,IF(OFFSET(CRONOPLE!$F$14,$M203,AN$13)="",10^12,OFFSET(CRONOPLE!$F$14,$M203,AN$13))))</f>
        <v>1</v>
      </c>
      <c r="AO203" s="211">
        <f ca="1">IF($D203&lt;&gt;"Serviço",0,IF(AND(AUTOEVENTO="Manual",$M203=1),0,IF(OFFSET(CRONOPLE!$F$14,$M203,AO$13)="",10^12,OFFSET(CRONOPLE!$F$14,$M203,AO$13))))</f>
        <v>2</v>
      </c>
      <c r="AP203" s="211">
        <f ca="1">IF($D203&lt;&gt;"Serviço",0,IF(AND(AUTOEVENTO="Manual",$M203=1),0,IF(OFFSET(CRONOPLE!$F$14,$M203,AP$13)="",10^12,OFFSET(CRONOPLE!$F$14,$M203,AP$13))))</f>
        <v>2</v>
      </c>
      <c r="AQ203" s="211">
        <f ca="1">IF($D203&lt;&gt;"Serviço",0,IF(AND(AUTOEVENTO="Manual",$M203=1),0,IF(OFFSET(CRONOPLE!$F$14,$M203,AQ$13)="",10^12,OFFSET(CRONOPLE!$F$14,$M203,AQ$13))))</f>
        <v>1000000000000</v>
      </c>
      <c r="AR203" s="211">
        <f ca="1">IF($D203&lt;&gt;"Serviço",0,IF(AND(AUTOEVENTO="Manual",$M203=1),0,IF(OFFSET(CRONOPLE!$F$14,$M203,AR$13)="",10^12,OFFSET(CRONOPLE!$F$14,$M203,AR$13))))</f>
        <v>1000000000000</v>
      </c>
      <c r="AS203" s="211">
        <f ca="1">IF($D203&lt;&gt;"Serviço",0,IF(AND(AUTOEVENTO="Manual",$M203=1),0,IF(OFFSET(CRONOPLE!$F$14,$M203,AS$13)="",10^12,OFFSET(CRONOPLE!$F$14,$M203,AS$13))))</f>
        <v>1000000000000</v>
      </c>
      <c r="AT203" s="211">
        <f ca="1">IF($D203&lt;&gt;"Serviço",0,IF(AND(AUTOEVENTO="Manual",$M203=1),0,IF(OFFSET(CRONOPLE!$F$14,$M203,AT$13)="",10^12,OFFSET(CRONOPLE!$F$14,$M203,AT$13))))</f>
        <v>1000000000000</v>
      </c>
      <c r="AU203" s="211">
        <f ca="1">IF($D203&lt;&gt;"Serviço",0,IF(AND(AUTOEVENTO="Manual",$M203=1),0,IF(OFFSET(CRONOPLE!$F$14,$M203,AU$13)="",10^12,OFFSET(CRONOPLE!$F$14,$M203,AU$13))))</f>
        <v>1000000000000</v>
      </c>
      <c r="AV203" s="211">
        <f ca="1">IF($D203&lt;&gt;"Serviço",0,IF(AND(AUTOEVENTO="Manual",$M203=1),0,IF(OFFSET(CRONOPLE!$F$14,$M203,AV$13)="",10^12,OFFSET(CRONOPLE!$F$14,$M203,AV$13))))</f>
        <v>1000000000000</v>
      </c>
      <c r="AX203" s="212">
        <f ca="1">IF($D203&lt;&gt;"Serviço",0,IF(OR(AND(AUTOEVENTO="Manual",$M203=1),$M203&gt;(ROW(PLE.lastrow)-ROW(PLE.firstrow))),0,IF(OFFSET(PLE!$G$14,$M203,AX$13)="",10^12,OFFSET(PLE!$G$14,$M203,AX$13))))</f>
        <v>1000000000000</v>
      </c>
      <c r="AY203" s="212">
        <f ca="1">IF($D203&lt;&gt;"Serviço",0,IF(OR(AND(AUTOEVENTO="Manual",$M203=1),$M203&gt;(ROW(PLE.lastrow)-ROW(PLE.firstrow))),0,IF(OFFSET(PLE!$G$14,$M203,AY$13)="",10^12,OFFSET(PLE!$G$14,$M203,AY$13))))</f>
        <v>1000000000000</v>
      </c>
      <c r="AZ203" s="212">
        <f ca="1">IF($D203&lt;&gt;"Serviço",0,IF(OR(AND(AUTOEVENTO="Manual",$M203=1),$M203&gt;(ROW(PLE.lastrow)-ROW(PLE.firstrow))),0,IF(OFFSET(PLE!$G$14,$M203,AZ$13)="",10^12,OFFSET(PLE!$G$14,$M203,AZ$13))))</f>
        <v>1000000000000</v>
      </c>
      <c r="BA203" s="212">
        <f ca="1">IF($D203&lt;&gt;"Serviço",0,IF(OR(AND(AUTOEVENTO="Manual",$M203=1),$M203&gt;(ROW(PLE.lastrow)-ROW(PLE.firstrow))),0,IF(OFFSET(PLE!$G$14,$M203,BA$13)="",10^12,OFFSET(PLE!$G$14,$M203,BA$13))))</f>
        <v>1000000000000</v>
      </c>
      <c r="BB203" s="212">
        <f ca="1">IF($D203&lt;&gt;"Serviço",0,IF(OR(AND(AUTOEVENTO="Manual",$M203=1),$M203&gt;(ROW(PLE.lastrow)-ROW(PLE.firstrow))),0,IF(OFFSET(PLE!$G$14,$M203,BB$13)="",10^12,OFFSET(PLE!$G$14,$M203,BB$13))))</f>
        <v>1000000000000</v>
      </c>
      <c r="BC203" s="212">
        <f ca="1">IF($D203&lt;&gt;"Serviço",0,IF(OR(AND(AUTOEVENTO="Manual",$M203=1),$M203&gt;(ROW(PLE.lastrow)-ROW(PLE.firstrow))),0,IF(OFFSET(PLE!$G$14,$M203,BC$13)="",10^12,OFFSET(PLE!$G$14,$M203,BC$13))))</f>
        <v>1000000000000</v>
      </c>
      <c r="BD203" s="212">
        <f ca="1">IF($D203&lt;&gt;"Serviço",0,IF(OR(AND(AUTOEVENTO="Manual",$M203=1),$M203&gt;(ROW(PLE.lastrow)-ROW(PLE.firstrow))),0,IF(OFFSET(PLE!$G$14,$M203,BD$13)="",10^12,OFFSET(PLE!$G$14,$M203,BD$13))))</f>
        <v>1000000000000</v>
      </c>
      <c r="BE203" s="212">
        <f ca="1">IF($D203&lt;&gt;"Serviço",0,IF(OR(AND(AUTOEVENTO="Manual",$M203=1),$M203&gt;(ROW(PLE.lastrow)-ROW(PLE.firstrow))),0,IF(OFFSET(PLE!$G$14,$M203,BE$13)="",10^12,OFFSET(PLE!$G$14,$M203,BE$13))))</f>
        <v>1000000000000</v>
      </c>
      <c r="BF203" s="212">
        <f ca="1">IF($D203&lt;&gt;"Serviço",0,IF(OR(AND(AUTOEVENTO="Manual",$M203=1),$M203&gt;(ROW(PLE.lastrow)-ROW(PLE.firstrow))),0,IF(OFFSET(PLE!$G$14,$M203,BF$13)="",10^12,OFFSET(PLE!$G$14,$M203,BF$13))))</f>
        <v>1000000000000</v>
      </c>
      <c r="BG203" s="212">
        <f ca="1">IF($D203&lt;&gt;"Serviço",0,IF(OR(AND(AUTOEVENTO="Manual",$M203=1),$M203&gt;(ROW(PLE.lastrow)-ROW(PLE.firstrow))),0,IF(OFFSET(PLE!$G$14,$M203,BG$13)="",10^12,OFFSET(PLE!$G$14,$M203,BG$13))))</f>
        <v>1000000000000</v>
      </c>
    </row>
    <row r="204" spans="1:59" ht="13.2">
      <c r="A204" s="9" t="str">
        <f t="shared" ca="1" si="11"/>
        <v>15</v>
      </c>
      <c r="B204" s="9" t="str">
        <f ca="1">OFFSET(ORÇAMENTO!C$15,ROW(B204)-ROW(B$15),0)</f>
        <v>S</v>
      </c>
      <c r="C204" s="9" t="str">
        <f ca="1">OFFSET(ORÇAMENTO!L$15,ROW(C204)-ROW(C$15),0)</f>
        <v/>
      </c>
      <c r="D204" s="141" t="str">
        <f ca="1">OFFSET(ORÇAMENTO!N$15,ROW(D204)-ROW(D$15),0)</f>
        <v>Serviço</v>
      </c>
      <c r="E204" s="201" t="str">
        <f ca="1">OFFSET(ORÇAMENTO!O$15,ROW(E204)-ROW(E$15),0)</f>
        <v>-</v>
      </c>
      <c r="F204" s="202" t="str">
        <f ca="1">OFFSET(ORÇAMENTO!R$15,ROW(F204)-ROW(F$15),0)</f>
        <v>(abra o arquivo 'Referência 11-2024.xlsm)</v>
      </c>
      <c r="G204" s="203" t="str">
        <f ca="1">IF($D204&lt;&gt;"Serviço","",OFFSET(ORÇAMENTO!S$15,ROW(G204)-ROW(G$15),0))</f>
        <v>-</v>
      </c>
      <c r="H204" s="147">
        <f ca="1">IF($D204&lt;&gt;"Serviço",0,IF(ACOMPANHAMENTO="BM",ROUND(OFFSET(ORÇAMENTO!AJ$15,ROW(H204)-ROW(H$15),0),15-13*ORÇAMENTO!$AF$7),SUMPRODUCT(($Q$12:$AA$12&lt;&gt;"")*ROUND($Q204:$AA204,15-13*ORÇAMENTO!$AF$7))))</f>
        <v>0</v>
      </c>
      <c r="I204" s="645"/>
      <c r="K204" s="204"/>
      <c r="L204" s="205" t="s">
        <v>255</v>
      </c>
      <c r="M204" s="206">
        <f ca="1">IF($D204&lt;&gt;"Serviço","",IF(AUTOEVENTO="manual",$A204,IF(ISERROR(MATCH($A204,$A$15:OFFSET($A204,-1,0),0)),MAX($M$15:OFFSET(M204,-1,0))+1,INDEX($M$15:OFFSET(M204,-1,0),MATCH($A204,$A$15:OFFSET($A204,-1,0),0)))))</f>
        <v>6</v>
      </c>
      <c r="N204" s="207" t="str">
        <f ca="1">IF($D204&lt;&gt;"Serviço","",IF(AUTOEVENTO="Manual",IF($A204=0,"&lt;-- defina o número do agrupador",OFFSET(EVENTOS!$D$14,$A204,0)),OFFSET($F$15,$A204,0)))</f>
        <v>DRENAGEM</v>
      </c>
      <c r="O204" s="208"/>
      <c r="Q204" s="208"/>
      <c r="R204" s="209"/>
      <c r="S204" s="209"/>
      <c r="T204" s="209"/>
      <c r="U204" s="209"/>
      <c r="V204" s="209"/>
      <c r="W204" s="209"/>
      <c r="X204" s="209"/>
      <c r="Y204" s="209"/>
      <c r="Z204" s="210"/>
      <c r="AB204" s="626">
        <f ca="1">IF(AND($D204="Serviço",AB$12&lt;&gt;0,$H204&gt;0,OR(AUTOEVENTO&lt;&gt;"manual",$M204&lt;&gt;1)),
IF(Import.TipoArredondamento&lt;&gt;"TransfereGOV",
ROUND(OFFSET($P204,0,AB$13),15-13*ORÇAMENTO!$AF$7)/$H204*OFFSET(ORÇAMENTO!$X$15,ROW(AB204)-ROW(AB$15),0),
ROUND(ROUND(OFFSET($P204,0,AB$13),15-13*ORÇAMENTO!$AF$7)*OFFSET(ORÇAMENTO!$W$15,ROW(AB204)-ROW(AB$15),0),15-13*ORÇAMENTO!$AF$11)),0)</f>
        <v>0</v>
      </c>
      <c r="AC204" s="627">
        <f ca="1">IF(AND($D204="Serviço",AC$12&lt;&gt;0,$H204&gt;0,OR(AUTOEVENTO&lt;&gt;"manual",$M204&lt;&gt;1)),
IF(Import.TipoArredondamento&lt;&gt;"TransfereGOV",
ROUND(OFFSET($P204,0,AC$13),15-13*ORÇAMENTO!$AF$7)/$H204*OFFSET(ORÇAMENTO!$X$15,ROW(AC204)-ROW(AC$15),0),
ROUND(ROUND(OFFSET($P204,0,AC$13),15-13*ORÇAMENTO!$AF$7)*OFFSET(ORÇAMENTO!$W$15,ROW(AC204)-ROW(AC$15),0),15-13*ORÇAMENTO!$AF$11)),0)</f>
        <v>0</v>
      </c>
      <c r="AD204" s="627">
        <f ca="1">IF(AND($D204="Serviço",AD$12&lt;&gt;0,$H204&gt;0,OR(AUTOEVENTO&lt;&gt;"manual",$M204&lt;&gt;1)),
IF(Import.TipoArredondamento&lt;&gt;"TransfereGOV",
ROUND(OFFSET($P204,0,AD$13),15-13*ORÇAMENTO!$AF$7)/$H204*OFFSET(ORÇAMENTO!$X$15,ROW(AD204)-ROW(AD$15),0),
ROUND(ROUND(OFFSET($P204,0,AD$13),15-13*ORÇAMENTO!$AF$7)*OFFSET(ORÇAMENTO!$W$15,ROW(AD204)-ROW(AD$15),0),15-13*ORÇAMENTO!$AF$11)),0)</f>
        <v>0</v>
      </c>
      <c r="AE204" s="627">
        <f ca="1">IF(AND($D204="Serviço",AE$12&lt;&gt;0,$H204&gt;0,OR(AUTOEVENTO&lt;&gt;"manual",$M204&lt;&gt;1)),
IF(Import.TipoArredondamento&lt;&gt;"TransfereGOV",
ROUND(OFFSET($P204,0,AE$13),15-13*ORÇAMENTO!$AF$7)/$H204*OFFSET(ORÇAMENTO!$X$15,ROW(AE204)-ROW(AE$15),0),
ROUND(ROUND(OFFSET($P204,0,AE$13),15-13*ORÇAMENTO!$AF$7)*OFFSET(ORÇAMENTO!$W$15,ROW(AE204)-ROW(AE$15),0),15-13*ORÇAMENTO!$AF$11)),0)</f>
        <v>0</v>
      </c>
      <c r="AF204" s="627">
        <f ca="1">IF(AND($D204="Serviço",AF$12&lt;&gt;0,$H204&gt;0,OR(AUTOEVENTO&lt;&gt;"manual",$M204&lt;&gt;1)),
IF(Import.TipoArredondamento&lt;&gt;"TransfereGOV",
ROUND(OFFSET($P204,0,AF$13),15-13*ORÇAMENTO!$AF$7)/$H204*OFFSET(ORÇAMENTO!$X$15,ROW(AF204)-ROW(AF$15),0),
ROUND(ROUND(OFFSET($P204,0,AF$13),15-13*ORÇAMENTO!$AF$7)*OFFSET(ORÇAMENTO!$W$15,ROW(AF204)-ROW(AF$15),0),15-13*ORÇAMENTO!$AF$11)),0)</f>
        <v>0</v>
      </c>
      <c r="AG204" s="627">
        <f ca="1">IF(AND($D204="Serviço",AG$12&lt;&gt;0,$H204&gt;0,OR(AUTOEVENTO&lt;&gt;"manual",$M204&lt;&gt;1)),
IF(Import.TipoArredondamento&lt;&gt;"TransfereGOV",
ROUND(OFFSET($P204,0,AG$13),15-13*ORÇAMENTO!$AF$7)/$H204*OFFSET(ORÇAMENTO!$X$15,ROW(AG204)-ROW(AG$15),0),
ROUND(ROUND(OFFSET($P204,0,AG$13),15-13*ORÇAMENTO!$AF$7)*OFFSET(ORÇAMENTO!$W$15,ROW(AG204)-ROW(AG$15),0),15-13*ORÇAMENTO!$AF$11)),0)</f>
        <v>0</v>
      </c>
      <c r="AH204" s="627">
        <f ca="1">IF(AND($D204="Serviço",AH$12&lt;&gt;0,$H204&gt;0,OR(AUTOEVENTO&lt;&gt;"manual",$M204&lt;&gt;1)),
IF(Import.TipoArredondamento&lt;&gt;"TransfereGOV",
ROUND(OFFSET($P204,0,AH$13),15-13*ORÇAMENTO!$AF$7)/$H204*OFFSET(ORÇAMENTO!$X$15,ROW(AH204)-ROW(AH$15),0),
ROUND(ROUND(OFFSET($P204,0,AH$13),15-13*ORÇAMENTO!$AF$7)*OFFSET(ORÇAMENTO!$W$15,ROW(AH204)-ROW(AH$15),0),15-13*ORÇAMENTO!$AF$11)),0)</f>
        <v>0</v>
      </c>
      <c r="AI204" s="627">
        <f ca="1">IF(AND($D204="Serviço",AI$12&lt;&gt;0,$H204&gt;0,OR(AUTOEVENTO&lt;&gt;"manual",$M204&lt;&gt;1)),
IF(Import.TipoArredondamento&lt;&gt;"TransfereGOV",
ROUND(OFFSET($P204,0,AI$13),15-13*ORÇAMENTO!$AF$7)/$H204*OFFSET(ORÇAMENTO!$X$15,ROW(AI204)-ROW(AI$15),0),
ROUND(ROUND(OFFSET($P204,0,AI$13),15-13*ORÇAMENTO!$AF$7)*OFFSET(ORÇAMENTO!$W$15,ROW(AI204)-ROW(AI$15),0),15-13*ORÇAMENTO!$AF$11)),0)</f>
        <v>0</v>
      </c>
      <c r="AJ204" s="627">
        <f ca="1">IF(AND($D204="Serviço",AJ$12&lt;&gt;0,$H204&gt;0,OR(AUTOEVENTO&lt;&gt;"manual",$M204&lt;&gt;1)),
IF(Import.TipoArredondamento&lt;&gt;"TransfereGOV",
ROUND(OFFSET($P204,0,AJ$13),15-13*ORÇAMENTO!$AF$7)/$H204*OFFSET(ORÇAMENTO!$X$15,ROW(AJ204)-ROW(AJ$15),0),
ROUND(ROUND(OFFSET($P204,0,AJ$13),15-13*ORÇAMENTO!$AF$7)*OFFSET(ORÇAMENTO!$W$15,ROW(AJ204)-ROW(AJ$15),0),15-13*ORÇAMENTO!$AF$11)),0)</f>
        <v>0</v>
      </c>
      <c r="AK204" s="628">
        <f ca="1">IF(AND($D204="Serviço",AK$12&lt;&gt;0,$H204&gt;0,OR(AUTOEVENTO&lt;&gt;"manual",$M204&lt;&gt;1)),
IF(Import.TipoArredondamento&lt;&gt;"TransfereGOV",
ROUND(OFFSET($P204,0,AK$13),15-13*ORÇAMENTO!$AF$7)/$H204*OFFSET(ORÇAMENTO!$X$15,ROW(AK204)-ROW(AK$15),0),
ROUND(ROUND(OFFSET($P204,0,AK$13),15-13*ORÇAMENTO!$AF$7)*OFFSET(ORÇAMENTO!$W$15,ROW(AK204)-ROW(AK$15),0),15-13*ORÇAMENTO!$AF$11)),0)</f>
        <v>0</v>
      </c>
      <c r="AM204" s="211">
        <f ca="1">IF($D204&lt;&gt;"Serviço",0,IF(AND(AUTOEVENTO="Manual",$M204=1),0,IF(OFFSET(CRONOPLE!$F$14,$M204,AM$13)="",10^12,OFFSET(CRONOPLE!$F$14,$M204,AM$13))))</f>
        <v>2</v>
      </c>
      <c r="AN204" s="211">
        <f ca="1">IF($D204&lt;&gt;"Serviço",0,IF(AND(AUTOEVENTO="Manual",$M204=1),0,IF(OFFSET(CRONOPLE!$F$14,$M204,AN$13)="",10^12,OFFSET(CRONOPLE!$F$14,$M204,AN$13))))</f>
        <v>1</v>
      </c>
      <c r="AO204" s="211">
        <f ca="1">IF($D204&lt;&gt;"Serviço",0,IF(AND(AUTOEVENTO="Manual",$M204=1),0,IF(OFFSET(CRONOPLE!$F$14,$M204,AO$13)="",10^12,OFFSET(CRONOPLE!$F$14,$M204,AO$13))))</f>
        <v>2</v>
      </c>
      <c r="AP204" s="211">
        <f ca="1">IF($D204&lt;&gt;"Serviço",0,IF(AND(AUTOEVENTO="Manual",$M204=1),0,IF(OFFSET(CRONOPLE!$F$14,$M204,AP$13)="",10^12,OFFSET(CRONOPLE!$F$14,$M204,AP$13))))</f>
        <v>2</v>
      </c>
      <c r="AQ204" s="211">
        <f ca="1">IF($D204&lt;&gt;"Serviço",0,IF(AND(AUTOEVENTO="Manual",$M204=1),0,IF(OFFSET(CRONOPLE!$F$14,$M204,AQ$13)="",10^12,OFFSET(CRONOPLE!$F$14,$M204,AQ$13))))</f>
        <v>1000000000000</v>
      </c>
      <c r="AR204" s="211">
        <f ca="1">IF($D204&lt;&gt;"Serviço",0,IF(AND(AUTOEVENTO="Manual",$M204=1),0,IF(OFFSET(CRONOPLE!$F$14,$M204,AR$13)="",10^12,OFFSET(CRONOPLE!$F$14,$M204,AR$13))))</f>
        <v>1000000000000</v>
      </c>
      <c r="AS204" s="211">
        <f ca="1">IF($D204&lt;&gt;"Serviço",0,IF(AND(AUTOEVENTO="Manual",$M204=1),0,IF(OFFSET(CRONOPLE!$F$14,$M204,AS$13)="",10^12,OFFSET(CRONOPLE!$F$14,$M204,AS$13))))</f>
        <v>1000000000000</v>
      </c>
      <c r="AT204" s="211">
        <f ca="1">IF($D204&lt;&gt;"Serviço",0,IF(AND(AUTOEVENTO="Manual",$M204=1),0,IF(OFFSET(CRONOPLE!$F$14,$M204,AT$13)="",10^12,OFFSET(CRONOPLE!$F$14,$M204,AT$13))))</f>
        <v>1000000000000</v>
      </c>
      <c r="AU204" s="211">
        <f ca="1">IF($D204&lt;&gt;"Serviço",0,IF(AND(AUTOEVENTO="Manual",$M204=1),0,IF(OFFSET(CRONOPLE!$F$14,$M204,AU$13)="",10^12,OFFSET(CRONOPLE!$F$14,$M204,AU$13))))</f>
        <v>1000000000000</v>
      </c>
      <c r="AV204" s="211">
        <f ca="1">IF($D204&lt;&gt;"Serviço",0,IF(AND(AUTOEVENTO="Manual",$M204=1),0,IF(OFFSET(CRONOPLE!$F$14,$M204,AV$13)="",10^12,OFFSET(CRONOPLE!$F$14,$M204,AV$13))))</f>
        <v>1000000000000</v>
      </c>
      <c r="AX204" s="212">
        <f ca="1">IF($D204&lt;&gt;"Serviço",0,IF(OR(AND(AUTOEVENTO="Manual",$M204=1),$M204&gt;(ROW(PLE.lastrow)-ROW(PLE.firstrow))),0,IF(OFFSET(PLE!$G$14,$M204,AX$13)="",10^12,OFFSET(PLE!$G$14,$M204,AX$13))))</f>
        <v>1000000000000</v>
      </c>
      <c r="AY204" s="212">
        <f ca="1">IF($D204&lt;&gt;"Serviço",0,IF(OR(AND(AUTOEVENTO="Manual",$M204=1),$M204&gt;(ROW(PLE.lastrow)-ROW(PLE.firstrow))),0,IF(OFFSET(PLE!$G$14,$M204,AY$13)="",10^12,OFFSET(PLE!$G$14,$M204,AY$13))))</f>
        <v>1000000000000</v>
      </c>
      <c r="AZ204" s="212">
        <f ca="1">IF($D204&lt;&gt;"Serviço",0,IF(OR(AND(AUTOEVENTO="Manual",$M204=1),$M204&gt;(ROW(PLE.lastrow)-ROW(PLE.firstrow))),0,IF(OFFSET(PLE!$G$14,$M204,AZ$13)="",10^12,OFFSET(PLE!$G$14,$M204,AZ$13))))</f>
        <v>1000000000000</v>
      </c>
      <c r="BA204" s="212">
        <f ca="1">IF($D204&lt;&gt;"Serviço",0,IF(OR(AND(AUTOEVENTO="Manual",$M204=1),$M204&gt;(ROW(PLE.lastrow)-ROW(PLE.firstrow))),0,IF(OFFSET(PLE!$G$14,$M204,BA$13)="",10^12,OFFSET(PLE!$G$14,$M204,BA$13))))</f>
        <v>1000000000000</v>
      </c>
      <c r="BB204" s="212">
        <f ca="1">IF($D204&lt;&gt;"Serviço",0,IF(OR(AND(AUTOEVENTO="Manual",$M204=1),$M204&gt;(ROW(PLE.lastrow)-ROW(PLE.firstrow))),0,IF(OFFSET(PLE!$G$14,$M204,BB$13)="",10^12,OFFSET(PLE!$G$14,$M204,BB$13))))</f>
        <v>1000000000000</v>
      </c>
      <c r="BC204" s="212">
        <f ca="1">IF($D204&lt;&gt;"Serviço",0,IF(OR(AND(AUTOEVENTO="Manual",$M204=1),$M204&gt;(ROW(PLE.lastrow)-ROW(PLE.firstrow))),0,IF(OFFSET(PLE!$G$14,$M204,BC$13)="",10^12,OFFSET(PLE!$G$14,$M204,BC$13))))</f>
        <v>1000000000000</v>
      </c>
      <c r="BD204" s="212">
        <f ca="1">IF($D204&lt;&gt;"Serviço",0,IF(OR(AND(AUTOEVENTO="Manual",$M204=1),$M204&gt;(ROW(PLE.lastrow)-ROW(PLE.firstrow))),0,IF(OFFSET(PLE!$G$14,$M204,BD$13)="",10^12,OFFSET(PLE!$G$14,$M204,BD$13))))</f>
        <v>1000000000000</v>
      </c>
      <c r="BE204" s="212">
        <f ca="1">IF($D204&lt;&gt;"Serviço",0,IF(OR(AND(AUTOEVENTO="Manual",$M204=1),$M204&gt;(ROW(PLE.lastrow)-ROW(PLE.firstrow))),0,IF(OFFSET(PLE!$G$14,$M204,BE$13)="",10^12,OFFSET(PLE!$G$14,$M204,BE$13))))</f>
        <v>1000000000000</v>
      </c>
      <c r="BF204" s="212">
        <f ca="1">IF($D204&lt;&gt;"Serviço",0,IF(OR(AND(AUTOEVENTO="Manual",$M204=1),$M204&gt;(ROW(PLE.lastrow)-ROW(PLE.firstrow))),0,IF(OFFSET(PLE!$G$14,$M204,BF$13)="",10^12,OFFSET(PLE!$G$14,$M204,BF$13))))</f>
        <v>1000000000000</v>
      </c>
      <c r="BG204" s="212">
        <f ca="1">IF($D204&lt;&gt;"Serviço",0,IF(OR(AND(AUTOEVENTO="Manual",$M204=1),$M204&gt;(ROW(PLE.lastrow)-ROW(PLE.firstrow))),0,IF(OFFSET(PLE!$G$14,$M204,BG$13)="",10^12,OFFSET(PLE!$G$14,$M204,BG$13))))</f>
        <v>1000000000000</v>
      </c>
    </row>
    <row r="205" spans="1:59" ht="13.2">
      <c r="A205" s="9" t="str">
        <f t="shared" ca="1" si="11"/>
        <v>15</v>
      </c>
      <c r="B205" s="9" t="str">
        <f ca="1">OFFSET(ORÇAMENTO!C$15,ROW(B205)-ROW(B$15),0)</f>
        <v>S</v>
      </c>
      <c r="C205" s="9" t="str">
        <f ca="1">OFFSET(ORÇAMENTO!L$15,ROW(C205)-ROW(C$15),0)</f>
        <v/>
      </c>
      <c r="D205" s="141" t="str">
        <f ca="1">OFFSET(ORÇAMENTO!N$15,ROW(D205)-ROW(D$15),0)</f>
        <v>Serviço</v>
      </c>
      <c r="E205" s="201" t="str">
        <f ca="1">OFFSET(ORÇAMENTO!O$15,ROW(E205)-ROW(E$15),0)</f>
        <v>-</v>
      </c>
      <c r="F205" s="202" t="str">
        <f ca="1">OFFSET(ORÇAMENTO!R$15,ROW(F205)-ROW(F$15),0)</f>
        <v>(abra o arquivo 'Referência 11-2024.xlsm)</v>
      </c>
      <c r="G205" s="203" t="str">
        <f ca="1">IF($D205&lt;&gt;"Serviço","",OFFSET(ORÇAMENTO!S$15,ROW(G205)-ROW(G$15),0))</f>
        <v>-</v>
      </c>
      <c r="H205" s="147">
        <f ca="1">IF($D205&lt;&gt;"Serviço",0,IF(ACOMPANHAMENTO="BM",ROUND(OFFSET(ORÇAMENTO!AJ$15,ROW(H205)-ROW(H$15),0),15-13*ORÇAMENTO!$AF$7),SUMPRODUCT(($Q$12:$AA$12&lt;&gt;"")*ROUND($Q205:$AA205,15-13*ORÇAMENTO!$AF$7))))</f>
        <v>0</v>
      </c>
      <c r="I205" s="645"/>
      <c r="K205" s="204"/>
      <c r="L205" s="205" t="s">
        <v>255</v>
      </c>
      <c r="M205" s="206">
        <f ca="1">IF($D205&lt;&gt;"Serviço","",IF(AUTOEVENTO="manual",$A205,IF(ISERROR(MATCH($A205,$A$15:OFFSET($A205,-1,0),0)),MAX($M$15:OFFSET(M205,-1,0))+1,INDEX($M$15:OFFSET(M205,-1,0),MATCH($A205,$A$15:OFFSET($A205,-1,0),0)))))</f>
        <v>6</v>
      </c>
      <c r="N205" s="207" t="str">
        <f ca="1">IF($D205&lt;&gt;"Serviço","",IF(AUTOEVENTO="Manual",IF($A205=0,"&lt;-- defina o número do agrupador",OFFSET(EVENTOS!$D$14,$A205,0)),OFFSET($F$15,$A205,0)))</f>
        <v>DRENAGEM</v>
      </c>
      <c r="O205" s="208"/>
      <c r="Q205" s="208"/>
      <c r="R205" s="209"/>
      <c r="S205" s="209"/>
      <c r="T205" s="209"/>
      <c r="U205" s="209"/>
      <c r="V205" s="209"/>
      <c r="W205" s="209"/>
      <c r="X205" s="209"/>
      <c r="Y205" s="209"/>
      <c r="Z205" s="210"/>
      <c r="AB205" s="626">
        <f ca="1">IF(AND($D205="Serviço",AB$12&lt;&gt;0,$H205&gt;0,OR(AUTOEVENTO&lt;&gt;"manual",$M205&lt;&gt;1)),
IF(Import.TipoArredondamento&lt;&gt;"TransfereGOV",
ROUND(OFFSET($P205,0,AB$13),15-13*ORÇAMENTO!$AF$7)/$H205*OFFSET(ORÇAMENTO!$X$15,ROW(AB205)-ROW(AB$15),0),
ROUND(ROUND(OFFSET($P205,0,AB$13),15-13*ORÇAMENTO!$AF$7)*OFFSET(ORÇAMENTO!$W$15,ROW(AB205)-ROW(AB$15),0),15-13*ORÇAMENTO!$AF$11)),0)</f>
        <v>0</v>
      </c>
      <c r="AC205" s="627">
        <f ca="1">IF(AND($D205="Serviço",AC$12&lt;&gt;0,$H205&gt;0,OR(AUTOEVENTO&lt;&gt;"manual",$M205&lt;&gt;1)),
IF(Import.TipoArredondamento&lt;&gt;"TransfereGOV",
ROUND(OFFSET($P205,0,AC$13),15-13*ORÇAMENTO!$AF$7)/$H205*OFFSET(ORÇAMENTO!$X$15,ROW(AC205)-ROW(AC$15),0),
ROUND(ROUND(OFFSET($P205,0,AC$13),15-13*ORÇAMENTO!$AF$7)*OFFSET(ORÇAMENTO!$W$15,ROW(AC205)-ROW(AC$15),0),15-13*ORÇAMENTO!$AF$11)),0)</f>
        <v>0</v>
      </c>
      <c r="AD205" s="627">
        <f ca="1">IF(AND($D205="Serviço",AD$12&lt;&gt;0,$H205&gt;0,OR(AUTOEVENTO&lt;&gt;"manual",$M205&lt;&gt;1)),
IF(Import.TipoArredondamento&lt;&gt;"TransfereGOV",
ROUND(OFFSET($P205,0,AD$13),15-13*ORÇAMENTO!$AF$7)/$H205*OFFSET(ORÇAMENTO!$X$15,ROW(AD205)-ROW(AD$15),0),
ROUND(ROUND(OFFSET($P205,0,AD$13),15-13*ORÇAMENTO!$AF$7)*OFFSET(ORÇAMENTO!$W$15,ROW(AD205)-ROW(AD$15),0),15-13*ORÇAMENTO!$AF$11)),0)</f>
        <v>0</v>
      </c>
      <c r="AE205" s="627">
        <f ca="1">IF(AND($D205="Serviço",AE$12&lt;&gt;0,$H205&gt;0,OR(AUTOEVENTO&lt;&gt;"manual",$M205&lt;&gt;1)),
IF(Import.TipoArredondamento&lt;&gt;"TransfereGOV",
ROUND(OFFSET($P205,0,AE$13),15-13*ORÇAMENTO!$AF$7)/$H205*OFFSET(ORÇAMENTO!$X$15,ROW(AE205)-ROW(AE$15),0),
ROUND(ROUND(OFFSET($P205,0,AE$13),15-13*ORÇAMENTO!$AF$7)*OFFSET(ORÇAMENTO!$W$15,ROW(AE205)-ROW(AE$15),0),15-13*ORÇAMENTO!$AF$11)),0)</f>
        <v>0</v>
      </c>
      <c r="AF205" s="627">
        <f ca="1">IF(AND($D205="Serviço",AF$12&lt;&gt;0,$H205&gt;0,OR(AUTOEVENTO&lt;&gt;"manual",$M205&lt;&gt;1)),
IF(Import.TipoArredondamento&lt;&gt;"TransfereGOV",
ROUND(OFFSET($P205,0,AF$13),15-13*ORÇAMENTO!$AF$7)/$H205*OFFSET(ORÇAMENTO!$X$15,ROW(AF205)-ROW(AF$15),0),
ROUND(ROUND(OFFSET($P205,0,AF$13),15-13*ORÇAMENTO!$AF$7)*OFFSET(ORÇAMENTO!$W$15,ROW(AF205)-ROW(AF$15),0),15-13*ORÇAMENTO!$AF$11)),0)</f>
        <v>0</v>
      </c>
      <c r="AG205" s="627">
        <f ca="1">IF(AND($D205="Serviço",AG$12&lt;&gt;0,$H205&gt;0,OR(AUTOEVENTO&lt;&gt;"manual",$M205&lt;&gt;1)),
IF(Import.TipoArredondamento&lt;&gt;"TransfereGOV",
ROUND(OFFSET($P205,0,AG$13),15-13*ORÇAMENTO!$AF$7)/$H205*OFFSET(ORÇAMENTO!$X$15,ROW(AG205)-ROW(AG$15),0),
ROUND(ROUND(OFFSET($P205,0,AG$13),15-13*ORÇAMENTO!$AF$7)*OFFSET(ORÇAMENTO!$W$15,ROW(AG205)-ROW(AG$15),0),15-13*ORÇAMENTO!$AF$11)),0)</f>
        <v>0</v>
      </c>
      <c r="AH205" s="627">
        <f ca="1">IF(AND($D205="Serviço",AH$12&lt;&gt;0,$H205&gt;0,OR(AUTOEVENTO&lt;&gt;"manual",$M205&lt;&gt;1)),
IF(Import.TipoArredondamento&lt;&gt;"TransfereGOV",
ROUND(OFFSET($P205,0,AH$13),15-13*ORÇAMENTO!$AF$7)/$H205*OFFSET(ORÇAMENTO!$X$15,ROW(AH205)-ROW(AH$15),0),
ROUND(ROUND(OFFSET($P205,0,AH$13),15-13*ORÇAMENTO!$AF$7)*OFFSET(ORÇAMENTO!$W$15,ROW(AH205)-ROW(AH$15),0),15-13*ORÇAMENTO!$AF$11)),0)</f>
        <v>0</v>
      </c>
      <c r="AI205" s="627">
        <f ca="1">IF(AND($D205="Serviço",AI$12&lt;&gt;0,$H205&gt;0,OR(AUTOEVENTO&lt;&gt;"manual",$M205&lt;&gt;1)),
IF(Import.TipoArredondamento&lt;&gt;"TransfereGOV",
ROUND(OFFSET($P205,0,AI$13),15-13*ORÇAMENTO!$AF$7)/$H205*OFFSET(ORÇAMENTO!$X$15,ROW(AI205)-ROW(AI$15),0),
ROUND(ROUND(OFFSET($P205,0,AI$13),15-13*ORÇAMENTO!$AF$7)*OFFSET(ORÇAMENTO!$W$15,ROW(AI205)-ROW(AI$15),0),15-13*ORÇAMENTO!$AF$11)),0)</f>
        <v>0</v>
      </c>
      <c r="AJ205" s="627">
        <f ca="1">IF(AND($D205="Serviço",AJ$12&lt;&gt;0,$H205&gt;0,OR(AUTOEVENTO&lt;&gt;"manual",$M205&lt;&gt;1)),
IF(Import.TipoArredondamento&lt;&gt;"TransfereGOV",
ROUND(OFFSET($P205,0,AJ$13),15-13*ORÇAMENTO!$AF$7)/$H205*OFFSET(ORÇAMENTO!$X$15,ROW(AJ205)-ROW(AJ$15),0),
ROUND(ROUND(OFFSET($P205,0,AJ$13),15-13*ORÇAMENTO!$AF$7)*OFFSET(ORÇAMENTO!$W$15,ROW(AJ205)-ROW(AJ$15),0),15-13*ORÇAMENTO!$AF$11)),0)</f>
        <v>0</v>
      </c>
      <c r="AK205" s="628">
        <f ca="1">IF(AND($D205="Serviço",AK$12&lt;&gt;0,$H205&gt;0,OR(AUTOEVENTO&lt;&gt;"manual",$M205&lt;&gt;1)),
IF(Import.TipoArredondamento&lt;&gt;"TransfereGOV",
ROUND(OFFSET($P205,0,AK$13),15-13*ORÇAMENTO!$AF$7)/$H205*OFFSET(ORÇAMENTO!$X$15,ROW(AK205)-ROW(AK$15),0),
ROUND(ROUND(OFFSET($P205,0,AK$13),15-13*ORÇAMENTO!$AF$7)*OFFSET(ORÇAMENTO!$W$15,ROW(AK205)-ROW(AK$15),0),15-13*ORÇAMENTO!$AF$11)),0)</f>
        <v>0</v>
      </c>
      <c r="AM205" s="211">
        <f ca="1">IF($D205&lt;&gt;"Serviço",0,IF(AND(AUTOEVENTO="Manual",$M205=1),0,IF(OFFSET(CRONOPLE!$F$14,$M205,AM$13)="",10^12,OFFSET(CRONOPLE!$F$14,$M205,AM$13))))</f>
        <v>2</v>
      </c>
      <c r="AN205" s="211">
        <f ca="1">IF($D205&lt;&gt;"Serviço",0,IF(AND(AUTOEVENTO="Manual",$M205=1),0,IF(OFFSET(CRONOPLE!$F$14,$M205,AN$13)="",10^12,OFFSET(CRONOPLE!$F$14,$M205,AN$13))))</f>
        <v>1</v>
      </c>
      <c r="AO205" s="211">
        <f ca="1">IF($D205&lt;&gt;"Serviço",0,IF(AND(AUTOEVENTO="Manual",$M205=1),0,IF(OFFSET(CRONOPLE!$F$14,$M205,AO$13)="",10^12,OFFSET(CRONOPLE!$F$14,$M205,AO$13))))</f>
        <v>2</v>
      </c>
      <c r="AP205" s="211">
        <f ca="1">IF($D205&lt;&gt;"Serviço",0,IF(AND(AUTOEVENTO="Manual",$M205=1),0,IF(OFFSET(CRONOPLE!$F$14,$M205,AP$13)="",10^12,OFFSET(CRONOPLE!$F$14,$M205,AP$13))))</f>
        <v>2</v>
      </c>
      <c r="AQ205" s="211">
        <f ca="1">IF($D205&lt;&gt;"Serviço",0,IF(AND(AUTOEVENTO="Manual",$M205=1),0,IF(OFFSET(CRONOPLE!$F$14,$M205,AQ$13)="",10^12,OFFSET(CRONOPLE!$F$14,$M205,AQ$13))))</f>
        <v>1000000000000</v>
      </c>
      <c r="AR205" s="211">
        <f ca="1">IF($D205&lt;&gt;"Serviço",0,IF(AND(AUTOEVENTO="Manual",$M205=1),0,IF(OFFSET(CRONOPLE!$F$14,$M205,AR$13)="",10^12,OFFSET(CRONOPLE!$F$14,$M205,AR$13))))</f>
        <v>1000000000000</v>
      </c>
      <c r="AS205" s="211">
        <f ca="1">IF($D205&lt;&gt;"Serviço",0,IF(AND(AUTOEVENTO="Manual",$M205=1),0,IF(OFFSET(CRONOPLE!$F$14,$M205,AS$13)="",10^12,OFFSET(CRONOPLE!$F$14,$M205,AS$13))))</f>
        <v>1000000000000</v>
      </c>
      <c r="AT205" s="211">
        <f ca="1">IF($D205&lt;&gt;"Serviço",0,IF(AND(AUTOEVENTO="Manual",$M205=1),0,IF(OFFSET(CRONOPLE!$F$14,$M205,AT$13)="",10^12,OFFSET(CRONOPLE!$F$14,$M205,AT$13))))</f>
        <v>1000000000000</v>
      </c>
      <c r="AU205" s="211">
        <f ca="1">IF($D205&lt;&gt;"Serviço",0,IF(AND(AUTOEVENTO="Manual",$M205=1),0,IF(OFFSET(CRONOPLE!$F$14,$M205,AU$13)="",10^12,OFFSET(CRONOPLE!$F$14,$M205,AU$13))))</f>
        <v>1000000000000</v>
      </c>
      <c r="AV205" s="211">
        <f ca="1">IF($D205&lt;&gt;"Serviço",0,IF(AND(AUTOEVENTO="Manual",$M205=1),0,IF(OFFSET(CRONOPLE!$F$14,$M205,AV$13)="",10^12,OFFSET(CRONOPLE!$F$14,$M205,AV$13))))</f>
        <v>1000000000000</v>
      </c>
      <c r="AX205" s="212">
        <f ca="1">IF($D205&lt;&gt;"Serviço",0,IF(OR(AND(AUTOEVENTO="Manual",$M205=1),$M205&gt;(ROW(PLE.lastrow)-ROW(PLE.firstrow))),0,IF(OFFSET(PLE!$G$14,$M205,AX$13)="",10^12,OFFSET(PLE!$G$14,$M205,AX$13))))</f>
        <v>1000000000000</v>
      </c>
      <c r="AY205" s="212">
        <f ca="1">IF($D205&lt;&gt;"Serviço",0,IF(OR(AND(AUTOEVENTO="Manual",$M205=1),$M205&gt;(ROW(PLE.lastrow)-ROW(PLE.firstrow))),0,IF(OFFSET(PLE!$G$14,$M205,AY$13)="",10^12,OFFSET(PLE!$G$14,$M205,AY$13))))</f>
        <v>1000000000000</v>
      </c>
      <c r="AZ205" s="212">
        <f ca="1">IF($D205&lt;&gt;"Serviço",0,IF(OR(AND(AUTOEVENTO="Manual",$M205=1),$M205&gt;(ROW(PLE.lastrow)-ROW(PLE.firstrow))),0,IF(OFFSET(PLE!$G$14,$M205,AZ$13)="",10^12,OFFSET(PLE!$G$14,$M205,AZ$13))))</f>
        <v>1000000000000</v>
      </c>
      <c r="BA205" s="212">
        <f ca="1">IF($D205&lt;&gt;"Serviço",0,IF(OR(AND(AUTOEVENTO="Manual",$M205=1),$M205&gt;(ROW(PLE.lastrow)-ROW(PLE.firstrow))),0,IF(OFFSET(PLE!$G$14,$M205,BA$13)="",10^12,OFFSET(PLE!$G$14,$M205,BA$13))))</f>
        <v>1000000000000</v>
      </c>
      <c r="BB205" s="212">
        <f ca="1">IF($D205&lt;&gt;"Serviço",0,IF(OR(AND(AUTOEVENTO="Manual",$M205=1),$M205&gt;(ROW(PLE.lastrow)-ROW(PLE.firstrow))),0,IF(OFFSET(PLE!$G$14,$M205,BB$13)="",10^12,OFFSET(PLE!$G$14,$M205,BB$13))))</f>
        <v>1000000000000</v>
      </c>
      <c r="BC205" s="212">
        <f ca="1">IF($D205&lt;&gt;"Serviço",0,IF(OR(AND(AUTOEVENTO="Manual",$M205=1),$M205&gt;(ROW(PLE.lastrow)-ROW(PLE.firstrow))),0,IF(OFFSET(PLE!$G$14,$M205,BC$13)="",10^12,OFFSET(PLE!$G$14,$M205,BC$13))))</f>
        <v>1000000000000</v>
      </c>
      <c r="BD205" s="212">
        <f ca="1">IF($D205&lt;&gt;"Serviço",0,IF(OR(AND(AUTOEVENTO="Manual",$M205=1),$M205&gt;(ROW(PLE.lastrow)-ROW(PLE.firstrow))),0,IF(OFFSET(PLE!$G$14,$M205,BD$13)="",10^12,OFFSET(PLE!$G$14,$M205,BD$13))))</f>
        <v>1000000000000</v>
      </c>
      <c r="BE205" s="212">
        <f ca="1">IF($D205&lt;&gt;"Serviço",0,IF(OR(AND(AUTOEVENTO="Manual",$M205=1),$M205&gt;(ROW(PLE.lastrow)-ROW(PLE.firstrow))),0,IF(OFFSET(PLE!$G$14,$M205,BE$13)="",10^12,OFFSET(PLE!$G$14,$M205,BE$13))))</f>
        <v>1000000000000</v>
      </c>
      <c r="BF205" s="212">
        <f ca="1">IF($D205&lt;&gt;"Serviço",0,IF(OR(AND(AUTOEVENTO="Manual",$M205=1),$M205&gt;(ROW(PLE.lastrow)-ROW(PLE.firstrow))),0,IF(OFFSET(PLE!$G$14,$M205,BF$13)="",10^12,OFFSET(PLE!$G$14,$M205,BF$13))))</f>
        <v>1000000000000</v>
      </c>
      <c r="BG205" s="212">
        <f ca="1">IF($D205&lt;&gt;"Serviço",0,IF(OR(AND(AUTOEVENTO="Manual",$M205=1),$M205&gt;(ROW(PLE.lastrow)-ROW(PLE.firstrow))),0,IF(OFFSET(PLE!$G$14,$M205,BG$13)="",10^12,OFFSET(PLE!$G$14,$M205,BG$13))))</f>
        <v>1000000000000</v>
      </c>
    </row>
    <row r="206" spans="1:59" ht="13.2">
      <c r="A206" s="9" t="str">
        <f t="shared" ref="A206:A263" ca="1" si="12">IF(AUTOEVENTO="Manual",IF(K206&lt;&gt;"",MIN(VALUE(LEFT(K206,FIND(".",K206)-1)),COUNTA(EVENTOS.Lista)),0),IF(OR($B206&gt;AUTOEVENTO,$B206="S",$B206=0),SUBSTITUTE(OFFSET($A206,-1,0),IF($D206="Serviço",".",""),""),ROW(A206)-ROW($A$15)&amp;"."))</f>
        <v>15</v>
      </c>
      <c r="B206" s="9" t="str">
        <f ca="1">OFFSET(ORÇAMENTO!C$15,ROW(B206)-ROW(B$15),0)</f>
        <v>S</v>
      </c>
      <c r="C206" s="9" t="str">
        <f ca="1">OFFSET(ORÇAMENTO!L$15,ROW(C206)-ROW(C$15),0)</f>
        <v/>
      </c>
      <c r="D206" s="141" t="str">
        <f ca="1">OFFSET(ORÇAMENTO!N$15,ROW(D206)-ROW(D$15),0)</f>
        <v>Serviço</v>
      </c>
      <c r="E206" s="201" t="str">
        <f ca="1">OFFSET(ORÇAMENTO!O$15,ROW(E206)-ROW(E$15),0)</f>
        <v>-</v>
      </c>
      <c r="F206" s="202" t="str">
        <f ca="1">OFFSET(ORÇAMENTO!R$15,ROW(F206)-ROW(F$15),0)</f>
        <v>(abra o arquivo 'Referência 11-2024.xlsm)</v>
      </c>
      <c r="G206" s="203" t="str">
        <f ca="1">IF($D206&lt;&gt;"Serviço","",OFFSET(ORÇAMENTO!S$15,ROW(G206)-ROW(G$15),0))</f>
        <v>-</v>
      </c>
      <c r="H206" s="147">
        <f ca="1">IF($D206&lt;&gt;"Serviço",0,IF(ACOMPANHAMENTO="BM",ROUND(OFFSET(ORÇAMENTO!AJ$15,ROW(H206)-ROW(H$15),0),15-13*ORÇAMENTO!$AF$7),SUMPRODUCT(($Q$12:$AA$12&lt;&gt;"")*ROUND($Q206:$AA206,15-13*ORÇAMENTO!$AF$7))))</f>
        <v>0</v>
      </c>
      <c r="I206" s="645"/>
      <c r="K206" s="204"/>
      <c r="L206" s="205" t="s">
        <v>255</v>
      </c>
      <c r="M206" s="206">
        <f ca="1">IF($D206&lt;&gt;"Serviço","",IF(AUTOEVENTO="manual",$A206,IF(ISERROR(MATCH($A206,$A$15:OFFSET($A206,-1,0),0)),MAX($M$15:OFFSET(M206,-1,0))+1,INDEX($M$15:OFFSET(M206,-1,0),MATCH($A206,$A$15:OFFSET($A206,-1,0),0)))))</f>
        <v>6</v>
      </c>
      <c r="N206" s="207" t="str">
        <f ca="1">IF($D206&lt;&gt;"Serviço","",IF(AUTOEVENTO="Manual",IF($A206=0,"&lt;-- defina o número do agrupador",OFFSET(EVENTOS!$D$14,$A206,0)),OFFSET($F$15,$A206,0)))</f>
        <v>DRENAGEM</v>
      </c>
      <c r="O206" s="208"/>
      <c r="Q206" s="208"/>
      <c r="R206" s="209"/>
      <c r="S206" s="209"/>
      <c r="T206" s="209"/>
      <c r="U206" s="209"/>
      <c r="V206" s="209"/>
      <c r="W206" s="209"/>
      <c r="X206" s="209"/>
      <c r="Y206" s="209"/>
      <c r="Z206" s="210"/>
      <c r="AB206" s="626">
        <f ca="1">IF(AND($D206="Serviço",AB$12&lt;&gt;0,$H206&gt;0,OR(AUTOEVENTO&lt;&gt;"manual",$M206&lt;&gt;1)),
IF(Import.TipoArredondamento&lt;&gt;"TransfereGOV",
ROUND(OFFSET($P206,0,AB$13),15-13*ORÇAMENTO!$AF$7)/$H206*OFFSET(ORÇAMENTO!$X$15,ROW(AB206)-ROW(AB$15),0),
ROUND(ROUND(OFFSET($P206,0,AB$13),15-13*ORÇAMENTO!$AF$7)*OFFSET(ORÇAMENTO!$W$15,ROW(AB206)-ROW(AB$15),0),15-13*ORÇAMENTO!$AF$11)),0)</f>
        <v>0</v>
      </c>
      <c r="AC206" s="627">
        <f ca="1">IF(AND($D206="Serviço",AC$12&lt;&gt;0,$H206&gt;0,OR(AUTOEVENTO&lt;&gt;"manual",$M206&lt;&gt;1)),
IF(Import.TipoArredondamento&lt;&gt;"TransfereGOV",
ROUND(OFFSET($P206,0,AC$13),15-13*ORÇAMENTO!$AF$7)/$H206*OFFSET(ORÇAMENTO!$X$15,ROW(AC206)-ROW(AC$15),0),
ROUND(ROUND(OFFSET($P206,0,AC$13),15-13*ORÇAMENTO!$AF$7)*OFFSET(ORÇAMENTO!$W$15,ROW(AC206)-ROW(AC$15),0),15-13*ORÇAMENTO!$AF$11)),0)</f>
        <v>0</v>
      </c>
      <c r="AD206" s="627">
        <f ca="1">IF(AND($D206="Serviço",AD$12&lt;&gt;0,$H206&gt;0,OR(AUTOEVENTO&lt;&gt;"manual",$M206&lt;&gt;1)),
IF(Import.TipoArredondamento&lt;&gt;"TransfereGOV",
ROUND(OFFSET($P206,0,AD$13),15-13*ORÇAMENTO!$AF$7)/$H206*OFFSET(ORÇAMENTO!$X$15,ROW(AD206)-ROW(AD$15),0),
ROUND(ROUND(OFFSET($P206,0,AD$13),15-13*ORÇAMENTO!$AF$7)*OFFSET(ORÇAMENTO!$W$15,ROW(AD206)-ROW(AD$15),0),15-13*ORÇAMENTO!$AF$11)),0)</f>
        <v>0</v>
      </c>
      <c r="AE206" s="627">
        <f ca="1">IF(AND($D206="Serviço",AE$12&lt;&gt;0,$H206&gt;0,OR(AUTOEVENTO&lt;&gt;"manual",$M206&lt;&gt;1)),
IF(Import.TipoArredondamento&lt;&gt;"TransfereGOV",
ROUND(OFFSET($P206,0,AE$13),15-13*ORÇAMENTO!$AF$7)/$H206*OFFSET(ORÇAMENTO!$X$15,ROW(AE206)-ROW(AE$15),0),
ROUND(ROUND(OFFSET($P206,0,AE$13),15-13*ORÇAMENTO!$AF$7)*OFFSET(ORÇAMENTO!$W$15,ROW(AE206)-ROW(AE$15),0),15-13*ORÇAMENTO!$AF$11)),0)</f>
        <v>0</v>
      </c>
      <c r="AF206" s="627">
        <f ca="1">IF(AND($D206="Serviço",AF$12&lt;&gt;0,$H206&gt;0,OR(AUTOEVENTO&lt;&gt;"manual",$M206&lt;&gt;1)),
IF(Import.TipoArredondamento&lt;&gt;"TransfereGOV",
ROUND(OFFSET($P206,0,AF$13),15-13*ORÇAMENTO!$AF$7)/$H206*OFFSET(ORÇAMENTO!$X$15,ROW(AF206)-ROW(AF$15),0),
ROUND(ROUND(OFFSET($P206,0,AF$13),15-13*ORÇAMENTO!$AF$7)*OFFSET(ORÇAMENTO!$W$15,ROW(AF206)-ROW(AF$15),0),15-13*ORÇAMENTO!$AF$11)),0)</f>
        <v>0</v>
      </c>
      <c r="AG206" s="627">
        <f ca="1">IF(AND($D206="Serviço",AG$12&lt;&gt;0,$H206&gt;0,OR(AUTOEVENTO&lt;&gt;"manual",$M206&lt;&gt;1)),
IF(Import.TipoArredondamento&lt;&gt;"TransfereGOV",
ROUND(OFFSET($P206,0,AG$13),15-13*ORÇAMENTO!$AF$7)/$H206*OFFSET(ORÇAMENTO!$X$15,ROW(AG206)-ROW(AG$15),0),
ROUND(ROUND(OFFSET($P206,0,AG$13),15-13*ORÇAMENTO!$AF$7)*OFFSET(ORÇAMENTO!$W$15,ROW(AG206)-ROW(AG$15),0),15-13*ORÇAMENTO!$AF$11)),0)</f>
        <v>0</v>
      </c>
      <c r="AH206" s="627">
        <f ca="1">IF(AND($D206="Serviço",AH$12&lt;&gt;0,$H206&gt;0,OR(AUTOEVENTO&lt;&gt;"manual",$M206&lt;&gt;1)),
IF(Import.TipoArredondamento&lt;&gt;"TransfereGOV",
ROUND(OFFSET($P206,0,AH$13),15-13*ORÇAMENTO!$AF$7)/$H206*OFFSET(ORÇAMENTO!$X$15,ROW(AH206)-ROW(AH$15),0),
ROUND(ROUND(OFFSET($P206,0,AH$13),15-13*ORÇAMENTO!$AF$7)*OFFSET(ORÇAMENTO!$W$15,ROW(AH206)-ROW(AH$15),0),15-13*ORÇAMENTO!$AF$11)),0)</f>
        <v>0</v>
      </c>
      <c r="AI206" s="627">
        <f ca="1">IF(AND($D206="Serviço",AI$12&lt;&gt;0,$H206&gt;0,OR(AUTOEVENTO&lt;&gt;"manual",$M206&lt;&gt;1)),
IF(Import.TipoArredondamento&lt;&gt;"TransfereGOV",
ROUND(OFFSET($P206,0,AI$13),15-13*ORÇAMENTO!$AF$7)/$H206*OFFSET(ORÇAMENTO!$X$15,ROW(AI206)-ROW(AI$15),0),
ROUND(ROUND(OFFSET($P206,0,AI$13),15-13*ORÇAMENTO!$AF$7)*OFFSET(ORÇAMENTO!$W$15,ROW(AI206)-ROW(AI$15),0),15-13*ORÇAMENTO!$AF$11)),0)</f>
        <v>0</v>
      </c>
      <c r="AJ206" s="627">
        <f ca="1">IF(AND($D206="Serviço",AJ$12&lt;&gt;0,$H206&gt;0,OR(AUTOEVENTO&lt;&gt;"manual",$M206&lt;&gt;1)),
IF(Import.TipoArredondamento&lt;&gt;"TransfereGOV",
ROUND(OFFSET($P206,0,AJ$13),15-13*ORÇAMENTO!$AF$7)/$H206*OFFSET(ORÇAMENTO!$X$15,ROW(AJ206)-ROW(AJ$15),0),
ROUND(ROUND(OFFSET($P206,0,AJ$13),15-13*ORÇAMENTO!$AF$7)*OFFSET(ORÇAMENTO!$W$15,ROW(AJ206)-ROW(AJ$15),0),15-13*ORÇAMENTO!$AF$11)),0)</f>
        <v>0</v>
      </c>
      <c r="AK206" s="628">
        <f ca="1">IF(AND($D206="Serviço",AK$12&lt;&gt;0,$H206&gt;0,OR(AUTOEVENTO&lt;&gt;"manual",$M206&lt;&gt;1)),
IF(Import.TipoArredondamento&lt;&gt;"TransfereGOV",
ROUND(OFFSET($P206,0,AK$13),15-13*ORÇAMENTO!$AF$7)/$H206*OFFSET(ORÇAMENTO!$X$15,ROW(AK206)-ROW(AK$15),0),
ROUND(ROUND(OFFSET($P206,0,AK$13),15-13*ORÇAMENTO!$AF$7)*OFFSET(ORÇAMENTO!$W$15,ROW(AK206)-ROW(AK$15),0),15-13*ORÇAMENTO!$AF$11)),0)</f>
        <v>0</v>
      </c>
      <c r="AM206" s="211">
        <f ca="1">IF($D206&lt;&gt;"Serviço",0,IF(AND(AUTOEVENTO="Manual",$M206=1),0,IF(OFFSET(CRONOPLE!$F$14,$M206,AM$13)="",10^12,OFFSET(CRONOPLE!$F$14,$M206,AM$13))))</f>
        <v>2</v>
      </c>
      <c r="AN206" s="211">
        <f ca="1">IF($D206&lt;&gt;"Serviço",0,IF(AND(AUTOEVENTO="Manual",$M206=1),0,IF(OFFSET(CRONOPLE!$F$14,$M206,AN$13)="",10^12,OFFSET(CRONOPLE!$F$14,$M206,AN$13))))</f>
        <v>1</v>
      </c>
      <c r="AO206" s="211">
        <f ca="1">IF($D206&lt;&gt;"Serviço",0,IF(AND(AUTOEVENTO="Manual",$M206=1),0,IF(OFFSET(CRONOPLE!$F$14,$M206,AO$13)="",10^12,OFFSET(CRONOPLE!$F$14,$M206,AO$13))))</f>
        <v>2</v>
      </c>
      <c r="AP206" s="211">
        <f ca="1">IF($D206&lt;&gt;"Serviço",0,IF(AND(AUTOEVENTO="Manual",$M206=1),0,IF(OFFSET(CRONOPLE!$F$14,$M206,AP$13)="",10^12,OFFSET(CRONOPLE!$F$14,$M206,AP$13))))</f>
        <v>2</v>
      </c>
      <c r="AQ206" s="211">
        <f ca="1">IF($D206&lt;&gt;"Serviço",0,IF(AND(AUTOEVENTO="Manual",$M206=1),0,IF(OFFSET(CRONOPLE!$F$14,$M206,AQ$13)="",10^12,OFFSET(CRONOPLE!$F$14,$M206,AQ$13))))</f>
        <v>1000000000000</v>
      </c>
      <c r="AR206" s="211">
        <f ca="1">IF($D206&lt;&gt;"Serviço",0,IF(AND(AUTOEVENTO="Manual",$M206=1),0,IF(OFFSET(CRONOPLE!$F$14,$M206,AR$13)="",10^12,OFFSET(CRONOPLE!$F$14,$M206,AR$13))))</f>
        <v>1000000000000</v>
      </c>
      <c r="AS206" s="211">
        <f ca="1">IF($D206&lt;&gt;"Serviço",0,IF(AND(AUTOEVENTO="Manual",$M206=1),0,IF(OFFSET(CRONOPLE!$F$14,$M206,AS$13)="",10^12,OFFSET(CRONOPLE!$F$14,$M206,AS$13))))</f>
        <v>1000000000000</v>
      </c>
      <c r="AT206" s="211">
        <f ca="1">IF($D206&lt;&gt;"Serviço",0,IF(AND(AUTOEVENTO="Manual",$M206=1),0,IF(OFFSET(CRONOPLE!$F$14,$M206,AT$13)="",10^12,OFFSET(CRONOPLE!$F$14,$M206,AT$13))))</f>
        <v>1000000000000</v>
      </c>
      <c r="AU206" s="211">
        <f ca="1">IF($D206&lt;&gt;"Serviço",0,IF(AND(AUTOEVENTO="Manual",$M206=1),0,IF(OFFSET(CRONOPLE!$F$14,$M206,AU$13)="",10^12,OFFSET(CRONOPLE!$F$14,$M206,AU$13))))</f>
        <v>1000000000000</v>
      </c>
      <c r="AV206" s="211">
        <f ca="1">IF($D206&lt;&gt;"Serviço",0,IF(AND(AUTOEVENTO="Manual",$M206=1),0,IF(OFFSET(CRONOPLE!$F$14,$M206,AV$13)="",10^12,OFFSET(CRONOPLE!$F$14,$M206,AV$13))))</f>
        <v>1000000000000</v>
      </c>
      <c r="AX206" s="212">
        <f ca="1">IF($D206&lt;&gt;"Serviço",0,IF(OR(AND(AUTOEVENTO="Manual",$M206=1),$M206&gt;(ROW(PLE.lastrow)-ROW(PLE.firstrow))),0,IF(OFFSET(PLE!$G$14,$M206,AX$13)="",10^12,OFFSET(PLE!$G$14,$M206,AX$13))))</f>
        <v>1000000000000</v>
      </c>
      <c r="AY206" s="212">
        <f ca="1">IF($D206&lt;&gt;"Serviço",0,IF(OR(AND(AUTOEVENTO="Manual",$M206=1),$M206&gt;(ROW(PLE.lastrow)-ROW(PLE.firstrow))),0,IF(OFFSET(PLE!$G$14,$M206,AY$13)="",10^12,OFFSET(PLE!$G$14,$M206,AY$13))))</f>
        <v>1000000000000</v>
      </c>
      <c r="AZ206" s="212">
        <f ca="1">IF($D206&lt;&gt;"Serviço",0,IF(OR(AND(AUTOEVENTO="Manual",$M206=1),$M206&gt;(ROW(PLE.lastrow)-ROW(PLE.firstrow))),0,IF(OFFSET(PLE!$G$14,$M206,AZ$13)="",10^12,OFFSET(PLE!$G$14,$M206,AZ$13))))</f>
        <v>1000000000000</v>
      </c>
      <c r="BA206" s="212">
        <f ca="1">IF($D206&lt;&gt;"Serviço",0,IF(OR(AND(AUTOEVENTO="Manual",$M206=1),$M206&gt;(ROW(PLE.lastrow)-ROW(PLE.firstrow))),0,IF(OFFSET(PLE!$G$14,$M206,BA$13)="",10^12,OFFSET(PLE!$G$14,$M206,BA$13))))</f>
        <v>1000000000000</v>
      </c>
      <c r="BB206" s="212">
        <f ca="1">IF($D206&lt;&gt;"Serviço",0,IF(OR(AND(AUTOEVENTO="Manual",$M206=1),$M206&gt;(ROW(PLE.lastrow)-ROW(PLE.firstrow))),0,IF(OFFSET(PLE!$G$14,$M206,BB$13)="",10^12,OFFSET(PLE!$G$14,$M206,BB$13))))</f>
        <v>1000000000000</v>
      </c>
      <c r="BC206" s="212">
        <f ca="1">IF($D206&lt;&gt;"Serviço",0,IF(OR(AND(AUTOEVENTO="Manual",$M206=1),$M206&gt;(ROW(PLE.lastrow)-ROW(PLE.firstrow))),0,IF(OFFSET(PLE!$G$14,$M206,BC$13)="",10^12,OFFSET(PLE!$G$14,$M206,BC$13))))</f>
        <v>1000000000000</v>
      </c>
      <c r="BD206" s="212">
        <f ca="1">IF($D206&lt;&gt;"Serviço",0,IF(OR(AND(AUTOEVENTO="Manual",$M206=1),$M206&gt;(ROW(PLE.lastrow)-ROW(PLE.firstrow))),0,IF(OFFSET(PLE!$G$14,$M206,BD$13)="",10^12,OFFSET(PLE!$G$14,$M206,BD$13))))</f>
        <v>1000000000000</v>
      </c>
      <c r="BE206" s="212">
        <f ca="1">IF($D206&lt;&gt;"Serviço",0,IF(OR(AND(AUTOEVENTO="Manual",$M206=1),$M206&gt;(ROW(PLE.lastrow)-ROW(PLE.firstrow))),0,IF(OFFSET(PLE!$G$14,$M206,BE$13)="",10^12,OFFSET(PLE!$G$14,$M206,BE$13))))</f>
        <v>1000000000000</v>
      </c>
      <c r="BF206" s="212">
        <f ca="1">IF($D206&lt;&gt;"Serviço",0,IF(OR(AND(AUTOEVENTO="Manual",$M206=1),$M206&gt;(ROW(PLE.lastrow)-ROW(PLE.firstrow))),0,IF(OFFSET(PLE!$G$14,$M206,BF$13)="",10^12,OFFSET(PLE!$G$14,$M206,BF$13))))</f>
        <v>1000000000000</v>
      </c>
      <c r="BG206" s="212">
        <f ca="1">IF($D206&lt;&gt;"Serviço",0,IF(OR(AND(AUTOEVENTO="Manual",$M206=1),$M206&gt;(ROW(PLE.lastrow)-ROW(PLE.firstrow))),0,IF(OFFSET(PLE!$G$14,$M206,BG$13)="",10^12,OFFSET(PLE!$G$14,$M206,BG$13))))</f>
        <v>1000000000000</v>
      </c>
    </row>
    <row r="207" spans="1:59" ht="13.2">
      <c r="A207" s="9" t="str">
        <f t="shared" ca="1" si="12"/>
        <v>15</v>
      </c>
      <c r="B207" s="9" t="str">
        <f ca="1">OFFSET(ORÇAMENTO!C$15,ROW(B207)-ROW(B$15),0)</f>
        <v>S</v>
      </c>
      <c r="C207" s="9" t="str">
        <f ca="1">OFFSET(ORÇAMENTO!L$15,ROW(C207)-ROW(C$15),0)</f>
        <v/>
      </c>
      <c r="D207" s="141" t="str">
        <f ca="1">OFFSET(ORÇAMENTO!N$15,ROW(D207)-ROW(D$15),0)</f>
        <v>Serviço</v>
      </c>
      <c r="E207" s="201" t="str">
        <f ca="1">OFFSET(ORÇAMENTO!O$15,ROW(E207)-ROW(E$15),0)</f>
        <v>-</v>
      </c>
      <c r="F207" s="202" t="str">
        <f ca="1">OFFSET(ORÇAMENTO!R$15,ROW(F207)-ROW(F$15),0)</f>
        <v>(abra o arquivo 'Referência 11-2024.xlsm)</v>
      </c>
      <c r="G207" s="203" t="str">
        <f ca="1">IF($D207&lt;&gt;"Serviço","",OFFSET(ORÇAMENTO!S$15,ROW(G207)-ROW(G$15),0))</f>
        <v>-</v>
      </c>
      <c r="H207" s="147">
        <f ca="1">IF($D207&lt;&gt;"Serviço",0,IF(ACOMPANHAMENTO="BM",ROUND(OFFSET(ORÇAMENTO!AJ$15,ROW(H207)-ROW(H$15),0),15-13*ORÇAMENTO!$AF$7),SUMPRODUCT(($Q$12:$AA$12&lt;&gt;"")*ROUND($Q207:$AA207,15-13*ORÇAMENTO!$AF$7))))</f>
        <v>0</v>
      </c>
      <c r="I207" s="645"/>
      <c r="K207" s="204"/>
      <c r="L207" s="205" t="s">
        <v>255</v>
      </c>
      <c r="M207" s="206">
        <f ca="1">IF($D207&lt;&gt;"Serviço","",IF(AUTOEVENTO="manual",$A207,IF(ISERROR(MATCH($A207,$A$15:OFFSET($A207,-1,0),0)),MAX($M$15:OFFSET(M207,-1,0))+1,INDEX($M$15:OFFSET(M207,-1,0),MATCH($A207,$A$15:OFFSET($A207,-1,0),0)))))</f>
        <v>6</v>
      </c>
      <c r="N207" s="207" t="str">
        <f ca="1">IF($D207&lt;&gt;"Serviço","",IF(AUTOEVENTO="Manual",IF($A207=0,"&lt;-- defina o número do agrupador",OFFSET(EVENTOS!$D$14,$A207,0)),OFFSET($F$15,$A207,0)))</f>
        <v>DRENAGEM</v>
      </c>
      <c r="O207" s="208"/>
      <c r="Q207" s="208"/>
      <c r="R207" s="209"/>
      <c r="S207" s="209"/>
      <c r="T207" s="209"/>
      <c r="U207" s="209"/>
      <c r="V207" s="209"/>
      <c r="W207" s="209"/>
      <c r="X207" s="209"/>
      <c r="Y207" s="209"/>
      <c r="Z207" s="210"/>
      <c r="AB207" s="626">
        <f ca="1">IF(AND($D207="Serviço",AB$12&lt;&gt;0,$H207&gt;0,OR(AUTOEVENTO&lt;&gt;"manual",$M207&lt;&gt;1)),
IF(Import.TipoArredondamento&lt;&gt;"TransfereGOV",
ROUND(OFFSET($P207,0,AB$13),15-13*ORÇAMENTO!$AF$7)/$H207*OFFSET(ORÇAMENTO!$X$15,ROW(AB207)-ROW(AB$15),0),
ROUND(ROUND(OFFSET($P207,0,AB$13),15-13*ORÇAMENTO!$AF$7)*OFFSET(ORÇAMENTO!$W$15,ROW(AB207)-ROW(AB$15),0),15-13*ORÇAMENTO!$AF$11)),0)</f>
        <v>0</v>
      </c>
      <c r="AC207" s="627">
        <f ca="1">IF(AND($D207="Serviço",AC$12&lt;&gt;0,$H207&gt;0,OR(AUTOEVENTO&lt;&gt;"manual",$M207&lt;&gt;1)),
IF(Import.TipoArredondamento&lt;&gt;"TransfereGOV",
ROUND(OFFSET($P207,0,AC$13),15-13*ORÇAMENTO!$AF$7)/$H207*OFFSET(ORÇAMENTO!$X$15,ROW(AC207)-ROW(AC$15),0),
ROUND(ROUND(OFFSET($P207,0,AC$13),15-13*ORÇAMENTO!$AF$7)*OFFSET(ORÇAMENTO!$W$15,ROW(AC207)-ROW(AC$15),0),15-13*ORÇAMENTO!$AF$11)),0)</f>
        <v>0</v>
      </c>
      <c r="AD207" s="627">
        <f ca="1">IF(AND($D207="Serviço",AD$12&lt;&gt;0,$H207&gt;0,OR(AUTOEVENTO&lt;&gt;"manual",$M207&lt;&gt;1)),
IF(Import.TipoArredondamento&lt;&gt;"TransfereGOV",
ROUND(OFFSET($P207,0,AD$13),15-13*ORÇAMENTO!$AF$7)/$H207*OFFSET(ORÇAMENTO!$X$15,ROW(AD207)-ROW(AD$15),0),
ROUND(ROUND(OFFSET($P207,0,AD$13),15-13*ORÇAMENTO!$AF$7)*OFFSET(ORÇAMENTO!$W$15,ROW(AD207)-ROW(AD$15),0),15-13*ORÇAMENTO!$AF$11)),0)</f>
        <v>0</v>
      </c>
      <c r="AE207" s="627">
        <f ca="1">IF(AND($D207="Serviço",AE$12&lt;&gt;0,$H207&gt;0,OR(AUTOEVENTO&lt;&gt;"manual",$M207&lt;&gt;1)),
IF(Import.TipoArredondamento&lt;&gt;"TransfereGOV",
ROUND(OFFSET($P207,0,AE$13),15-13*ORÇAMENTO!$AF$7)/$H207*OFFSET(ORÇAMENTO!$X$15,ROW(AE207)-ROW(AE$15),0),
ROUND(ROUND(OFFSET($P207,0,AE$13),15-13*ORÇAMENTO!$AF$7)*OFFSET(ORÇAMENTO!$W$15,ROW(AE207)-ROW(AE$15),0),15-13*ORÇAMENTO!$AF$11)),0)</f>
        <v>0</v>
      </c>
      <c r="AF207" s="627">
        <f ca="1">IF(AND($D207="Serviço",AF$12&lt;&gt;0,$H207&gt;0,OR(AUTOEVENTO&lt;&gt;"manual",$M207&lt;&gt;1)),
IF(Import.TipoArredondamento&lt;&gt;"TransfereGOV",
ROUND(OFFSET($P207,0,AF$13),15-13*ORÇAMENTO!$AF$7)/$H207*OFFSET(ORÇAMENTO!$X$15,ROW(AF207)-ROW(AF$15),0),
ROUND(ROUND(OFFSET($P207,0,AF$13),15-13*ORÇAMENTO!$AF$7)*OFFSET(ORÇAMENTO!$W$15,ROW(AF207)-ROW(AF$15),0),15-13*ORÇAMENTO!$AF$11)),0)</f>
        <v>0</v>
      </c>
      <c r="AG207" s="627">
        <f ca="1">IF(AND($D207="Serviço",AG$12&lt;&gt;0,$H207&gt;0,OR(AUTOEVENTO&lt;&gt;"manual",$M207&lt;&gt;1)),
IF(Import.TipoArredondamento&lt;&gt;"TransfereGOV",
ROUND(OFFSET($P207,0,AG$13),15-13*ORÇAMENTO!$AF$7)/$H207*OFFSET(ORÇAMENTO!$X$15,ROW(AG207)-ROW(AG$15),0),
ROUND(ROUND(OFFSET($P207,0,AG$13),15-13*ORÇAMENTO!$AF$7)*OFFSET(ORÇAMENTO!$W$15,ROW(AG207)-ROW(AG$15),0),15-13*ORÇAMENTO!$AF$11)),0)</f>
        <v>0</v>
      </c>
      <c r="AH207" s="627">
        <f ca="1">IF(AND($D207="Serviço",AH$12&lt;&gt;0,$H207&gt;0,OR(AUTOEVENTO&lt;&gt;"manual",$M207&lt;&gt;1)),
IF(Import.TipoArredondamento&lt;&gt;"TransfereGOV",
ROUND(OFFSET($P207,0,AH$13),15-13*ORÇAMENTO!$AF$7)/$H207*OFFSET(ORÇAMENTO!$X$15,ROW(AH207)-ROW(AH$15),0),
ROUND(ROUND(OFFSET($P207,0,AH$13),15-13*ORÇAMENTO!$AF$7)*OFFSET(ORÇAMENTO!$W$15,ROW(AH207)-ROW(AH$15),0),15-13*ORÇAMENTO!$AF$11)),0)</f>
        <v>0</v>
      </c>
      <c r="AI207" s="627">
        <f ca="1">IF(AND($D207="Serviço",AI$12&lt;&gt;0,$H207&gt;0,OR(AUTOEVENTO&lt;&gt;"manual",$M207&lt;&gt;1)),
IF(Import.TipoArredondamento&lt;&gt;"TransfereGOV",
ROUND(OFFSET($P207,0,AI$13),15-13*ORÇAMENTO!$AF$7)/$H207*OFFSET(ORÇAMENTO!$X$15,ROW(AI207)-ROW(AI$15),0),
ROUND(ROUND(OFFSET($P207,0,AI$13),15-13*ORÇAMENTO!$AF$7)*OFFSET(ORÇAMENTO!$W$15,ROW(AI207)-ROW(AI$15),0),15-13*ORÇAMENTO!$AF$11)),0)</f>
        <v>0</v>
      </c>
      <c r="AJ207" s="627">
        <f ca="1">IF(AND($D207="Serviço",AJ$12&lt;&gt;0,$H207&gt;0,OR(AUTOEVENTO&lt;&gt;"manual",$M207&lt;&gt;1)),
IF(Import.TipoArredondamento&lt;&gt;"TransfereGOV",
ROUND(OFFSET($P207,0,AJ$13),15-13*ORÇAMENTO!$AF$7)/$H207*OFFSET(ORÇAMENTO!$X$15,ROW(AJ207)-ROW(AJ$15),0),
ROUND(ROUND(OFFSET($P207,0,AJ$13),15-13*ORÇAMENTO!$AF$7)*OFFSET(ORÇAMENTO!$W$15,ROW(AJ207)-ROW(AJ$15),0),15-13*ORÇAMENTO!$AF$11)),0)</f>
        <v>0</v>
      </c>
      <c r="AK207" s="628">
        <f ca="1">IF(AND($D207="Serviço",AK$12&lt;&gt;0,$H207&gt;0,OR(AUTOEVENTO&lt;&gt;"manual",$M207&lt;&gt;1)),
IF(Import.TipoArredondamento&lt;&gt;"TransfereGOV",
ROUND(OFFSET($P207,0,AK$13),15-13*ORÇAMENTO!$AF$7)/$H207*OFFSET(ORÇAMENTO!$X$15,ROW(AK207)-ROW(AK$15),0),
ROUND(ROUND(OFFSET($P207,0,AK$13),15-13*ORÇAMENTO!$AF$7)*OFFSET(ORÇAMENTO!$W$15,ROW(AK207)-ROW(AK$15),0),15-13*ORÇAMENTO!$AF$11)),0)</f>
        <v>0</v>
      </c>
      <c r="AM207" s="211">
        <f ca="1">IF($D207&lt;&gt;"Serviço",0,IF(AND(AUTOEVENTO="Manual",$M207=1),0,IF(OFFSET(CRONOPLE!$F$14,$M207,AM$13)="",10^12,OFFSET(CRONOPLE!$F$14,$M207,AM$13))))</f>
        <v>2</v>
      </c>
      <c r="AN207" s="211">
        <f ca="1">IF($D207&lt;&gt;"Serviço",0,IF(AND(AUTOEVENTO="Manual",$M207=1),0,IF(OFFSET(CRONOPLE!$F$14,$M207,AN$13)="",10^12,OFFSET(CRONOPLE!$F$14,$M207,AN$13))))</f>
        <v>1</v>
      </c>
      <c r="AO207" s="211">
        <f ca="1">IF($D207&lt;&gt;"Serviço",0,IF(AND(AUTOEVENTO="Manual",$M207=1),0,IF(OFFSET(CRONOPLE!$F$14,$M207,AO$13)="",10^12,OFFSET(CRONOPLE!$F$14,$M207,AO$13))))</f>
        <v>2</v>
      </c>
      <c r="AP207" s="211">
        <f ca="1">IF($D207&lt;&gt;"Serviço",0,IF(AND(AUTOEVENTO="Manual",$M207=1),0,IF(OFFSET(CRONOPLE!$F$14,$M207,AP$13)="",10^12,OFFSET(CRONOPLE!$F$14,$M207,AP$13))))</f>
        <v>2</v>
      </c>
      <c r="AQ207" s="211">
        <f ca="1">IF($D207&lt;&gt;"Serviço",0,IF(AND(AUTOEVENTO="Manual",$M207=1),0,IF(OFFSET(CRONOPLE!$F$14,$M207,AQ$13)="",10^12,OFFSET(CRONOPLE!$F$14,$M207,AQ$13))))</f>
        <v>1000000000000</v>
      </c>
      <c r="AR207" s="211">
        <f ca="1">IF($D207&lt;&gt;"Serviço",0,IF(AND(AUTOEVENTO="Manual",$M207=1),0,IF(OFFSET(CRONOPLE!$F$14,$M207,AR$13)="",10^12,OFFSET(CRONOPLE!$F$14,$M207,AR$13))))</f>
        <v>1000000000000</v>
      </c>
      <c r="AS207" s="211">
        <f ca="1">IF($D207&lt;&gt;"Serviço",0,IF(AND(AUTOEVENTO="Manual",$M207=1),0,IF(OFFSET(CRONOPLE!$F$14,$M207,AS$13)="",10^12,OFFSET(CRONOPLE!$F$14,$M207,AS$13))))</f>
        <v>1000000000000</v>
      </c>
      <c r="AT207" s="211">
        <f ca="1">IF($D207&lt;&gt;"Serviço",0,IF(AND(AUTOEVENTO="Manual",$M207=1),0,IF(OFFSET(CRONOPLE!$F$14,$M207,AT$13)="",10^12,OFFSET(CRONOPLE!$F$14,$M207,AT$13))))</f>
        <v>1000000000000</v>
      </c>
      <c r="AU207" s="211">
        <f ca="1">IF($D207&lt;&gt;"Serviço",0,IF(AND(AUTOEVENTO="Manual",$M207=1),0,IF(OFFSET(CRONOPLE!$F$14,$M207,AU$13)="",10^12,OFFSET(CRONOPLE!$F$14,$M207,AU$13))))</f>
        <v>1000000000000</v>
      </c>
      <c r="AV207" s="211">
        <f ca="1">IF($D207&lt;&gt;"Serviço",0,IF(AND(AUTOEVENTO="Manual",$M207=1),0,IF(OFFSET(CRONOPLE!$F$14,$M207,AV$13)="",10^12,OFFSET(CRONOPLE!$F$14,$M207,AV$13))))</f>
        <v>1000000000000</v>
      </c>
      <c r="AX207" s="212">
        <f ca="1">IF($D207&lt;&gt;"Serviço",0,IF(OR(AND(AUTOEVENTO="Manual",$M207=1),$M207&gt;(ROW(PLE.lastrow)-ROW(PLE.firstrow))),0,IF(OFFSET(PLE!$G$14,$M207,AX$13)="",10^12,OFFSET(PLE!$G$14,$M207,AX$13))))</f>
        <v>1000000000000</v>
      </c>
      <c r="AY207" s="212">
        <f ca="1">IF($D207&lt;&gt;"Serviço",0,IF(OR(AND(AUTOEVENTO="Manual",$M207=1),$M207&gt;(ROW(PLE.lastrow)-ROW(PLE.firstrow))),0,IF(OFFSET(PLE!$G$14,$M207,AY$13)="",10^12,OFFSET(PLE!$G$14,$M207,AY$13))))</f>
        <v>1000000000000</v>
      </c>
      <c r="AZ207" s="212">
        <f ca="1">IF($D207&lt;&gt;"Serviço",0,IF(OR(AND(AUTOEVENTO="Manual",$M207=1),$M207&gt;(ROW(PLE.lastrow)-ROW(PLE.firstrow))),0,IF(OFFSET(PLE!$G$14,$M207,AZ$13)="",10^12,OFFSET(PLE!$G$14,$M207,AZ$13))))</f>
        <v>1000000000000</v>
      </c>
      <c r="BA207" s="212">
        <f ca="1">IF($D207&lt;&gt;"Serviço",0,IF(OR(AND(AUTOEVENTO="Manual",$M207=1),$M207&gt;(ROW(PLE.lastrow)-ROW(PLE.firstrow))),0,IF(OFFSET(PLE!$G$14,$M207,BA$13)="",10^12,OFFSET(PLE!$G$14,$M207,BA$13))))</f>
        <v>1000000000000</v>
      </c>
      <c r="BB207" s="212">
        <f ca="1">IF($D207&lt;&gt;"Serviço",0,IF(OR(AND(AUTOEVENTO="Manual",$M207=1),$M207&gt;(ROW(PLE.lastrow)-ROW(PLE.firstrow))),0,IF(OFFSET(PLE!$G$14,$M207,BB$13)="",10^12,OFFSET(PLE!$G$14,$M207,BB$13))))</f>
        <v>1000000000000</v>
      </c>
      <c r="BC207" s="212">
        <f ca="1">IF($D207&lt;&gt;"Serviço",0,IF(OR(AND(AUTOEVENTO="Manual",$M207=1),$M207&gt;(ROW(PLE.lastrow)-ROW(PLE.firstrow))),0,IF(OFFSET(PLE!$G$14,$M207,BC$13)="",10^12,OFFSET(PLE!$G$14,$M207,BC$13))))</f>
        <v>1000000000000</v>
      </c>
      <c r="BD207" s="212">
        <f ca="1">IF($D207&lt;&gt;"Serviço",0,IF(OR(AND(AUTOEVENTO="Manual",$M207=1),$M207&gt;(ROW(PLE.lastrow)-ROW(PLE.firstrow))),0,IF(OFFSET(PLE!$G$14,$M207,BD$13)="",10^12,OFFSET(PLE!$G$14,$M207,BD$13))))</f>
        <v>1000000000000</v>
      </c>
      <c r="BE207" s="212">
        <f ca="1">IF($D207&lt;&gt;"Serviço",0,IF(OR(AND(AUTOEVENTO="Manual",$M207=1),$M207&gt;(ROW(PLE.lastrow)-ROW(PLE.firstrow))),0,IF(OFFSET(PLE!$G$14,$M207,BE$13)="",10^12,OFFSET(PLE!$G$14,$M207,BE$13))))</f>
        <v>1000000000000</v>
      </c>
      <c r="BF207" s="212">
        <f ca="1">IF($D207&lt;&gt;"Serviço",0,IF(OR(AND(AUTOEVENTO="Manual",$M207=1),$M207&gt;(ROW(PLE.lastrow)-ROW(PLE.firstrow))),0,IF(OFFSET(PLE!$G$14,$M207,BF$13)="",10^12,OFFSET(PLE!$G$14,$M207,BF$13))))</f>
        <v>1000000000000</v>
      </c>
      <c r="BG207" s="212">
        <f ca="1">IF($D207&lt;&gt;"Serviço",0,IF(OR(AND(AUTOEVENTO="Manual",$M207=1),$M207&gt;(ROW(PLE.lastrow)-ROW(PLE.firstrow))),0,IF(OFFSET(PLE!$G$14,$M207,BG$13)="",10^12,OFFSET(PLE!$G$14,$M207,BG$13))))</f>
        <v>1000000000000</v>
      </c>
    </row>
    <row r="208" spans="1:59" ht="13.2">
      <c r="A208" s="9" t="str">
        <f t="shared" ca="1" si="12"/>
        <v>15</v>
      </c>
      <c r="B208" s="9" t="str">
        <f ca="1">OFFSET(ORÇAMENTO!C$15,ROW(B208)-ROW(B$15),0)</f>
        <v>S</v>
      </c>
      <c r="C208" s="9" t="str">
        <f ca="1">OFFSET(ORÇAMENTO!L$15,ROW(C208)-ROW(C$15),0)</f>
        <v/>
      </c>
      <c r="D208" s="141" t="str">
        <f ca="1">OFFSET(ORÇAMENTO!N$15,ROW(D208)-ROW(D$15),0)</f>
        <v>Serviço</v>
      </c>
      <c r="E208" s="201" t="str">
        <f ca="1">OFFSET(ORÇAMENTO!O$15,ROW(E208)-ROW(E$15),0)</f>
        <v>-</v>
      </c>
      <c r="F208" s="202" t="str">
        <f ca="1">OFFSET(ORÇAMENTO!R$15,ROW(F208)-ROW(F$15),0)</f>
        <v>(abra o arquivo 'Referência 11-2024.xlsm)</v>
      </c>
      <c r="G208" s="203" t="str">
        <f ca="1">IF($D208&lt;&gt;"Serviço","",OFFSET(ORÇAMENTO!S$15,ROW(G208)-ROW(G$15),0))</f>
        <v>-</v>
      </c>
      <c r="H208" s="147">
        <f ca="1">IF($D208&lt;&gt;"Serviço",0,IF(ACOMPANHAMENTO="BM",ROUND(OFFSET(ORÇAMENTO!AJ$15,ROW(H208)-ROW(H$15),0),15-13*ORÇAMENTO!$AF$7),SUMPRODUCT(($Q$12:$AA$12&lt;&gt;"")*ROUND($Q208:$AA208,15-13*ORÇAMENTO!$AF$7))))</f>
        <v>0</v>
      </c>
      <c r="I208" s="645"/>
      <c r="K208" s="204"/>
      <c r="L208" s="205" t="s">
        <v>255</v>
      </c>
      <c r="M208" s="206">
        <f ca="1">IF($D208&lt;&gt;"Serviço","",IF(AUTOEVENTO="manual",$A208,IF(ISERROR(MATCH($A208,$A$15:OFFSET($A208,-1,0),0)),MAX($M$15:OFFSET(M208,-1,0))+1,INDEX($M$15:OFFSET(M208,-1,0),MATCH($A208,$A$15:OFFSET($A208,-1,0),0)))))</f>
        <v>6</v>
      </c>
      <c r="N208" s="207" t="str">
        <f ca="1">IF($D208&lt;&gt;"Serviço","",IF(AUTOEVENTO="Manual",IF($A208=0,"&lt;-- defina o número do agrupador",OFFSET(EVENTOS!$D$14,$A208,0)),OFFSET($F$15,$A208,0)))</f>
        <v>DRENAGEM</v>
      </c>
      <c r="O208" s="208"/>
      <c r="Q208" s="208"/>
      <c r="R208" s="209"/>
      <c r="S208" s="209"/>
      <c r="T208" s="209"/>
      <c r="U208" s="209"/>
      <c r="V208" s="209"/>
      <c r="W208" s="209"/>
      <c r="X208" s="209"/>
      <c r="Y208" s="209"/>
      <c r="Z208" s="210"/>
      <c r="AB208" s="626">
        <f ca="1">IF(AND($D208="Serviço",AB$12&lt;&gt;0,$H208&gt;0,OR(AUTOEVENTO&lt;&gt;"manual",$M208&lt;&gt;1)),
IF(Import.TipoArredondamento&lt;&gt;"TransfereGOV",
ROUND(OFFSET($P208,0,AB$13),15-13*ORÇAMENTO!$AF$7)/$H208*OFFSET(ORÇAMENTO!$X$15,ROW(AB208)-ROW(AB$15),0),
ROUND(ROUND(OFFSET($P208,0,AB$13),15-13*ORÇAMENTO!$AF$7)*OFFSET(ORÇAMENTO!$W$15,ROW(AB208)-ROW(AB$15),0),15-13*ORÇAMENTO!$AF$11)),0)</f>
        <v>0</v>
      </c>
      <c r="AC208" s="627">
        <f ca="1">IF(AND($D208="Serviço",AC$12&lt;&gt;0,$H208&gt;0,OR(AUTOEVENTO&lt;&gt;"manual",$M208&lt;&gt;1)),
IF(Import.TipoArredondamento&lt;&gt;"TransfereGOV",
ROUND(OFFSET($P208,0,AC$13),15-13*ORÇAMENTO!$AF$7)/$H208*OFFSET(ORÇAMENTO!$X$15,ROW(AC208)-ROW(AC$15),0),
ROUND(ROUND(OFFSET($P208,0,AC$13),15-13*ORÇAMENTO!$AF$7)*OFFSET(ORÇAMENTO!$W$15,ROW(AC208)-ROW(AC$15),0),15-13*ORÇAMENTO!$AF$11)),0)</f>
        <v>0</v>
      </c>
      <c r="AD208" s="627">
        <f ca="1">IF(AND($D208="Serviço",AD$12&lt;&gt;0,$H208&gt;0,OR(AUTOEVENTO&lt;&gt;"manual",$M208&lt;&gt;1)),
IF(Import.TipoArredondamento&lt;&gt;"TransfereGOV",
ROUND(OFFSET($P208,0,AD$13),15-13*ORÇAMENTO!$AF$7)/$H208*OFFSET(ORÇAMENTO!$X$15,ROW(AD208)-ROW(AD$15),0),
ROUND(ROUND(OFFSET($P208,0,AD$13),15-13*ORÇAMENTO!$AF$7)*OFFSET(ORÇAMENTO!$W$15,ROW(AD208)-ROW(AD$15),0),15-13*ORÇAMENTO!$AF$11)),0)</f>
        <v>0</v>
      </c>
      <c r="AE208" s="627">
        <f ca="1">IF(AND($D208="Serviço",AE$12&lt;&gt;0,$H208&gt;0,OR(AUTOEVENTO&lt;&gt;"manual",$M208&lt;&gt;1)),
IF(Import.TipoArredondamento&lt;&gt;"TransfereGOV",
ROUND(OFFSET($P208,0,AE$13),15-13*ORÇAMENTO!$AF$7)/$H208*OFFSET(ORÇAMENTO!$X$15,ROW(AE208)-ROW(AE$15),0),
ROUND(ROUND(OFFSET($P208,0,AE$13),15-13*ORÇAMENTO!$AF$7)*OFFSET(ORÇAMENTO!$W$15,ROW(AE208)-ROW(AE$15),0),15-13*ORÇAMENTO!$AF$11)),0)</f>
        <v>0</v>
      </c>
      <c r="AF208" s="627">
        <f ca="1">IF(AND($D208="Serviço",AF$12&lt;&gt;0,$H208&gt;0,OR(AUTOEVENTO&lt;&gt;"manual",$M208&lt;&gt;1)),
IF(Import.TipoArredondamento&lt;&gt;"TransfereGOV",
ROUND(OFFSET($P208,0,AF$13),15-13*ORÇAMENTO!$AF$7)/$H208*OFFSET(ORÇAMENTO!$X$15,ROW(AF208)-ROW(AF$15),0),
ROUND(ROUND(OFFSET($P208,0,AF$13),15-13*ORÇAMENTO!$AF$7)*OFFSET(ORÇAMENTO!$W$15,ROW(AF208)-ROW(AF$15),0),15-13*ORÇAMENTO!$AF$11)),0)</f>
        <v>0</v>
      </c>
      <c r="AG208" s="627">
        <f ca="1">IF(AND($D208="Serviço",AG$12&lt;&gt;0,$H208&gt;0,OR(AUTOEVENTO&lt;&gt;"manual",$M208&lt;&gt;1)),
IF(Import.TipoArredondamento&lt;&gt;"TransfereGOV",
ROUND(OFFSET($P208,0,AG$13),15-13*ORÇAMENTO!$AF$7)/$H208*OFFSET(ORÇAMENTO!$X$15,ROW(AG208)-ROW(AG$15),0),
ROUND(ROUND(OFFSET($P208,0,AG$13),15-13*ORÇAMENTO!$AF$7)*OFFSET(ORÇAMENTO!$W$15,ROW(AG208)-ROW(AG$15),0),15-13*ORÇAMENTO!$AF$11)),0)</f>
        <v>0</v>
      </c>
      <c r="AH208" s="627">
        <f ca="1">IF(AND($D208="Serviço",AH$12&lt;&gt;0,$H208&gt;0,OR(AUTOEVENTO&lt;&gt;"manual",$M208&lt;&gt;1)),
IF(Import.TipoArredondamento&lt;&gt;"TransfereGOV",
ROUND(OFFSET($P208,0,AH$13),15-13*ORÇAMENTO!$AF$7)/$H208*OFFSET(ORÇAMENTO!$X$15,ROW(AH208)-ROW(AH$15),0),
ROUND(ROUND(OFFSET($P208,0,AH$13),15-13*ORÇAMENTO!$AF$7)*OFFSET(ORÇAMENTO!$W$15,ROW(AH208)-ROW(AH$15),0),15-13*ORÇAMENTO!$AF$11)),0)</f>
        <v>0</v>
      </c>
      <c r="AI208" s="627">
        <f ca="1">IF(AND($D208="Serviço",AI$12&lt;&gt;0,$H208&gt;0,OR(AUTOEVENTO&lt;&gt;"manual",$M208&lt;&gt;1)),
IF(Import.TipoArredondamento&lt;&gt;"TransfereGOV",
ROUND(OFFSET($P208,0,AI$13),15-13*ORÇAMENTO!$AF$7)/$H208*OFFSET(ORÇAMENTO!$X$15,ROW(AI208)-ROW(AI$15),0),
ROUND(ROUND(OFFSET($P208,0,AI$13),15-13*ORÇAMENTO!$AF$7)*OFFSET(ORÇAMENTO!$W$15,ROW(AI208)-ROW(AI$15),0),15-13*ORÇAMENTO!$AF$11)),0)</f>
        <v>0</v>
      </c>
      <c r="AJ208" s="627">
        <f ca="1">IF(AND($D208="Serviço",AJ$12&lt;&gt;0,$H208&gt;0,OR(AUTOEVENTO&lt;&gt;"manual",$M208&lt;&gt;1)),
IF(Import.TipoArredondamento&lt;&gt;"TransfereGOV",
ROUND(OFFSET($P208,0,AJ$13),15-13*ORÇAMENTO!$AF$7)/$H208*OFFSET(ORÇAMENTO!$X$15,ROW(AJ208)-ROW(AJ$15),0),
ROUND(ROUND(OFFSET($P208,0,AJ$13),15-13*ORÇAMENTO!$AF$7)*OFFSET(ORÇAMENTO!$W$15,ROW(AJ208)-ROW(AJ$15),0),15-13*ORÇAMENTO!$AF$11)),0)</f>
        <v>0</v>
      </c>
      <c r="AK208" s="628">
        <f ca="1">IF(AND($D208="Serviço",AK$12&lt;&gt;0,$H208&gt;0,OR(AUTOEVENTO&lt;&gt;"manual",$M208&lt;&gt;1)),
IF(Import.TipoArredondamento&lt;&gt;"TransfereGOV",
ROUND(OFFSET($P208,0,AK$13),15-13*ORÇAMENTO!$AF$7)/$H208*OFFSET(ORÇAMENTO!$X$15,ROW(AK208)-ROW(AK$15),0),
ROUND(ROUND(OFFSET($P208,0,AK$13),15-13*ORÇAMENTO!$AF$7)*OFFSET(ORÇAMENTO!$W$15,ROW(AK208)-ROW(AK$15),0),15-13*ORÇAMENTO!$AF$11)),0)</f>
        <v>0</v>
      </c>
      <c r="AM208" s="211">
        <f ca="1">IF($D208&lt;&gt;"Serviço",0,IF(AND(AUTOEVENTO="Manual",$M208=1),0,IF(OFFSET(CRONOPLE!$F$14,$M208,AM$13)="",10^12,OFFSET(CRONOPLE!$F$14,$M208,AM$13))))</f>
        <v>2</v>
      </c>
      <c r="AN208" s="211">
        <f ca="1">IF($D208&lt;&gt;"Serviço",0,IF(AND(AUTOEVENTO="Manual",$M208=1),0,IF(OFFSET(CRONOPLE!$F$14,$M208,AN$13)="",10^12,OFFSET(CRONOPLE!$F$14,$M208,AN$13))))</f>
        <v>1</v>
      </c>
      <c r="AO208" s="211">
        <f ca="1">IF($D208&lt;&gt;"Serviço",0,IF(AND(AUTOEVENTO="Manual",$M208=1),0,IF(OFFSET(CRONOPLE!$F$14,$M208,AO$13)="",10^12,OFFSET(CRONOPLE!$F$14,$M208,AO$13))))</f>
        <v>2</v>
      </c>
      <c r="AP208" s="211">
        <f ca="1">IF($D208&lt;&gt;"Serviço",0,IF(AND(AUTOEVENTO="Manual",$M208=1),0,IF(OFFSET(CRONOPLE!$F$14,$M208,AP$13)="",10^12,OFFSET(CRONOPLE!$F$14,$M208,AP$13))))</f>
        <v>2</v>
      </c>
      <c r="AQ208" s="211">
        <f ca="1">IF($D208&lt;&gt;"Serviço",0,IF(AND(AUTOEVENTO="Manual",$M208=1),0,IF(OFFSET(CRONOPLE!$F$14,$M208,AQ$13)="",10^12,OFFSET(CRONOPLE!$F$14,$M208,AQ$13))))</f>
        <v>1000000000000</v>
      </c>
      <c r="AR208" s="211">
        <f ca="1">IF($D208&lt;&gt;"Serviço",0,IF(AND(AUTOEVENTO="Manual",$M208=1),0,IF(OFFSET(CRONOPLE!$F$14,$M208,AR$13)="",10^12,OFFSET(CRONOPLE!$F$14,$M208,AR$13))))</f>
        <v>1000000000000</v>
      </c>
      <c r="AS208" s="211">
        <f ca="1">IF($D208&lt;&gt;"Serviço",0,IF(AND(AUTOEVENTO="Manual",$M208=1),0,IF(OFFSET(CRONOPLE!$F$14,$M208,AS$13)="",10^12,OFFSET(CRONOPLE!$F$14,$M208,AS$13))))</f>
        <v>1000000000000</v>
      </c>
      <c r="AT208" s="211">
        <f ca="1">IF($D208&lt;&gt;"Serviço",0,IF(AND(AUTOEVENTO="Manual",$M208=1),0,IF(OFFSET(CRONOPLE!$F$14,$M208,AT$13)="",10^12,OFFSET(CRONOPLE!$F$14,$M208,AT$13))))</f>
        <v>1000000000000</v>
      </c>
      <c r="AU208" s="211">
        <f ca="1">IF($D208&lt;&gt;"Serviço",0,IF(AND(AUTOEVENTO="Manual",$M208=1),0,IF(OFFSET(CRONOPLE!$F$14,$M208,AU$13)="",10^12,OFFSET(CRONOPLE!$F$14,$M208,AU$13))))</f>
        <v>1000000000000</v>
      </c>
      <c r="AV208" s="211">
        <f ca="1">IF($D208&lt;&gt;"Serviço",0,IF(AND(AUTOEVENTO="Manual",$M208=1),0,IF(OFFSET(CRONOPLE!$F$14,$M208,AV$13)="",10^12,OFFSET(CRONOPLE!$F$14,$M208,AV$13))))</f>
        <v>1000000000000</v>
      </c>
      <c r="AX208" s="212">
        <f ca="1">IF($D208&lt;&gt;"Serviço",0,IF(OR(AND(AUTOEVENTO="Manual",$M208=1),$M208&gt;(ROW(PLE.lastrow)-ROW(PLE.firstrow))),0,IF(OFFSET(PLE!$G$14,$M208,AX$13)="",10^12,OFFSET(PLE!$G$14,$M208,AX$13))))</f>
        <v>1000000000000</v>
      </c>
      <c r="AY208" s="212">
        <f ca="1">IF($D208&lt;&gt;"Serviço",0,IF(OR(AND(AUTOEVENTO="Manual",$M208=1),$M208&gt;(ROW(PLE.lastrow)-ROW(PLE.firstrow))),0,IF(OFFSET(PLE!$G$14,$M208,AY$13)="",10^12,OFFSET(PLE!$G$14,$M208,AY$13))))</f>
        <v>1000000000000</v>
      </c>
      <c r="AZ208" s="212">
        <f ca="1">IF($D208&lt;&gt;"Serviço",0,IF(OR(AND(AUTOEVENTO="Manual",$M208=1),$M208&gt;(ROW(PLE.lastrow)-ROW(PLE.firstrow))),0,IF(OFFSET(PLE!$G$14,$M208,AZ$13)="",10^12,OFFSET(PLE!$G$14,$M208,AZ$13))))</f>
        <v>1000000000000</v>
      </c>
      <c r="BA208" s="212">
        <f ca="1">IF($D208&lt;&gt;"Serviço",0,IF(OR(AND(AUTOEVENTO="Manual",$M208=1),$M208&gt;(ROW(PLE.lastrow)-ROW(PLE.firstrow))),0,IF(OFFSET(PLE!$G$14,$M208,BA$13)="",10^12,OFFSET(PLE!$G$14,$M208,BA$13))))</f>
        <v>1000000000000</v>
      </c>
      <c r="BB208" s="212">
        <f ca="1">IF($D208&lt;&gt;"Serviço",0,IF(OR(AND(AUTOEVENTO="Manual",$M208=1),$M208&gt;(ROW(PLE.lastrow)-ROW(PLE.firstrow))),0,IF(OFFSET(PLE!$G$14,$M208,BB$13)="",10^12,OFFSET(PLE!$G$14,$M208,BB$13))))</f>
        <v>1000000000000</v>
      </c>
      <c r="BC208" s="212">
        <f ca="1">IF($D208&lt;&gt;"Serviço",0,IF(OR(AND(AUTOEVENTO="Manual",$M208=1),$M208&gt;(ROW(PLE.lastrow)-ROW(PLE.firstrow))),0,IF(OFFSET(PLE!$G$14,$M208,BC$13)="",10^12,OFFSET(PLE!$G$14,$M208,BC$13))))</f>
        <v>1000000000000</v>
      </c>
      <c r="BD208" s="212">
        <f ca="1">IF($D208&lt;&gt;"Serviço",0,IF(OR(AND(AUTOEVENTO="Manual",$M208=1),$M208&gt;(ROW(PLE.lastrow)-ROW(PLE.firstrow))),0,IF(OFFSET(PLE!$G$14,$M208,BD$13)="",10^12,OFFSET(PLE!$G$14,$M208,BD$13))))</f>
        <v>1000000000000</v>
      </c>
      <c r="BE208" s="212">
        <f ca="1">IF($D208&lt;&gt;"Serviço",0,IF(OR(AND(AUTOEVENTO="Manual",$M208=1),$M208&gt;(ROW(PLE.lastrow)-ROW(PLE.firstrow))),0,IF(OFFSET(PLE!$G$14,$M208,BE$13)="",10^12,OFFSET(PLE!$G$14,$M208,BE$13))))</f>
        <v>1000000000000</v>
      </c>
      <c r="BF208" s="212">
        <f ca="1">IF($D208&lt;&gt;"Serviço",0,IF(OR(AND(AUTOEVENTO="Manual",$M208=1),$M208&gt;(ROW(PLE.lastrow)-ROW(PLE.firstrow))),0,IF(OFFSET(PLE!$G$14,$M208,BF$13)="",10^12,OFFSET(PLE!$G$14,$M208,BF$13))))</f>
        <v>1000000000000</v>
      </c>
      <c r="BG208" s="212">
        <f ca="1">IF($D208&lt;&gt;"Serviço",0,IF(OR(AND(AUTOEVENTO="Manual",$M208=1),$M208&gt;(ROW(PLE.lastrow)-ROW(PLE.firstrow))),0,IF(OFFSET(PLE!$G$14,$M208,BG$13)="",10^12,OFFSET(PLE!$G$14,$M208,BG$13))))</f>
        <v>1000000000000</v>
      </c>
    </row>
    <row r="209" spans="1:59" ht="13.2">
      <c r="A209" s="9" t="str">
        <f t="shared" ca="1" si="12"/>
        <v>15</v>
      </c>
      <c r="B209" s="9" t="str">
        <f ca="1">OFFSET(ORÇAMENTO!C$15,ROW(B209)-ROW(B$15),0)</f>
        <v>S</v>
      </c>
      <c r="C209" s="9" t="str">
        <f ca="1">OFFSET(ORÇAMENTO!L$15,ROW(C209)-ROW(C$15),0)</f>
        <v/>
      </c>
      <c r="D209" s="141" t="str">
        <f ca="1">OFFSET(ORÇAMENTO!N$15,ROW(D209)-ROW(D$15),0)</f>
        <v>Serviço</v>
      </c>
      <c r="E209" s="201" t="str">
        <f ca="1">OFFSET(ORÇAMENTO!O$15,ROW(E209)-ROW(E$15),0)</f>
        <v>-</v>
      </c>
      <c r="F209" s="202" t="str">
        <f ca="1">OFFSET(ORÇAMENTO!R$15,ROW(F209)-ROW(F$15),0)</f>
        <v>(abra o arquivo 'Referência 11-2024.xlsm)</v>
      </c>
      <c r="G209" s="203" t="str">
        <f ca="1">IF($D209&lt;&gt;"Serviço","",OFFSET(ORÇAMENTO!S$15,ROW(G209)-ROW(G$15),0))</f>
        <v>-</v>
      </c>
      <c r="H209" s="147">
        <f ca="1">IF($D209&lt;&gt;"Serviço",0,IF(ACOMPANHAMENTO="BM",ROUND(OFFSET(ORÇAMENTO!AJ$15,ROW(H209)-ROW(H$15),0),15-13*ORÇAMENTO!$AF$7),SUMPRODUCT(($Q$12:$AA$12&lt;&gt;"")*ROUND($Q209:$AA209,15-13*ORÇAMENTO!$AF$7))))</f>
        <v>0</v>
      </c>
      <c r="I209" s="645"/>
      <c r="K209" s="204"/>
      <c r="L209" s="205" t="s">
        <v>255</v>
      </c>
      <c r="M209" s="206">
        <f ca="1">IF($D209&lt;&gt;"Serviço","",IF(AUTOEVENTO="manual",$A209,IF(ISERROR(MATCH($A209,$A$15:OFFSET($A209,-1,0),0)),MAX($M$15:OFFSET(M209,-1,0))+1,INDEX($M$15:OFFSET(M209,-1,0),MATCH($A209,$A$15:OFFSET($A209,-1,0),0)))))</f>
        <v>6</v>
      </c>
      <c r="N209" s="207" t="str">
        <f ca="1">IF($D209&lt;&gt;"Serviço","",IF(AUTOEVENTO="Manual",IF($A209=0,"&lt;-- defina o número do agrupador",OFFSET(EVENTOS!$D$14,$A209,0)),OFFSET($F$15,$A209,0)))</f>
        <v>DRENAGEM</v>
      </c>
      <c r="O209" s="208"/>
      <c r="Q209" s="208"/>
      <c r="R209" s="209"/>
      <c r="S209" s="209"/>
      <c r="T209" s="209"/>
      <c r="U209" s="209"/>
      <c r="V209" s="209"/>
      <c r="W209" s="209"/>
      <c r="X209" s="209"/>
      <c r="Y209" s="209"/>
      <c r="Z209" s="210"/>
      <c r="AB209" s="626">
        <f ca="1">IF(AND($D209="Serviço",AB$12&lt;&gt;0,$H209&gt;0,OR(AUTOEVENTO&lt;&gt;"manual",$M209&lt;&gt;1)),
IF(Import.TipoArredondamento&lt;&gt;"TransfereGOV",
ROUND(OFFSET($P209,0,AB$13),15-13*ORÇAMENTO!$AF$7)/$H209*OFFSET(ORÇAMENTO!$X$15,ROW(AB209)-ROW(AB$15),0),
ROUND(ROUND(OFFSET($P209,0,AB$13),15-13*ORÇAMENTO!$AF$7)*OFFSET(ORÇAMENTO!$W$15,ROW(AB209)-ROW(AB$15),0),15-13*ORÇAMENTO!$AF$11)),0)</f>
        <v>0</v>
      </c>
      <c r="AC209" s="627">
        <f ca="1">IF(AND($D209="Serviço",AC$12&lt;&gt;0,$H209&gt;0,OR(AUTOEVENTO&lt;&gt;"manual",$M209&lt;&gt;1)),
IF(Import.TipoArredondamento&lt;&gt;"TransfereGOV",
ROUND(OFFSET($P209,0,AC$13),15-13*ORÇAMENTO!$AF$7)/$H209*OFFSET(ORÇAMENTO!$X$15,ROW(AC209)-ROW(AC$15),0),
ROUND(ROUND(OFFSET($P209,0,AC$13),15-13*ORÇAMENTO!$AF$7)*OFFSET(ORÇAMENTO!$W$15,ROW(AC209)-ROW(AC$15),0),15-13*ORÇAMENTO!$AF$11)),0)</f>
        <v>0</v>
      </c>
      <c r="AD209" s="627">
        <f ca="1">IF(AND($D209="Serviço",AD$12&lt;&gt;0,$H209&gt;0,OR(AUTOEVENTO&lt;&gt;"manual",$M209&lt;&gt;1)),
IF(Import.TipoArredondamento&lt;&gt;"TransfereGOV",
ROUND(OFFSET($P209,0,AD$13),15-13*ORÇAMENTO!$AF$7)/$H209*OFFSET(ORÇAMENTO!$X$15,ROW(AD209)-ROW(AD$15),0),
ROUND(ROUND(OFFSET($P209,0,AD$13),15-13*ORÇAMENTO!$AF$7)*OFFSET(ORÇAMENTO!$W$15,ROW(AD209)-ROW(AD$15),0),15-13*ORÇAMENTO!$AF$11)),0)</f>
        <v>0</v>
      </c>
      <c r="AE209" s="627">
        <f ca="1">IF(AND($D209="Serviço",AE$12&lt;&gt;0,$H209&gt;0,OR(AUTOEVENTO&lt;&gt;"manual",$M209&lt;&gt;1)),
IF(Import.TipoArredondamento&lt;&gt;"TransfereGOV",
ROUND(OFFSET($P209,0,AE$13),15-13*ORÇAMENTO!$AF$7)/$H209*OFFSET(ORÇAMENTO!$X$15,ROW(AE209)-ROW(AE$15),0),
ROUND(ROUND(OFFSET($P209,0,AE$13),15-13*ORÇAMENTO!$AF$7)*OFFSET(ORÇAMENTO!$W$15,ROW(AE209)-ROW(AE$15),0),15-13*ORÇAMENTO!$AF$11)),0)</f>
        <v>0</v>
      </c>
      <c r="AF209" s="627">
        <f ca="1">IF(AND($D209="Serviço",AF$12&lt;&gt;0,$H209&gt;0,OR(AUTOEVENTO&lt;&gt;"manual",$M209&lt;&gt;1)),
IF(Import.TipoArredondamento&lt;&gt;"TransfereGOV",
ROUND(OFFSET($P209,0,AF$13),15-13*ORÇAMENTO!$AF$7)/$H209*OFFSET(ORÇAMENTO!$X$15,ROW(AF209)-ROW(AF$15),0),
ROUND(ROUND(OFFSET($P209,0,AF$13),15-13*ORÇAMENTO!$AF$7)*OFFSET(ORÇAMENTO!$W$15,ROW(AF209)-ROW(AF$15),0),15-13*ORÇAMENTO!$AF$11)),0)</f>
        <v>0</v>
      </c>
      <c r="AG209" s="627">
        <f ca="1">IF(AND($D209="Serviço",AG$12&lt;&gt;0,$H209&gt;0,OR(AUTOEVENTO&lt;&gt;"manual",$M209&lt;&gt;1)),
IF(Import.TipoArredondamento&lt;&gt;"TransfereGOV",
ROUND(OFFSET($P209,0,AG$13),15-13*ORÇAMENTO!$AF$7)/$H209*OFFSET(ORÇAMENTO!$X$15,ROW(AG209)-ROW(AG$15),0),
ROUND(ROUND(OFFSET($P209,0,AG$13),15-13*ORÇAMENTO!$AF$7)*OFFSET(ORÇAMENTO!$W$15,ROW(AG209)-ROW(AG$15),0),15-13*ORÇAMENTO!$AF$11)),0)</f>
        <v>0</v>
      </c>
      <c r="AH209" s="627">
        <f ca="1">IF(AND($D209="Serviço",AH$12&lt;&gt;0,$H209&gt;0,OR(AUTOEVENTO&lt;&gt;"manual",$M209&lt;&gt;1)),
IF(Import.TipoArredondamento&lt;&gt;"TransfereGOV",
ROUND(OFFSET($P209,0,AH$13),15-13*ORÇAMENTO!$AF$7)/$H209*OFFSET(ORÇAMENTO!$X$15,ROW(AH209)-ROW(AH$15),0),
ROUND(ROUND(OFFSET($P209,0,AH$13),15-13*ORÇAMENTO!$AF$7)*OFFSET(ORÇAMENTO!$W$15,ROW(AH209)-ROW(AH$15),0),15-13*ORÇAMENTO!$AF$11)),0)</f>
        <v>0</v>
      </c>
      <c r="AI209" s="627">
        <f ca="1">IF(AND($D209="Serviço",AI$12&lt;&gt;0,$H209&gt;0,OR(AUTOEVENTO&lt;&gt;"manual",$M209&lt;&gt;1)),
IF(Import.TipoArredondamento&lt;&gt;"TransfereGOV",
ROUND(OFFSET($P209,0,AI$13),15-13*ORÇAMENTO!$AF$7)/$H209*OFFSET(ORÇAMENTO!$X$15,ROW(AI209)-ROW(AI$15),0),
ROUND(ROUND(OFFSET($P209,0,AI$13),15-13*ORÇAMENTO!$AF$7)*OFFSET(ORÇAMENTO!$W$15,ROW(AI209)-ROW(AI$15),0),15-13*ORÇAMENTO!$AF$11)),0)</f>
        <v>0</v>
      </c>
      <c r="AJ209" s="627">
        <f ca="1">IF(AND($D209="Serviço",AJ$12&lt;&gt;0,$H209&gt;0,OR(AUTOEVENTO&lt;&gt;"manual",$M209&lt;&gt;1)),
IF(Import.TipoArredondamento&lt;&gt;"TransfereGOV",
ROUND(OFFSET($P209,0,AJ$13),15-13*ORÇAMENTO!$AF$7)/$H209*OFFSET(ORÇAMENTO!$X$15,ROW(AJ209)-ROW(AJ$15),0),
ROUND(ROUND(OFFSET($P209,0,AJ$13),15-13*ORÇAMENTO!$AF$7)*OFFSET(ORÇAMENTO!$W$15,ROW(AJ209)-ROW(AJ$15),0),15-13*ORÇAMENTO!$AF$11)),0)</f>
        <v>0</v>
      </c>
      <c r="AK209" s="628">
        <f ca="1">IF(AND($D209="Serviço",AK$12&lt;&gt;0,$H209&gt;0,OR(AUTOEVENTO&lt;&gt;"manual",$M209&lt;&gt;1)),
IF(Import.TipoArredondamento&lt;&gt;"TransfereGOV",
ROUND(OFFSET($P209,0,AK$13),15-13*ORÇAMENTO!$AF$7)/$H209*OFFSET(ORÇAMENTO!$X$15,ROW(AK209)-ROW(AK$15),0),
ROUND(ROUND(OFFSET($P209,0,AK$13),15-13*ORÇAMENTO!$AF$7)*OFFSET(ORÇAMENTO!$W$15,ROW(AK209)-ROW(AK$15),0),15-13*ORÇAMENTO!$AF$11)),0)</f>
        <v>0</v>
      </c>
      <c r="AM209" s="211">
        <f ca="1">IF($D209&lt;&gt;"Serviço",0,IF(AND(AUTOEVENTO="Manual",$M209=1),0,IF(OFFSET(CRONOPLE!$F$14,$M209,AM$13)="",10^12,OFFSET(CRONOPLE!$F$14,$M209,AM$13))))</f>
        <v>2</v>
      </c>
      <c r="AN209" s="211">
        <f ca="1">IF($D209&lt;&gt;"Serviço",0,IF(AND(AUTOEVENTO="Manual",$M209=1),0,IF(OFFSET(CRONOPLE!$F$14,$M209,AN$13)="",10^12,OFFSET(CRONOPLE!$F$14,$M209,AN$13))))</f>
        <v>1</v>
      </c>
      <c r="AO209" s="211">
        <f ca="1">IF($D209&lt;&gt;"Serviço",0,IF(AND(AUTOEVENTO="Manual",$M209=1),0,IF(OFFSET(CRONOPLE!$F$14,$M209,AO$13)="",10^12,OFFSET(CRONOPLE!$F$14,$M209,AO$13))))</f>
        <v>2</v>
      </c>
      <c r="AP209" s="211">
        <f ca="1">IF($D209&lt;&gt;"Serviço",0,IF(AND(AUTOEVENTO="Manual",$M209=1),0,IF(OFFSET(CRONOPLE!$F$14,$M209,AP$13)="",10^12,OFFSET(CRONOPLE!$F$14,$M209,AP$13))))</f>
        <v>2</v>
      </c>
      <c r="AQ209" s="211">
        <f ca="1">IF($D209&lt;&gt;"Serviço",0,IF(AND(AUTOEVENTO="Manual",$M209=1),0,IF(OFFSET(CRONOPLE!$F$14,$M209,AQ$13)="",10^12,OFFSET(CRONOPLE!$F$14,$M209,AQ$13))))</f>
        <v>1000000000000</v>
      </c>
      <c r="AR209" s="211">
        <f ca="1">IF($D209&lt;&gt;"Serviço",0,IF(AND(AUTOEVENTO="Manual",$M209=1),0,IF(OFFSET(CRONOPLE!$F$14,$M209,AR$13)="",10^12,OFFSET(CRONOPLE!$F$14,$M209,AR$13))))</f>
        <v>1000000000000</v>
      </c>
      <c r="AS209" s="211">
        <f ca="1">IF($D209&lt;&gt;"Serviço",0,IF(AND(AUTOEVENTO="Manual",$M209=1),0,IF(OFFSET(CRONOPLE!$F$14,$M209,AS$13)="",10^12,OFFSET(CRONOPLE!$F$14,$M209,AS$13))))</f>
        <v>1000000000000</v>
      </c>
      <c r="AT209" s="211">
        <f ca="1">IF($D209&lt;&gt;"Serviço",0,IF(AND(AUTOEVENTO="Manual",$M209=1),0,IF(OFFSET(CRONOPLE!$F$14,$M209,AT$13)="",10^12,OFFSET(CRONOPLE!$F$14,$M209,AT$13))))</f>
        <v>1000000000000</v>
      </c>
      <c r="AU209" s="211">
        <f ca="1">IF($D209&lt;&gt;"Serviço",0,IF(AND(AUTOEVENTO="Manual",$M209=1),0,IF(OFFSET(CRONOPLE!$F$14,$M209,AU$13)="",10^12,OFFSET(CRONOPLE!$F$14,$M209,AU$13))))</f>
        <v>1000000000000</v>
      </c>
      <c r="AV209" s="211">
        <f ca="1">IF($D209&lt;&gt;"Serviço",0,IF(AND(AUTOEVENTO="Manual",$M209=1),0,IF(OFFSET(CRONOPLE!$F$14,$M209,AV$13)="",10^12,OFFSET(CRONOPLE!$F$14,$M209,AV$13))))</f>
        <v>1000000000000</v>
      </c>
      <c r="AX209" s="212">
        <f ca="1">IF($D209&lt;&gt;"Serviço",0,IF(OR(AND(AUTOEVENTO="Manual",$M209=1),$M209&gt;(ROW(PLE.lastrow)-ROW(PLE.firstrow))),0,IF(OFFSET(PLE!$G$14,$M209,AX$13)="",10^12,OFFSET(PLE!$G$14,$M209,AX$13))))</f>
        <v>1000000000000</v>
      </c>
      <c r="AY209" s="212">
        <f ca="1">IF($D209&lt;&gt;"Serviço",0,IF(OR(AND(AUTOEVENTO="Manual",$M209=1),$M209&gt;(ROW(PLE.lastrow)-ROW(PLE.firstrow))),0,IF(OFFSET(PLE!$G$14,$M209,AY$13)="",10^12,OFFSET(PLE!$G$14,$M209,AY$13))))</f>
        <v>1000000000000</v>
      </c>
      <c r="AZ209" s="212">
        <f ca="1">IF($D209&lt;&gt;"Serviço",0,IF(OR(AND(AUTOEVENTO="Manual",$M209=1),$M209&gt;(ROW(PLE.lastrow)-ROW(PLE.firstrow))),0,IF(OFFSET(PLE!$G$14,$M209,AZ$13)="",10^12,OFFSET(PLE!$G$14,$M209,AZ$13))))</f>
        <v>1000000000000</v>
      </c>
      <c r="BA209" s="212">
        <f ca="1">IF($D209&lt;&gt;"Serviço",0,IF(OR(AND(AUTOEVENTO="Manual",$M209=1),$M209&gt;(ROW(PLE.lastrow)-ROW(PLE.firstrow))),0,IF(OFFSET(PLE!$G$14,$M209,BA$13)="",10^12,OFFSET(PLE!$G$14,$M209,BA$13))))</f>
        <v>1000000000000</v>
      </c>
      <c r="BB209" s="212">
        <f ca="1">IF($D209&lt;&gt;"Serviço",0,IF(OR(AND(AUTOEVENTO="Manual",$M209=1),$M209&gt;(ROW(PLE.lastrow)-ROW(PLE.firstrow))),0,IF(OFFSET(PLE!$G$14,$M209,BB$13)="",10^12,OFFSET(PLE!$G$14,$M209,BB$13))))</f>
        <v>1000000000000</v>
      </c>
      <c r="BC209" s="212">
        <f ca="1">IF($D209&lt;&gt;"Serviço",0,IF(OR(AND(AUTOEVENTO="Manual",$M209=1),$M209&gt;(ROW(PLE.lastrow)-ROW(PLE.firstrow))),0,IF(OFFSET(PLE!$G$14,$M209,BC$13)="",10^12,OFFSET(PLE!$G$14,$M209,BC$13))))</f>
        <v>1000000000000</v>
      </c>
      <c r="BD209" s="212">
        <f ca="1">IF($D209&lt;&gt;"Serviço",0,IF(OR(AND(AUTOEVENTO="Manual",$M209=1),$M209&gt;(ROW(PLE.lastrow)-ROW(PLE.firstrow))),0,IF(OFFSET(PLE!$G$14,$M209,BD$13)="",10^12,OFFSET(PLE!$G$14,$M209,BD$13))))</f>
        <v>1000000000000</v>
      </c>
      <c r="BE209" s="212">
        <f ca="1">IF($D209&lt;&gt;"Serviço",0,IF(OR(AND(AUTOEVENTO="Manual",$M209=1),$M209&gt;(ROW(PLE.lastrow)-ROW(PLE.firstrow))),0,IF(OFFSET(PLE!$G$14,$M209,BE$13)="",10^12,OFFSET(PLE!$G$14,$M209,BE$13))))</f>
        <v>1000000000000</v>
      </c>
      <c r="BF209" s="212">
        <f ca="1">IF($D209&lt;&gt;"Serviço",0,IF(OR(AND(AUTOEVENTO="Manual",$M209=1),$M209&gt;(ROW(PLE.lastrow)-ROW(PLE.firstrow))),0,IF(OFFSET(PLE!$G$14,$M209,BF$13)="",10^12,OFFSET(PLE!$G$14,$M209,BF$13))))</f>
        <v>1000000000000</v>
      </c>
      <c r="BG209" s="212">
        <f ca="1">IF($D209&lt;&gt;"Serviço",0,IF(OR(AND(AUTOEVENTO="Manual",$M209=1),$M209&gt;(ROW(PLE.lastrow)-ROW(PLE.firstrow))),0,IF(OFFSET(PLE!$G$14,$M209,BG$13)="",10^12,OFFSET(PLE!$G$14,$M209,BG$13))))</f>
        <v>1000000000000</v>
      </c>
    </row>
    <row r="210" spans="1:59" ht="13.2">
      <c r="A210" s="9" t="str">
        <f t="shared" ca="1" si="12"/>
        <v>15</v>
      </c>
      <c r="B210" s="9" t="str">
        <f ca="1">OFFSET(ORÇAMENTO!C$15,ROW(B210)-ROW(B$15),0)</f>
        <v>S</v>
      </c>
      <c r="C210" s="9" t="str">
        <f ca="1">OFFSET(ORÇAMENTO!L$15,ROW(C210)-ROW(C$15),0)</f>
        <v/>
      </c>
      <c r="D210" s="141" t="str">
        <f ca="1">OFFSET(ORÇAMENTO!N$15,ROW(D210)-ROW(D$15),0)</f>
        <v>Serviço</v>
      </c>
      <c r="E210" s="201" t="str">
        <f ca="1">OFFSET(ORÇAMENTO!O$15,ROW(E210)-ROW(E$15),0)</f>
        <v>-</v>
      </c>
      <c r="F210" s="202" t="str">
        <f ca="1">OFFSET(ORÇAMENTO!R$15,ROW(F210)-ROW(F$15),0)</f>
        <v>(abra o arquivo 'Referência 11-2024.xlsm)</v>
      </c>
      <c r="G210" s="203" t="str">
        <f ca="1">IF($D210&lt;&gt;"Serviço","",OFFSET(ORÇAMENTO!S$15,ROW(G210)-ROW(G$15),0))</f>
        <v>-</v>
      </c>
      <c r="H210" s="147">
        <f ca="1">IF($D210&lt;&gt;"Serviço",0,IF(ACOMPANHAMENTO="BM",ROUND(OFFSET(ORÇAMENTO!AJ$15,ROW(H210)-ROW(H$15),0),15-13*ORÇAMENTO!$AF$7),SUMPRODUCT(($Q$12:$AA$12&lt;&gt;"")*ROUND($Q210:$AA210,15-13*ORÇAMENTO!$AF$7))))</f>
        <v>0</v>
      </c>
      <c r="I210" s="645"/>
      <c r="K210" s="204"/>
      <c r="L210" s="205" t="s">
        <v>255</v>
      </c>
      <c r="M210" s="206">
        <f ca="1">IF($D210&lt;&gt;"Serviço","",IF(AUTOEVENTO="manual",$A210,IF(ISERROR(MATCH($A210,$A$15:OFFSET($A210,-1,0),0)),MAX($M$15:OFFSET(M210,-1,0))+1,INDEX($M$15:OFFSET(M210,-1,0),MATCH($A210,$A$15:OFFSET($A210,-1,0),0)))))</f>
        <v>6</v>
      </c>
      <c r="N210" s="207" t="str">
        <f ca="1">IF($D210&lt;&gt;"Serviço","",IF(AUTOEVENTO="Manual",IF($A210=0,"&lt;-- defina o número do agrupador",OFFSET(EVENTOS!$D$14,$A210,0)),OFFSET($F$15,$A210,0)))</f>
        <v>DRENAGEM</v>
      </c>
      <c r="O210" s="208"/>
      <c r="Q210" s="208"/>
      <c r="R210" s="209"/>
      <c r="S210" s="209"/>
      <c r="T210" s="209"/>
      <c r="U210" s="209"/>
      <c r="V210" s="209"/>
      <c r="W210" s="209"/>
      <c r="X210" s="209"/>
      <c r="Y210" s="209"/>
      <c r="Z210" s="210"/>
      <c r="AB210" s="626">
        <f ca="1">IF(AND($D210="Serviço",AB$12&lt;&gt;0,$H210&gt;0,OR(AUTOEVENTO&lt;&gt;"manual",$M210&lt;&gt;1)),
IF(Import.TipoArredondamento&lt;&gt;"TransfereGOV",
ROUND(OFFSET($P210,0,AB$13),15-13*ORÇAMENTO!$AF$7)/$H210*OFFSET(ORÇAMENTO!$X$15,ROW(AB210)-ROW(AB$15),0),
ROUND(ROUND(OFFSET($P210,0,AB$13),15-13*ORÇAMENTO!$AF$7)*OFFSET(ORÇAMENTO!$W$15,ROW(AB210)-ROW(AB$15),0),15-13*ORÇAMENTO!$AF$11)),0)</f>
        <v>0</v>
      </c>
      <c r="AC210" s="627">
        <f ca="1">IF(AND($D210="Serviço",AC$12&lt;&gt;0,$H210&gt;0,OR(AUTOEVENTO&lt;&gt;"manual",$M210&lt;&gt;1)),
IF(Import.TipoArredondamento&lt;&gt;"TransfereGOV",
ROUND(OFFSET($P210,0,AC$13),15-13*ORÇAMENTO!$AF$7)/$H210*OFFSET(ORÇAMENTO!$X$15,ROW(AC210)-ROW(AC$15),0),
ROUND(ROUND(OFFSET($P210,0,AC$13),15-13*ORÇAMENTO!$AF$7)*OFFSET(ORÇAMENTO!$W$15,ROW(AC210)-ROW(AC$15),0),15-13*ORÇAMENTO!$AF$11)),0)</f>
        <v>0</v>
      </c>
      <c r="AD210" s="627">
        <f ca="1">IF(AND($D210="Serviço",AD$12&lt;&gt;0,$H210&gt;0,OR(AUTOEVENTO&lt;&gt;"manual",$M210&lt;&gt;1)),
IF(Import.TipoArredondamento&lt;&gt;"TransfereGOV",
ROUND(OFFSET($P210,0,AD$13),15-13*ORÇAMENTO!$AF$7)/$H210*OFFSET(ORÇAMENTO!$X$15,ROW(AD210)-ROW(AD$15),0),
ROUND(ROUND(OFFSET($P210,0,AD$13),15-13*ORÇAMENTO!$AF$7)*OFFSET(ORÇAMENTO!$W$15,ROW(AD210)-ROW(AD$15),0),15-13*ORÇAMENTO!$AF$11)),0)</f>
        <v>0</v>
      </c>
      <c r="AE210" s="627">
        <f ca="1">IF(AND($D210="Serviço",AE$12&lt;&gt;0,$H210&gt;0,OR(AUTOEVENTO&lt;&gt;"manual",$M210&lt;&gt;1)),
IF(Import.TipoArredondamento&lt;&gt;"TransfereGOV",
ROUND(OFFSET($P210,0,AE$13),15-13*ORÇAMENTO!$AF$7)/$H210*OFFSET(ORÇAMENTO!$X$15,ROW(AE210)-ROW(AE$15),0),
ROUND(ROUND(OFFSET($P210,0,AE$13),15-13*ORÇAMENTO!$AF$7)*OFFSET(ORÇAMENTO!$W$15,ROW(AE210)-ROW(AE$15),0),15-13*ORÇAMENTO!$AF$11)),0)</f>
        <v>0</v>
      </c>
      <c r="AF210" s="627">
        <f ca="1">IF(AND($D210="Serviço",AF$12&lt;&gt;0,$H210&gt;0,OR(AUTOEVENTO&lt;&gt;"manual",$M210&lt;&gt;1)),
IF(Import.TipoArredondamento&lt;&gt;"TransfereGOV",
ROUND(OFFSET($P210,0,AF$13),15-13*ORÇAMENTO!$AF$7)/$H210*OFFSET(ORÇAMENTO!$X$15,ROW(AF210)-ROW(AF$15),0),
ROUND(ROUND(OFFSET($P210,0,AF$13),15-13*ORÇAMENTO!$AF$7)*OFFSET(ORÇAMENTO!$W$15,ROW(AF210)-ROW(AF$15),0),15-13*ORÇAMENTO!$AF$11)),0)</f>
        <v>0</v>
      </c>
      <c r="AG210" s="627">
        <f ca="1">IF(AND($D210="Serviço",AG$12&lt;&gt;0,$H210&gt;0,OR(AUTOEVENTO&lt;&gt;"manual",$M210&lt;&gt;1)),
IF(Import.TipoArredondamento&lt;&gt;"TransfereGOV",
ROUND(OFFSET($P210,0,AG$13),15-13*ORÇAMENTO!$AF$7)/$H210*OFFSET(ORÇAMENTO!$X$15,ROW(AG210)-ROW(AG$15),0),
ROUND(ROUND(OFFSET($P210,0,AG$13),15-13*ORÇAMENTO!$AF$7)*OFFSET(ORÇAMENTO!$W$15,ROW(AG210)-ROW(AG$15),0),15-13*ORÇAMENTO!$AF$11)),0)</f>
        <v>0</v>
      </c>
      <c r="AH210" s="627">
        <f ca="1">IF(AND($D210="Serviço",AH$12&lt;&gt;0,$H210&gt;0,OR(AUTOEVENTO&lt;&gt;"manual",$M210&lt;&gt;1)),
IF(Import.TipoArredondamento&lt;&gt;"TransfereGOV",
ROUND(OFFSET($P210,0,AH$13),15-13*ORÇAMENTO!$AF$7)/$H210*OFFSET(ORÇAMENTO!$X$15,ROW(AH210)-ROW(AH$15),0),
ROUND(ROUND(OFFSET($P210,0,AH$13),15-13*ORÇAMENTO!$AF$7)*OFFSET(ORÇAMENTO!$W$15,ROW(AH210)-ROW(AH$15),0),15-13*ORÇAMENTO!$AF$11)),0)</f>
        <v>0</v>
      </c>
      <c r="AI210" s="627">
        <f ca="1">IF(AND($D210="Serviço",AI$12&lt;&gt;0,$H210&gt;0,OR(AUTOEVENTO&lt;&gt;"manual",$M210&lt;&gt;1)),
IF(Import.TipoArredondamento&lt;&gt;"TransfereGOV",
ROUND(OFFSET($P210,0,AI$13),15-13*ORÇAMENTO!$AF$7)/$H210*OFFSET(ORÇAMENTO!$X$15,ROW(AI210)-ROW(AI$15),0),
ROUND(ROUND(OFFSET($P210,0,AI$13),15-13*ORÇAMENTO!$AF$7)*OFFSET(ORÇAMENTO!$W$15,ROW(AI210)-ROW(AI$15),0),15-13*ORÇAMENTO!$AF$11)),0)</f>
        <v>0</v>
      </c>
      <c r="AJ210" s="627">
        <f ca="1">IF(AND($D210="Serviço",AJ$12&lt;&gt;0,$H210&gt;0,OR(AUTOEVENTO&lt;&gt;"manual",$M210&lt;&gt;1)),
IF(Import.TipoArredondamento&lt;&gt;"TransfereGOV",
ROUND(OFFSET($P210,0,AJ$13),15-13*ORÇAMENTO!$AF$7)/$H210*OFFSET(ORÇAMENTO!$X$15,ROW(AJ210)-ROW(AJ$15),0),
ROUND(ROUND(OFFSET($P210,0,AJ$13),15-13*ORÇAMENTO!$AF$7)*OFFSET(ORÇAMENTO!$W$15,ROW(AJ210)-ROW(AJ$15),0),15-13*ORÇAMENTO!$AF$11)),0)</f>
        <v>0</v>
      </c>
      <c r="AK210" s="628">
        <f ca="1">IF(AND($D210="Serviço",AK$12&lt;&gt;0,$H210&gt;0,OR(AUTOEVENTO&lt;&gt;"manual",$M210&lt;&gt;1)),
IF(Import.TipoArredondamento&lt;&gt;"TransfereGOV",
ROUND(OFFSET($P210,0,AK$13),15-13*ORÇAMENTO!$AF$7)/$H210*OFFSET(ORÇAMENTO!$X$15,ROW(AK210)-ROW(AK$15),0),
ROUND(ROUND(OFFSET($P210,0,AK$13),15-13*ORÇAMENTO!$AF$7)*OFFSET(ORÇAMENTO!$W$15,ROW(AK210)-ROW(AK$15),0),15-13*ORÇAMENTO!$AF$11)),0)</f>
        <v>0</v>
      </c>
      <c r="AM210" s="211">
        <f ca="1">IF($D210&lt;&gt;"Serviço",0,IF(AND(AUTOEVENTO="Manual",$M210=1),0,IF(OFFSET(CRONOPLE!$F$14,$M210,AM$13)="",10^12,OFFSET(CRONOPLE!$F$14,$M210,AM$13))))</f>
        <v>2</v>
      </c>
      <c r="AN210" s="211">
        <f ca="1">IF($D210&lt;&gt;"Serviço",0,IF(AND(AUTOEVENTO="Manual",$M210=1),0,IF(OFFSET(CRONOPLE!$F$14,$M210,AN$13)="",10^12,OFFSET(CRONOPLE!$F$14,$M210,AN$13))))</f>
        <v>1</v>
      </c>
      <c r="AO210" s="211">
        <f ca="1">IF($D210&lt;&gt;"Serviço",0,IF(AND(AUTOEVENTO="Manual",$M210=1),0,IF(OFFSET(CRONOPLE!$F$14,$M210,AO$13)="",10^12,OFFSET(CRONOPLE!$F$14,$M210,AO$13))))</f>
        <v>2</v>
      </c>
      <c r="AP210" s="211">
        <f ca="1">IF($D210&lt;&gt;"Serviço",0,IF(AND(AUTOEVENTO="Manual",$M210=1),0,IF(OFFSET(CRONOPLE!$F$14,$M210,AP$13)="",10^12,OFFSET(CRONOPLE!$F$14,$M210,AP$13))))</f>
        <v>2</v>
      </c>
      <c r="AQ210" s="211">
        <f ca="1">IF($D210&lt;&gt;"Serviço",0,IF(AND(AUTOEVENTO="Manual",$M210=1),0,IF(OFFSET(CRONOPLE!$F$14,$M210,AQ$13)="",10^12,OFFSET(CRONOPLE!$F$14,$M210,AQ$13))))</f>
        <v>1000000000000</v>
      </c>
      <c r="AR210" s="211">
        <f ca="1">IF($D210&lt;&gt;"Serviço",0,IF(AND(AUTOEVENTO="Manual",$M210=1),0,IF(OFFSET(CRONOPLE!$F$14,$M210,AR$13)="",10^12,OFFSET(CRONOPLE!$F$14,$M210,AR$13))))</f>
        <v>1000000000000</v>
      </c>
      <c r="AS210" s="211">
        <f ca="1">IF($D210&lt;&gt;"Serviço",0,IF(AND(AUTOEVENTO="Manual",$M210=1),0,IF(OFFSET(CRONOPLE!$F$14,$M210,AS$13)="",10^12,OFFSET(CRONOPLE!$F$14,$M210,AS$13))))</f>
        <v>1000000000000</v>
      </c>
      <c r="AT210" s="211">
        <f ca="1">IF($D210&lt;&gt;"Serviço",0,IF(AND(AUTOEVENTO="Manual",$M210=1),0,IF(OFFSET(CRONOPLE!$F$14,$M210,AT$13)="",10^12,OFFSET(CRONOPLE!$F$14,$M210,AT$13))))</f>
        <v>1000000000000</v>
      </c>
      <c r="AU210" s="211">
        <f ca="1">IF($D210&lt;&gt;"Serviço",0,IF(AND(AUTOEVENTO="Manual",$M210=1),0,IF(OFFSET(CRONOPLE!$F$14,$M210,AU$13)="",10^12,OFFSET(CRONOPLE!$F$14,$M210,AU$13))))</f>
        <v>1000000000000</v>
      </c>
      <c r="AV210" s="211">
        <f ca="1">IF($D210&lt;&gt;"Serviço",0,IF(AND(AUTOEVENTO="Manual",$M210=1),0,IF(OFFSET(CRONOPLE!$F$14,$M210,AV$13)="",10^12,OFFSET(CRONOPLE!$F$14,$M210,AV$13))))</f>
        <v>1000000000000</v>
      </c>
      <c r="AX210" s="212">
        <f ca="1">IF($D210&lt;&gt;"Serviço",0,IF(OR(AND(AUTOEVENTO="Manual",$M210=1),$M210&gt;(ROW(PLE.lastrow)-ROW(PLE.firstrow))),0,IF(OFFSET(PLE!$G$14,$M210,AX$13)="",10^12,OFFSET(PLE!$G$14,$M210,AX$13))))</f>
        <v>1000000000000</v>
      </c>
      <c r="AY210" s="212">
        <f ca="1">IF($D210&lt;&gt;"Serviço",0,IF(OR(AND(AUTOEVENTO="Manual",$M210=1),$M210&gt;(ROW(PLE.lastrow)-ROW(PLE.firstrow))),0,IF(OFFSET(PLE!$G$14,$M210,AY$13)="",10^12,OFFSET(PLE!$G$14,$M210,AY$13))))</f>
        <v>1000000000000</v>
      </c>
      <c r="AZ210" s="212">
        <f ca="1">IF($D210&lt;&gt;"Serviço",0,IF(OR(AND(AUTOEVENTO="Manual",$M210=1),$M210&gt;(ROW(PLE.lastrow)-ROW(PLE.firstrow))),0,IF(OFFSET(PLE!$G$14,$M210,AZ$13)="",10^12,OFFSET(PLE!$G$14,$M210,AZ$13))))</f>
        <v>1000000000000</v>
      </c>
      <c r="BA210" s="212">
        <f ca="1">IF($D210&lt;&gt;"Serviço",0,IF(OR(AND(AUTOEVENTO="Manual",$M210=1),$M210&gt;(ROW(PLE.lastrow)-ROW(PLE.firstrow))),0,IF(OFFSET(PLE!$G$14,$M210,BA$13)="",10^12,OFFSET(PLE!$G$14,$M210,BA$13))))</f>
        <v>1000000000000</v>
      </c>
      <c r="BB210" s="212">
        <f ca="1">IF($D210&lt;&gt;"Serviço",0,IF(OR(AND(AUTOEVENTO="Manual",$M210=1),$M210&gt;(ROW(PLE.lastrow)-ROW(PLE.firstrow))),0,IF(OFFSET(PLE!$G$14,$M210,BB$13)="",10^12,OFFSET(PLE!$G$14,$M210,BB$13))))</f>
        <v>1000000000000</v>
      </c>
      <c r="BC210" s="212">
        <f ca="1">IF($D210&lt;&gt;"Serviço",0,IF(OR(AND(AUTOEVENTO="Manual",$M210=1),$M210&gt;(ROW(PLE.lastrow)-ROW(PLE.firstrow))),0,IF(OFFSET(PLE!$G$14,$M210,BC$13)="",10^12,OFFSET(PLE!$G$14,$M210,BC$13))))</f>
        <v>1000000000000</v>
      </c>
      <c r="BD210" s="212">
        <f ca="1">IF($D210&lt;&gt;"Serviço",0,IF(OR(AND(AUTOEVENTO="Manual",$M210=1),$M210&gt;(ROW(PLE.lastrow)-ROW(PLE.firstrow))),0,IF(OFFSET(PLE!$G$14,$M210,BD$13)="",10^12,OFFSET(PLE!$G$14,$M210,BD$13))))</f>
        <v>1000000000000</v>
      </c>
      <c r="BE210" s="212">
        <f ca="1">IF($D210&lt;&gt;"Serviço",0,IF(OR(AND(AUTOEVENTO="Manual",$M210=1),$M210&gt;(ROW(PLE.lastrow)-ROW(PLE.firstrow))),0,IF(OFFSET(PLE!$G$14,$M210,BE$13)="",10^12,OFFSET(PLE!$G$14,$M210,BE$13))))</f>
        <v>1000000000000</v>
      </c>
      <c r="BF210" s="212">
        <f ca="1">IF($D210&lt;&gt;"Serviço",0,IF(OR(AND(AUTOEVENTO="Manual",$M210=1),$M210&gt;(ROW(PLE.lastrow)-ROW(PLE.firstrow))),0,IF(OFFSET(PLE!$G$14,$M210,BF$13)="",10^12,OFFSET(PLE!$G$14,$M210,BF$13))))</f>
        <v>1000000000000</v>
      </c>
      <c r="BG210" s="212">
        <f ca="1">IF($D210&lt;&gt;"Serviço",0,IF(OR(AND(AUTOEVENTO="Manual",$M210=1),$M210&gt;(ROW(PLE.lastrow)-ROW(PLE.firstrow))),0,IF(OFFSET(PLE!$G$14,$M210,BG$13)="",10^12,OFFSET(PLE!$G$14,$M210,BG$13))))</f>
        <v>1000000000000</v>
      </c>
    </row>
    <row r="211" spans="1:59" ht="13.2">
      <c r="A211" s="9" t="str">
        <f t="shared" ca="1" si="12"/>
        <v>15</v>
      </c>
      <c r="B211" s="9" t="str">
        <f ca="1">OFFSET(ORÇAMENTO!C$15,ROW(B211)-ROW(B$15),0)</f>
        <v>S</v>
      </c>
      <c r="C211" s="9" t="str">
        <f ca="1">OFFSET(ORÇAMENTO!L$15,ROW(C211)-ROW(C$15),0)</f>
        <v/>
      </c>
      <c r="D211" s="141" t="str">
        <f ca="1">OFFSET(ORÇAMENTO!N$15,ROW(D211)-ROW(D$15),0)</f>
        <v>Serviço</v>
      </c>
      <c r="E211" s="201" t="str">
        <f ca="1">OFFSET(ORÇAMENTO!O$15,ROW(E211)-ROW(E$15),0)</f>
        <v>-</v>
      </c>
      <c r="F211" s="202" t="str">
        <f ca="1">OFFSET(ORÇAMENTO!R$15,ROW(F211)-ROW(F$15),0)</f>
        <v>(abra o arquivo 'Referência 11-2024.xlsm)</v>
      </c>
      <c r="G211" s="203" t="str">
        <f ca="1">IF($D211&lt;&gt;"Serviço","",OFFSET(ORÇAMENTO!S$15,ROW(G211)-ROW(G$15),0))</f>
        <v>-</v>
      </c>
      <c r="H211" s="147">
        <f ca="1">IF($D211&lt;&gt;"Serviço",0,IF(ACOMPANHAMENTO="BM",ROUND(OFFSET(ORÇAMENTO!AJ$15,ROW(H211)-ROW(H$15),0),15-13*ORÇAMENTO!$AF$7),SUMPRODUCT(($Q$12:$AA$12&lt;&gt;"")*ROUND($Q211:$AA211,15-13*ORÇAMENTO!$AF$7))))</f>
        <v>0</v>
      </c>
      <c r="I211" s="645"/>
      <c r="K211" s="204"/>
      <c r="L211" s="205" t="s">
        <v>255</v>
      </c>
      <c r="M211" s="206">
        <f ca="1">IF($D211&lt;&gt;"Serviço","",IF(AUTOEVENTO="manual",$A211,IF(ISERROR(MATCH($A211,$A$15:OFFSET($A211,-1,0),0)),MAX($M$15:OFFSET(M211,-1,0))+1,INDEX($M$15:OFFSET(M211,-1,0),MATCH($A211,$A$15:OFFSET($A211,-1,0),0)))))</f>
        <v>6</v>
      </c>
      <c r="N211" s="207" t="str">
        <f ca="1">IF($D211&lt;&gt;"Serviço","",IF(AUTOEVENTO="Manual",IF($A211=0,"&lt;-- defina o número do agrupador",OFFSET(EVENTOS!$D$14,$A211,0)),OFFSET($F$15,$A211,0)))</f>
        <v>DRENAGEM</v>
      </c>
      <c r="O211" s="208"/>
      <c r="Q211" s="208"/>
      <c r="R211" s="209"/>
      <c r="S211" s="209"/>
      <c r="T211" s="209"/>
      <c r="U211" s="209"/>
      <c r="V211" s="209"/>
      <c r="W211" s="209"/>
      <c r="X211" s="209"/>
      <c r="Y211" s="209"/>
      <c r="Z211" s="210"/>
      <c r="AB211" s="626">
        <f ca="1">IF(AND($D211="Serviço",AB$12&lt;&gt;0,$H211&gt;0,OR(AUTOEVENTO&lt;&gt;"manual",$M211&lt;&gt;1)),
IF(Import.TipoArredondamento&lt;&gt;"TransfereGOV",
ROUND(OFFSET($P211,0,AB$13),15-13*ORÇAMENTO!$AF$7)/$H211*OFFSET(ORÇAMENTO!$X$15,ROW(AB211)-ROW(AB$15),0),
ROUND(ROUND(OFFSET($P211,0,AB$13),15-13*ORÇAMENTO!$AF$7)*OFFSET(ORÇAMENTO!$W$15,ROW(AB211)-ROW(AB$15),0),15-13*ORÇAMENTO!$AF$11)),0)</f>
        <v>0</v>
      </c>
      <c r="AC211" s="627">
        <f ca="1">IF(AND($D211="Serviço",AC$12&lt;&gt;0,$H211&gt;0,OR(AUTOEVENTO&lt;&gt;"manual",$M211&lt;&gt;1)),
IF(Import.TipoArredondamento&lt;&gt;"TransfereGOV",
ROUND(OFFSET($P211,0,AC$13),15-13*ORÇAMENTO!$AF$7)/$H211*OFFSET(ORÇAMENTO!$X$15,ROW(AC211)-ROW(AC$15),0),
ROUND(ROUND(OFFSET($P211,0,AC$13),15-13*ORÇAMENTO!$AF$7)*OFFSET(ORÇAMENTO!$W$15,ROW(AC211)-ROW(AC$15),0),15-13*ORÇAMENTO!$AF$11)),0)</f>
        <v>0</v>
      </c>
      <c r="AD211" s="627">
        <f ca="1">IF(AND($D211="Serviço",AD$12&lt;&gt;0,$H211&gt;0,OR(AUTOEVENTO&lt;&gt;"manual",$M211&lt;&gt;1)),
IF(Import.TipoArredondamento&lt;&gt;"TransfereGOV",
ROUND(OFFSET($P211,0,AD$13),15-13*ORÇAMENTO!$AF$7)/$H211*OFFSET(ORÇAMENTO!$X$15,ROW(AD211)-ROW(AD$15),0),
ROUND(ROUND(OFFSET($P211,0,AD$13),15-13*ORÇAMENTO!$AF$7)*OFFSET(ORÇAMENTO!$W$15,ROW(AD211)-ROW(AD$15),0),15-13*ORÇAMENTO!$AF$11)),0)</f>
        <v>0</v>
      </c>
      <c r="AE211" s="627">
        <f ca="1">IF(AND($D211="Serviço",AE$12&lt;&gt;0,$H211&gt;0,OR(AUTOEVENTO&lt;&gt;"manual",$M211&lt;&gt;1)),
IF(Import.TipoArredondamento&lt;&gt;"TransfereGOV",
ROUND(OFFSET($P211,0,AE$13),15-13*ORÇAMENTO!$AF$7)/$H211*OFFSET(ORÇAMENTO!$X$15,ROW(AE211)-ROW(AE$15),0),
ROUND(ROUND(OFFSET($P211,0,AE$13),15-13*ORÇAMENTO!$AF$7)*OFFSET(ORÇAMENTO!$W$15,ROW(AE211)-ROW(AE$15),0),15-13*ORÇAMENTO!$AF$11)),0)</f>
        <v>0</v>
      </c>
      <c r="AF211" s="627">
        <f ca="1">IF(AND($D211="Serviço",AF$12&lt;&gt;0,$H211&gt;0,OR(AUTOEVENTO&lt;&gt;"manual",$M211&lt;&gt;1)),
IF(Import.TipoArredondamento&lt;&gt;"TransfereGOV",
ROUND(OFFSET($P211,0,AF$13),15-13*ORÇAMENTO!$AF$7)/$H211*OFFSET(ORÇAMENTO!$X$15,ROW(AF211)-ROW(AF$15),0),
ROUND(ROUND(OFFSET($P211,0,AF$13),15-13*ORÇAMENTO!$AF$7)*OFFSET(ORÇAMENTO!$W$15,ROW(AF211)-ROW(AF$15),0),15-13*ORÇAMENTO!$AF$11)),0)</f>
        <v>0</v>
      </c>
      <c r="AG211" s="627">
        <f ca="1">IF(AND($D211="Serviço",AG$12&lt;&gt;0,$H211&gt;0,OR(AUTOEVENTO&lt;&gt;"manual",$M211&lt;&gt;1)),
IF(Import.TipoArredondamento&lt;&gt;"TransfereGOV",
ROUND(OFFSET($P211,0,AG$13),15-13*ORÇAMENTO!$AF$7)/$H211*OFFSET(ORÇAMENTO!$X$15,ROW(AG211)-ROW(AG$15),0),
ROUND(ROUND(OFFSET($P211,0,AG$13),15-13*ORÇAMENTO!$AF$7)*OFFSET(ORÇAMENTO!$W$15,ROW(AG211)-ROW(AG$15),0),15-13*ORÇAMENTO!$AF$11)),0)</f>
        <v>0</v>
      </c>
      <c r="AH211" s="627">
        <f ca="1">IF(AND($D211="Serviço",AH$12&lt;&gt;0,$H211&gt;0,OR(AUTOEVENTO&lt;&gt;"manual",$M211&lt;&gt;1)),
IF(Import.TipoArredondamento&lt;&gt;"TransfereGOV",
ROUND(OFFSET($P211,0,AH$13),15-13*ORÇAMENTO!$AF$7)/$H211*OFFSET(ORÇAMENTO!$X$15,ROW(AH211)-ROW(AH$15),0),
ROUND(ROUND(OFFSET($P211,0,AH$13),15-13*ORÇAMENTO!$AF$7)*OFFSET(ORÇAMENTO!$W$15,ROW(AH211)-ROW(AH$15),0),15-13*ORÇAMENTO!$AF$11)),0)</f>
        <v>0</v>
      </c>
      <c r="AI211" s="627">
        <f ca="1">IF(AND($D211="Serviço",AI$12&lt;&gt;0,$H211&gt;0,OR(AUTOEVENTO&lt;&gt;"manual",$M211&lt;&gt;1)),
IF(Import.TipoArredondamento&lt;&gt;"TransfereGOV",
ROUND(OFFSET($P211,0,AI$13),15-13*ORÇAMENTO!$AF$7)/$H211*OFFSET(ORÇAMENTO!$X$15,ROW(AI211)-ROW(AI$15),0),
ROUND(ROUND(OFFSET($P211,0,AI$13),15-13*ORÇAMENTO!$AF$7)*OFFSET(ORÇAMENTO!$W$15,ROW(AI211)-ROW(AI$15),0),15-13*ORÇAMENTO!$AF$11)),0)</f>
        <v>0</v>
      </c>
      <c r="AJ211" s="627">
        <f ca="1">IF(AND($D211="Serviço",AJ$12&lt;&gt;0,$H211&gt;0,OR(AUTOEVENTO&lt;&gt;"manual",$M211&lt;&gt;1)),
IF(Import.TipoArredondamento&lt;&gt;"TransfereGOV",
ROUND(OFFSET($P211,0,AJ$13),15-13*ORÇAMENTO!$AF$7)/$H211*OFFSET(ORÇAMENTO!$X$15,ROW(AJ211)-ROW(AJ$15),0),
ROUND(ROUND(OFFSET($P211,0,AJ$13),15-13*ORÇAMENTO!$AF$7)*OFFSET(ORÇAMENTO!$W$15,ROW(AJ211)-ROW(AJ$15),0),15-13*ORÇAMENTO!$AF$11)),0)</f>
        <v>0</v>
      </c>
      <c r="AK211" s="628">
        <f ca="1">IF(AND($D211="Serviço",AK$12&lt;&gt;0,$H211&gt;0,OR(AUTOEVENTO&lt;&gt;"manual",$M211&lt;&gt;1)),
IF(Import.TipoArredondamento&lt;&gt;"TransfereGOV",
ROUND(OFFSET($P211,0,AK$13),15-13*ORÇAMENTO!$AF$7)/$H211*OFFSET(ORÇAMENTO!$X$15,ROW(AK211)-ROW(AK$15),0),
ROUND(ROUND(OFFSET($P211,0,AK$13),15-13*ORÇAMENTO!$AF$7)*OFFSET(ORÇAMENTO!$W$15,ROW(AK211)-ROW(AK$15),0),15-13*ORÇAMENTO!$AF$11)),0)</f>
        <v>0</v>
      </c>
      <c r="AM211" s="211">
        <f ca="1">IF($D211&lt;&gt;"Serviço",0,IF(AND(AUTOEVENTO="Manual",$M211=1),0,IF(OFFSET(CRONOPLE!$F$14,$M211,AM$13)="",10^12,OFFSET(CRONOPLE!$F$14,$M211,AM$13))))</f>
        <v>2</v>
      </c>
      <c r="AN211" s="211">
        <f ca="1">IF($D211&lt;&gt;"Serviço",0,IF(AND(AUTOEVENTO="Manual",$M211=1),0,IF(OFFSET(CRONOPLE!$F$14,$M211,AN$13)="",10^12,OFFSET(CRONOPLE!$F$14,$M211,AN$13))))</f>
        <v>1</v>
      </c>
      <c r="AO211" s="211">
        <f ca="1">IF($D211&lt;&gt;"Serviço",0,IF(AND(AUTOEVENTO="Manual",$M211=1),0,IF(OFFSET(CRONOPLE!$F$14,$M211,AO$13)="",10^12,OFFSET(CRONOPLE!$F$14,$M211,AO$13))))</f>
        <v>2</v>
      </c>
      <c r="AP211" s="211">
        <f ca="1">IF($D211&lt;&gt;"Serviço",0,IF(AND(AUTOEVENTO="Manual",$M211=1),0,IF(OFFSET(CRONOPLE!$F$14,$M211,AP$13)="",10^12,OFFSET(CRONOPLE!$F$14,$M211,AP$13))))</f>
        <v>2</v>
      </c>
      <c r="AQ211" s="211">
        <f ca="1">IF($D211&lt;&gt;"Serviço",0,IF(AND(AUTOEVENTO="Manual",$M211=1),0,IF(OFFSET(CRONOPLE!$F$14,$M211,AQ$13)="",10^12,OFFSET(CRONOPLE!$F$14,$M211,AQ$13))))</f>
        <v>1000000000000</v>
      </c>
      <c r="AR211" s="211">
        <f ca="1">IF($D211&lt;&gt;"Serviço",0,IF(AND(AUTOEVENTO="Manual",$M211=1),0,IF(OFFSET(CRONOPLE!$F$14,$M211,AR$13)="",10^12,OFFSET(CRONOPLE!$F$14,$M211,AR$13))))</f>
        <v>1000000000000</v>
      </c>
      <c r="AS211" s="211">
        <f ca="1">IF($D211&lt;&gt;"Serviço",0,IF(AND(AUTOEVENTO="Manual",$M211=1),0,IF(OFFSET(CRONOPLE!$F$14,$M211,AS$13)="",10^12,OFFSET(CRONOPLE!$F$14,$M211,AS$13))))</f>
        <v>1000000000000</v>
      </c>
      <c r="AT211" s="211">
        <f ca="1">IF($D211&lt;&gt;"Serviço",0,IF(AND(AUTOEVENTO="Manual",$M211=1),0,IF(OFFSET(CRONOPLE!$F$14,$M211,AT$13)="",10^12,OFFSET(CRONOPLE!$F$14,$M211,AT$13))))</f>
        <v>1000000000000</v>
      </c>
      <c r="AU211" s="211">
        <f ca="1">IF($D211&lt;&gt;"Serviço",0,IF(AND(AUTOEVENTO="Manual",$M211=1),0,IF(OFFSET(CRONOPLE!$F$14,$M211,AU$13)="",10^12,OFFSET(CRONOPLE!$F$14,$M211,AU$13))))</f>
        <v>1000000000000</v>
      </c>
      <c r="AV211" s="211">
        <f ca="1">IF($D211&lt;&gt;"Serviço",0,IF(AND(AUTOEVENTO="Manual",$M211=1),0,IF(OFFSET(CRONOPLE!$F$14,$M211,AV$13)="",10^12,OFFSET(CRONOPLE!$F$14,$M211,AV$13))))</f>
        <v>1000000000000</v>
      </c>
      <c r="AX211" s="212">
        <f ca="1">IF($D211&lt;&gt;"Serviço",0,IF(OR(AND(AUTOEVENTO="Manual",$M211=1),$M211&gt;(ROW(PLE.lastrow)-ROW(PLE.firstrow))),0,IF(OFFSET(PLE!$G$14,$M211,AX$13)="",10^12,OFFSET(PLE!$G$14,$M211,AX$13))))</f>
        <v>1000000000000</v>
      </c>
      <c r="AY211" s="212">
        <f ca="1">IF($D211&lt;&gt;"Serviço",0,IF(OR(AND(AUTOEVENTO="Manual",$M211=1),$M211&gt;(ROW(PLE.lastrow)-ROW(PLE.firstrow))),0,IF(OFFSET(PLE!$G$14,$M211,AY$13)="",10^12,OFFSET(PLE!$G$14,$M211,AY$13))))</f>
        <v>1000000000000</v>
      </c>
      <c r="AZ211" s="212">
        <f ca="1">IF($D211&lt;&gt;"Serviço",0,IF(OR(AND(AUTOEVENTO="Manual",$M211=1),$M211&gt;(ROW(PLE.lastrow)-ROW(PLE.firstrow))),0,IF(OFFSET(PLE!$G$14,$M211,AZ$13)="",10^12,OFFSET(PLE!$G$14,$M211,AZ$13))))</f>
        <v>1000000000000</v>
      </c>
      <c r="BA211" s="212">
        <f ca="1">IF($D211&lt;&gt;"Serviço",0,IF(OR(AND(AUTOEVENTO="Manual",$M211=1),$M211&gt;(ROW(PLE.lastrow)-ROW(PLE.firstrow))),0,IF(OFFSET(PLE!$G$14,$M211,BA$13)="",10^12,OFFSET(PLE!$G$14,$M211,BA$13))))</f>
        <v>1000000000000</v>
      </c>
      <c r="BB211" s="212">
        <f ca="1">IF($D211&lt;&gt;"Serviço",0,IF(OR(AND(AUTOEVENTO="Manual",$M211=1),$M211&gt;(ROW(PLE.lastrow)-ROW(PLE.firstrow))),0,IF(OFFSET(PLE!$G$14,$M211,BB$13)="",10^12,OFFSET(PLE!$G$14,$M211,BB$13))))</f>
        <v>1000000000000</v>
      </c>
      <c r="BC211" s="212">
        <f ca="1">IF($D211&lt;&gt;"Serviço",0,IF(OR(AND(AUTOEVENTO="Manual",$M211=1),$M211&gt;(ROW(PLE.lastrow)-ROW(PLE.firstrow))),0,IF(OFFSET(PLE!$G$14,$M211,BC$13)="",10^12,OFFSET(PLE!$G$14,$M211,BC$13))))</f>
        <v>1000000000000</v>
      </c>
      <c r="BD211" s="212">
        <f ca="1">IF($D211&lt;&gt;"Serviço",0,IF(OR(AND(AUTOEVENTO="Manual",$M211=1),$M211&gt;(ROW(PLE.lastrow)-ROW(PLE.firstrow))),0,IF(OFFSET(PLE!$G$14,$M211,BD$13)="",10^12,OFFSET(PLE!$G$14,$M211,BD$13))))</f>
        <v>1000000000000</v>
      </c>
      <c r="BE211" s="212">
        <f ca="1">IF($D211&lt;&gt;"Serviço",0,IF(OR(AND(AUTOEVENTO="Manual",$M211=1),$M211&gt;(ROW(PLE.lastrow)-ROW(PLE.firstrow))),0,IF(OFFSET(PLE!$G$14,$M211,BE$13)="",10^12,OFFSET(PLE!$G$14,$M211,BE$13))))</f>
        <v>1000000000000</v>
      </c>
      <c r="BF211" s="212">
        <f ca="1">IF($D211&lt;&gt;"Serviço",0,IF(OR(AND(AUTOEVENTO="Manual",$M211=1),$M211&gt;(ROW(PLE.lastrow)-ROW(PLE.firstrow))),0,IF(OFFSET(PLE!$G$14,$M211,BF$13)="",10^12,OFFSET(PLE!$G$14,$M211,BF$13))))</f>
        <v>1000000000000</v>
      </c>
      <c r="BG211" s="212">
        <f ca="1">IF($D211&lt;&gt;"Serviço",0,IF(OR(AND(AUTOEVENTO="Manual",$M211=1),$M211&gt;(ROW(PLE.lastrow)-ROW(PLE.firstrow))),0,IF(OFFSET(PLE!$G$14,$M211,BG$13)="",10^12,OFFSET(PLE!$G$14,$M211,BG$13))))</f>
        <v>1000000000000</v>
      </c>
    </row>
    <row r="212" spans="1:59" ht="13.2">
      <c r="A212" s="9" t="str">
        <f t="shared" ca="1" si="12"/>
        <v>15</v>
      </c>
      <c r="B212" s="9" t="str">
        <f ca="1">OFFSET(ORÇAMENTO!C$15,ROW(B212)-ROW(B$15),0)</f>
        <v>S</v>
      </c>
      <c r="C212" s="9" t="str">
        <f ca="1">OFFSET(ORÇAMENTO!L$15,ROW(C212)-ROW(C$15),0)</f>
        <v/>
      </c>
      <c r="D212" s="141" t="str">
        <f ca="1">OFFSET(ORÇAMENTO!N$15,ROW(D212)-ROW(D$15),0)</f>
        <v>Serviço</v>
      </c>
      <c r="E212" s="201" t="str">
        <f ca="1">OFFSET(ORÇAMENTO!O$15,ROW(E212)-ROW(E$15),0)</f>
        <v>-</v>
      </c>
      <c r="F212" s="202" t="str">
        <f ca="1">OFFSET(ORÇAMENTO!R$15,ROW(F212)-ROW(F$15),0)</f>
        <v>(abra o arquivo 'Referência 11-2024.xlsm)</v>
      </c>
      <c r="G212" s="203" t="str">
        <f ca="1">IF($D212&lt;&gt;"Serviço","",OFFSET(ORÇAMENTO!S$15,ROW(G212)-ROW(G$15),0))</f>
        <v>-</v>
      </c>
      <c r="H212" s="147">
        <f ca="1">IF($D212&lt;&gt;"Serviço",0,IF(ACOMPANHAMENTO="BM",ROUND(OFFSET(ORÇAMENTO!AJ$15,ROW(H212)-ROW(H$15),0),15-13*ORÇAMENTO!$AF$7),SUMPRODUCT(($Q$12:$AA$12&lt;&gt;"")*ROUND($Q212:$AA212,15-13*ORÇAMENTO!$AF$7))))</f>
        <v>0</v>
      </c>
      <c r="I212" s="645"/>
      <c r="K212" s="204"/>
      <c r="L212" s="205" t="s">
        <v>255</v>
      </c>
      <c r="M212" s="206">
        <f ca="1">IF($D212&lt;&gt;"Serviço","",IF(AUTOEVENTO="manual",$A212,IF(ISERROR(MATCH($A212,$A$15:OFFSET($A212,-1,0),0)),MAX($M$15:OFFSET(M212,-1,0))+1,INDEX($M$15:OFFSET(M212,-1,0),MATCH($A212,$A$15:OFFSET($A212,-1,0),0)))))</f>
        <v>6</v>
      </c>
      <c r="N212" s="207" t="str">
        <f ca="1">IF($D212&lt;&gt;"Serviço","",IF(AUTOEVENTO="Manual",IF($A212=0,"&lt;-- defina o número do agrupador",OFFSET(EVENTOS!$D$14,$A212,0)),OFFSET($F$15,$A212,0)))</f>
        <v>DRENAGEM</v>
      </c>
      <c r="O212" s="208"/>
      <c r="Q212" s="208"/>
      <c r="R212" s="209"/>
      <c r="S212" s="209"/>
      <c r="T212" s="209"/>
      <c r="U212" s="209"/>
      <c r="V212" s="209"/>
      <c r="W212" s="209"/>
      <c r="X212" s="209"/>
      <c r="Y212" s="209"/>
      <c r="Z212" s="210"/>
      <c r="AB212" s="626">
        <f ca="1">IF(AND($D212="Serviço",AB$12&lt;&gt;0,$H212&gt;0,OR(AUTOEVENTO&lt;&gt;"manual",$M212&lt;&gt;1)),
IF(Import.TipoArredondamento&lt;&gt;"TransfereGOV",
ROUND(OFFSET($P212,0,AB$13),15-13*ORÇAMENTO!$AF$7)/$H212*OFFSET(ORÇAMENTO!$X$15,ROW(AB212)-ROW(AB$15),0),
ROUND(ROUND(OFFSET($P212,0,AB$13),15-13*ORÇAMENTO!$AF$7)*OFFSET(ORÇAMENTO!$W$15,ROW(AB212)-ROW(AB$15),0),15-13*ORÇAMENTO!$AF$11)),0)</f>
        <v>0</v>
      </c>
      <c r="AC212" s="627">
        <f ca="1">IF(AND($D212="Serviço",AC$12&lt;&gt;0,$H212&gt;0,OR(AUTOEVENTO&lt;&gt;"manual",$M212&lt;&gt;1)),
IF(Import.TipoArredondamento&lt;&gt;"TransfereGOV",
ROUND(OFFSET($P212,0,AC$13),15-13*ORÇAMENTO!$AF$7)/$H212*OFFSET(ORÇAMENTO!$X$15,ROW(AC212)-ROW(AC$15),0),
ROUND(ROUND(OFFSET($P212,0,AC$13),15-13*ORÇAMENTO!$AF$7)*OFFSET(ORÇAMENTO!$W$15,ROW(AC212)-ROW(AC$15),0),15-13*ORÇAMENTO!$AF$11)),0)</f>
        <v>0</v>
      </c>
      <c r="AD212" s="627">
        <f ca="1">IF(AND($D212="Serviço",AD$12&lt;&gt;0,$H212&gt;0,OR(AUTOEVENTO&lt;&gt;"manual",$M212&lt;&gt;1)),
IF(Import.TipoArredondamento&lt;&gt;"TransfereGOV",
ROUND(OFFSET($P212,0,AD$13),15-13*ORÇAMENTO!$AF$7)/$H212*OFFSET(ORÇAMENTO!$X$15,ROW(AD212)-ROW(AD$15),0),
ROUND(ROUND(OFFSET($P212,0,AD$13),15-13*ORÇAMENTO!$AF$7)*OFFSET(ORÇAMENTO!$W$15,ROW(AD212)-ROW(AD$15),0),15-13*ORÇAMENTO!$AF$11)),0)</f>
        <v>0</v>
      </c>
      <c r="AE212" s="627">
        <f ca="1">IF(AND($D212="Serviço",AE$12&lt;&gt;0,$H212&gt;0,OR(AUTOEVENTO&lt;&gt;"manual",$M212&lt;&gt;1)),
IF(Import.TipoArredondamento&lt;&gt;"TransfereGOV",
ROUND(OFFSET($P212,0,AE$13),15-13*ORÇAMENTO!$AF$7)/$H212*OFFSET(ORÇAMENTO!$X$15,ROW(AE212)-ROW(AE$15),0),
ROUND(ROUND(OFFSET($P212,0,AE$13),15-13*ORÇAMENTO!$AF$7)*OFFSET(ORÇAMENTO!$W$15,ROW(AE212)-ROW(AE$15),0),15-13*ORÇAMENTO!$AF$11)),0)</f>
        <v>0</v>
      </c>
      <c r="AF212" s="627">
        <f ca="1">IF(AND($D212="Serviço",AF$12&lt;&gt;0,$H212&gt;0,OR(AUTOEVENTO&lt;&gt;"manual",$M212&lt;&gt;1)),
IF(Import.TipoArredondamento&lt;&gt;"TransfereGOV",
ROUND(OFFSET($P212,0,AF$13),15-13*ORÇAMENTO!$AF$7)/$H212*OFFSET(ORÇAMENTO!$X$15,ROW(AF212)-ROW(AF$15),0),
ROUND(ROUND(OFFSET($P212,0,AF$13),15-13*ORÇAMENTO!$AF$7)*OFFSET(ORÇAMENTO!$W$15,ROW(AF212)-ROW(AF$15),0),15-13*ORÇAMENTO!$AF$11)),0)</f>
        <v>0</v>
      </c>
      <c r="AG212" s="627">
        <f ca="1">IF(AND($D212="Serviço",AG$12&lt;&gt;0,$H212&gt;0,OR(AUTOEVENTO&lt;&gt;"manual",$M212&lt;&gt;1)),
IF(Import.TipoArredondamento&lt;&gt;"TransfereGOV",
ROUND(OFFSET($P212,0,AG$13),15-13*ORÇAMENTO!$AF$7)/$H212*OFFSET(ORÇAMENTO!$X$15,ROW(AG212)-ROW(AG$15),0),
ROUND(ROUND(OFFSET($P212,0,AG$13),15-13*ORÇAMENTO!$AF$7)*OFFSET(ORÇAMENTO!$W$15,ROW(AG212)-ROW(AG$15),0),15-13*ORÇAMENTO!$AF$11)),0)</f>
        <v>0</v>
      </c>
      <c r="AH212" s="627">
        <f ca="1">IF(AND($D212="Serviço",AH$12&lt;&gt;0,$H212&gt;0,OR(AUTOEVENTO&lt;&gt;"manual",$M212&lt;&gt;1)),
IF(Import.TipoArredondamento&lt;&gt;"TransfereGOV",
ROUND(OFFSET($P212,0,AH$13),15-13*ORÇAMENTO!$AF$7)/$H212*OFFSET(ORÇAMENTO!$X$15,ROW(AH212)-ROW(AH$15),0),
ROUND(ROUND(OFFSET($P212,0,AH$13),15-13*ORÇAMENTO!$AF$7)*OFFSET(ORÇAMENTO!$W$15,ROW(AH212)-ROW(AH$15),0),15-13*ORÇAMENTO!$AF$11)),0)</f>
        <v>0</v>
      </c>
      <c r="AI212" s="627">
        <f ca="1">IF(AND($D212="Serviço",AI$12&lt;&gt;0,$H212&gt;0,OR(AUTOEVENTO&lt;&gt;"manual",$M212&lt;&gt;1)),
IF(Import.TipoArredondamento&lt;&gt;"TransfereGOV",
ROUND(OFFSET($P212,0,AI$13),15-13*ORÇAMENTO!$AF$7)/$H212*OFFSET(ORÇAMENTO!$X$15,ROW(AI212)-ROW(AI$15),0),
ROUND(ROUND(OFFSET($P212,0,AI$13),15-13*ORÇAMENTO!$AF$7)*OFFSET(ORÇAMENTO!$W$15,ROW(AI212)-ROW(AI$15),0),15-13*ORÇAMENTO!$AF$11)),0)</f>
        <v>0</v>
      </c>
      <c r="AJ212" s="627">
        <f ca="1">IF(AND($D212="Serviço",AJ$12&lt;&gt;0,$H212&gt;0,OR(AUTOEVENTO&lt;&gt;"manual",$M212&lt;&gt;1)),
IF(Import.TipoArredondamento&lt;&gt;"TransfereGOV",
ROUND(OFFSET($P212,0,AJ$13),15-13*ORÇAMENTO!$AF$7)/$H212*OFFSET(ORÇAMENTO!$X$15,ROW(AJ212)-ROW(AJ$15),0),
ROUND(ROUND(OFFSET($P212,0,AJ$13),15-13*ORÇAMENTO!$AF$7)*OFFSET(ORÇAMENTO!$W$15,ROW(AJ212)-ROW(AJ$15),0),15-13*ORÇAMENTO!$AF$11)),0)</f>
        <v>0</v>
      </c>
      <c r="AK212" s="628">
        <f ca="1">IF(AND($D212="Serviço",AK$12&lt;&gt;0,$H212&gt;0,OR(AUTOEVENTO&lt;&gt;"manual",$M212&lt;&gt;1)),
IF(Import.TipoArredondamento&lt;&gt;"TransfereGOV",
ROUND(OFFSET($P212,0,AK$13),15-13*ORÇAMENTO!$AF$7)/$H212*OFFSET(ORÇAMENTO!$X$15,ROW(AK212)-ROW(AK$15),0),
ROUND(ROUND(OFFSET($P212,0,AK$13),15-13*ORÇAMENTO!$AF$7)*OFFSET(ORÇAMENTO!$W$15,ROW(AK212)-ROW(AK$15),0),15-13*ORÇAMENTO!$AF$11)),0)</f>
        <v>0</v>
      </c>
      <c r="AM212" s="211">
        <f ca="1">IF($D212&lt;&gt;"Serviço",0,IF(AND(AUTOEVENTO="Manual",$M212=1),0,IF(OFFSET(CRONOPLE!$F$14,$M212,AM$13)="",10^12,OFFSET(CRONOPLE!$F$14,$M212,AM$13))))</f>
        <v>2</v>
      </c>
      <c r="AN212" s="211">
        <f ca="1">IF($D212&lt;&gt;"Serviço",0,IF(AND(AUTOEVENTO="Manual",$M212=1),0,IF(OFFSET(CRONOPLE!$F$14,$M212,AN$13)="",10^12,OFFSET(CRONOPLE!$F$14,$M212,AN$13))))</f>
        <v>1</v>
      </c>
      <c r="AO212" s="211">
        <f ca="1">IF($D212&lt;&gt;"Serviço",0,IF(AND(AUTOEVENTO="Manual",$M212=1),0,IF(OFFSET(CRONOPLE!$F$14,$M212,AO$13)="",10^12,OFFSET(CRONOPLE!$F$14,$M212,AO$13))))</f>
        <v>2</v>
      </c>
      <c r="AP212" s="211">
        <f ca="1">IF($D212&lt;&gt;"Serviço",0,IF(AND(AUTOEVENTO="Manual",$M212=1),0,IF(OFFSET(CRONOPLE!$F$14,$M212,AP$13)="",10^12,OFFSET(CRONOPLE!$F$14,$M212,AP$13))))</f>
        <v>2</v>
      </c>
      <c r="AQ212" s="211">
        <f ca="1">IF($D212&lt;&gt;"Serviço",0,IF(AND(AUTOEVENTO="Manual",$M212=1),0,IF(OFFSET(CRONOPLE!$F$14,$M212,AQ$13)="",10^12,OFFSET(CRONOPLE!$F$14,$M212,AQ$13))))</f>
        <v>1000000000000</v>
      </c>
      <c r="AR212" s="211">
        <f ca="1">IF($D212&lt;&gt;"Serviço",0,IF(AND(AUTOEVENTO="Manual",$M212=1),0,IF(OFFSET(CRONOPLE!$F$14,$M212,AR$13)="",10^12,OFFSET(CRONOPLE!$F$14,$M212,AR$13))))</f>
        <v>1000000000000</v>
      </c>
      <c r="AS212" s="211">
        <f ca="1">IF($D212&lt;&gt;"Serviço",0,IF(AND(AUTOEVENTO="Manual",$M212=1),0,IF(OFFSET(CRONOPLE!$F$14,$M212,AS$13)="",10^12,OFFSET(CRONOPLE!$F$14,$M212,AS$13))))</f>
        <v>1000000000000</v>
      </c>
      <c r="AT212" s="211">
        <f ca="1">IF($D212&lt;&gt;"Serviço",0,IF(AND(AUTOEVENTO="Manual",$M212=1),0,IF(OFFSET(CRONOPLE!$F$14,$M212,AT$13)="",10^12,OFFSET(CRONOPLE!$F$14,$M212,AT$13))))</f>
        <v>1000000000000</v>
      </c>
      <c r="AU212" s="211">
        <f ca="1">IF($D212&lt;&gt;"Serviço",0,IF(AND(AUTOEVENTO="Manual",$M212=1),0,IF(OFFSET(CRONOPLE!$F$14,$M212,AU$13)="",10^12,OFFSET(CRONOPLE!$F$14,$M212,AU$13))))</f>
        <v>1000000000000</v>
      </c>
      <c r="AV212" s="211">
        <f ca="1">IF($D212&lt;&gt;"Serviço",0,IF(AND(AUTOEVENTO="Manual",$M212=1),0,IF(OFFSET(CRONOPLE!$F$14,$M212,AV$13)="",10^12,OFFSET(CRONOPLE!$F$14,$M212,AV$13))))</f>
        <v>1000000000000</v>
      </c>
      <c r="AX212" s="212">
        <f ca="1">IF($D212&lt;&gt;"Serviço",0,IF(OR(AND(AUTOEVENTO="Manual",$M212=1),$M212&gt;(ROW(PLE.lastrow)-ROW(PLE.firstrow))),0,IF(OFFSET(PLE!$G$14,$M212,AX$13)="",10^12,OFFSET(PLE!$G$14,$M212,AX$13))))</f>
        <v>1000000000000</v>
      </c>
      <c r="AY212" s="212">
        <f ca="1">IF($D212&lt;&gt;"Serviço",0,IF(OR(AND(AUTOEVENTO="Manual",$M212=1),$M212&gt;(ROW(PLE.lastrow)-ROW(PLE.firstrow))),0,IF(OFFSET(PLE!$G$14,$M212,AY$13)="",10^12,OFFSET(PLE!$G$14,$M212,AY$13))))</f>
        <v>1000000000000</v>
      </c>
      <c r="AZ212" s="212">
        <f ca="1">IF($D212&lt;&gt;"Serviço",0,IF(OR(AND(AUTOEVENTO="Manual",$M212=1),$M212&gt;(ROW(PLE.lastrow)-ROW(PLE.firstrow))),0,IF(OFFSET(PLE!$G$14,$M212,AZ$13)="",10^12,OFFSET(PLE!$G$14,$M212,AZ$13))))</f>
        <v>1000000000000</v>
      </c>
      <c r="BA212" s="212">
        <f ca="1">IF($D212&lt;&gt;"Serviço",0,IF(OR(AND(AUTOEVENTO="Manual",$M212=1),$M212&gt;(ROW(PLE.lastrow)-ROW(PLE.firstrow))),0,IF(OFFSET(PLE!$G$14,$M212,BA$13)="",10^12,OFFSET(PLE!$G$14,$M212,BA$13))))</f>
        <v>1000000000000</v>
      </c>
      <c r="BB212" s="212">
        <f ca="1">IF($D212&lt;&gt;"Serviço",0,IF(OR(AND(AUTOEVENTO="Manual",$M212=1),$M212&gt;(ROW(PLE.lastrow)-ROW(PLE.firstrow))),0,IF(OFFSET(PLE!$G$14,$M212,BB$13)="",10^12,OFFSET(PLE!$G$14,$M212,BB$13))))</f>
        <v>1000000000000</v>
      </c>
      <c r="BC212" s="212">
        <f ca="1">IF($D212&lt;&gt;"Serviço",0,IF(OR(AND(AUTOEVENTO="Manual",$M212=1),$M212&gt;(ROW(PLE.lastrow)-ROW(PLE.firstrow))),0,IF(OFFSET(PLE!$G$14,$M212,BC$13)="",10^12,OFFSET(PLE!$G$14,$M212,BC$13))))</f>
        <v>1000000000000</v>
      </c>
      <c r="BD212" s="212">
        <f ca="1">IF($D212&lt;&gt;"Serviço",0,IF(OR(AND(AUTOEVENTO="Manual",$M212=1),$M212&gt;(ROW(PLE.lastrow)-ROW(PLE.firstrow))),0,IF(OFFSET(PLE!$G$14,$M212,BD$13)="",10^12,OFFSET(PLE!$G$14,$M212,BD$13))))</f>
        <v>1000000000000</v>
      </c>
      <c r="BE212" s="212">
        <f ca="1">IF($D212&lt;&gt;"Serviço",0,IF(OR(AND(AUTOEVENTO="Manual",$M212=1),$M212&gt;(ROW(PLE.lastrow)-ROW(PLE.firstrow))),0,IF(OFFSET(PLE!$G$14,$M212,BE$13)="",10^12,OFFSET(PLE!$G$14,$M212,BE$13))))</f>
        <v>1000000000000</v>
      </c>
      <c r="BF212" s="212">
        <f ca="1">IF($D212&lt;&gt;"Serviço",0,IF(OR(AND(AUTOEVENTO="Manual",$M212=1),$M212&gt;(ROW(PLE.lastrow)-ROW(PLE.firstrow))),0,IF(OFFSET(PLE!$G$14,$M212,BF$13)="",10^12,OFFSET(PLE!$G$14,$M212,BF$13))))</f>
        <v>1000000000000</v>
      </c>
      <c r="BG212" s="212">
        <f ca="1">IF($D212&lt;&gt;"Serviço",0,IF(OR(AND(AUTOEVENTO="Manual",$M212=1),$M212&gt;(ROW(PLE.lastrow)-ROW(PLE.firstrow))),0,IF(OFFSET(PLE!$G$14,$M212,BG$13)="",10^12,OFFSET(PLE!$G$14,$M212,BG$13))))</f>
        <v>1000000000000</v>
      </c>
    </row>
    <row r="213" spans="1:59" ht="13.2">
      <c r="A213" s="9" t="str">
        <f t="shared" ca="1" si="12"/>
        <v>15</v>
      </c>
      <c r="B213" s="9" t="str">
        <f ca="1">OFFSET(ORÇAMENTO!C$15,ROW(B213)-ROW(B$15),0)</f>
        <v>S</v>
      </c>
      <c r="C213" s="9" t="str">
        <f ca="1">OFFSET(ORÇAMENTO!L$15,ROW(C213)-ROW(C$15),0)</f>
        <v/>
      </c>
      <c r="D213" s="141" t="str">
        <f ca="1">OFFSET(ORÇAMENTO!N$15,ROW(D213)-ROW(D$15),0)</f>
        <v>Serviço</v>
      </c>
      <c r="E213" s="201" t="str">
        <f ca="1">OFFSET(ORÇAMENTO!O$15,ROW(E213)-ROW(E$15),0)</f>
        <v>-</v>
      </c>
      <c r="F213" s="202" t="str">
        <f ca="1">OFFSET(ORÇAMENTO!R$15,ROW(F213)-ROW(F$15),0)</f>
        <v>(abra o arquivo 'Referência 11-2024.xlsm)</v>
      </c>
      <c r="G213" s="203" t="str">
        <f ca="1">IF($D213&lt;&gt;"Serviço","",OFFSET(ORÇAMENTO!S$15,ROW(G213)-ROW(G$15),0))</f>
        <v>-</v>
      </c>
      <c r="H213" s="147">
        <f ca="1">IF($D213&lt;&gt;"Serviço",0,IF(ACOMPANHAMENTO="BM",ROUND(OFFSET(ORÇAMENTO!AJ$15,ROW(H213)-ROW(H$15),0),15-13*ORÇAMENTO!$AF$7),SUMPRODUCT(($Q$12:$AA$12&lt;&gt;"")*ROUND($Q213:$AA213,15-13*ORÇAMENTO!$AF$7))))</f>
        <v>0</v>
      </c>
      <c r="I213" s="645"/>
      <c r="K213" s="204"/>
      <c r="L213" s="205" t="s">
        <v>255</v>
      </c>
      <c r="M213" s="206">
        <f ca="1">IF($D213&lt;&gt;"Serviço","",IF(AUTOEVENTO="manual",$A213,IF(ISERROR(MATCH($A213,$A$15:OFFSET($A213,-1,0),0)),MAX($M$15:OFFSET(M213,-1,0))+1,INDEX($M$15:OFFSET(M213,-1,0),MATCH($A213,$A$15:OFFSET($A213,-1,0),0)))))</f>
        <v>6</v>
      </c>
      <c r="N213" s="207" t="str">
        <f ca="1">IF($D213&lt;&gt;"Serviço","",IF(AUTOEVENTO="Manual",IF($A213=0,"&lt;-- defina o número do agrupador",OFFSET(EVENTOS!$D$14,$A213,0)),OFFSET($F$15,$A213,0)))</f>
        <v>DRENAGEM</v>
      </c>
      <c r="O213" s="208"/>
      <c r="Q213" s="208"/>
      <c r="R213" s="209"/>
      <c r="S213" s="209"/>
      <c r="T213" s="209"/>
      <c r="U213" s="209"/>
      <c r="V213" s="209"/>
      <c r="W213" s="209"/>
      <c r="X213" s="209"/>
      <c r="Y213" s="209"/>
      <c r="Z213" s="210"/>
      <c r="AB213" s="626">
        <f ca="1">IF(AND($D213="Serviço",AB$12&lt;&gt;0,$H213&gt;0,OR(AUTOEVENTO&lt;&gt;"manual",$M213&lt;&gt;1)),
IF(Import.TipoArredondamento&lt;&gt;"TransfereGOV",
ROUND(OFFSET($P213,0,AB$13),15-13*ORÇAMENTO!$AF$7)/$H213*OFFSET(ORÇAMENTO!$X$15,ROW(AB213)-ROW(AB$15),0),
ROUND(ROUND(OFFSET($P213,0,AB$13),15-13*ORÇAMENTO!$AF$7)*OFFSET(ORÇAMENTO!$W$15,ROW(AB213)-ROW(AB$15),0),15-13*ORÇAMENTO!$AF$11)),0)</f>
        <v>0</v>
      </c>
      <c r="AC213" s="627">
        <f ca="1">IF(AND($D213="Serviço",AC$12&lt;&gt;0,$H213&gt;0,OR(AUTOEVENTO&lt;&gt;"manual",$M213&lt;&gt;1)),
IF(Import.TipoArredondamento&lt;&gt;"TransfereGOV",
ROUND(OFFSET($P213,0,AC$13),15-13*ORÇAMENTO!$AF$7)/$H213*OFFSET(ORÇAMENTO!$X$15,ROW(AC213)-ROW(AC$15),0),
ROUND(ROUND(OFFSET($P213,0,AC$13),15-13*ORÇAMENTO!$AF$7)*OFFSET(ORÇAMENTO!$W$15,ROW(AC213)-ROW(AC$15),0),15-13*ORÇAMENTO!$AF$11)),0)</f>
        <v>0</v>
      </c>
      <c r="AD213" s="627">
        <f ca="1">IF(AND($D213="Serviço",AD$12&lt;&gt;0,$H213&gt;0,OR(AUTOEVENTO&lt;&gt;"manual",$M213&lt;&gt;1)),
IF(Import.TipoArredondamento&lt;&gt;"TransfereGOV",
ROUND(OFFSET($P213,0,AD$13),15-13*ORÇAMENTO!$AF$7)/$H213*OFFSET(ORÇAMENTO!$X$15,ROW(AD213)-ROW(AD$15),0),
ROUND(ROUND(OFFSET($P213,0,AD$13),15-13*ORÇAMENTO!$AF$7)*OFFSET(ORÇAMENTO!$W$15,ROW(AD213)-ROW(AD$15),0),15-13*ORÇAMENTO!$AF$11)),0)</f>
        <v>0</v>
      </c>
      <c r="AE213" s="627">
        <f ca="1">IF(AND($D213="Serviço",AE$12&lt;&gt;0,$H213&gt;0,OR(AUTOEVENTO&lt;&gt;"manual",$M213&lt;&gt;1)),
IF(Import.TipoArredondamento&lt;&gt;"TransfereGOV",
ROUND(OFFSET($P213,0,AE$13),15-13*ORÇAMENTO!$AF$7)/$H213*OFFSET(ORÇAMENTO!$X$15,ROW(AE213)-ROW(AE$15),0),
ROUND(ROUND(OFFSET($P213,0,AE$13),15-13*ORÇAMENTO!$AF$7)*OFFSET(ORÇAMENTO!$W$15,ROW(AE213)-ROW(AE$15),0),15-13*ORÇAMENTO!$AF$11)),0)</f>
        <v>0</v>
      </c>
      <c r="AF213" s="627">
        <f ca="1">IF(AND($D213="Serviço",AF$12&lt;&gt;0,$H213&gt;0,OR(AUTOEVENTO&lt;&gt;"manual",$M213&lt;&gt;1)),
IF(Import.TipoArredondamento&lt;&gt;"TransfereGOV",
ROUND(OFFSET($P213,0,AF$13),15-13*ORÇAMENTO!$AF$7)/$H213*OFFSET(ORÇAMENTO!$X$15,ROW(AF213)-ROW(AF$15),0),
ROUND(ROUND(OFFSET($P213,0,AF$13),15-13*ORÇAMENTO!$AF$7)*OFFSET(ORÇAMENTO!$W$15,ROW(AF213)-ROW(AF$15),0),15-13*ORÇAMENTO!$AF$11)),0)</f>
        <v>0</v>
      </c>
      <c r="AG213" s="627">
        <f ca="1">IF(AND($D213="Serviço",AG$12&lt;&gt;0,$H213&gt;0,OR(AUTOEVENTO&lt;&gt;"manual",$M213&lt;&gt;1)),
IF(Import.TipoArredondamento&lt;&gt;"TransfereGOV",
ROUND(OFFSET($P213,0,AG$13),15-13*ORÇAMENTO!$AF$7)/$H213*OFFSET(ORÇAMENTO!$X$15,ROW(AG213)-ROW(AG$15),0),
ROUND(ROUND(OFFSET($P213,0,AG$13),15-13*ORÇAMENTO!$AF$7)*OFFSET(ORÇAMENTO!$W$15,ROW(AG213)-ROW(AG$15),0),15-13*ORÇAMENTO!$AF$11)),0)</f>
        <v>0</v>
      </c>
      <c r="AH213" s="627">
        <f ca="1">IF(AND($D213="Serviço",AH$12&lt;&gt;0,$H213&gt;0,OR(AUTOEVENTO&lt;&gt;"manual",$M213&lt;&gt;1)),
IF(Import.TipoArredondamento&lt;&gt;"TransfereGOV",
ROUND(OFFSET($P213,0,AH$13),15-13*ORÇAMENTO!$AF$7)/$H213*OFFSET(ORÇAMENTO!$X$15,ROW(AH213)-ROW(AH$15),0),
ROUND(ROUND(OFFSET($P213,0,AH$13),15-13*ORÇAMENTO!$AF$7)*OFFSET(ORÇAMENTO!$W$15,ROW(AH213)-ROW(AH$15),0),15-13*ORÇAMENTO!$AF$11)),0)</f>
        <v>0</v>
      </c>
      <c r="AI213" s="627">
        <f ca="1">IF(AND($D213="Serviço",AI$12&lt;&gt;0,$H213&gt;0,OR(AUTOEVENTO&lt;&gt;"manual",$M213&lt;&gt;1)),
IF(Import.TipoArredondamento&lt;&gt;"TransfereGOV",
ROUND(OFFSET($P213,0,AI$13),15-13*ORÇAMENTO!$AF$7)/$H213*OFFSET(ORÇAMENTO!$X$15,ROW(AI213)-ROW(AI$15),0),
ROUND(ROUND(OFFSET($P213,0,AI$13),15-13*ORÇAMENTO!$AF$7)*OFFSET(ORÇAMENTO!$W$15,ROW(AI213)-ROW(AI$15),0),15-13*ORÇAMENTO!$AF$11)),0)</f>
        <v>0</v>
      </c>
      <c r="AJ213" s="627">
        <f ca="1">IF(AND($D213="Serviço",AJ$12&lt;&gt;0,$H213&gt;0,OR(AUTOEVENTO&lt;&gt;"manual",$M213&lt;&gt;1)),
IF(Import.TipoArredondamento&lt;&gt;"TransfereGOV",
ROUND(OFFSET($P213,0,AJ$13),15-13*ORÇAMENTO!$AF$7)/$H213*OFFSET(ORÇAMENTO!$X$15,ROW(AJ213)-ROW(AJ$15),0),
ROUND(ROUND(OFFSET($P213,0,AJ$13),15-13*ORÇAMENTO!$AF$7)*OFFSET(ORÇAMENTO!$W$15,ROW(AJ213)-ROW(AJ$15),0),15-13*ORÇAMENTO!$AF$11)),0)</f>
        <v>0</v>
      </c>
      <c r="AK213" s="628">
        <f ca="1">IF(AND($D213="Serviço",AK$12&lt;&gt;0,$H213&gt;0,OR(AUTOEVENTO&lt;&gt;"manual",$M213&lt;&gt;1)),
IF(Import.TipoArredondamento&lt;&gt;"TransfereGOV",
ROUND(OFFSET($P213,0,AK$13),15-13*ORÇAMENTO!$AF$7)/$H213*OFFSET(ORÇAMENTO!$X$15,ROW(AK213)-ROW(AK$15),0),
ROUND(ROUND(OFFSET($P213,0,AK$13),15-13*ORÇAMENTO!$AF$7)*OFFSET(ORÇAMENTO!$W$15,ROW(AK213)-ROW(AK$15),0),15-13*ORÇAMENTO!$AF$11)),0)</f>
        <v>0</v>
      </c>
      <c r="AM213" s="211">
        <f ca="1">IF($D213&lt;&gt;"Serviço",0,IF(AND(AUTOEVENTO="Manual",$M213=1),0,IF(OFFSET(CRONOPLE!$F$14,$M213,AM$13)="",10^12,OFFSET(CRONOPLE!$F$14,$M213,AM$13))))</f>
        <v>2</v>
      </c>
      <c r="AN213" s="211">
        <f ca="1">IF($D213&lt;&gt;"Serviço",0,IF(AND(AUTOEVENTO="Manual",$M213=1),0,IF(OFFSET(CRONOPLE!$F$14,$M213,AN$13)="",10^12,OFFSET(CRONOPLE!$F$14,$M213,AN$13))))</f>
        <v>1</v>
      </c>
      <c r="AO213" s="211">
        <f ca="1">IF($D213&lt;&gt;"Serviço",0,IF(AND(AUTOEVENTO="Manual",$M213=1),0,IF(OFFSET(CRONOPLE!$F$14,$M213,AO$13)="",10^12,OFFSET(CRONOPLE!$F$14,$M213,AO$13))))</f>
        <v>2</v>
      </c>
      <c r="AP213" s="211">
        <f ca="1">IF($D213&lt;&gt;"Serviço",0,IF(AND(AUTOEVENTO="Manual",$M213=1),0,IF(OFFSET(CRONOPLE!$F$14,$M213,AP$13)="",10^12,OFFSET(CRONOPLE!$F$14,$M213,AP$13))))</f>
        <v>2</v>
      </c>
      <c r="AQ213" s="211">
        <f ca="1">IF($D213&lt;&gt;"Serviço",0,IF(AND(AUTOEVENTO="Manual",$M213=1),0,IF(OFFSET(CRONOPLE!$F$14,$M213,AQ$13)="",10^12,OFFSET(CRONOPLE!$F$14,$M213,AQ$13))))</f>
        <v>1000000000000</v>
      </c>
      <c r="AR213" s="211">
        <f ca="1">IF($D213&lt;&gt;"Serviço",0,IF(AND(AUTOEVENTO="Manual",$M213=1),0,IF(OFFSET(CRONOPLE!$F$14,$M213,AR$13)="",10^12,OFFSET(CRONOPLE!$F$14,$M213,AR$13))))</f>
        <v>1000000000000</v>
      </c>
      <c r="AS213" s="211">
        <f ca="1">IF($D213&lt;&gt;"Serviço",0,IF(AND(AUTOEVENTO="Manual",$M213=1),0,IF(OFFSET(CRONOPLE!$F$14,$M213,AS$13)="",10^12,OFFSET(CRONOPLE!$F$14,$M213,AS$13))))</f>
        <v>1000000000000</v>
      </c>
      <c r="AT213" s="211">
        <f ca="1">IF($D213&lt;&gt;"Serviço",0,IF(AND(AUTOEVENTO="Manual",$M213=1),0,IF(OFFSET(CRONOPLE!$F$14,$M213,AT$13)="",10^12,OFFSET(CRONOPLE!$F$14,$M213,AT$13))))</f>
        <v>1000000000000</v>
      </c>
      <c r="AU213" s="211">
        <f ca="1">IF($D213&lt;&gt;"Serviço",0,IF(AND(AUTOEVENTO="Manual",$M213=1),0,IF(OFFSET(CRONOPLE!$F$14,$M213,AU$13)="",10^12,OFFSET(CRONOPLE!$F$14,$M213,AU$13))))</f>
        <v>1000000000000</v>
      </c>
      <c r="AV213" s="211">
        <f ca="1">IF($D213&lt;&gt;"Serviço",0,IF(AND(AUTOEVENTO="Manual",$M213=1),0,IF(OFFSET(CRONOPLE!$F$14,$M213,AV$13)="",10^12,OFFSET(CRONOPLE!$F$14,$M213,AV$13))))</f>
        <v>1000000000000</v>
      </c>
      <c r="AX213" s="212">
        <f ca="1">IF($D213&lt;&gt;"Serviço",0,IF(OR(AND(AUTOEVENTO="Manual",$M213=1),$M213&gt;(ROW(PLE.lastrow)-ROW(PLE.firstrow))),0,IF(OFFSET(PLE!$G$14,$M213,AX$13)="",10^12,OFFSET(PLE!$G$14,$M213,AX$13))))</f>
        <v>1000000000000</v>
      </c>
      <c r="AY213" s="212">
        <f ca="1">IF($D213&lt;&gt;"Serviço",0,IF(OR(AND(AUTOEVENTO="Manual",$M213=1),$M213&gt;(ROW(PLE.lastrow)-ROW(PLE.firstrow))),0,IF(OFFSET(PLE!$G$14,$M213,AY$13)="",10^12,OFFSET(PLE!$G$14,$M213,AY$13))))</f>
        <v>1000000000000</v>
      </c>
      <c r="AZ213" s="212">
        <f ca="1">IF($D213&lt;&gt;"Serviço",0,IF(OR(AND(AUTOEVENTO="Manual",$M213=1),$M213&gt;(ROW(PLE.lastrow)-ROW(PLE.firstrow))),0,IF(OFFSET(PLE!$G$14,$M213,AZ$13)="",10^12,OFFSET(PLE!$G$14,$M213,AZ$13))))</f>
        <v>1000000000000</v>
      </c>
      <c r="BA213" s="212">
        <f ca="1">IF($D213&lt;&gt;"Serviço",0,IF(OR(AND(AUTOEVENTO="Manual",$M213=1),$M213&gt;(ROW(PLE.lastrow)-ROW(PLE.firstrow))),0,IF(OFFSET(PLE!$G$14,$M213,BA$13)="",10^12,OFFSET(PLE!$G$14,$M213,BA$13))))</f>
        <v>1000000000000</v>
      </c>
      <c r="BB213" s="212">
        <f ca="1">IF($D213&lt;&gt;"Serviço",0,IF(OR(AND(AUTOEVENTO="Manual",$M213=1),$M213&gt;(ROW(PLE.lastrow)-ROW(PLE.firstrow))),0,IF(OFFSET(PLE!$G$14,$M213,BB$13)="",10^12,OFFSET(PLE!$G$14,$M213,BB$13))))</f>
        <v>1000000000000</v>
      </c>
      <c r="BC213" s="212">
        <f ca="1">IF($D213&lt;&gt;"Serviço",0,IF(OR(AND(AUTOEVENTO="Manual",$M213=1),$M213&gt;(ROW(PLE.lastrow)-ROW(PLE.firstrow))),0,IF(OFFSET(PLE!$G$14,$M213,BC$13)="",10^12,OFFSET(PLE!$G$14,$M213,BC$13))))</f>
        <v>1000000000000</v>
      </c>
      <c r="BD213" s="212">
        <f ca="1">IF($D213&lt;&gt;"Serviço",0,IF(OR(AND(AUTOEVENTO="Manual",$M213=1),$M213&gt;(ROW(PLE.lastrow)-ROW(PLE.firstrow))),0,IF(OFFSET(PLE!$G$14,$M213,BD$13)="",10^12,OFFSET(PLE!$G$14,$M213,BD$13))))</f>
        <v>1000000000000</v>
      </c>
      <c r="BE213" s="212">
        <f ca="1">IF($D213&lt;&gt;"Serviço",0,IF(OR(AND(AUTOEVENTO="Manual",$M213=1),$M213&gt;(ROW(PLE.lastrow)-ROW(PLE.firstrow))),0,IF(OFFSET(PLE!$G$14,$M213,BE$13)="",10^12,OFFSET(PLE!$G$14,$M213,BE$13))))</f>
        <v>1000000000000</v>
      </c>
      <c r="BF213" s="212">
        <f ca="1">IF($D213&lt;&gt;"Serviço",0,IF(OR(AND(AUTOEVENTO="Manual",$M213=1),$M213&gt;(ROW(PLE.lastrow)-ROW(PLE.firstrow))),0,IF(OFFSET(PLE!$G$14,$M213,BF$13)="",10^12,OFFSET(PLE!$G$14,$M213,BF$13))))</f>
        <v>1000000000000</v>
      </c>
      <c r="BG213" s="212">
        <f ca="1">IF($D213&lt;&gt;"Serviço",0,IF(OR(AND(AUTOEVENTO="Manual",$M213=1),$M213&gt;(ROW(PLE.lastrow)-ROW(PLE.firstrow))),0,IF(OFFSET(PLE!$G$14,$M213,BG$13)="",10^12,OFFSET(PLE!$G$14,$M213,BG$13))))</f>
        <v>1000000000000</v>
      </c>
    </row>
    <row r="214" spans="1:59" ht="13.2">
      <c r="A214" s="9" t="str">
        <f t="shared" ca="1" si="12"/>
        <v>15</v>
      </c>
      <c r="B214" s="9" t="str">
        <f ca="1">OFFSET(ORÇAMENTO!C$15,ROW(B214)-ROW(B$15),0)</f>
        <v>S</v>
      </c>
      <c r="C214" s="9" t="str">
        <f ca="1">OFFSET(ORÇAMENTO!L$15,ROW(C214)-ROW(C$15),0)</f>
        <v/>
      </c>
      <c r="D214" s="141" t="str">
        <f ca="1">OFFSET(ORÇAMENTO!N$15,ROW(D214)-ROW(D$15),0)</f>
        <v>Serviço</v>
      </c>
      <c r="E214" s="201" t="str">
        <f ca="1">OFFSET(ORÇAMENTO!O$15,ROW(E214)-ROW(E$15),0)</f>
        <v>-</v>
      </c>
      <c r="F214" s="202" t="str">
        <f ca="1">OFFSET(ORÇAMENTO!R$15,ROW(F214)-ROW(F$15),0)</f>
        <v>(abra o arquivo 'Referência 11-2024.xlsm)</v>
      </c>
      <c r="G214" s="203" t="str">
        <f ca="1">IF($D214&lt;&gt;"Serviço","",OFFSET(ORÇAMENTO!S$15,ROW(G214)-ROW(G$15),0))</f>
        <v>-</v>
      </c>
      <c r="H214" s="147">
        <f ca="1">IF($D214&lt;&gt;"Serviço",0,IF(ACOMPANHAMENTO="BM",ROUND(OFFSET(ORÇAMENTO!AJ$15,ROW(H214)-ROW(H$15),0),15-13*ORÇAMENTO!$AF$7),SUMPRODUCT(($Q$12:$AA$12&lt;&gt;"")*ROUND($Q214:$AA214,15-13*ORÇAMENTO!$AF$7))))</f>
        <v>0</v>
      </c>
      <c r="I214" s="645"/>
      <c r="K214" s="204"/>
      <c r="L214" s="205" t="s">
        <v>255</v>
      </c>
      <c r="M214" s="206">
        <f ca="1">IF($D214&lt;&gt;"Serviço","",IF(AUTOEVENTO="manual",$A214,IF(ISERROR(MATCH($A214,$A$15:OFFSET($A214,-1,0),0)),MAX($M$15:OFFSET(M214,-1,0))+1,INDEX($M$15:OFFSET(M214,-1,0),MATCH($A214,$A$15:OFFSET($A214,-1,0),0)))))</f>
        <v>6</v>
      </c>
      <c r="N214" s="207" t="str">
        <f ca="1">IF($D214&lt;&gt;"Serviço","",IF(AUTOEVENTO="Manual",IF($A214=0,"&lt;-- defina o número do agrupador",OFFSET(EVENTOS!$D$14,$A214,0)),OFFSET($F$15,$A214,0)))</f>
        <v>DRENAGEM</v>
      </c>
      <c r="O214" s="208"/>
      <c r="Q214" s="208"/>
      <c r="R214" s="209"/>
      <c r="S214" s="209"/>
      <c r="T214" s="209"/>
      <c r="U214" s="209"/>
      <c r="V214" s="209"/>
      <c r="W214" s="209"/>
      <c r="X214" s="209"/>
      <c r="Y214" s="209"/>
      <c r="Z214" s="210"/>
      <c r="AB214" s="626">
        <f ca="1">IF(AND($D214="Serviço",AB$12&lt;&gt;0,$H214&gt;0,OR(AUTOEVENTO&lt;&gt;"manual",$M214&lt;&gt;1)),
IF(Import.TipoArredondamento&lt;&gt;"TransfereGOV",
ROUND(OFFSET($P214,0,AB$13),15-13*ORÇAMENTO!$AF$7)/$H214*OFFSET(ORÇAMENTO!$X$15,ROW(AB214)-ROW(AB$15),0),
ROUND(ROUND(OFFSET($P214,0,AB$13),15-13*ORÇAMENTO!$AF$7)*OFFSET(ORÇAMENTO!$W$15,ROW(AB214)-ROW(AB$15),0),15-13*ORÇAMENTO!$AF$11)),0)</f>
        <v>0</v>
      </c>
      <c r="AC214" s="627">
        <f ca="1">IF(AND($D214="Serviço",AC$12&lt;&gt;0,$H214&gt;0,OR(AUTOEVENTO&lt;&gt;"manual",$M214&lt;&gt;1)),
IF(Import.TipoArredondamento&lt;&gt;"TransfereGOV",
ROUND(OFFSET($P214,0,AC$13),15-13*ORÇAMENTO!$AF$7)/$H214*OFFSET(ORÇAMENTO!$X$15,ROW(AC214)-ROW(AC$15),0),
ROUND(ROUND(OFFSET($P214,0,AC$13),15-13*ORÇAMENTO!$AF$7)*OFFSET(ORÇAMENTO!$W$15,ROW(AC214)-ROW(AC$15),0),15-13*ORÇAMENTO!$AF$11)),0)</f>
        <v>0</v>
      </c>
      <c r="AD214" s="627">
        <f ca="1">IF(AND($D214="Serviço",AD$12&lt;&gt;0,$H214&gt;0,OR(AUTOEVENTO&lt;&gt;"manual",$M214&lt;&gt;1)),
IF(Import.TipoArredondamento&lt;&gt;"TransfereGOV",
ROUND(OFFSET($P214,0,AD$13),15-13*ORÇAMENTO!$AF$7)/$H214*OFFSET(ORÇAMENTO!$X$15,ROW(AD214)-ROW(AD$15),0),
ROUND(ROUND(OFFSET($P214,0,AD$13),15-13*ORÇAMENTO!$AF$7)*OFFSET(ORÇAMENTO!$W$15,ROW(AD214)-ROW(AD$15),0),15-13*ORÇAMENTO!$AF$11)),0)</f>
        <v>0</v>
      </c>
      <c r="AE214" s="627">
        <f ca="1">IF(AND($D214="Serviço",AE$12&lt;&gt;0,$H214&gt;0,OR(AUTOEVENTO&lt;&gt;"manual",$M214&lt;&gt;1)),
IF(Import.TipoArredondamento&lt;&gt;"TransfereGOV",
ROUND(OFFSET($P214,0,AE$13),15-13*ORÇAMENTO!$AF$7)/$H214*OFFSET(ORÇAMENTO!$X$15,ROW(AE214)-ROW(AE$15),0),
ROUND(ROUND(OFFSET($P214,0,AE$13),15-13*ORÇAMENTO!$AF$7)*OFFSET(ORÇAMENTO!$W$15,ROW(AE214)-ROW(AE$15),0),15-13*ORÇAMENTO!$AF$11)),0)</f>
        <v>0</v>
      </c>
      <c r="AF214" s="627">
        <f ca="1">IF(AND($D214="Serviço",AF$12&lt;&gt;0,$H214&gt;0,OR(AUTOEVENTO&lt;&gt;"manual",$M214&lt;&gt;1)),
IF(Import.TipoArredondamento&lt;&gt;"TransfereGOV",
ROUND(OFFSET($P214,0,AF$13),15-13*ORÇAMENTO!$AF$7)/$H214*OFFSET(ORÇAMENTO!$X$15,ROW(AF214)-ROW(AF$15),0),
ROUND(ROUND(OFFSET($P214,0,AF$13),15-13*ORÇAMENTO!$AF$7)*OFFSET(ORÇAMENTO!$W$15,ROW(AF214)-ROW(AF$15),0),15-13*ORÇAMENTO!$AF$11)),0)</f>
        <v>0</v>
      </c>
      <c r="AG214" s="627">
        <f ca="1">IF(AND($D214="Serviço",AG$12&lt;&gt;0,$H214&gt;0,OR(AUTOEVENTO&lt;&gt;"manual",$M214&lt;&gt;1)),
IF(Import.TipoArredondamento&lt;&gt;"TransfereGOV",
ROUND(OFFSET($P214,0,AG$13),15-13*ORÇAMENTO!$AF$7)/$H214*OFFSET(ORÇAMENTO!$X$15,ROW(AG214)-ROW(AG$15),0),
ROUND(ROUND(OFFSET($P214,0,AG$13),15-13*ORÇAMENTO!$AF$7)*OFFSET(ORÇAMENTO!$W$15,ROW(AG214)-ROW(AG$15),0),15-13*ORÇAMENTO!$AF$11)),0)</f>
        <v>0</v>
      </c>
      <c r="AH214" s="627">
        <f ca="1">IF(AND($D214="Serviço",AH$12&lt;&gt;0,$H214&gt;0,OR(AUTOEVENTO&lt;&gt;"manual",$M214&lt;&gt;1)),
IF(Import.TipoArredondamento&lt;&gt;"TransfereGOV",
ROUND(OFFSET($P214,0,AH$13),15-13*ORÇAMENTO!$AF$7)/$H214*OFFSET(ORÇAMENTO!$X$15,ROW(AH214)-ROW(AH$15),0),
ROUND(ROUND(OFFSET($P214,0,AH$13),15-13*ORÇAMENTO!$AF$7)*OFFSET(ORÇAMENTO!$W$15,ROW(AH214)-ROW(AH$15),0),15-13*ORÇAMENTO!$AF$11)),0)</f>
        <v>0</v>
      </c>
      <c r="AI214" s="627">
        <f ca="1">IF(AND($D214="Serviço",AI$12&lt;&gt;0,$H214&gt;0,OR(AUTOEVENTO&lt;&gt;"manual",$M214&lt;&gt;1)),
IF(Import.TipoArredondamento&lt;&gt;"TransfereGOV",
ROUND(OFFSET($P214,0,AI$13),15-13*ORÇAMENTO!$AF$7)/$H214*OFFSET(ORÇAMENTO!$X$15,ROW(AI214)-ROW(AI$15),0),
ROUND(ROUND(OFFSET($P214,0,AI$13),15-13*ORÇAMENTO!$AF$7)*OFFSET(ORÇAMENTO!$W$15,ROW(AI214)-ROW(AI$15),0),15-13*ORÇAMENTO!$AF$11)),0)</f>
        <v>0</v>
      </c>
      <c r="AJ214" s="627">
        <f ca="1">IF(AND($D214="Serviço",AJ$12&lt;&gt;0,$H214&gt;0,OR(AUTOEVENTO&lt;&gt;"manual",$M214&lt;&gt;1)),
IF(Import.TipoArredondamento&lt;&gt;"TransfereGOV",
ROUND(OFFSET($P214,0,AJ$13),15-13*ORÇAMENTO!$AF$7)/$H214*OFFSET(ORÇAMENTO!$X$15,ROW(AJ214)-ROW(AJ$15),0),
ROUND(ROUND(OFFSET($P214,0,AJ$13),15-13*ORÇAMENTO!$AF$7)*OFFSET(ORÇAMENTO!$W$15,ROW(AJ214)-ROW(AJ$15),0),15-13*ORÇAMENTO!$AF$11)),0)</f>
        <v>0</v>
      </c>
      <c r="AK214" s="628">
        <f ca="1">IF(AND($D214="Serviço",AK$12&lt;&gt;0,$H214&gt;0,OR(AUTOEVENTO&lt;&gt;"manual",$M214&lt;&gt;1)),
IF(Import.TipoArredondamento&lt;&gt;"TransfereGOV",
ROUND(OFFSET($P214,0,AK$13),15-13*ORÇAMENTO!$AF$7)/$H214*OFFSET(ORÇAMENTO!$X$15,ROW(AK214)-ROW(AK$15),0),
ROUND(ROUND(OFFSET($P214,0,AK$13),15-13*ORÇAMENTO!$AF$7)*OFFSET(ORÇAMENTO!$W$15,ROW(AK214)-ROW(AK$15),0),15-13*ORÇAMENTO!$AF$11)),0)</f>
        <v>0</v>
      </c>
      <c r="AM214" s="211">
        <f ca="1">IF($D214&lt;&gt;"Serviço",0,IF(AND(AUTOEVENTO="Manual",$M214=1),0,IF(OFFSET(CRONOPLE!$F$14,$M214,AM$13)="",10^12,OFFSET(CRONOPLE!$F$14,$M214,AM$13))))</f>
        <v>2</v>
      </c>
      <c r="AN214" s="211">
        <f ca="1">IF($D214&lt;&gt;"Serviço",0,IF(AND(AUTOEVENTO="Manual",$M214=1),0,IF(OFFSET(CRONOPLE!$F$14,$M214,AN$13)="",10^12,OFFSET(CRONOPLE!$F$14,$M214,AN$13))))</f>
        <v>1</v>
      </c>
      <c r="AO214" s="211">
        <f ca="1">IF($D214&lt;&gt;"Serviço",0,IF(AND(AUTOEVENTO="Manual",$M214=1),0,IF(OFFSET(CRONOPLE!$F$14,$M214,AO$13)="",10^12,OFFSET(CRONOPLE!$F$14,$M214,AO$13))))</f>
        <v>2</v>
      </c>
      <c r="AP214" s="211">
        <f ca="1">IF($D214&lt;&gt;"Serviço",0,IF(AND(AUTOEVENTO="Manual",$M214=1),0,IF(OFFSET(CRONOPLE!$F$14,$M214,AP$13)="",10^12,OFFSET(CRONOPLE!$F$14,$M214,AP$13))))</f>
        <v>2</v>
      </c>
      <c r="AQ214" s="211">
        <f ca="1">IF($D214&lt;&gt;"Serviço",0,IF(AND(AUTOEVENTO="Manual",$M214=1),0,IF(OFFSET(CRONOPLE!$F$14,$M214,AQ$13)="",10^12,OFFSET(CRONOPLE!$F$14,$M214,AQ$13))))</f>
        <v>1000000000000</v>
      </c>
      <c r="AR214" s="211">
        <f ca="1">IF($D214&lt;&gt;"Serviço",0,IF(AND(AUTOEVENTO="Manual",$M214=1),0,IF(OFFSET(CRONOPLE!$F$14,$M214,AR$13)="",10^12,OFFSET(CRONOPLE!$F$14,$M214,AR$13))))</f>
        <v>1000000000000</v>
      </c>
      <c r="AS214" s="211">
        <f ca="1">IF($D214&lt;&gt;"Serviço",0,IF(AND(AUTOEVENTO="Manual",$M214=1),0,IF(OFFSET(CRONOPLE!$F$14,$M214,AS$13)="",10^12,OFFSET(CRONOPLE!$F$14,$M214,AS$13))))</f>
        <v>1000000000000</v>
      </c>
      <c r="AT214" s="211">
        <f ca="1">IF($D214&lt;&gt;"Serviço",0,IF(AND(AUTOEVENTO="Manual",$M214=1),0,IF(OFFSET(CRONOPLE!$F$14,$M214,AT$13)="",10^12,OFFSET(CRONOPLE!$F$14,$M214,AT$13))))</f>
        <v>1000000000000</v>
      </c>
      <c r="AU214" s="211">
        <f ca="1">IF($D214&lt;&gt;"Serviço",0,IF(AND(AUTOEVENTO="Manual",$M214=1),0,IF(OFFSET(CRONOPLE!$F$14,$M214,AU$13)="",10^12,OFFSET(CRONOPLE!$F$14,$M214,AU$13))))</f>
        <v>1000000000000</v>
      </c>
      <c r="AV214" s="211">
        <f ca="1">IF($D214&lt;&gt;"Serviço",0,IF(AND(AUTOEVENTO="Manual",$M214=1),0,IF(OFFSET(CRONOPLE!$F$14,$M214,AV$13)="",10^12,OFFSET(CRONOPLE!$F$14,$M214,AV$13))))</f>
        <v>1000000000000</v>
      </c>
      <c r="AX214" s="212">
        <f ca="1">IF($D214&lt;&gt;"Serviço",0,IF(OR(AND(AUTOEVENTO="Manual",$M214=1),$M214&gt;(ROW(PLE.lastrow)-ROW(PLE.firstrow))),0,IF(OFFSET(PLE!$G$14,$M214,AX$13)="",10^12,OFFSET(PLE!$G$14,$M214,AX$13))))</f>
        <v>1000000000000</v>
      </c>
      <c r="AY214" s="212">
        <f ca="1">IF($D214&lt;&gt;"Serviço",0,IF(OR(AND(AUTOEVENTO="Manual",$M214=1),$M214&gt;(ROW(PLE.lastrow)-ROW(PLE.firstrow))),0,IF(OFFSET(PLE!$G$14,$M214,AY$13)="",10^12,OFFSET(PLE!$G$14,$M214,AY$13))))</f>
        <v>1000000000000</v>
      </c>
      <c r="AZ214" s="212">
        <f ca="1">IF($D214&lt;&gt;"Serviço",0,IF(OR(AND(AUTOEVENTO="Manual",$M214=1),$M214&gt;(ROW(PLE.lastrow)-ROW(PLE.firstrow))),0,IF(OFFSET(PLE!$G$14,$M214,AZ$13)="",10^12,OFFSET(PLE!$G$14,$M214,AZ$13))))</f>
        <v>1000000000000</v>
      </c>
      <c r="BA214" s="212">
        <f ca="1">IF($D214&lt;&gt;"Serviço",0,IF(OR(AND(AUTOEVENTO="Manual",$M214=1),$M214&gt;(ROW(PLE.lastrow)-ROW(PLE.firstrow))),0,IF(OFFSET(PLE!$G$14,$M214,BA$13)="",10^12,OFFSET(PLE!$G$14,$M214,BA$13))))</f>
        <v>1000000000000</v>
      </c>
      <c r="BB214" s="212">
        <f ca="1">IF($D214&lt;&gt;"Serviço",0,IF(OR(AND(AUTOEVENTO="Manual",$M214=1),$M214&gt;(ROW(PLE.lastrow)-ROW(PLE.firstrow))),0,IF(OFFSET(PLE!$G$14,$M214,BB$13)="",10^12,OFFSET(PLE!$G$14,$M214,BB$13))))</f>
        <v>1000000000000</v>
      </c>
      <c r="BC214" s="212">
        <f ca="1">IF($D214&lt;&gt;"Serviço",0,IF(OR(AND(AUTOEVENTO="Manual",$M214=1),$M214&gt;(ROW(PLE.lastrow)-ROW(PLE.firstrow))),0,IF(OFFSET(PLE!$G$14,$M214,BC$13)="",10^12,OFFSET(PLE!$G$14,$M214,BC$13))))</f>
        <v>1000000000000</v>
      </c>
      <c r="BD214" s="212">
        <f ca="1">IF($D214&lt;&gt;"Serviço",0,IF(OR(AND(AUTOEVENTO="Manual",$M214=1),$M214&gt;(ROW(PLE.lastrow)-ROW(PLE.firstrow))),0,IF(OFFSET(PLE!$G$14,$M214,BD$13)="",10^12,OFFSET(PLE!$G$14,$M214,BD$13))))</f>
        <v>1000000000000</v>
      </c>
      <c r="BE214" s="212">
        <f ca="1">IF($D214&lt;&gt;"Serviço",0,IF(OR(AND(AUTOEVENTO="Manual",$M214=1),$M214&gt;(ROW(PLE.lastrow)-ROW(PLE.firstrow))),0,IF(OFFSET(PLE!$G$14,$M214,BE$13)="",10^12,OFFSET(PLE!$G$14,$M214,BE$13))))</f>
        <v>1000000000000</v>
      </c>
      <c r="BF214" s="212">
        <f ca="1">IF($D214&lt;&gt;"Serviço",0,IF(OR(AND(AUTOEVENTO="Manual",$M214=1),$M214&gt;(ROW(PLE.lastrow)-ROW(PLE.firstrow))),0,IF(OFFSET(PLE!$G$14,$M214,BF$13)="",10^12,OFFSET(PLE!$G$14,$M214,BF$13))))</f>
        <v>1000000000000</v>
      </c>
      <c r="BG214" s="212">
        <f ca="1">IF($D214&lt;&gt;"Serviço",0,IF(OR(AND(AUTOEVENTO="Manual",$M214=1),$M214&gt;(ROW(PLE.lastrow)-ROW(PLE.firstrow))),0,IF(OFFSET(PLE!$G$14,$M214,BG$13)="",10^12,OFFSET(PLE!$G$14,$M214,BG$13))))</f>
        <v>1000000000000</v>
      </c>
    </row>
    <row r="215" spans="1:59" ht="13.2">
      <c r="A215" s="9" t="str">
        <f t="shared" ca="1" si="12"/>
        <v>15</v>
      </c>
      <c r="B215" s="9" t="str">
        <f ca="1">OFFSET(ORÇAMENTO!C$15,ROW(B215)-ROW(B$15),0)</f>
        <v>S</v>
      </c>
      <c r="C215" s="9" t="str">
        <f ca="1">OFFSET(ORÇAMENTO!L$15,ROW(C215)-ROW(C$15),0)</f>
        <v/>
      </c>
      <c r="D215" s="141" t="str">
        <f ca="1">OFFSET(ORÇAMENTO!N$15,ROW(D215)-ROW(D$15),0)</f>
        <v>Serviço</v>
      </c>
      <c r="E215" s="201" t="str">
        <f ca="1">OFFSET(ORÇAMENTO!O$15,ROW(E215)-ROW(E$15),0)</f>
        <v>-</v>
      </c>
      <c r="F215" s="202" t="str">
        <f ca="1">OFFSET(ORÇAMENTO!R$15,ROW(F215)-ROW(F$15),0)</f>
        <v>(abra o arquivo 'Referência 11-2024.xlsm)</v>
      </c>
      <c r="G215" s="203" t="str">
        <f ca="1">IF($D215&lt;&gt;"Serviço","",OFFSET(ORÇAMENTO!S$15,ROW(G215)-ROW(G$15),0))</f>
        <v>-</v>
      </c>
      <c r="H215" s="147">
        <f ca="1">IF($D215&lt;&gt;"Serviço",0,IF(ACOMPANHAMENTO="BM",ROUND(OFFSET(ORÇAMENTO!AJ$15,ROW(H215)-ROW(H$15),0),15-13*ORÇAMENTO!$AF$7),SUMPRODUCT(($Q$12:$AA$12&lt;&gt;"")*ROUND($Q215:$AA215,15-13*ORÇAMENTO!$AF$7))))</f>
        <v>0</v>
      </c>
      <c r="I215" s="645"/>
      <c r="K215" s="204"/>
      <c r="L215" s="205" t="s">
        <v>255</v>
      </c>
      <c r="M215" s="206">
        <f ca="1">IF($D215&lt;&gt;"Serviço","",IF(AUTOEVENTO="manual",$A215,IF(ISERROR(MATCH($A215,$A$15:OFFSET($A215,-1,0),0)),MAX($M$15:OFFSET(M215,-1,0))+1,INDEX($M$15:OFFSET(M215,-1,0),MATCH($A215,$A$15:OFFSET($A215,-1,0),0)))))</f>
        <v>6</v>
      </c>
      <c r="N215" s="207" t="str">
        <f ca="1">IF($D215&lt;&gt;"Serviço","",IF(AUTOEVENTO="Manual",IF($A215=0,"&lt;-- defina o número do agrupador",OFFSET(EVENTOS!$D$14,$A215,0)),OFFSET($F$15,$A215,0)))</f>
        <v>DRENAGEM</v>
      </c>
      <c r="O215" s="208"/>
      <c r="Q215" s="208"/>
      <c r="R215" s="209"/>
      <c r="S215" s="209"/>
      <c r="T215" s="209"/>
      <c r="U215" s="209"/>
      <c r="V215" s="209"/>
      <c r="W215" s="209"/>
      <c r="X215" s="209"/>
      <c r="Y215" s="209"/>
      <c r="Z215" s="210"/>
      <c r="AB215" s="626">
        <f ca="1">IF(AND($D215="Serviço",AB$12&lt;&gt;0,$H215&gt;0,OR(AUTOEVENTO&lt;&gt;"manual",$M215&lt;&gt;1)),
IF(Import.TipoArredondamento&lt;&gt;"TransfereGOV",
ROUND(OFFSET($P215,0,AB$13),15-13*ORÇAMENTO!$AF$7)/$H215*OFFSET(ORÇAMENTO!$X$15,ROW(AB215)-ROW(AB$15),0),
ROUND(ROUND(OFFSET($P215,0,AB$13),15-13*ORÇAMENTO!$AF$7)*OFFSET(ORÇAMENTO!$W$15,ROW(AB215)-ROW(AB$15),0),15-13*ORÇAMENTO!$AF$11)),0)</f>
        <v>0</v>
      </c>
      <c r="AC215" s="627">
        <f ca="1">IF(AND($D215="Serviço",AC$12&lt;&gt;0,$H215&gt;0,OR(AUTOEVENTO&lt;&gt;"manual",$M215&lt;&gt;1)),
IF(Import.TipoArredondamento&lt;&gt;"TransfereGOV",
ROUND(OFFSET($P215,0,AC$13),15-13*ORÇAMENTO!$AF$7)/$H215*OFFSET(ORÇAMENTO!$X$15,ROW(AC215)-ROW(AC$15),0),
ROUND(ROUND(OFFSET($P215,0,AC$13),15-13*ORÇAMENTO!$AF$7)*OFFSET(ORÇAMENTO!$W$15,ROW(AC215)-ROW(AC$15),0),15-13*ORÇAMENTO!$AF$11)),0)</f>
        <v>0</v>
      </c>
      <c r="AD215" s="627">
        <f ca="1">IF(AND($D215="Serviço",AD$12&lt;&gt;0,$H215&gt;0,OR(AUTOEVENTO&lt;&gt;"manual",$M215&lt;&gt;1)),
IF(Import.TipoArredondamento&lt;&gt;"TransfereGOV",
ROUND(OFFSET($P215,0,AD$13),15-13*ORÇAMENTO!$AF$7)/$H215*OFFSET(ORÇAMENTO!$X$15,ROW(AD215)-ROW(AD$15),0),
ROUND(ROUND(OFFSET($P215,0,AD$13),15-13*ORÇAMENTO!$AF$7)*OFFSET(ORÇAMENTO!$W$15,ROW(AD215)-ROW(AD$15),0),15-13*ORÇAMENTO!$AF$11)),0)</f>
        <v>0</v>
      </c>
      <c r="AE215" s="627">
        <f ca="1">IF(AND($D215="Serviço",AE$12&lt;&gt;0,$H215&gt;0,OR(AUTOEVENTO&lt;&gt;"manual",$M215&lt;&gt;1)),
IF(Import.TipoArredondamento&lt;&gt;"TransfereGOV",
ROUND(OFFSET($P215,0,AE$13),15-13*ORÇAMENTO!$AF$7)/$H215*OFFSET(ORÇAMENTO!$X$15,ROW(AE215)-ROW(AE$15),0),
ROUND(ROUND(OFFSET($P215,0,AE$13),15-13*ORÇAMENTO!$AF$7)*OFFSET(ORÇAMENTO!$W$15,ROW(AE215)-ROW(AE$15),0),15-13*ORÇAMENTO!$AF$11)),0)</f>
        <v>0</v>
      </c>
      <c r="AF215" s="627">
        <f ca="1">IF(AND($D215="Serviço",AF$12&lt;&gt;0,$H215&gt;0,OR(AUTOEVENTO&lt;&gt;"manual",$M215&lt;&gt;1)),
IF(Import.TipoArredondamento&lt;&gt;"TransfereGOV",
ROUND(OFFSET($P215,0,AF$13),15-13*ORÇAMENTO!$AF$7)/$H215*OFFSET(ORÇAMENTO!$X$15,ROW(AF215)-ROW(AF$15),0),
ROUND(ROUND(OFFSET($P215,0,AF$13),15-13*ORÇAMENTO!$AF$7)*OFFSET(ORÇAMENTO!$W$15,ROW(AF215)-ROW(AF$15),0),15-13*ORÇAMENTO!$AF$11)),0)</f>
        <v>0</v>
      </c>
      <c r="AG215" s="627">
        <f ca="1">IF(AND($D215="Serviço",AG$12&lt;&gt;0,$H215&gt;0,OR(AUTOEVENTO&lt;&gt;"manual",$M215&lt;&gt;1)),
IF(Import.TipoArredondamento&lt;&gt;"TransfereGOV",
ROUND(OFFSET($P215,0,AG$13),15-13*ORÇAMENTO!$AF$7)/$H215*OFFSET(ORÇAMENTO!$X$15,ROW(AG215)-ROW(AG$15),0),
ROUND(ROUND(OFFSET($P215,0,AG$13),15-13*ORÇAMENTO!$AF$7)*OFFSET(ORÇAMENTO!$W$15,ROW(AG215)-ROW(AG$15),0),15-13*ORÇAMENTO!$AF$11)),0)</f>
        <v>0</v>
      </c>
      <c r="AH215" s="627">
        <f ca="1">IF(AND($D215="Serviço",AH$12&lt;&gt;0,$H215&gt;0,OR(AUTOEVENTO&lt;&gt;"manual",$M215&lt;&gt;1)),
IF(Import.TipoArredondamento&lt;&gt;"TransfereGOV",
ROUND(OFFSET($P215,0,AH$13),15-13*ORÇAMENTO!$AF$7)/$H215*OFFSET(ORÇAMENTO!$X$15,ROW(AH215)-ROW(AH$15),0),
ROUND(ROUND(OFFSET($P215,0,AH$13),15-13*ORÇAMENTO!$AF$7)*OFFSET(ORÇAMENTO!$W$15,ROW(AH215)-ROW(AH$15),0),15-13*ORÇAMENTO!$AF$11)),0)</f>
        <v>0</v>
      </c>
      <c r="AI215" s="627">
        <f ca="1">IF(AND($D215="Serviço",AI$12&lt;&gt;0,$H215&gt;0,OR(AUTOEVENTO&lt;&gt;"manual",$M215&lt;&gt;1)),
IF(Import.TipoArredondamento&lt;&gt;"TransfereGOV",
ROUND(OFFSET($P215,0,AI$13),15-13*ORÇAMENTO!$AF$7)/$H215*OFFSET(ORÇAMENTO!$X$15,ROW(AI215)-ROW(AI$15),0),
ROUND(ROUND(OFFSET($P215,0,AI$13),15-13*ORÇAMENTO!$AF$7)*OFFSET(ORÇAMENTO!$W$15,ROW(AI215)-ROW(AI$15),0),15-13*ORÇAMENTO!$AF$11)),0)</f>
        <v>0</v>
      </c>
      <c r="AJ215" s="627">
        <f ca="1">IF(AND($D215="Serviço",AJ$12&lt;&gt;0,$H215&gt;0,OR(AUTOEVENTO&lt;&gt;"manual",$M215&lt;&gt;1)),
IF(Import.TipoArredondamento&lt;&gt;"TransfereGOV",
ROUND(OFFSET($P215,0,AJ$13),15-13*ORÇAMENTO!$AF$7)/$H215*OFFSET(ORÇAMENTO!$X$15,ROW(AJ215)-ROW(AJ$15),0),
ROUND(ROUND(OFFSET($P215,0,AJ$13),15-13*ORÇAMENTO!$AF$7)*OFFSET(ORÇAMENTO!$W$15,ROW(AJ215)-ROW(AJ$15),0),15-13*ORÇAMENTO!$AF$11)),0)</f>
        <v>0</v>
      </c>
      <c r="AK215" s="628">
        <f ca="1">IF(AND($D215="Serviço",AK$12&lt;&gt;0,$H215&gt;0,OR(AUTOEVENTO&lt;&gt;"manual",$M215&lt;&gt;1)),
IF(Import.TipoArredondamento&lt;&gt;"TransfereGOV",
ROUND(OFFSET($P215,0,AK$13),15-13*ORÇAMENTO!$AF$7)/$H215*OFFSET(ORÇAMENTO!$X$15,ROW(AK215)-ROW(AK$15),0),
ROUND(ROUND(OFFSET($P215,0,AK$13),15-13*ORÇAMENTO!$AF$7)*OFFSET(ORÇAMENTO!$W$15,ROW(AK215)-ROW(AK$15),0),15-13*ORÇAMENTO!$AF$11)),0)</f>
        <v>0</v>
      </c>
      <c r="AM215" s="211">
        <f ca="1">IF($D215&lt;&gt;"Serviço",0,IF(AND(AUTOEVENTO="Manual",$M215=1),0,IF(OFFSET(CRONOPLE!$F$14,$M215,AM$13)="",10^12,OFFSET(CRONOPLE!$F$14,$M215,AM$13))))</f>
        <v>2</v>
      </c>
      <c r="AN215" s="211">
        <f ca="1">IF($D215&lt;&gt;"Serviço",0,IF(AND(AUTOEVENTO="Manual",$M215=1),0,IF(OFFSET(CRONOPLE!$F$14,$M215,AN$13)="",10^12,OFFSET(CRONOPLE!$F$14,$M215,AN$13))))</f>
        <v>1</v>
      </c>
      <c r="AO215" s="211">
        <f ca="1">IF($D215&lt;&gt;"Serviço",0,IF(AND(AUTOEVENTO="Manual",$M215=1),0,IF(OFFSET(CRONOPLE!$F$14,$M215,AO$13)="",10^12,OFFSET(CRONOPLE!$F$14,$M215,AO$13))))</f>
        <v>2</v>
      </c>
      <c r="AP215" s="211">
        <f ca="1">IF($D215&lt;&gt;"Serviço",0,IF(AND(AUTOEVENTO="Manual",$M215=1),0,IF(OFFSET(CRONOPLE!$F$14,$M215,AP$13)="",10^12,OFFSET(CRONOPLE!$F$14,$M215,AP$13))))</f>
        <v>2</v>
      </c>
      <c r="AQ215" s="211">
        <f ca="1">IF($D215&lt;&gt;"Serviço",0,IF(AND(AUTOEVENTO="Manual",$M215=1),0,IF(OFFSET(CRONOPLE!$F$14,$M215,AQ$13)="",10^12,OFFSET(CRONOPLE!$F$14,$M215,AQ$13))))</f>
        <v>1000000000000</v>
      </c>
      <c r="AR215" s="211">
        <f ca="1">IF($D215&lt;&gt;"Serviço",0,IF(AND(AUTOEVENTO="Manual",$M215=1),0,IF(OFFSET(CRONOPLE!$F$14,$M215,AR$13)="",10^12,OFFSET(CRONOPLE!$F$14,$M215,AR$13))))</f>
        <v>1000000000000</v>
      </c>
      <c r="AS215" s="211">
        <f ca="1">IF($D215&lt;&gt;"Serviço",0,IF(AND(AUTOEVENTO="Manual",$M215=1),0,IF(OFFSET(CRONOPLE!$F$14,$M215,AS$13)="",10^12,OFFSET(CRONOPLE!$F$14,$M215,AS$13))))</f>
        <v>1000000000000</v>
      </c>
      <c r="AT215" s="211">
        <f ca="1">IF($D215&lt;&gt;"Serviço",0,IF(AND(AUTOEVENTO="Manual",$M215=1),0,IF(OFFSET(CRONOPLE!$F$14,$M215,AT$13)="",10^12,OFFSET(CRONOPLE!$F$14,$M215,AT$13))))</f>
        <v>1000000000000</v>
      </c>
      <c r="AU215" s="211">
        <f ca="1">IF($D215&lt;&gt;"Serviço",0,IF(AND(AUTOEVENTO="Manual",$M215=1),0,IF(OFFSET(CRONOPLE!$F$14,$M215,AU$13)="",10^12,OFFSET(CRONOPLE!$F$14,$M215,AU$13))))</f>
        <v>1000000000000</v>
      </c>
      <c r="AV215" s="211">
        <f ca="1">IF($D215&lt;&gt;"Serviço",0,IF(AND(AUTOEVENTO="Manual",$M215=1),0,IF(OFFSET(CRONOPLE!$F$14,$M215,AV$13)="",10^12,OFFSET(CRONOPLE!$F$14,$M215,AV$13))))</f>
        <v>1000000000000</v>
      </c>
      <c r="AX215" s="212">
        <f ca="1">IF($D215&lt;&gt;"Serviço",0,IF(OR(AND(AUTOEVENTO="Manual",$M215=1),$M215&gt;(ROW(PLE.lastrow)-ROW(PLE.firstrow))),0,IF(OFFSET(PLE!$G$14,$M215,AX$13)="",10^12,OFFSET(PLE!$G$14,$M215,AX$13))))</f>
        <v>1000000000000</v>
      </c>
      <c r="AY215" s="212">
        <f ca="1">IF($D215&lt;&gt;"Serviço",0,IF(OR(AND(AUTOEVENTO="Manual",$M215=1),$M215&gt;(ROW(PLE.lastrow)-ROW(PLE.firstrow))),0,IF(OFFSET(PLE!$G$14,$M215,AY$13)="",10^12,OFFSET(PLE!$G$14,$M215,AY$13))))</f>
        <v>1000000000000</v>
      </c>
      <c r="AZ215" s="212">
        <f ca="1">IF($D215&lt;&gt;"Serviço",0,IF(OR(AND(AUTOEVENTO="Manual",$M215=1),$M215&gt;(ROW(PLE.lastrow)-ROW(PLE.firstrow))),0,IF(OFFSET(PLE!$G$14,$M215,AZ$13)="",10^12,OFFSET(PLE!$G$14,$M215,AZ$13))))</f>
        <v>1000000000000</v>
      </c>
      <c r="BA215" s="212">
        <f ca="1">IF($D215&lt;&gt;"Serviço",0,IF(OR(AND(AUTOEVENTO="Manual",$M215=1),$M215&gt;(ROW(PLE.lastrow)-ROW(PLE.firstrow))),0,IF(OFFSET(PLE!$G$14,$M215,BA$13)="",10^12,OFFSET(PLE!$G$14,$M215,BA$13))))</f>
        <v>1000000000000</v>
      </c>
      <c r="BB215" s="212">
        <f ca="1">IF($D215&lt;&gt;"Serviço",0,IF(OR(AND(AUTOEVENTO="Manual",$M215=1),$M215&gt;(ROW(PLE.lastrow)-ROW(PLE.firstrow))),0,IF(OFFSET(PLE!$G$14,$M215,BB$13)="",10^12,OFFSET(PLE!$G$14,$M215,BB$13))))</f>
        <v>1000000000000</v>
      </c>
      <c r="BC215" s="212">
        <f ca="1">IF($D215&lt;&gt;"Serviço",0,IF(OR(AND(AUTOEVENTO="Manual",$M215=1),$M215&gt;(ROW(PLE.lastrow)-ROW(PLE.firstrow))),0,IF(OFFSET(PLE!$G$14,$M215,BC$13)="",10^12,OFFSET(PLE!$G$14,$M215,BC$13))))</f>
        <v>1000000000000</v>
      </c>
      <c r="BD215" s="212">
        <f ca="1">IF($D215&lt;&gt;"Serviço",0,IF(OR(AND(AUTOEVENTO="Manual",$M215=1),$M215&gt;(ROW(PLE.lastrow)-ROW(PLE.firstrow))),0,IF(OFFSET(PLE!$G$14,$M215,BD$13)="",10^12,OFFSET(PLE!$G$14,$M215,BD$13))))</f>
        <v>1000000000000</v>
      </c>
      <c r="BE215" s="212">
        <f ca="1">IF($D215&lt;&gt;"Serviço",0,IF(OR(AND(AUTOEVENTO="Manual",$M215=1),$M215&gt;(ROW(PLE.lastrow)-ROW(PLE.firstrow))),0,IF(OFFSET(PLE!$G$14,$M215,BE$13)="",10^12,OFFSET(PLE!$G$14,$M215,BE$13))))</f>
        <v>1000000000000</v>
      </c>
      <c r="BF215" s="212">
        <f ca="1">IF($D215&lt;&gt;"Serviço",0,IF(OR(AND(AUTOEVENTO="Manual",$M215=1),$M215&gt;(ROW(PLE.lastrow)-ROW(PLE.firstrow))),0,IF(OFFSET(PLE!$G$14,$M215,BF$13)="",10^12,OFFSET(PLE!$G$14,$M215,BF$13))))</f>
        <v>1000000000000</v>
      </c>
      <c r="BG215" s="212">
        <f ca="1">IF($D215&lt;&gt;"Serviço",0,IF(OR(AND(AUTOEVENTO="Manual",$M215=1),$M215&gt;(ROW(PLE.lastrow)-ROW(PLE.firstrow))),0,IF(OFFSET(PLE!$G$14,$M215,BG$13)="",10^12,OFFSET(PLE!$G$14,$M215,BG$13))))</f>
        <v>1000000000000</v>
      </c>
    </row>
    <row r="216" spans="1:59" ht="13.2">
      <c r="A216" s="9" t="str">
        <f t="shared" ca="1" si="12"/>
        <v>15</v>
      </c>
      <c r="B216" s="9" t="str">
        <f ca="1">OFFSET(ORÇAMENTO!C$15,ROW(B216)-ROW(B$15),0)</f>
        <v>S</v>
      </c>
      <c r="C216" s="9" t="str">
        <f ca="1">OFFSET(ORÇAMENTO!L$15,ROW(C216)-ROW(C$15),0)</f>
        <v/>
      </c>
      <c r="D216" s="141" t="str">
        <f ca="1">OFFSET(ORÇAMENTO!N$15,ROW(D216)-ROW(D$15),0)</f>
        <v>Serviço</v>
      </c>
      <c r="E216" s="201" t="str">
        <f ca="1">OFFSET(ORÇAMENTO!O$15,ROW(E216)-ROW(E$15),0)</f>
        <v>-</v>
      </c>
      <c r="F216" s="202" t="str">
        <f ca="1">OFFSET(ORÇAMENTO!R$15,ROW(F216)-ROW(F$15),0)</f>
        <v>(abra o arquivo 'Referência 11-2024.xlsm)</v>
      </c>
      <c r="G216" s="203" t="str">
        <f ca="1">IF($D216&lt;&gt;"Serviço","",OFFSET(ORÇAMENTO!S$15,ROW(G216)-ROW(G$15),0))</f>
        <v>-</v>
      </c>
      <c r="H216" s="147">
        <f ca="1">IF($D216&lt;&gt;"Serviço",0,IF(ACOMPANHAMENTO="BM",ROUND(OFFSET(ORÇAMENTO!AJ$15,ROW(H216)-ROW(H$15),0),15-13*ORÇAMENTO!$AF$7),SUMPRODUCT(($Q$12:$AA$12&lt;&gt;"")*ROUND($Q216:$AA216,15-13*ORÇAMENTO!$AF$7))))</f>
        <v>0</v>
      </c>
      <c r="I216" s="645"/>
      <c r="K216" s="204"/>
      <c r="L216" s="205" t="s">
        <v>255</v>
      </c>
      <c r="M216" s="206">
        <f ca="1">IF($D216&lt;&gt;"Serviço","",IF(AUTOEVENTO="manual",$A216,IF(ISERROR(MATCH($A216,$A$15:OFFSET($A216,-1,0),0)),MAX($M$15:OFFSET(M216,-1,0))+1,INDEX($M$15:OFFSET(M216,-1,0),MATCH($A216,$A$15:OFFSET($A216,-1,0),0)))))</f>
        <v>6</v>
      </c>
      <c r="N216" s="207" t="str">
        <f ca="1">IF($D216&lt;&gt;"Serviço","",IF(AUTOEVENTO="Manual",IF($A216=0,"&lt;-- defina o número do agrupador",OFFSET(EVENTOS!$D$14,$A216,0)),OFFSET($F$15,$A216,0)))</f>
        <v>DRENAGEM</v>
      </c>
      <c r="O216" s="208"/>
      <c r="Q216" s="208"/>
      <c r="R216" s="209"/>
      <c r="S216" s="209"/>
      <c r="T216" s="209"/>
      <c r="U216" s="209"/>
      <c r="V216" s="209"/>
      <c r="W216" s="209"/>
      <c r="X216" s="209"/>
      <c r="Y216" s="209"/>
      <c r="Z216" s="210"/>
      <c r="AB216" s="626">
        <f ca="1">IF(AND($D216="Serviço",AB$12&lt;&gt;0,$H216&gt;0,OR(AUTOEVENTO&lt;&gt;"manual",$M216&lt;&gt;1)),
IF(Import.TipoArredondamento&lt;&gt;"TransfereGOV",
ROUND(OFFSET($P216,0,AB$13),15-13*ORÇAMENTO!$AF$7)/$H216*OFFSET(ORÇAMENTO!$X$15,ROW(AB216)-ROW(AB$15),0),
ROUND(ROUND(OFFSET($P216,0,AB$13),15-13*ORÇAMENTO!$AF$7)*OFFSET(ORÇAMENTO!$W$15,ROW(AB216)-ROW(AB$15),0),15-13*ORÇAMENTO!$AF$11)),0)</f>
        <v>0</v>
      </c>
      <c r="AC216" s="627">
        <f ca="1">IF(AND($D216="Serviço",AC$12&lt;&gt;0,$H216&gt;0,OR(AUTOEVENTO&lt;&gt;"manual",$M216&lt;&gt;1)),
IF(Import.TipoArredondamento&lt;&gt;"TransfereGOV",
ROUND(OFFSET($P216,0,AC$13),15-13*ORÇAMENTO!$AF$7)/$H216*OFFSET(ORÇAMENTO!$X$15,ROW(AC216)-ROW(AC$15),0),
ROUND(ROUND(OFFSET($P216,0,AC$13),15-13*ORÇAMENTO!$AF$7)*OFFSET(ORÇAMENTO!$W$15,ROW(AC216)-ROW(AC$15),0),15-13*ORÇAMENTO!$AF$11)),0)</f>
        <v>0</v>
      </c>
      <c r="AD216" s="627">
        <f ca="1">IF(AND($D216="Serviço",AD$12&lt;&gt;0,$H216&gt;0,OR(AUTOEVENTO&lt;&gt;"manual",$M216&lt;&gt;1)),
IF(Import.TipoArredondamento&lt;&gt;"TransfereGOV",
ROUND(OFFSET($P216,0,AD$13),15-13*ORÇAMENTO!$AF$7)/$H216*OFFSET(ORÇAMENTO!$X$15,ROW(AD216)-ROW(AD$15),0),
ROUND(ROUND(OFFSET($P216,0,AD$13),15-13*ORÇAMENTO!$AF$7)*OFFSET(ORÇAMENTO!$W$15,ROW(AD216)-ROW(AD$15),0),15-13*ORÇAMENTO!$AF$11)),0)</f>
        <v>0</v>
      </c>
      <c r="AE216" s="627">
        <f ca="1">IF(AND($D216="Serviço",AE$12&lt;&gt;0,$H216&gt;0,OR(AUTOEVENTO&lt;&gt;"manual",$M216&lt;&gt;1)),
IF(Import.TipoArredondamento&lt;&gt;"TransfereGOV",
ROUND(OFFSET($P216,0,AE$13),15-13*ORÇAMENTO!$AF$7)/$H216*OFFSET(ORÇAMENTO!$X$15,ROW(AE216)-ROW(AE$15),0),
ROUND(ROUND(OFFSET($P216,0,AE$13),15-13*ORÇAMENTO!$AF$7)*OFFSET(ORÇAMENTO!$W$15,ROW(AE216)-ROW(AE$15),0),15-13*ORÇAMENTO!$AF$11)),0)</f>
        <v>0</v>
      </c>
      <c r="AF216" s="627">
        <f ca="1">IF(AND($D216="Serviço",AF$12&lt;&gt;0,$H216&gt;0,OR(AUTOEVENTO&lt;&gt;"manual",$M216&lt;&gt;1)),
IF(Import.TipoArredondamento&lt;&gt;"TransfereGOV",
ROUND(OFFSET($P216,0,AF$13),15-13*ORÇAMENTO!$AF$7)/$H216*OFFSET(ORÇAMENTO!$X$15,ROW(AF216)-ROW(AF$15),0),
ROUND(ROUND(OFFSET($P216,0,AF$13),15-13*ORÇAMENTO!$AF$7)*OFFSET(ORÇAMENTO!$W$15,ROW(AF216)-ROW(AF$15),0),15-13*ORÇAMENTO!$AF$11)),0)</f>
        <v>0</v>
      </c>
      <c r="AG216" s="627">
        <f ca="1">IF(AND($D216="Serviço",AG$12&lt;&gt;0,$H216&gt;0,OR(AUTOEVENTO&lt;&gt;"manual",$M216&lt;&gt;1)),
IF(Import.TipoArredondamento&lt;&gt;"TransfereGOV",
ROUND(OFFSET($P216,0,AG$13),15-13*ORÇAMENTO!$AF$7)/$H216*OFFSET(ORÇAMENTO!$X$15,ROW(AG216)-ROW(AG$15),0),
ROUND(ROUND(OFFSET($P216,0,AG$13),15-13*ORÇAMENTO!$AF$7)*OFFSET(ORÇAMENTO!$W$15,ROW(AG216)-ROW(AG$15),0),15-13*ORÇAMENTO!$AF$11)),0)</f>
        <v>0</v>
      </c>
      <c r="AH216" s="627">
        <f ca="1">IF(AND($D216="Serviço",AH$12&lt;&gt;0,$H216&gt;0,OR(AUTOEVENTO&lt;&gt;"manual",$M216&lt;&gt;1)),
IF(Import.TipoArredondamento&lt;&gt;"TransfereGOV",
ROUND(OFFSET($P216,0,AH$13),15-13*ORÇAMENTO!$AF$7)/$H216*OFFSET(ORÇAMENTO!$X$15,ROW(AH216)-ROW(AH$15),0),
ROUND(ROUND(OFFSET($P216,0,AH$13),15-13*ORÇAMENTO!$AF$7)*OFFSET(ORÇAMENTO!$W$15,ROW(AH216)-ROW(AH$15),0),15-13*ORÇAMENTO!$AF$11)),0)</f>
        <v>0</v>
      </c>
      <c r="AI216" s="627">
        <f ca="1">IF(AND($D216="Serviço",AI$12&lt;&gt;0,$H216&gt;0,OR(AUTOEVENTO&lt;&gt;"manual",$M216&lt;&gt;1)),
IF(Import.TipoArredondamento&lt;&gt;"TransfereGOV",
ROUND(OFFSET($P216,0,AI$13),15-13*ORÇAMENTO!$AF$7)/$H216*OFFSET(ORÇAMENTO!$X$15,ROW(AI216)-ROW(AI$15),0),
ROUND(ROUND(OFFSET($P216,0,AI$13),15-13*ORÇAMENTO!$AF$7)*OFFSET(ORÇAMENTO!$W$15,ROW(AI216)-ROW(AI$15),0),15-13*ORÇAMENTO!$AF$11)),0)</f>
        <v>0</v>
      </c>
      <c r="AJ216" s="627">
        <f ca="1">IF(AND($D216="Serviço",AJ$12&lt;&gt;0,$H216&gt;0,OR(AUTOEVENTO&lt;&gt;"manual",$M216&lt;&gt;1)),
IF(Import.TipoArredondamento&lt;&gt;"TransfereGOV",
ROUND(OFFSET($P216,0,AJ$13),15-13*ORÇAMENTO!$AF$7)/$H216*OFFSET(ORÇAMENTO!$X$15,ROW(AJ216)-ROW(AJ$15),0),
ROUND(ROUND(OFFSET($P216,0,AJ$13),15-13*ORÇAMENTO!$AF$7)*OFFSET(ORÇAMENTO!$W$15,ROW(AJ216)-ROW(AJ$15),0),15-13*ORÇAMENTO!$AF$11)),0)</f>
        <v>0</v>
      </c>
      <c r="AK216" s="628">
        <f ca="1">IF(AND($D216="Serviço",AK$12&lt;&gt;0,$H216&gt;0,OR(AUTOEVENTO&lt;&gt;"manual",$M216&lt;&gt;1)),
IF(Import.TipoArredondamento&lt;&gt;"TransfereGOV",
ROUND(OFFSET($P216,0,AK$13),15-13*ORÇAMENTO!$AF$7)/$H216*OFFSET(ORÇAMENTO!$X$15,ROW(AK216)-ROW(AK$15),0),
ROUND(ROUND(OFFSET($P216,0,AK$13),15-13*ORÇAMENTO!$AF$7)*OFFSET(ORÇAMENTO!$W$15,ROW(AK216)-ROW(AK$15),0),15-13*ORÇAMENTO!$AF$11)),0)</f>
        <v>0</v>
      </c>
      <c r="AM216" s="211">
        <f ca="1">IF($D216&lt;&gt;"Serviço",0,IF(AND(AUTOEVENTO="Manual",$M216=1),0,IF(OFFSET(CRONOPLE!$F$14,$M216,AM$13)="",10^12,OFFSET(CRONOPLE!$F$14,$M216,AM$13))))</f>
        <v>2</v>
      </c>
      <c r="AN216" s="211">
        <f ca="1">IF($D216&lt;&gt;"Serviço",0,IF(AND(AUTOEVENTO="Manual",$M216=1),0,IF(OFFSET(CRONOPLE!$F$14,$M216,AN$13)="",10^12,OFFSET(CRONOPLE!$F$14,$M216,AN$13))))</f>
        <v>1</v>
      </c>
      <c r="AO216" s="211">
        <f ca="1">IF($D216&lt;&gt;"Serviço",0,IF(AND(AUTOEVENTO="Manual",$M216=1),0,IF(OFFSET(CRONOPLE!$F$14,$M216,AO$13)="",10^12,OFFSET(CRONOPLE!$F$14,$M216,AO$13))))</f>
        <v>2</v>
      </c>
      <c r="AP216" s="211">
        <f ca="1">IF($D216&lt;&gt;"Serviço",0,IF(AND(AUTOEVENTO="Manual",$M216=1),0,IF(OFFSET(CRONOPLE!$F$14,$M216,AP$13)="",10^12,OFFSET(CRONOPLE!$F$14,$M216,AP$13))))</f>
        <v>2</v>
      </c>
      <c r="AQ216" s="211">
        <f ca="1">IF($D216&lt;&gt;"Serviço",0,IF(AND(AUTOEVENTO="Manual",$M216=1),0,IF(OFFSET(CRONOPLE!$F$14,$M216,AQ$13)="",10^12,OFFSET(CRONOPLE!$F$14,$M216,AQ$13))))</f>
        <v>1000000000000</v>
      </c>
      <c r="AR216" s="211">
        <f ca="1">IF($D216&lt;&gt;"Serviço",0,IF(AND(AUTOEVENTO="Manual",$M216=1),0,IF(OFFSET(CRONOPLE!$F$14,$M216,AR$13)="",10^12,OFFSET(CRONOPLE!$F$14,$M216,AR$13))))</f>
        <v>1000000000000</v>
      </c>
      <c r="AS216" s="211">
        <f ca="1">IF($D216&lt;&gt;"Serviço",0,IF(AND(AUTOEVENTO="Manual",$M216=1),0,IF(OFFSET(CRONOPLE!$F$14,$M216,AS$13)="",10^12,OFFSET(CRONOPLE!$F$14,$M216,AS$13))))</f>
        <v>1000000000000</v>
      </c>
      <c r="AT216" s="211">
        <f ca="1">IF($D216&lt;&gt;"Serviço",0,IF(AND(AUTOEVENTO="Manual",$M216=1),0,IF(OFFSET(CRONOPLE!$F$14,$M216,AT$13)="",10^12,OFFSET(CRONOPLE!$F$14,$M216,AT$13))))</f>
        <v>1000000000000</v>
      </c>
      <c r="AU216" s="211">
        <f ca="1">IF($D216&lt;&gt;"Serviço",0,IF(AND(AUTOEVENTO="Manual",$M216=1),0,IF(OFFSET(CRONOPLE!$F$14,$M216,AU$13)="",10^12,OFFSET(CRONOPLE!$F$14,$M216,AU$13))))</f>
        <v>1000000000000</v>
      </c>
      <c r="AV216" s="211">
        <f ca="1">IF($D216&lt;&gt;"Serviço",0,IF(AND(AUTOEVENTO="Manual",$M216=1),0,IF(OFFSET(CRONOPLE!$F$14,$M216,AV$13)="",10^12,OFFSET(CRONOPLE!$F$14,$M216,AV$13))))</f>
        <v>1000000000000</v>
      </c>
      <c r="AX216" s="212">
        <f ca="1">IF($D216&lt;&gt;"Serviço",0,IF(OR(AND(AUTOEVENTO="Manual",$M216=1),$M216&gt;(ROW(PLE.lastrow)-ROW(PLE.firstrow))),0,IF(OFFSET(PLE!$G$14,$M216,AX$13)="",10^12,OFFSET(PLE!$G$14,$M216,AX$13))))</f>
        <v>1000000000000</v>
      </c>
      <c r="AY216" s="212">
        <f ca="1">IF($D216&lt;&gt;"Serviço",0,IF(OR(AND(AUTOEVENTO="Manual",$M216=1),$M216&gt;(ROW(PLE.lastrow)-ROW(PLE.firstrow))),0,IF(OFFSET(PLE!$G$14,$M216,AY$13)="",10^12,OFFSET(PLE!$G$14,$M216,AY$13))))</f>
        <v>1000000000000</v>
      </c>
      <c r="AZ216" s="212">
        <f ca="1">IF($D216&lt;&gt;"Serviço",0,IF(OR(AND(AUTOEVENTO="Manual",$M216=1),$M216&gt;(ROW(PLE.lastrow)-ROW(PLE.firstrow))),0,IF(OFFSET(PLE!$G$14,$M216,AZ$13)="",10^12,OFFSET(PLE!$G$14,$M216,AZ$13))))</f>
        <v>1000000000000</v>
      </c>
      <c r="BA216" s="212">
        <f ca="1">IF($D216&lt;&gt;"Serviço",0,IF(OR(AND(AUTOEVENTO="Manual",$M216=1),$M216&gt;(ROW(PLE.lastrow)-ROW(PLE.firstrow))),0,IF(OFFSET(PLE!$G$14,$M216,BA$13)="",10^12,OFFSET(PLE!$G$14,$M216,BA$13))))</f>
        <v>1000000000000</v>
      </c>
      <c r="BB216" s="212">
        <f ca="1">IF($D216&lt;&gt;"Serviço",0,IF(OR(AND(AUTOEVENTO="Manual",$M216=1),$M216&gt;(ROW(PLE.lastrow)-ROW(PLE.firstrow))),0,IF(OFFSET(PLE!$G$14,$M216,BB$13)="",10^12,OFFSET(PLE!$G$14,$M216,BB$13))))</f>
        <v>1000000000000</v>
      </c>
      <c r="BC216" s="212">
        <f ca="1">IF($D216&lt;&gt;"Serviço",0,IF(OR(AND(AUTOEVENTO="Manual",$M216=1),$M216&gt;(ROW(PLE.lastrow)-ROW(PLE.firstrow))),0,IF(OFFSET(PLE!$G$14,$M216,BC$13)="",10^12,OFFSET(PLE!$G$14,$M216,BC$13))))</f>
        <v>1000000000000</v>
      </c>
      <c r="BD216" s="212">
        <f ca="1">IF($D216&lt;&gt;"Serviço",0,IF(OR(AND(AUTOEVENTO="Manual",$M216=1),$M216&gt;(ROW(PLE.lastrow)-ROW(PLE.firstrow))),0,IF(OFFSET(PLE!$G$14,$M216,BD$13)="",10^12,OFFSET(PLE!$G$14,$M216,BD$13))))</f>
        <v>1000000000000</v>
      </c>
      <c r="BE216" s="212">
        <f ca="1">IF($D216&lt;&gt;"Serviço",0,IF(OR(AND(AUTOEVENTO="Manual",$M216=1),$M216&gt;(ROW(PLE.lastrow)-ROW(PLE.firstrow))),0,IF(OFFSET(PLE!$G$14,$M216,BE$13)="",10^12,OFFSET(PLE!$G$14,$M216,BE$13))))</f>
        <v>1000000000000</v>
      </c>
      <c r="BF216" s="212">
        <f ca="1">IF($D216&lt;&gt;"Serviço",0,IF(OR(AND(AUTOEVENTO="Manual",$M216=1),$M216&gt;(ROW(PLE.lastrow)-ROW(PLE.firstrow))),0,IF(OFFSET(PLE!$G$14,$M216,BF$13)="",10^12,OFFSET(PLE!$G$14,$M216,BF$13))))</f>
        <v>1000000000000</v>
      </c>
      <c r="BG216" s="212">
        <f ca="1">IF($D216&lt;&gt;"Serviço",0,IF(OR(AND(AUTOEVENTO="Manual",$M216=1),$M216&gt;(ROW(PLE.lastrow)-ROW(PLE.firstrow))),0,IF(OFFSET(PLE!$G$14,$M216,BG$13)="",10^12,OFFSET(PLE!$G$14,$M216,BG$13))))</f>
        <v>1000000000000</v>
      </c>
    </row>
    <row r="217" spans="1:59" ht="13.2">
      <c r="A217" s="9" t="str">
        <f t="shared" ca="1" si="12"/>
        <v>15</v>
      </c>
      <c r="B217" s="9" t="str">
        <f ca="1">OFFSET(ORÇAMENTO!C$15,ROW(B217)-ROW(B$15),0)</f>
        <v>S</v>
      </c>
      <c r="C217" s="9" t="str">
        <f ca="1">OFFSET(ORÇAMENTO!L$15,ROW(C217)-ROW(C$15),0)</f>
        <v/>
      </c>
      <c r="D217" s="141" t="str">
        <f ca="1">OFFSET(ORÇAMENTO!N$15,ROW(D217)-ROW(D$15),0)</f>
        <v>Serviço</v>
      </c>
      <c r="E217" s="201" t="str">
        <f ca="1">OFFSET(ORÇAMENTO!O$15,ROW(E217)-ROW(E$15),0)</f>
        <v>-</v>
      </c>
      <c r="F217" s="202" t="str">
        <f ca="1">OFFSET(ORÇAMENTO!R$15,ROW(F217)-ROW(F$15),0)</f>
        <v>(abra o arquivo 'Referência 11-2024.xlsm)</v>
      </c>
      <c r="G217" s="203" t="str">
        <f ca="1">IF($D217&lt;&gt;"Serviço","",OFFSET(ORÇAMENTO!S$15,ROW(G217)-ROW(G$15),0))</f>
        <v>-</v>
      </c>
      <c r="H217" s="147">
        <f ca="1">IF($D217&lt;&gt;"Serviço",0,IF(ACOMPANHAMENTO="BM",ROUND(OFFSET(ORÇAMENTO!AJ$15,ROW(H217)-ROW(H$15),0),15-13*ORÇAMENTO!$AF$7),SUMPRODUCT(($Q$12:$AA$12&lt;&gt;"")*ROUND($Q217:$AA217,15-13*ORÇAMENTO!$AF$7))))</f>
        <v>0</v>
      </c>
      <c r="I217" s="645"/>
      <c r="K217" s="204"/>
      <c r="L217" s="205" t="s">
        <v>255</v>
      </c>
      <c r="M217" s="206">
        <f ca="1">IF($D217&lt;&gt;"Serviço","",IF(AUTOEVENTO="manual",$A217,IF(ISERROR(MATCH($A217,$A$15:OFFSET($A217,-1,0),0)),MAX($M$15:OFFSET(M217,-1,0))+1,INDEX($M$15:OFFSET(M217,-1,0),MATCH($A217,$A$15:OFFSET($A217,-1,0),0)))))</f>
        <v>6</v>
      </c>
      <c r="N217" s="207" t="str">
        <f ca="1">IF($D217&lt;&gt;"Serviço","",IF(AUTOEVENTO="Manual",IF($A217=0,"&lt;-- defina o número do agrupador",OFFSET(EVENTOS!$D$14,$A217,0)),OFFSET($F$15,$A217,0)))</f>
        <v>DRENAGEM</v>
      </c>
      <c r="O217" s="208"/>
      <c r="Q217" s="208"/>
      <c r="R217" s="209"/>
      <c r="S217" s="209"/>
      <c r="T217" s="209"/>
      <c r="U217" s="209"/>
      <c r="V217" s="209"/>
      <c r="W217" s="209"/>
      <c r="X217" s="209"/>
      <c r="Y217" s="209"/>
      <c r="Z217" s="210"/>
      <c r="AB217" s="626">
        <f ca="1">IF(AND($D217="Serviço",AB$12&lt;&gt;0,$H217&gt;0,OR(AUTOEVENTO&lt;&gt;"manual",$M217&lt;&gt;1)),
IF(Import.TipoArredondamento&lt;&gt;"TransfereGOV",
ROUND(OFFSET($P217,0,AB$13),15-13*ORÇAMENTO!$AF$7)/$H217*OFFSET(ORÇAMENTO!$X$15,ROW(AB217)-ROW(AB$15),0),
ROUND(ROUND(OFFSET($P217,0,AB$13),15-13*ORÇAMENTO!$AF$7)*OFFSET(ORÇAMENTO!$W$15,ROW(AB217)-ROW(AB$15),0),15-13*ORÇAMENTO!$AF$11)),0)</f>
        <v>0</v>
      </c>
      <c r="AC217" s="627">
        <f ca="1">IF(AND($D217="Serviço",AC$12&lt;&gt;0,$H217&gt;0,OR(AUTOEVENTO&lt;&gt;"manual",$M217&lt;&gt;1)),
IF(Import.TipoArredondamento&lt;&gt;"TransfereGOV",
ROUND(OFFSET($P217,0,AC$13),15-13*ORÇAMENTO!$AF$7)/$H217*OFFSET(ORÇAMENTO!$X$15,ROW(AC217)-ROW(AC$15),0),
ROUND(ROUND(OFFSET($P217,0,AC$13),15-13*ORÇAMENTO!$AF$7)*OFFSET(ORÇAMENTO!$W$15,ROW(AC217)-ROW(AC$15),0),15-13*ORÇAMENTO!$AF$11)),0)</f>
        <v>0</v>
      </c>
      <c r="AD217" s="627">
        <f ca="1">IF(AND($D217="Serviço",AD$12&lt;&gt;0,$H217&gt;0,OR(AUTOEVENTO&lt;&gt;"manual",$M217&lt;&gt;1)),
IF(Import.TipoArredondamento&lt;&gt;"TransfereGOV",
ROUND(OFFSET($P217,0,AD$13),15-13*ORÇAMENTO!$AF$7)/$H217*OFFSET(ORÇAMENTO!$X$15,ROW(AD217)-ROW(AD$15),0),
ROUND(ROUND(OFFSET($P217,0,AD$13),15-13*ORÇAMENTO!$AF$7)*OFFSET(ORÇAMENTO!$W$15,ROW(AD217)-ROW(AD$15),0),15-13*ORÇAMENTO!$AF$11)),0)</f>
        <v>0</v>
      </c>
      <c r="AE217" s="627">
        <f ca="1">IF(AND($D217="Serviço",AE$12&lt;&gt;0,$H217&gt;0,OR(AUTOEVENTO&lt;&gt;"manual",$M217&lt;&gt;1)),
IF(Import.TipoArredondamento&lt;&gt;"TransfereGOV",
ROUND(OFFSET($P217,0,AE$13),15-13*ORÇAMENTO!$AF$7)/$H217*OFFSET(ORÇAMENTO!$X$15,ROW(AE217)-ROW(AE$15),0),
ROUND(ROUND(OFFSET($P217,0,AE$13),15-13*ORÇAMENTO!$AF$7)*OFFSET(ORÇAMENTO!$W$15,ROW(AE217)-ROW(AE$15),0),15-13*ORÇAMENTO!$AF$11)),0)</f>
        <v>0</v>
      </c>
      <c r="AF217" s="627">
        <f ca="1">IF(AND($D217="Serviço",AF$12&lt;&gt;0,$H217&gt;0,OR(AUTOEVENTO&lt;&gt;"manual",$M217&lt;&gt;1)),
IF(Import.TipoArredondamento&lt;&gt;"TransfereGOV",
ROUND(OFFSET($P217,0,AF$13),15-13*ORÇAMENTO!$AF$7)/$H217*OFFSET(ORÇAMENTO!$X$15,ROW(AF217)-ROW(AF$15),0),
ROUND(ROUND(OFFSET($P217,0,AF$13),15-13*ORÇAMENTO!$AF$7)*OFFSET(ORÇAMENTO!$W$15,ROW(AF217)-ROW(AF$15),0),15-13*ORÇAMENTO!$AF$11)),0)</f>
        <v>0</v>
      </c>
      <c r="AG217" s="627">
        <f ca="1">IF(AND($D217="Serviço",AG$12&lt;&gt;0,$H217&gt;0,OR(AUTOEVENTO&lt;&gt;"manual",$M217&lt;&gt;1)),
IF(Import.TipoArredondamento&lt;&gt;"TransfereGOV",
ROUND(OFFSET($P217,0,AG$13),15-13*ORÇAMENTO!$AF$7)/$H217*OFFSET(ORÇAMENTO!$X$15,ROW(AG217)-ROW(AG$15),0),
ROUND(ROUND(OFFSET($P217,0,AG$13),15-13*ORÇAMENTO!$AF$7)*OFFSET(ORÇAMENTO!$W$15,ROW(AG217)-ROW(AG$15),0),15-13*ORÇAMENTO!$AF$11)),0)</f>
        <v>0</v>
      </c>
      <c r="AH217" s="627">
        <f ca="1">IF(AND($D217="Serviço",AH$12&lt;&gt;0,$H217&gt;0,OR(AUTOEVENTO&lt;&gt;"manual",$M217&lt;&gt;1)),
IF(Import.TipoArredondamento&lt;&gt;"TransfereGOV",
ROUND(OFFSET($P217,0,AH$13),15-13*ORÇAMENTO!$AF$7)/$H217*OFFSET(ORÇAMENTO!$X$15,ROW(AH217)-ROW(AH$15),0),
ROUND(ROUND(OFFSET($P217,0,AH$13),15-13*ORÇAMENTO!$AF$7)*OFFSET(ORÇAMENTO!$W$15,ROW(AH217)-ROW(AH$15),0),15-13*ORÇAMENTO!$AF$11)),0)</f>
        <v>0</v>
      </c>
      <c r="AI217" s="627">
        <f ca="1">IF(AND($D217="Serviço",AI$12&lt;&gt;0,$H217&gt;0,OR(AUTOEVENTO&lt;&gt;"manual",$M217&lt;&gt;1)),
IF(Import.TipoArredondamento&lt;&gt;"TransfereGOV",
ROUND(OFFSET($P217,0,AI$13),15-13*ORÇAMENTO!$AF$7)/$H217*OFFSET(ORÇAMENTO!$X$15,ROW(AI217)-ROW(AI$15),0),
ROUND(ROUND(OFFSET($P217,0,AI$13),15-13*ORÇAMENTO!$AF$7)*OFFSET(ORÇAMENTO!$W$15,ROW(AI217)-ROW(AI$15),0),15-13*ORÇAMENTO!$AF$11)),0)</f>
        <v>0</v>
      </c>
      <c r="AJ217" s="627">
        <f ca="1">IF(AND($D217="Serviço",AJ$12&lt;&gt;0,$H217&gt;0,OR(AUTOEVENTO&lt;&gt;"manual",$M217&lt;&gt;1)),
IF(Import.TipoArredondamento&lt;&gt;"TransfereGOV",
ROUND(OFFSET($P217,0,AJ$13),15-13*ORÇAMENTO!$AF$7)/$H217*OFFSET(ORÇAMENTO!$X$15,ROW(AJ217)-ROW(AJ$15),0),
ROUND(ROUND(OFFSET($P217,0,AJ$13),15-13*ORÇAMENTO!$AF$7)*OFFSET(ORÇAMENTO!$W$15,ROW(AJ217)-ROW(AJ$15),0),15-13*ORÇAMENTO!$AF$11)),0)</f>
        <v>0</v>
      </c>
      <c r="AK217" s="628">
        <f ca="1">IF(AND($D217="Serviço",AK$12&lt;&gt;0,$H217&gt;0,OR(AUTOEVENTO&lt;&gt;"manual",$M217&lt;&gt;1)),
IF(Import.TipoArredondamento&lt;&gt;"TransfereGOV",
ROUND(OFFSET($P217,0,AK$13),15-13*ORÇAMENTO!$AF$7)/$H217*OFFSET(ORÇAMENTO!$X$15,ROW(AK217)-ROW(AK$15),0),
ROUND(ROUND(OFFSET($P217,0,AK$13),15-13*ORÇAMENTO!$AF$7)*OFFSET(ORÇAMENTO!$W$15,ROW(AK217)-ROW(AK$15),0),15-13*ORÇAMENTO!$AF$11)),0)</f>
        <v>0</v>
      </c>
      <c r="AM217" s="211">
        <f ca="1">IF($D217&lt;&gt;"Serviço",0,IF(AND(AUTOEVENTO="Manual",$M217=1),0,IF(OFFSET(CRONOPLE!$F$14,$M217,AM$13)="",10^12,OFFSET(CRONOPLE!$F$14,$M217,AM$13))))</f>
        <v>2</v>
      </c>
      <c r="AN217" s="211">
        <f ca="1">IF($D217&lt;&gt;"Serviço",0,IF(AND(AUTOEVENTO="Manual",$M217=1),0,IF(OFFSET(CRONOPLE!$F$14,$M217,AN$13)="",10^12,OFFSET(CRONOPLE!$F$14,$M217,AN$13))))</f>
        <v>1</v>
      </c>
      <c r="AO217" s="211">
        <f ca="1">IF($D217&lt;&gt;"Serviço",0,IF(AND(AUTOEVENTO="Manual",$M217=1),0,IF(OFFSET(CRONOPLE!$F$14,$M217,AO$13)="",10^12,OFFSET(CRONOPLE!$F$14,$M217,AO$13))))</f>
        <v>2</v>
      </c>
      <c r="AP217" s="211">
        <f ca="1">IF($D217&lt;&gt;"Serviço",0,IF(AND(AUTOEVENTO="Manual",$M217=1),0,IF(OFFSET(CRONOPLE!$F$14,$M217,AP$13)="",10^12,OFFSET(CRONOPLE!$F$14,$M217,AP$13))))</f>
        <v>2</v>
      </c>
      <c r="AQ217" s="211">
        <f ca="1">IF($D217&lt;&gt;"Serviço",0,IF(AND(AUTOEVENTO="Manual",$M217=1),0,IF(OFFSET(CRONOPLE!$F$14,$M217,AQ$13)="",10^12,OFFSET(CRONOPLE!$F$14,$M217,AQ$13))))</f>
        <v>1000000000000</v>
      </c>
      <c r="AR217" s="211">
        <f ca="1">IF($D217&lt;&gt;"Serviço",0,IF(AND(AUTOEVENTO="Manual",$M217=1),0,IF(OFFSET(CRONOPLE!$F$14,$M217,AR$13)="",10^12,OFFSET(CRONOPLE!$F$14,$M217,AR$13))))</f>
        <v>1000000000000</v>
      </c>
      <c r="AS217" s="211">
        <f ca="1">IF($D217&lt;&gt;"Serviço",0,IF(AND(AUTOEVENTO="Manual",$M217=1),0,IF(OFFSET(CRONOPLE!$F$14,$M217,AS$13)="",10^12,OFFSET(CRONOPLE!$F$14,$M217,AS$13))))</f>
        <v>1000000000000</v>
      </c>
      <c r="AT217" s="211">
        <f ca="1">IF($D217&lt;&gt;"Serviço",0,IF(AND(AUTOEVENTO="Manual",$M217=1),0,IF(OFFSET(CRONOPLE!$F$14,$M217,AT$13)="",10^12,OFFSET(CRONOPLE!$F$14,$M217,AT$13))))</f>
        <v>1000000000000</v>
      </c>
      <c r="AU217" s="211">
        <f ca="1">IF($D217&lt;&gt;"Serviço",0,IF(AND(AUTOEVENTO="Manual",$M217=1),0,IF(OFFSET(CRONOPLE!$F$14,$M217,AU$13)="",10^12,OFFSET(CRONOPLE!$F$14,$M217,AU$13))))</f>
        <v>1000000000000</v>
      </c>
      <c r="AV217" s="211">
        <f ca="1">IF($D217&lt;&gt;"Serviço",0,IF(AND(AUTOEVENTO="Manual",$M217=1),0,IF(OFFSET(CRONOPLE!$F$14,$M217,AV$13)="",10^12,OFFSET(CRONOPLE!$F$14,$M217,AV$13))))</f>
        <v>1000000000000</v>
      </c>
      <c r="AX217" s="212">
        <f ca="1">IF($D217&lt;&gt;"Serviço",0,IF(OR(AND(AUTOEVENTO="Manual",$M217=1),$M217&gt;(ROW(PLE.lastrow)-ROW(PLE.firstrow))),0,IF(OFFSET(PLE!$G$14,$M217,AX$13)="",10^12,OFFSET(PLE!$G$14,$M217,AX$13))))</f>
        <v>1000000000000</v>
      </c>
      <c r="AY217" s="212">
        <f ca="1">IF($D217&lt;&gt;"Serviço",0,IF(OR(AND(AUTOEVENTO="Manual",$M217=1),$M217&gt;(ROW(PLE.lastrow)-ROW(PLE.firstrow))),0,IF(OFFSET(PLE!$G$14,$M217,AY$13)="",10^12,OFFSET(PLE!$G$14,$M217,AY$13))))</f>
        <v>1000000000000</v>
      </c>
      <c r="AZ217" s="212">
        <f ca="1">IF($D217&lt;&gt;"Serviço",0,IF(OR(AND(AUTOEVENTO="Manual",$M217=1),$M217&gt;(ROW(PLE.lastrow)-ROW(PLE.firstrow))),0,IF(OFFSET(PLE!$G$14,$M217,AZ$13)="",10^12,OFFSET(PLE!$G$14,$M217,AZ$13))))</f>
        <v>1000000000000</v>
      </c>
      <c r="BA217" s="212">
        <f ca="1">IF($D217&lt;&gt;"Serviço",0,IF(OR(AND(AUTOEVENTO="Manual",$M217=1),$M217&gt;(ROW(PLE.lastrow)-ROW(PLE.firstrow))),0,IF(OFFSET(PLE!$G$14,$M217,BA$13)="",10^12,OFFSET(PLE!$G$14,$M217,BA$13))))</f>
        <v>1000000000000</v>
      </c>
      <c r="BB217" s="212">
        <f ca="1">IF($D217&lt;&gt;"Serviço",0,IF(OR(AND(AUTOEVENTO="Manual",$M217=1),$M217&gt;(ROW(PLE.lastrow)-ROW(PLE.firstrow))),0,IF(OFFSET(PLE!$G$14,$M217,BB$13)="",10^12,OFFSET(PLE!$G$14,$M217,BB$13))))</f>
        <v>1000000000000</v>
      </c>
      <c r="BC217" s="212">
        <f ca="1">IF($D217&lt;&gt;"Serviço",0,IF(OR(AND(AUTOEVENTO="Manual",$M217=1),$M217&gt;(ROW(PLE.lastrow)-ROW(PLE.firstrow))),0,IF(OFFSET(PLE!$G$14,$M217,BC$13)="",10^12,OFFSET(PLE!$G$14,$M217,BC$13))))</f>
        <v>1000000000000</v>
      </c>
      <c r="BD217" s="212">
        <f ca="1">IF($D217&lt;&gt;"Serviço",0,IF(OR(AND(AUTOEVENTO="Manual",$M217=1),$M217&gt;(ROW(PLE.lastrow)-ROW(PLE.firstrow))),0,IF(OFFSET(PLE!$G$14,$M217,BD$13)="",10^12,OFFSET(PLE!$G$14,$M217,BD$13))))</f>
        <v>1000000000000</v>
      </c>
      <c r="BE217" s="212">
        <f ca="1">IF($D217&lt;&gt;"Serviço",0,IF(OR(AND(AUTOEVENTO="Manual",$M217=1),$M217&gt;(ROW(PLE.lastrow)-ROW(PLE.firstrow))),0,IF(OFFSET(PLE!$G$14,$M217,BE$13)="",10^12,OFFSET(PLE!$G$14,$M217,BE$13))))</f>
        <v>1000000000000</v>
      </c>
      <c r="BF217" s="212">
        <f ca="1">IF($D217&lt;&gt;"Serviço",0,IF(OR(AND(AUTOEVENTO="Manual",$M217=1),$M217&gt;(ROW(PLE.lastrow)-ROW(PLE.firstrow))),0,IF(OFFSET(PLE!$G$14,$M217,BF$13)="",10^12,OFFSET(PLE!$G$14,$M217,BF$13))))</f>
        <v>1000000000000</v>
      </c>
      <c r="BG217" s="212">
        <f ca="1">IF($D217&lt;&gt;"Serviço",0,IF(OR(AND(AUTOEVENTO="Manual",$M217=1),$M217&gt;(ROW(PLE.lastrow)-ROW(PLE.firstrow))),0,IF(OFFSET(PLE!$G$14,$M217,BG$13)="",10^12,OFFSET(PLE!$G$14,$M217,BG$13))))</f>
        <v>1000000000000</v>
      </c>
    </row>
    <row r="218" spans="1:59" ht="13.2">
      <c r="A218" s="9" t="str">
        <f t="shared" ca="1" si="12"/>
        <v>15</v>
      </c>
      <c r="B218" s="9" t="str">
        <f ca="1">OFFSET(ORÇAMENTO!C$15,ROW(B218)-ROW(B$15),0)</f>
        <v>S</v>
      </c>
      <c r="C218" s="9" t="str">
        <f ca="1">OFFSET(ORÇAMENTO!L$15,ROW(C218)-ROW(C$15),0)</f>
        <v/>
      </c>
      <c r="D218" s="141" t="str">
        <f ca="1">OFFSET(ORÇAMENTO!N$15,ROW(D218)-ROW(D$15),0)</f>
        <v>Serviço</v>
      </c>
      <c r="E218" s="201" t="str">
        <f ca="1">OFFSET(ORÇAMENTO!O$15,ROW(E218)-ROW(E$15),0)</f>
        <v>-</v>
      </c>
      <c r="F218" s="202" t="str">
        <f ca="1">OFFSET(ORÇAMENTO!R$15,ROW(F218)-ROW(F$15),0)</f>
        <v>(abra o arquivo 'Referência 11-2024.xlsm)</v>
      </c>
      <c r="G218" s="203" t="str">
        <f ca="1">IF($D218&lt;&gt;"Serviço","",OFFSET(ORÇAMENTO!S$15,ROW(G218)-ROW(G$15),0))</f>
        <v>-</v>
      </c>
      <c r="H218" s="147">
        <f ca="1">IF($D218&lt;&gt;"Serviço",0,IF(ACOMPANHAMENTO="BM",ROUND(OFFSET(ORÇAMENTO!AJ$15,ROW(H218)-ROW(H$15),0),15-13*ORÇAMENTO!$AF$7),SUMPRODUCT(($Q$12:$AA$12&lt;&gt;"")*ROUND($Q218:$AA218,15-13*ORÇAMENTO!$AF$7))))</f>
        <v>0</v>
      </c>
      <c r="I218" s="645"/>
      <c r="K218" s="204"/>
      <c r="L218" s="205" t="s">
        <v>255</v>
      </c>
      <c r="M218" s="206">
        <f ca="1">IF($D218&lt;&gt;"Serviço","",IF(AUTOEVENTO="manual",$A218,IF(ISERROR(MATCH($A218,$A$15:OFFSET($A218,-1,0),0)),MAX($M$15:OFFSET(M218,-1,0))+1,INDEX($M$15:OFFSET(M218,-1,0),MATCH($A218,$A$15:OFFSET($A218,-1,0),0)))))</f>
        <v>6</v>
      </c>
      <c r="N218" s="207" t="str">
        <f ca="1">IF($D218&lt;&gt;"Serviço","",IF(AUTOEVENTO="Manual",IF($A218=0,"&lt;-- defina o número do agrupador",OFFSET(EVENTOS!$D$14,$A218,0)),OFFSET($F$15,$A218,0)))</f>
        <v>DRENAGEM</v>
      </c>
      <c r="O218" s="208"/>
      <c r="Q218" s="208"/>
      <c r="R218" s="209"/>
      <c r="S218" s="209"/>
      <c r="T218" s="209"/>
      <c r="U218" s="209"/>
      <c r="V218" s="209"/>
      <c r="W218" s="209"/>
      <c r="X218" s="209"/>
      <c r="Y218" s="209"/>
      <c r="Z218" s="210"/>
      <c r="AB218" s="626">
        <f ca="1">IF(AND($D218="Serviço",AB$12&lt;&gt;0,$H218&gt;0,OR(AUTOEVENTO&lt;&gt;"manual",$M218&lt;&gt;1)),
IF(Import.TipoArredondamento&lt;&gt;"TransfereGOV",
ROUND(OFFSET($P218,0,AB$13),15-13*ORÇAMENTO!$AF$7)/$H218*OFFSET(ORÇAMENTO!$X$15,ROW(AB218)-ROW(AB$15),0),
ROUND(ROUND(OFFSET($P218,0,AB$13),15-13*ORÇAMENTO!$AF$7)*OFFSET(ORÇAMENTO!$W$15,ROW(AB218)-ROW(AB$15),0),15-13*ORÇAMENTO!$AF$11)),0)</f>
        <v>0</v>
      </c>
      <c r="AC218" s="627">
        <f ca="1">IF(AND($D218="Serviço",AC$12&lt;&gt;0,$H218&gt;0,OR(AUTOEVENTO&lt;&gt;"manual",$M218&lt;&gt;1)),
IF(Import.TipoArredondamento&lt;&gt;"TransfereGOV",
ROUND(OFFSET($P218,0,AC$13),15-13*ORÇAMENTO!$AF$7)/$H218*OFFSET(ORÇAMENTO!$X$15,ROW(AC218)-ROW(AC$15),0),
ROUND(ROUND(OFFSET($P218,0,AC$13),15-13*ORÇAMENTO!$AF$7)*OFFSET(ORÇAMENTO!$W$15,ROW(AC218)-ROW(AC$15),0),15-13*ORÇAMENTO!$AF$11)),0)</f>
        <v>0</v>
      </c>
      <c r="AD218" s="627">
        <f ca="1">IF(AND($D218="Serviço",AD$12&lt;&gt;0,$H218&gt;0,OR(AUTOEVENTO&lt;&gt;"manual",$M218&lt;&gt;1)),
IF(Import.TipoArredondamento&lt;&gt;"TransfereGOV",
ROUND(OFFSET($P218,0,AD$13),15-13*ORÇAMENTO!$AF$7)/$H218*OFFSET(ORÇAMENTO!$X$15,ROW(AD218)-ROW(AD$15),0),
ROUND(ROUND(OFFSET($P218,0,AD$13),15-13*ORÇAMENTO!$AF$7)*OFFSET(ORÇAMENTO!$W$15,ROW(AD218)-ROW(AD$15),0),15-13*ORÇAMENTO!$AF$11)),0)</f>
        <v>0</v>
      </c>
      <c r="AE218" s="627">
        <f ca="1">IF(AND($D218="Serviço",AE$12&lt;&gt;0,$H218&gt;0,OR(AUTOEVENTO&lt;&gt;"manual",$M218&lt;&gt;1)),
IF(Import.TipoArredondamento&lt;&gt;"TransfereGOV",
ROUND(OFFSET($P218,0,AE$13),15-13*ORÇAMENTO!$AF$7)/$H218*OFFSET(ORÇAMENTO!$X$15,ROW(AE218)-ROW(AE$15),0),
ROUND(ROUND(OFFSET($P218,0,AE$13),15-13*ORÇAMENTO!$AF$7)*OFFSET(ORÇAMENTO!$W$15,ROW(AE218)-ROW(AE$15),0),15-13*ORÇAMENTO!$AF$11)),0)</f>
        <v>0</v>
      </c>
      <c r="AF218" s="627">
        <f ca="1">IF(AND($D218="Serviço",AF$12&lt;&gt;0,$H218&gt;0,OR(AUTOEVENTO&lt;&gt;"manual",$M218&lt;&gt;1)),
IF(Import.TipoArredondamento&lt;&gt;"TransfereGOV",
ROUND(OFFSET($P218,0,AF$13),15-13*ORÇAMENTO!$AF$7)/$H218*OFFSET(ORÇAMENTO!$X$15,ROW(AF218)-ROW(AF$15),0),
ROUND(ROUND(OFFSET($P218,0,AF$13),15-13*ORÇAMENTO!$AF$7)*OFFSET(ORÇAMENTO!$W$15,ROW(AF218)-ROW(AF$15),0),15-13*ORÇAMENTO!$AF$11)),0)</f>
        <v>0</v>
      </c>
      <c r="AG218" s="627">
        <f ca="1">IF(AND($D218="Serviço",AG$12&lt;&gt;0,$H218&gt;0,OR(AUTOEVENTO&lt;&gt;"manual",$M218&lt;&gt;1)),
IF(Import.TipoArredondamento&lt;&gt;"TransfereGOV",
ROUND(OFFSET($P218,0,AG$13),15-13*ORÇAMENTO!$AF$7)/$H218*OFFSET(ORÇAMENTO!$X$15,ROW(AG218)-ROW(AG$15),0),
ROUND(ROUND(OFFSET($P218,0,AG$13),15-13*ORÇAMENTO!$AF$7)*OFFSET(ORÇAMENTO!$W$15,ROW(AG218)-ROW(AG$15),0),15-13*ORÇAMENTO!$AF$11)),0)</f>
        <v>0</v>
      </c>
      <c r="AH218" s="627">
        <f ca="1">IF(AND($D218="Serviço",AH$12&lt;&gt;0,$H218&gt;0,OR(AUTOEVENTO&lt;&gt;"manual",$M218&lt;&gt;1)),
IF(Import.TipoArredondamento&lt;&gt;"TransfereGOV",
ROUND(OFFSET($P218,0,AH$13),15-13*ORÇAMENTO!$AF$7)/$H218*OFFSET(ORÇAMENTO!$X$15,ROW(AH218)-ROW(AH$15),0),
ROUND(ROUND(OFFSET($P218,0,AH$13),15-13*ORÇAMENTO!$AF$7)*OFFSET(ORÇAMENTO!$W$15,ROW(AH218)-ROW(AH$15),0),15-13*ORÇAMENTO!$AF$11)),0)</f>
        <v>0</v>
      </c>
      <c r="AI218" s="627">
        <f ca="1">IF(AND($D218="Serviço",AI$12&lt;&gt;0,$H218&gt;0,OR(AUTOEVENTO&lt;&gt;"manual",$M218&lt;&gt;1)),
IF(Import.TipoArredondamento&lt;&gt;"TransfereGOV",
ROUND(OFFSET($P218,0,AI$13),15-13*ORÇAMENTO!$AF$7)/$H218*OFFSET(ORÇAMENTO!$X$15,ROW(AI218)-ROW(AI$15),0),
ROUND(ROUND(OFFSET($P218,0,AI$13),15-13*ORÇAMENTO!$AF$7)*OFFSET(ORÇAMENTO!$W$15,ROW(AI218)-ROW(AI$15),0),15-13*ORÇAMENTO!$AF$11)),0)</f>
        <v>0</v>
      </c>
      <c r="AJ218" s="627">
        <f ca="1">IF(AND($D218="Serviço",AJ$12&lt;&gt;0,$H218&gt;0,OR(AUTOEVENTO&lt;&gt;"manual",$M218&lt;&gt;1)),
IF(Import.TipoArredondamento&lt;&gt;"TransfereGOV",
ROUND(OFFSET($P218,0,AJ$13),15-13*ORÇAMENTO!$AF$7)/$H218*OFFSET(ORÇAMENTO!$X$15,ROW(AJ218)-ROW(AJ$15),0),
ROUND(ROUND(OFFSET($P218,0,AJ$13),15-13*ORÇAMENTO!$AF$7)*OFFSET(ORÇAMENTO!$W$15,ROW(AJ218)-ROW(AJ$15),0),15-13*ORÇAMENTO!$AF$11)),0)</f>
        <v>0</v>
      </c>
      <c r="AK218" s="628">
        <f ca="1">IF(AND($D218="Serviço",AK$12&lt;&gt;0,$H218&gt;0,OR(AUTOEVENTO&lt;&gt;"manual",$M218&lt;&gt;1)),
IF(Import.TipoArredondamento&lt;&gt;"TransfereGOV",
ROUND(OFFSET($P218,0,AK$13),15-13*ORÇAMENTO!$AF$7)/$H218*OFFSET(ORÇAMENTO!$X$15,ROW(AK218)-ROW(AK$15),0),
ROUND(ROUND(OFFSET($P218,0,AK$13),15-13*ORÇAMENTO!$AF$7)*OFFSET(ORÇAMENTO!$W$15,ROW(AK218)-ROW(AK$15),0),15-13*ORÇAMENTO!$AF$11)),0)</f>
        <v>0</v>
      </c>
      <c r="AM218" s="211">
        <f ca="1">IF($D218&lt;&gt;"Serviço",0,IF(AND(AUTOEVENTO="Manual",$M218=1),0,IF(OFFSET(CRONOPLE!$F$14,$M218,AM$13)="",10^12,OFFSET(CRONOPLE!$F$14,$M218,AM$13))))</f>
        <v>2</v>
      </c>
      <c r="AN218" s="211">
        <f ca="1">IF($D218&lt;&gt;"Serviço",0,IF(AND(AUTOEVENTO="Manual",$M218=1),0,IF(OFFSET(CRONOPLE!$F$14,$M218,AN$13)="",10^12,OFFSET(CRONOPLE!$F$14,$M218,AN$13))))</f>
        <v>1</v>
      </c>
      <c r="AO218" s="211">
        <f ca="1">IF($D218&lt;&gt;"Serviço",0,IF(AND(AUTOEVENTO="Manual",$M218=1),0,IF(OFFSET(CRONOPLE!$F$14,$M218,AO$13)="",10^12,OFFSET(CRONOPLE!$F$14,$M218,AO$13))))</f>
        <v>2</v>
      </c>
      <c r="AP218" s="211">
        <f ca="1">IF($D218&lt;&gt;"Serviço",0,IF(AND(AUTOEVENTO="Manual",$M218=1),0,IF(OFFSET(CRONOPLE!$F$14,$M218,AP$13)="",10^12,OFFSET(CRONOPLE!$F$14,$M218,AP$13))))</f>
        <v>2</v>
      </c>
      <c r="AQ218" s="211">
        <f ca="1">IF($D218&lt;&gt;"Serviço",0,IF(AND(AUTOEVENTO="Manual",$M218=1),0,IF(OFFSET(CRONOPLE!$F$14,$M218,AQ$13)="",10^12,OFFSET(CRONOPLE!$F$14,$M218,AQ$13))))</f>
        <v>1000000000000</v>
      </c>
      <c r="AR218" s="211">
        <f ca="1">IF($D218&lt;&gt;"Serviço",0,IF(AND(AUTOEVENTO="Manual",$M218=1),0,IF(OFFSET(CRONOPLE!$F$14,$M218,AR$13)="",10^12,OFFSET(CRONOPLE!$F$14,$M218,AR$13))))</f>
        <v>1000000000000</v>
      </c>
      <c r="AS218" s="211">
        <f ca="1">IF($D218&lt;&gt;"Serviço",0,IF(AND(AUTOEVENTO="Manual",$M218=1),0,IF(OFFSET(CRONOPLE!$F$14,$M218,AS$13)="",10^12,OFFSET(CRONOPLE!$F$14,$M218,AS$13))))</f>
        <v>1000000000000</v>
      </c>
      <c r="AT218" s="211">
        <f ca="1">IF($D218&lt;&gt;"Serviço",0,IF(AND(AUTOEVENTO="Manual",$M218=1),0,IF(OFFSET(CRONOPLE!$F$14,$M218,AT$13)="",10^12,OFFSET(CRONOPLE!$F$14,$M218,AT$13))))</f>
        <v>1000000000000</v>
      </c>
      <c r="AU218" s="211">
        <f ca="1">IF($D218&lt;&gt;"Serviço",0,IF(AND(AUTOEVENTO="Manual",$M218=1),0,IF(OFFSET(CRONOPLE!$F$14,$M218,AU$13)="",10^12,OFFSET(CRONOPLE!$F$14,$M218,AU$13))))</f>
        <v>1000000000000</v>
      </c>
      <c r="AV218" s="211">
        <f ca="1">IF($D218&lt;&gt;"Serviço",0,IF(AND(AUTOEVENTO="Manual",$M218=1),0,IF(OFFSET(CRONOPLE!$F$14,$M218,AV$13)="",10^12,OFFSET(CRONOPLE!$F$14,$M218,AV$13))))</f>
        <v>1000000000000</v>
      </c>
      <c r="AX218" s="212">
        <f ca="1">IF($D218&lt;&gt;"Serviço",0,IF(OR(AND(AUTOEVENTO="Manual",$M218=1),$M218&gt;(ROW(PLE.lastrow)-ROW(PLE.firstrow))),0,IF(OFFSET(PLE!$G$14,$M218,AX$13)="",10^12,OFFSET(PLE!$G$14,$M218,AX$13))))</f>
        <v>1000000000000</v>
      </c>
      <c r="AY218" s="212">
        <f ca="1">IF($D218&lt;&gt;"Serviço",0,IF(OR(AND(AUTOEVENTO="Manual",$M218=1),$M218&gt;(ROW(PLE.lastrow)-ROW(PLE.firstrow))),0,IF(OFFSET(PLE!$G$14,$M218,AY$13)="",10^12,OFFSET(PLE!$G$14,$M218,AY$13))))</f>
        <v>1000000000000</v>
      </c>
      <c r="AZ218" s="212">
        <f ca="1">IF($D218&lt;&gt;"Serviço",0,IF(OR(AND(AUTOEVENTO="Manual",$M218=1),$M218&gt;(ROW(PLE.lastrow)-ROW(PLE.firstrow))),0,IF(OFFSET(PLE!$G$14,$M218,AZ$13)="",10^12,OFFSET(PLE!$G$14,$M218,AZ$13))))</f>
        <v>1000000000000</v>
      </c>
      <c r="BA218" s="212">
        <f ca="1">IF($D218&lt;&gt;"Serviço",0,IF(OR(AND(AUTOEVENTO="Manual",$M218=1),$M218&gt;(ROW(PLE.lastrow)-ROW(PLE.firstrow))),0,IF(OFFSET(PLE!$G$14,$M218,BA$13)="",10^12,OFFSET(PLE!$G$14,$M218,BA$13))))</f>
        <v>1000000000000</v>
      </c>
      <c r="BB218" s="212">
        <f ca="1">IF($D218&lt;&gt;"Serviço",0,IF(OR(AND(AUTOEVENTO="Manual",$M218=1),$M218&gt;(ROW(PLE.lastrow)-ROW(PLE.firstrow))),0,IF(OFFSET(PLE!$G$14,$M218,BB$13)="",10^12,OFFSET(PLE!$G$14,$M218,BB$13))))</f>
        <v>1000000000000</v>
      </c>
      <c r="BC218" s="212">
        <f ca="1">IF($D218&lt;&gt;"Serviço",0,IF(OR(AND(AUTOEVENTO="Manual",$M218=1),$M218&gt;(ROW(PLE.lastrow)-ROW(PLE.firstrow))),0,IF(OFFSET(PLE!$G$14,$M218,BC$13)="",10^12,OFFSET(PLE!$G$14,$M218,BC$13))))</f>
        <v>1000000000000</v>
      </c>
      <c r="BD218" s="212">
        <f ca="1">IF($D218&lt;&gt;"Serviço",0,IF(OR(AND(AUTOEVENTO="Manual",$M218=1),$M218&gt;(ROW(PLE.lastrow)-ROW(PLE.firstrow))),0,IF(OFFSET(PLE!$G$14,$M218,BD$13)="",10^12,OFFSET(PLE!$G$14,$M218,BD$13))))</f>
        <v>1000000000000</v>
      </c>
      <c r="BE218" s="212">
        <f ca="1">IF($D218&lt;&gt;"Serviço",0,IF(OR(AND(AUTOEVENTO="Manual",$M218=1),$M218&gt;(ROW(PLE.lastrow)-ROW(PLE.firstrow))),0,IF(OFFSET(PLE!$G$14,$M218,BE$13)="",10^12,OFFSET(PLE!$G$14,$M218,BE$13))))</f>
        <v>1000000000000</v>
      </c>
      <c r="BF218" s="212">
        <f ca="1">IF($D218&lt;&gt;"Serviço",0,IF(OR(AND(AUTOEVENTO="Manual",$M218=1),$M218&gt;(ROW(PLE.lastrow)-ROW(PLE.firstrow))),0,IF(OFFSET(PLE!$G$14,$M218,BF$13)="",10^12,OFFSET(PLE!$G$14,$M218,BF$13))))</f>
        <v>1000000000000</v>
      </c>
      <c r="BG218" s="212">
        <f ca="1">IF($D218&lt;&gt;"Serviço",0,IF(OR(AND(AUTOEVENTO="Manual",$M218=1),$M218&gt;(ROW(PLE.lastrow)-ROW(PLE.firstrow))),0,IF(OFFSET(PLE!$G$14,$M218,BG$13)="",10^12,OFFSET(PLE!$G$14,$M218,BG$13))))</f>
        <v>1000000000000</v>
      </c>
    </row>
    <row r="219" spans="1:59" ht="13.2">
      <c r="A219" s="9" t="str">
        <f t="shared" ca="1" si="12"/>
        <v>15</v>
      </c>
      <c r="B219" s="9" t="str">
        <f ca="1">OFFSET(ORÇAMENTO!C$15,ROW(B219)-ROW(B$15),0)</f>
        <v>S</v>
      </c>
      <c r="C219" s="9" t="str">
        <f ca="1">OFFSET(ORÇAMENTO!L$15,ROW(C219)-ROW(C$15),0)</f>
        <v/>
      </c>
      <c r="D219" s="141" t="str">
        <f ca="1">OFFSET(ORÇAMENTO!N$15,ROW(D219)-ROW(D$15),0)</f>
        <v>Serviço</v>
      </c>
      <c r="E219" s="201" t="str">
        <f ca="1">OFFSET(ORÇAMENTO!O$15,ROW(E219)-ROW(E$15),0)</f>
        <v>-</v>
      </c>
      <c r="F219" s="202" t="str">
        <f ca="1">OFFSET(ORÇAMENTO!R$15,ROW(F219)-ROW(F$15),0)</f>
        <v>(abra o arquivo 'Referência 11-2024.xlsm)</v>
      </c>
      <c r="G219" s="203" t="str">
        <f ca="1">IF($D219&lt;&gt;"Serviço","",OFFSET(ORÇAMENTO!S$15,ROW(G219)-ROW(G$15),0))</f>
        <v>-</v>
      </c>
      <c r="H219" s="147">
        <f ca="1">IF($D219&lt;&gt;"Serviço",0,IF(ACOMPANHAMENTO="BM",ROUND(OFFSET(ORÇAMENTO!AJ$15,ROW(H219)-ROW(H$15),0),15-13*ORÇAMENTO!$AF$7),SUMPRODUCT(($Q$12:$AA$12&lt;&gt;"")*ROUND($Q219:$AA219,15-13*ORÇAMENTO!$AF$7))))</f>
        <v>0</v>
      </c>
      <c r="I219" s="645"/>
      <c r="K219" s="204"/>
      <c r="L219" s="205" t="s">
        <v>255</v>
      </c>
      <c r="M219" s="206">
        <f ca="1">IF($D219&lt;&gt;"Serviço","",IF(AUTOEVENTO="manual",$A219,IF(ISERROR(MATCH($A219,$A$15:OFFSET($A219,-1,0),0)),MAX($M$15:OFFSET(M219,-1,0))+1,INDEX($M$15:OFFSET(M219,-1,0),MATCH($A219,$A$15:OFFSET($A219,-1,0),0)))))</f>
        <v>6</v>
      </c>
      <c r="N219" s="207" t="str">
        <f ca="1">IF($D219&lt;&gt;"Serviço","",IF(AUTOEVENTO="Manual",IF($A219=0,"&lt;-- defina o número do agrupador",OFFSET(EVENTOS!$D$14,$A219,0)),OFFSET($F$15,$A219,0)))</f>
        <v>DRENAGEM</v>
      </c>
      <c r="O219" s="208"/>
      <c r="Q219" s="208"/>
      <c r="R219" s="209"/>
      <c r="S219" s="209"/>
      <c r="T219" s="209"/>
      <c r="U219" s="209"/>
      <c r="V219" s="209"/>
      <c r="W219" s="209"/>
      <c r="X219" s="209"/>
      <c r="Y219" s="209"/>
      <c r="Z219" s="210"/>
      <c r="AB219" s="626">
        <f ca="1">IF(AND($D219="Serviço",AB$12&lt;&gt;0,$H219&gt;0,OR(AUTOEVENTO&lt;&gt;"manual",$M219&lt;&gt;1)),
IF(Import.TipoArredondamento&lt;&gt;"TransfereGOV",
ROUND(OFFSET($P219,0,AB$13),15-13*ORÇAMENTO!$AF$7)/$H219*OFFSET(ORÇAMENTO!$X$15,ROW(AB219)-ROW(AB$15),0),
ROUND(ROUND(OFFSET($P219,0,AB$13),15-13*ORÇAMENTO!$AF$7)*OFFSET(ORÇAMENTO!$W$15,ROW(AB219)-ROW(AB$15),0),15-13*ORÇAMENTO!$AF$11)),0)</f>
        <v>0</v>
      </c>
      <c r="AC219" s="627">
        <f ca="1">IF(AND($D219="Serviço",AC$12&lt;&gt;0,$H219&gt;0,OR(AUTOEVENTO&lt;&gt;"manual",$M219&lt;&gt;1)),
IF(Import.TipoArredondamento&lt;&gt;"TransfereGOV",
ROUND(OFFSET($P219,0,AC$13),15-13*ORÇAMENTO!$AF$7)/$H219*OFFSET(ORÇAMENTO!$X$15,ROW(AC219)-ROW(AC$15),0),
ROUND(ROUND(OFFSET($P219,0,AC$13),15-13*ORÇAMENTO!$AF$7)*OFFSET(ORÇAMENTO!$W$15,ROW(AC219)-ROW(AC$15),0),15-13*ORÇAMENTO!$AF$11)),0)</f>
        <v>0</v>
      </c>
      <c r="AD219" s="627">
        <f ca="1">IF(AND($D219="Serviço",AD$12&lt;&gt;0,$H219&gt;0,OR(AUTOEVENTO&lt;&gt;"manual",$M219&lt;&gt;1)),
IF(Import.TipoArredondamento&lt;&gt;"TransfereGOV",
ROUND(OFFSET($P219,0,AD$13),15-13*ORÇAMENTO!$AF$7)/$H219*OFFSET(ORÇAMENTO!$X$15,ROW(AD219)-ROW(AD$15),0),
ROUND(ROUND(OFFSET($P219,0,AD$13),15-13*ORÇAMENTO!$AF$7)*OFFSET(ORÇAMENTO!$W$15,ROW(AD219)-ROW(AD$15),0),15-13*ORÇAMENTO!$AF$11)),0)</f>
        <v>0</v>
      </c>
      <c r="AE219" s="627">
        <f ca="1">IF(AND($D219="Serviço",AE$12&lt;&gt;0,$H219&gt;0,OR(AUTOEVENTO&lt;&gt;"manual",$M219&lt;&gt;1)),
IF(Import.TipoArredondamento&lt;&gt;"TransfereGOV",
ROUND(OFFSET($P219,0,AE$13),15-13*ORÇAMENTO!$AF$7)/$H219*OFFSET(ORÇAMENTO!$X$15,ROW(AE219)-ROW(AE$15),0),
ROUND(ROUND(OFFSET($P219,0,AE$13),15-13*ORÇAMENTO!$AF$7)*OFFSET(ORÇAMENTO!$W$15,ROW(AE219)-ROW(AE$15),0),15-13*ORÇAMENTO!$AF$11)),0)</f>
        <v>0</v>
      </c>
      <c r="AF219" s="627">
        <f ca="1">IF(AND($D219="Serviço",AF$12&lt;&gt;0,$H219&gt;0,OR(AUTOEVENTO&lt;&gt;"manual",$M219&lt;&gt;1)),
IF(Import.TipoArredondamento&lt;&gt;"TransfereGOV",
ROUND(OFFSET($P219,0,AF$13),15-13*ORÇAMENTO!$AF$7)/$H219*OFFSET(ORÇAMENTO!$X$15,ROW(AF219)-ROW(AF$15),0),
ROUND(ROUND(OFFSET($P219,0,AF$13),15-13*ORÇAMENTO!$AF$7)*OFFSET(ORÇAMENTO!$W$15,ROW(AF219)-ROW(AF$15),0),15-13*ORÇAMENTO!$AF$11)),0)</f>
        <v>0</v>
      </c>
      <c r="AG219" s="627">
        <f ca="1">IF(AND($D219="Serviço",AG$12&lt;&gt;0,$H219&gt;0,OR(AUTOEVENTO&lt;&gt;"manual",$M219&lt;&gt;1)),
IF(Import.TipoArredondamento&lt;&gt;"TransfereGOV",
ROUND(OFFSET($P219,0,AG$13),15-13*ORÇAMENTO!$AF$7)/$H219*OFFSET(ORÇAMENTO!$X$15,ROW(AG219)-ROW(AG$15),0),
ROUND(ROUND(OFFSET($P219,0,AG$13),15-13*ORÇAMENTO!$AF$7)*OFFSET(ORÇAMENTO!$W$15,ROW(AG219)-ROW(AG$15),0),15-13*ORÇAMENTO!$AF$11)),0)</f>
        <v>0</v>
      </c>
      <c r="AH219" s="627">
        <f ca="1">IF(AND($D219="Serviço",AH$12&lt;&gt;0,$H219&gt;0,OR(AUTOEVENTO&lt;&gt;"manual",$M219&lt;&gt;1)),
IF(Import.TipoArredondamento&lt;&gt;"TransfereGOV",
ROUND(OFFSET($P219,0,AH$13),15-13*ORÇAMENTO!$AF$7)/$H219*OFFSET(ORÇAMENTO!$X$15,ROW(AH219)-ROW(AH$15),0),
ROUND(ROUND(OFFSET($P219,0,AH$13),15-13*ORÇAMENTO!$AF$7)*OFFSET(ORÇAMENTO!$W$15,ROW(AH219)-ROW(AH$15),0),15-13*ORÇAMENTO!$AF$11)),0)</f>
        <v>0</v>
      </c>
      <c r="AI219" s="627">
        <f ca="1">IF(AND($D219="Serviço",AI$12&lt;&gt;0,$H219&gt;0,OR(AUTOEVENTO&lt;&gt;"manual",$M219&lt;&gt;1)),
IF(Import.TipoArredondamento&lt;&gt;"TransfereGOV",
ROUND(OFFSET($P219,0,AI$13),15-13*ORÇAMENTO!$AF$7)/$H219*OFFSET(ORÇAMENTO!$X$15,ROW(AI219)-ROW(AI$15),0),
ROUND(ROUND(OFFSET($P219,0,AI$13),15-13*ORÇAMENTO!$AF$7)*OFFSET(ORÇAMENTO!$W$15,ROW(AI219)-ROW(AI$15),0),15-13*ORÇAMENTO!$AF$11)),0)</f>
        <v>0</v>
      </c>
      <c r="AJ219" s="627">
        <f ca="1">IF(AND($D219="Serviço",AJ$12&lt;&gt;0,$H219&gt;0,OR(AUTOEVENTO&lt;&gt;"manual",$M219&lt;&gt;1)),
IF(Import.TipoArredondamento&lt;&gt;"TransfereGOV",
ROUND(OFFSET($P219,0,AJ$13),15-13*ORÇAMENTO!$AF$7)/$H219*OFFSET(ORÇAMENTO!$X$15,ROW(AJ219)-ROW(AJ$15),0),
ROUND(ROUND(OFFSET($P219,0,AJ$13),15-13*ORÇAMENTO!$AF$7)*OFFSET(ORÇAMENTO!$W$15,ROW(AJ219)-ROW(AJ$15),0),15-13*ORÇAMENTO!$AF$11)),0)</f>
        <v>0</v>
      </c>
      <c r="AK219" s="628">
        <f ca="1">IF(AND($D219="Serviço",AK$12&lt;&gt;0,$H219&gt;0,OR(AUTOEVENTO&lt;&gt;"manual",$M219&lt;&gt;1)),
IF(Import.TipoArredondamento&lt;&gt;"TransfereGOV",
ROUND(OFFSET($P219,0,AK$13),15-13*ORÇAMENTO!$AF$7)/$H219*OFFSET(ORÇAMENTO!$X$15,ROW(AK219)-ROW(AK$15),0),
ROUND(ROUND(OFFSET($P219,0,AK$13),15-13*ORÇAMENTO!$AF$7)*OFFSET(ORÇAMENTO!$W$15,ROW(AK219)-ROW(AK$15),0),15-13*ORÇAMENTO!$AF$11)),0)</f>
        <v>0</v>
      </c>
      <c r="AM219" s="211">
        <f ca="1">IF($D219&lt;&gt;"Serviço",0,IF(AND(AUTOEVENTO="Manual",$M219=1),0,IF(OFFSET(CRONOPLE!$F$14,$M219,AM$13)="",10^12,OFFSET(CRONOPLE!$F$14,$M219,AM$13))))</f>
        <v>2</v>
      </c>
      <c r="AN219" s="211">
        <f ca="1">IF($D219&lt;&gt;"Serviço",0,IF(AND(AUTOEVENTO="Manual",$M219=1),0,IF(OFFSET(CRONOPLE!$F$14,$M219,AN$13)="",10^12,OFFSET(CRONOPLE!$F$14,$M219,AN$13))))</f>
        <v>1</v>
      </c>
      <c r="AO219" s="211">
        <f ca="1">IF($D219&lt;&gt;"Serviço",0,IF(AND(AUTOEVENTO="Manual",$M219=1),0,IF(OFFSET(CRONOPLE!$F$14,$M219,AO$13)="",10^12,OFFSET(CRONOPLE!$F$14,$M219,AO$13))))</f>
        <v>2</v>
      </c>
      <c r="AP219" s="211">
        <f ca="1">IF($D219&lt;&gt;"Serviço",0,IF(AND(AUTOEVENTO="Manual",$M219=1),0,IF(OFFSET(CRONOPLE!$F$14,$M219,AP$13)="",10^12,OFFSET(CRONOPLE!$F$14,$M219,AP$13))))</f>
        <v>2</v>
      </c>
      <c r="AQ219" s="211">
        <f ca="1">IF($D219&lt;&gt;"Serviço",0,IF(AND(AUTOEVENTO="Manual",$M219=1),0,IF(OFFSET(CRONOPLE!$F$14,$M219,AQ$13)="",10^12,OFFSET(CRONOPLE!$F$14,$M219,AQ$13))))</f>
        <v>1000000000000</v>
      </c>
      <c r="AR219" s="211">
        <f ca="1">IF($D219&lt;&gt;"Serviço",0,IF(AND(AUTOEVENTO="Manual",$M219=1),0,IF(OFFSET(CRONOPLE!$F$14,$M219,AR$13)="",10^12,OFFSET(CRONOPLE!$F$14,$M219,AR$13))))</f>
        <v>1000000000000</v>
      </c>
      <c r="AS219" s="211">
        <f ca="1">IF($D219&lt;&gt;"Serviço",0,IF(AND(AUTOEVENTO="Manual",$M219=1),0,IF(OFFSET(CRONOPLE!$F$14,$M219,AS$13)="",10^12,OFFSET(CRONOPLE!$F$14,$M219,AS$13))))</f>
        <v>1000000000000</v>
      </c>
      <c r="AT219" s="211">
        <f ca="1">IF($D219&lt;&gt;"Serviço",0,IF(AND(AUTOEVENTO="Manual",$M219=1),0,IF(OFFSET(CRONOPLE!$F$14,$M219,AT$13)="",10^12,OFFSET(CRONOPLE!$F$14,$M219,AT$13))))</f>
        <v>1000000000000</v>
      </c>
      <c r="AU219" s="211">
        <f ca="1">IF($D219&lt;&gt;"Serviço",0,IF(AND(AUTOEVENTO="Manual",$M219=1),0,IF(OFFSET(CRONOPLE!$F$14,$M219,AU$13)="",10^12,OFFSET(CRONOPLE!$F$14,$M219,AU$13))))</f>
        <v>1000000000000</v>
      </c>
      <c r="AV219" s="211">
        <f ca="1">IF($D219&lt;&gt;"Serviço",0,IF(AND(AUTOEVENTO="Manual",$M219=1),0,IF(OFFSET(CRONOPLE!$F$14,$M219,AV$13)="",10^12,OFFSET(CRONOPLE!$F$14,$M219,AV$13))))</f>
        <v>1000000000000</v>
      </c>
      <c r="AX219" s="212">
        <f ca="1">IF($D219&lt;&gt;"Serviço",0,IF(OR(AND(AUTOEVENTO="Manual",$M219=1),$M219&gt;(ROW(PLE.lastrow)-ROW(PLE.firstrow))),0,IF(OFFSET(PLE!$G$14,$M219,AX$13)="",10^12,OFFSET(PLE!$G$14,$M219,AX$13))))</f>
        <v>1000000000000</v>
      </c>
      <c r="AY219" s="212">
        <f ca="1">IF($D219&lt;&gt;"Serviço",0,IF(OR(AND(AUTOEVENTO="Manual",$M219=1),$M219&gt;(ROW(PLE.lastrow)-ROW(PLE.firstrow))),0,IF(OFFSET(PLE!$G$14,$M219,AY$13)="",10^12,OFFSET(PLE!$G$14,$M219,AY$13))))</f>
        <v>1000000000000</v>
      </c>
      <c r="AZ219" s="212">
        <f ca="1">IF($D219&lt;&gt;"Serviço",0,IF(OR(AND(AUTOEVENTO="Manual",$M219=1),$M219&gt;(ROW(PLE.lastrow)-ROW(PLE.firstrow))),0,IF(OFFSET(PLE!$G$14,$M219,AZ$13)="",10^12,OFFSET(PLE!$G$14,$M219,AZ$13))))</f>
        <v>1000000000000</v>
      </c>
      <c r="BA219" s="212">
        <f ca="1">IF($D219&lt;&gt;"Serviço",0,IF(OR(AND(AUTOEVENTO="Manual",$M219=1),$M219&gt;(ROW(PLE.lastrow)-ROW(PLE.firstrow))),0,IF(OFFSET(PLE!$G$14,$M219,BA$13)="",10^12,OFFSET(PLE!$G$14,$M219,BA$13))))</f>
        <v>1000000000000</v>
      </c>
      <c r="BB219" s="212">
        <f ca="1">IF($D219&lt;&gt;"Serviço",0,IF(OR(AND(AUTOEVENTO="Manual",$M219=1),$M219&gt;(ROW(PLE.lastrow)-ROW(PLE.firstrow))),0,IF(OFFSET(PLE!$G$14,$M219,BB$13)="",10^12,OFFSET(PLE!$G$14,$M219,BB$13))))</f>
        <v>1000000000000</v>
      </c>
      <c r="BC219" s="212">
        <f ca="1">IF($D219&lt;&gt;"Serviço",0,IF(OR(AND(AUTOEVENTO="Manual",$M219=1),$M219&gt;(ROW(PLE.lastrow)-ROW(PLE.firstrow))),0,IF(OFFSET(PLE!$G$14,$M219,BC$13)="",10^12,OFFSET(PLE!$G$14,$M219,BC$13))))</f>
        <v>1000000000000</v>
      </c>
      <c r="BD219" s="212">
        <f ca="1">IF($D219&lt;&gt;"Serviço",0,IF(OR(AND(AUTOEVENTO="Manual",$M219=1),$M219&gt;(ROW(PLE.lastrow)-ROW(PLE.firstrow))),0,IF(OFFSET(PLE!$G$14,$M219,BD$13)="",10^12,OFFSET(PLE!$G$14,$M219,BD$13))))</f>
        <v>1000000000000</v>
      </c>
      <c r="BE219" s="212">
        <f ca="1">IF($D219&lt;&gt;"Serviço",0,IF(OR(AND(AUTOEVENTO="Manual",$M219=1),$M219&gt;(ROW(PLE.lastrow)-ROW(PLE.firstrow))),0,IF(OFFSET(PLE!$G$14,$M219,BE$13)="",10^12,OFFSET(PLE!$G$14,$M219,BE$13))))</f>
        <v>1000000000000</v>
      </c>
      <c r="BF219" s="212">
        <f ca="1">IF($D219&lt;&gt;"Serviço",0,IF(OR(AND(AUTOEVENTO="Manual",$M219=1),$M219&gt;(ROW(PLE.lastrow)-ROW(PLE.firstrow))),0,IF(OFFSET(PLE!$G$14,$M219,BF$13)="",10^12,OFFSET(PLE!$G$14,$M219,BF$13))))</f>
        <v>1000000000000</v>
      </c>
      <c r="BG219" s="212">
        <f ca="1">IF($D219&lt;&gt;"Serviço",0,IF(OR(AND(AUTOEVENTO="Manual",$M219=1),$M219&gt;(ROW(PLE.lastrow)-ROW(PLE.firstrow))),0,IF(OFFSET(PLE!$G$14,$M219,BG$13)="",10^12,OFFSET(PLE!$G$14,$M219,BG$13))))</f>
        <v>1000000000000</v>
      </c>
    </row>
    <row r="220" spans="1:59" ht="13.2">
      <c r="A220" s="9" t="str">
        <f t="shared" ca="1" si="12"/>
        <v>15</v>
      </c>
      <c r="B220" s="9" t="str">
        <f ca="1">OFFSET(ORÇAMENTO!C$15,ROW(B220)-ROW(B$15),0)</f>
        <v>S</v>
      </c>
      <c r="C220" s="9" t="str">
        <f ca="1">OFFSET(ORÇAMENTO!L$15,ROW(C220)-ROW(C$15),0)</f>
        <v/>
      </c>
      <c r="D220" s="141" t="str">
        <f ca="1">OFFSET(ORÇAMENTO!N$15,ROW(D220)-ROW(D$15),0)</f>
        <v>Serviço</v>
      </c>
      <c r="E220" s="201" t="str">
        <f ca="1">OFFSET(ORÇAMENTO!O$15,ROW(E220)-ROW(E$15),0)</f>
        <v>-</v>
      </c>
      <c r="F220" s="202" t="str">
        <f ca="1">OFFSET(ORÇAMENTO!R$15,ROW(F220)-ROW(F$15),0)</f>
        <v>(abra o arquivo 'Referência 11-2024.xlsm)</v>
      </c>
      <c r="G220" s="203" t="str">
        <f ca="1">IF($D220&lt;&gt;"Serviço","",OFFSET(ORÇAMENTO!S$15,ROW(G220)-ROW(G$15),0))</f>
        <v>-</v>
      </c>
      <c r="H220" s="147">
        <f ca="1">IF($D220&lt;&gt;"Serviço",0,IF(ACOMPANHAMENTO="BM",ROUND(OFFSET(ORÇAMENTO!AJ$15,ROW(H220)-ROW(H$15),0),15-13*ORÇAMENTO!$AF$7),SUMPRODUCT(($Q$12:$AA$12&lt;&gt;"")*ROUND($Q220:$AA220,15-13*ORÇAMENTO!$AF$7))))</f>
        <v>0</v>
      </c>
      <c r="I220" s="645"/>
      <c r="K220" s="204"/>
      <c r="L220" s="205" t="s">
        <v>255</v>
      </c>
      <c r="M220" s="206">
        <f ca="1">IF($D220&lt;&gt;"Serviço","",IF(AUTOEVENTO="manual",$A220,IF(ISERROR(MATCH($A220,$A$15:OFFSET($A220,-1,0),0)),MAX($M$15:OFFSET(M220,-1,0))+1,INDEX($M$15:OFFSET(M220,-1,0),MATCH($A220,$A$15:OFFSET($A220,-1,0),0)))))</f>
        <v>6</v>
      </c>
      <c r="N220" s="207" t="str">
        <f ca="1">IF($D220&lt;&gt;"Serviço","",IF(AUTOEVENTO="Manual",IF($A220=0,"&lt;-- defina o número do agrupador",OFFSET(EVENTOS!$D$14,$A220,0)),OFFSET($F$15,$A220,0)))</f>
        <v>DRENAGEM</v>
      </c>
      <c r="O220" s="208"/>
      <c r="Q220" s="208"/>
      <c r="R220" s="209"/>
      <c r="S220" s="209"/>
      <c r="T220" s="209"/>
      <c r="U220" s="209"/>
      <c r="V220" s="209"/>
      <c r="W220" s="209"/>
      <c r="X220" s="209"/>
      <c r="Y220" s="209"/>
      <c r="Z220" s="210"/>
      <c r="AB220" s="626">
        <f ca="1">IF(AND($D220="Serviço",AB$12&lt;&gt;0,$H220&gt;0,OR(AUTOEVENTO&lt;&gt;"manual",$M220&lt;&gt;1)),
IF(Import.TipoArredondamento&lt;&gt;"TransfereGOV",
ROUND(OFFSET($P220,0,AB$13),15-13*ORÇAMENTO!$AF$7)/$H220*OFFSET(ORÇAMENTO!$X$15,ROW(AB220)-ROW(AB$15),0),
ROUND(ROUND(OFFSET($P220,0,AB$13),15-13*ORÇAMENTO!$AF$7)*OFFSET(ORÇAMENTO!$W$15,ROW(AB220)-ROW(AB$15),0),15-13*ORÇAMENTO!$AF$11)),0)</f>
        <v>0</v>
      </c>
      <c r="AC220" s="627">
        <f ca="1">IF(AND($D220="Serviço",AC$12&lt;&gt;0,$H220&gt;0,OR(AUTOEVENTO&lt;&gt;"manual",$M220&lt;&gt;1)),
IF(Import.TipoArredondamento&lt;&gt;"TransfereGOV",
ROUND(OFFSET($P220,0,AC$13),15-13*ORÇAMENTO!$AF$7)/$H220*OFFSET(ORÇAMENTO!$X$15,ROW(AC220)-ROW(AC$15),0),
ROUND(ROUND(OFFSET($P220,0,AC$13),15-13*ORÇAMENTO!$AF$7)*OFFSET(ORÇAMENTO!$W$15,ROW(AC220)-ROW(AC$15),0),15-13*ORÇAMENTO!$AF$11)),0)</f>
        <v>0</v>
      </c>
      <c r="AD220" s="627">
        <f ca="1">IF(AND($D220="Serviço",AD$12&lt;&gt;0,$H220&gt;0,OR(AUTOEVENTO&lt;&gt;"manual",$M220&lt;&gt;1)),
IF(Import.TipoArredondamento&lt;&gt;"TransfereGOV",
ROUND(OFFSET($P220,0,AD$13),15-13*ORÇAMENTO!$AF$7)/$H220*OFFSET(ORÇAMENTO!$X$15,ROW(AD220)-ROW(AD$15),0),
ROUND(ROUND(OFFSET($P220,0,AD$13),15-13*ORÇAMENTO!$AF$7)*OFFSET(ORÇAMENTO!$W$15,ROW(AD220)-ROW(AD$15),0),15-13*ORÇAMENTO!$AF$11)),0)</f>
        <v>0</v>
      </c>
      <c r="AE220" s="627">
        <f ca="1">IF(AND($D220="Serviço",AE$12&lt;&gt;0,$H220&gt;0,OR(AUTOEVENTO&lt;&gt;"manual",$M220&lt;&gt;1)),
IF(Import.TipoArredondamento&lt;&gt;"TransfereGOV",
ROUND(OFFSET($P220,0,AE$13),15-13*ORÇAMENTO!$AF$7)/$H220*OFFSET(ORÇAMENTO!$X$15,ROW(AE220)-ROW(AE$15),0),
ROUND(ROUND(OFFSET($P220,0,AE$13),15-13*ORÇAMENTO!$AF$7)*OFFSET(ORÇAMENTO!$W$15,ROW(AE220)-ROW(AE$15),0),15-13*ORÇAMENTO!$AF$11)),0)</f>
        <v>0</v>
      </c>
      <c r="AF220" s="627">
        <f ca="1">IF(AND($D220="Serviço",AF$12&lt;&gt;0,$H220&gt;0,OR(AUTOEVENTO&lt;&gt;"manual",$M220&lt;&gt;1)),
IF(Import.TipoArredondamento&lt;&gt;"TransfereGOV",
ROUND(OFFSET($P220,0,AF$13),15-13*ORÇAMENTO!$AF$7)/$H220*OFFSET(ORÇAMENTO!$X$15,ROW(AF220)-ROW(AF$15),0),
ROUND(ROUND(OFFSET($P220,0,AF$13),15-13*ORÇAMENTO!$AF$7)*OFFSET(ORÇAMENTO!$W$15,ROW(AF220)-ROW(AF$15),0),15-13*ORÇAMENTO!$AF$11)),0)</f>
        <v>0</v>
      </c>
      <c r="AG220" s="627">
        <f ca="1">IF(AND($D220="Serviço",AG$12&lt;&gt;0,$H220&gt;0,OR(AUTOEVENTO&lt;&gt;"manual",$M220&lt;&gt;1)),
IF(Import.TipoArredondamento&lt;&gt;"TransfereGOV",
ROUND(OFFSET($P220,0,AG$13),15-13*ORÇAMENTO!$AF$7)/$H220*OFFSET(ORÇAMENTO!$X$15,ROW(AG220)-ROW(AG$15),0),
ROUND(ROUND(OFFSET($P220,0,AG$13),15-13*ORÇAMENTO!$AF$7)*OFFSET(ORÇAMENTO!$W$15,ROW(AG220)-ROW(AG$15),0),15-13*ORÇAMENTO!$AF$11)),0)</f>
        <v>0</v>
      </c>
      <c r="AH220" s="627">
        <f ca="1">IF(AND($D220="Serviço",AH$12&lt;&gt;0,$H220&gt;0,OR(AUTOEVENTO&lt;&gt;"manual",$M220&lt;&gt;1)),
IF(Import.TipoArredondamento&lt;&gt;"TransfereGOV",
ROUND(OFFSET($P220,0,AH$13),15-13*ORÇAMENTO!$AF$7)/$H220*OFFSET(ORÇAMENTO!$X$15,ROW(AH220)-ROW(AH$15),0),
ROUND(ROUND(OFFSET($P220,0,AH$13),15-13*ORÇAMENTO!$AF$7)*OFFSET(ORÇAMENTO!$W$15,ROW(AH220)-ROW(AH$15),0),15-13*ORÇAMENTO!$AF$11)),0)</f>
        <v>0</v>
      </c>
      <c r="AI220" s="627">
        <f ca="1">IF(AND($D220="Serviço",AI$12&lt;&gt;0,$H220&gt;0,OR(AUTOEVENTO&lt;&gt;"manual",$M220&lt;&gt;1)),
IF(Import.TipoArredondamento&lt;&gt;"TransfereGOV",
ROUND(OFFSET($P220,0,AI$13),15-13*ORÇAMENTO!$AF$7)/$H220*OFFSET(ORÇAMENTO!$X$15,ROW(AI220)-ROW(AI$15),0),
ROUND(ROUND(OFFSET($P220,0,AI$13),15-13*ORÇAMENTO!$AF$7)*OFFSET(ORÇAMENTO!$W$15,ROW(AI220)-ROW(AI$15),0),15-13*ORÇAMENTO!$AF$11)),0)</f>
        <v>0</v>
      </c>
      <c r="AJ220" s="627">
        <f ca="1">IF(AND($D220="Serviço",AJ$12&lt;&gt;0,$H220&gt;0,OR(AUTOEVENTO&lt;&gt;"manual",$M220&lt;&gt;1)),
IF(Import.TipoArredondamento&lt;&gt;"TransfereGOV",
ROUND(OFFSET($P220,0,AJ$13),15-13*ORÇAMENTO!$AF$7)/$H220*OFFSET(ORÇAMENTO!$X$15,ROW(AJ220)-ROW(AJ$15),0),
ROUND(ROUND(OFFSET($P220,0,AJ$13),15-13*ORÇAMENTO!$AF$7)*OFFSET(ORÇAMENTO!$W$15,ROW(AJ220)-ROW(AJ$15),0),15-13*ORÇAMENTO!$AF$11)),0)</f>
        <v>0</v>
      </c>
      <c r="AK220" s="628">
        <f ca="1">IF(AND($D220="Serviço",AK$12&lt;&gt;0,$H220&gt;0,OR(AUTOEVENTO&lt;&gt;"manual",$M220&lt;&gt;1)),
IF(Import.TipoArredondamento&lt;&gt;"TransfereGOV",
ROUND(OFFSET($P220,0,AK$13),15-13*ORÇAMENTO!$AF$7)/$H220*OFFSET(ORÇAMENTO!$X$15,ROW(AK220)-ROW(AK$15),0),
ROUND(ROUND(OFFSET($P220,0,AK$13),15-13*ORÇAMENTO!$AF$7)*OFFSET(ORÇAMENTO!$W$15,ROW(AK220)-ROW(AK$15),0),15-13*ORÇAMENTO!$AF$11)),0)</f>
        <v>0</v>
      </c>
      <c r="AM220" s="211">
        <f ca="1">IF($D220&lt;&gt;"Serviço",0,IF(AND(AUTOEVENTO="Manual",$M220=1),0,IF(OFFSET(CRONOPLE!$F$14,$M220,AM$13)="",10^12,OFFSET(CRONOPLE!$F$14,$M220,AM$13))))</f>
        <v>2</v>
      </c>
      <c r="AN220" s="211">
        <f ca="1">IF($D220&lt;&gt;"Serviço",0,IF(AND(AUTOEVENTO="Manual",$M220=1),0,IF(OFFSET(CRONOPLE!$F$14,$M220,AN$13)="",10^12,OFFSET(CRONOPLE!$F$14,$M220,AN$13))))</f>
        <v>1</v>
      </c>
      <c r="AO220" s="211">
        <f ca="1">IF($D220&lt;&gt;"Serviço",0,IF(AND(AUTOEVENTO="Manual",$M220=1),0,IF(OFFSET(CRONOPLE!$F$14,$M220,AO$13)="",10^12,OFFSET(CRONOPLE!$F$14,$M220,AO$13))))</f>
        <v>2</v>
      </c>
      <c r="AP220" s="211">
        <f ca="1">IF($D220&lt;&gt;"Serviço",0,IF(AND(AUTOEVENTO="Manual",$M220=1),0,IF(OFFSET(CRONOPLE!$F$14,$M220,AP$13)="",10^12,OFFSET(CRONOPLE!$F$14,$M220,AP$13))))</f>
        <v>2</v>
      </c>
      <c r="AQ220" s="211">
        <f ca="1">IF($D220&lt;&gt;"Serviço",0,IF(AND(AUTOEVENTO="Manual",$M220=1),0,IF(OFFSET(CRONOPLE!$F$14,$M220,AQ$13)="",10^12,OFFSET(CRONOPLE!$F$14,$M220,AQ$13))))</f>
        <v>1000000000000</v>
      </c>
      <c r="AR220" s="211">
        <f ca="1">IF($D220&lt;&gt;"Serviço",0,IF(AND(AUTOEVENTO="Manual",$M220=1),0,IF(OFFSET(CRONOPLE!$F$14,$M220,AR$13)="",10^12,OFFSET(CRONOPLE!$F$14,$M220,AR$13))))</f>
        <v>1000000000000</v>
      </c>
      <c r="AS220" s="211">
        <f ca="1">IF($D220&lt;&gt;"Serviço",0,IF(AND(AUTOEVENTO="Manual",$M220=1),0,IF(OFFSET(CRONOPLE!$F$14,$M220,AS$13)="",10^12,OFFSET(CRONOPLE!$F$14,$M220,AS$13))))</f>
        <v>1000000000000</v>
      </c>
      <c r="AT220" s="211">
        <f ca="1">IF($D220&lt;&gt;"Serviço",0,IF(AND(AUTOEVENTO="Manual",$M220=1),0,IF(OFFSET(CRONOPLE!$F$14,$M220,AT$13)="",10^12,OFFSET(CRONOPLE!$F$14,$M220,AT$13))))</f>
        <v>1000000000000</v>
      </c>
      <c r="AU220" s="211">
        <f ca="1">IF($D220&lt;&gt;"Serviço",0,IF(AND(AUTOEVENTO="Manual",$M220=1),0,IF(OFFSET(CRONOPLE!$F$14,$M220,AU$13)="",10^12,OFFSET(CRONOPLE!$F$14,$M220,AU$13))))</f>
        <v>1000000000000</v>
      </c>
      <c r="AV220" s="211">
        <f ca="1">IF($D220&lt;&gt;"Serviço",0,IF(AND(AUTOEVENTO="Manual",$M220=1),0,IF(OFFSET(CRONOPLE!$F$14,$M220,AV$13)="",10^12,OFFSET(CRONOPLE!$F$14,$M220,AV$13))))</f>
        <v>1000000000000</v>
      </c>
      <c r="AX220" s="212">
        <f ca="1">IF($D220&lt;&gt;"Serviço",0,IF(OR(AND(AUTOEVENTO="Manual",$M220=1),$M220&gt;(ROW(PLE.lastrow)-ROW(PLE.firstrow))),0,IF(OFFSET(PLE!$G$14,$M220,AX$13)="",10^12,OFFSET(PLE!$G$14,$M220,AX$13))))</f>
        <v>1000000000000</v>
      </c>
      <c r="AY220" s="212">
        <f ca="1">IF($D220&lt;&gt;"Serviço",0,IF(OR(AND(AUTOEVENTO="Manual",$M220=1),$M220&gt;(ROW(PLE.lastrow)-ROW(PLE.firstrow))),0,IF(OFFSET(PLE!$G$14,$M220,AY$13)="",10^12,OFFSET(PLE!$G$14,$M220,AY$13))))</f>
        <v>1000000000000</v>
      </c>
      <c r="AZ220" s="212">
        <f ca="1">IF($D220&lt;&gt;"Serviço",0,IF(OR(AND(AUTOEVENTO="Manual",$M220=1),$M220&gt;(ROW(PLE.lastrow)-ROW(PLE.firstrow))),0,IF(OFFSET(PLE!$G$14,$M220,AZ$13)="",10^12,OFFSET(PLE!$G$14,$M220,AZ$13))))</f>
        <v>1000000000000</v>
      </c>
      <c r="BA220" s="212">
        <f ca="1">IF($D220&lt;&gt;"Serviço",0,IF(OR(AND(AUTOEVENTO="Manual",$M220=1),$M220&gt;(ROW(PLE.lastrow)-ROW(PLE.firstrow))),0,IF(OFFSET(PLE!$G$14,$M220,BA$13)="",10^12,OFFSET(PLE!$G$14,$M220,BA$13))))</f>
        <v>1000000000000</v>
      </c>
      <c r="BB220" s="212">
        <f ca="1">IF($D220&lt;&gt;"Serviço",0,IF(OR(AND(AUTOEVENTO="Manual",$M220=1),$M220&gt;(ROW(PLE.lastrow)-ROW(PLE.firstrow))),0,IF(OFFSET(PLE!$G$14,$M220,BB$13)="",10^12,OFFSET(PLE!$G$14,$M220,BB$13))))</f>
        <v>1000000000000</v>
      </c>
      <c r="BC220" s="212">
        <f ca="1">IF($D220&lt;&gt;"Serviço",0,IF(OR(AND(AUTOEVENTO="Manual",$M220=1),$M220&gt;(ROW(PLE.lastrow)-ROW(PLE.firstrow))),0,IF(OFFSET(PLE!$G$14,$M220,BC$13)="",10^12,OFFSET(PLE!$G$14,$M220,BC$13))))</f>
        <v>1000000000000</v>
      </c>
      <c r="BD220" s="212">
        <f ca="1">IF($D220&lt;&gt;"Serviço",0,IF(OR(AND(AUTOEVENTO="Manual",$M220=1),$M220&gt;(ROW(PLE.lastrow)-ROW(PLE.firstrow))),0,IF(OFFSET(PLE!$G$14,$M220,BD$13)="",10^12,OFFSET(PLE!$G$14,$M220,BD$13))))</f>
        <v>1000000000000</v>
      </c>
      <c r="BE220" s="212">
        <f ca="1">IF($D220&lt;&gt;"Serviço",0,IF(OR(AND(AUTOEVENTO="Manual",$M220=1),$M220&gt;(ROW(PLE.lastrow)-ROW(PLE.firstrow))),0,IF(OFFSET(PLE!$G$14,$M220,BE$13)="",10^12,OFFSET(PLE!$G$14,$M220,BE$13))))</f>
        <v>1000000000000</v>
      </c>
      <c r="BF220" s="212">
        <f ca="1">IF($D220&lt;&gt;"Serviço",0,IF(OR(AND(AUTOEVENTO="Manual",$M220=1),$M220&gt;(ROW(PLE.lastrow)-ROW(PLE.firstrow))),0,IF(OFFSET(PLE!$G$14,$M220,BF$13)="",10^12,OFFSET(PLE!$G$14,$M220,BF$13))))</f>
        <v>1000000000000</v>
      </c>
      <c r="BG220" s="212">
        <f ca="1">IF($D220&lt;&gt;"Serviço",0,IF(OR(AND(AUTOEVENTO="Manual",$M220=1),$M220&gt;(ROW(PLE.lastrow)-ROW(PLE.firstrow))),0,IF(OFFSET(PLE!$G$14,$M220,BG$13)="",10^12,OFFSET(PLE!$G$14,$M220,BG$13))))</f>
        <v>1000000000000</v>
      </c>
    </row>
    <row r="221" spans="1:59" ht="13.2">
      <c r="A221" s="9" t="str">
        <f t="shared" ca="1" si="12"/>
        <v>15</v>
      </c>
      <c r="B221" s="9" t="str">
        <f ca="1">OFFSET(ORÇAMENTO!C$15,ROW(B221)-ROW(B$15),0)</f>
        <v>S</v>
      </c>
      <c r="C221" s="9" t="str">
        <f ca="1">OFFSET(ORÇAMENTO!L$15,ROW(C221)-ROW(C$15),0)</f>
        <v/>
      </c>
      <c r="D221" s="141" t="str">
        <f ca="1">OFFSET(ORÇAMENTO!N$15,ROW(D221)-ROW(D$15),0)</f>
        <v>Serviço</v>
      </c>
      <c r="E221" s="201" t="str">
        <f ca="1">OFFSET(ORÇAMENTO!O$15,ROW(E221)-ROW(E$15),0)</f>
        <v>-</v>
      </c>
      <c r="F221" s="202" t="str">
        <f ca="1">OFFSET(ORÇAMENTO!R$15,ROW(F221)-ROW(F$15),0)</f>
        <v>(abra o arquivo 'Referência 11-2024.xlsm)</v>
      </c>
      <c r="G221" s="203" t="str">
        <f ca="1">IF($D221&lt;&gt;"Serviço","",OFFSET(ORÇAMENTO!S$15,ROW(G221)-ROW(G$15),0))</f>
        <v>-</v>
      </c>
      <c r="H221" s="147">
        <f ca="1">IF($D221&lt;&gt;"Serviço",0,IF(ACOMPANHAMENTO="BM",ROUND(OFFSET(ORÇAMENTO!AJ$15,ROW(H221)-ROW(H$15),0),15-13*ORÇAMENTO!$AF$7),SUMPRODUCT(($Q$12:$AA$12&lt;&gt;"")*ROUND($Q221:$AA221,15-13*ORÇAMENTO!$AF$7))))</f>
        <v>0</v>
      </c>
      <c r="I221" s="645"/>
      <c r="K221" s="204"/>
      <c r="L221" s="205" t="s">
        <v>255</v>
      </c>
      <c r="M221" s="206">
        <f ca="1">IF($D221&lt;&gt;"Serviço","",IF(AUTOEVENTO="manual",$A221,IF(ISERROR(MATCH($A221,$A$15:OFFSET($A221,-1,0),0)),MAX($M$15:OFFSET(M221,-1,0))+1,INDEX($M$15:OFFSET(M221,-1,0),MATCH($A221,$A$15:OFFSET($A221,-1,0),0)))))</f>
        <v>6</v>
      </c>
      <c r="N221" s="207" t="str">
        <f ca="1">IF($D221&lt;&gt;"Serviço","",IF(AUTOEVENTO="Manual",IF($A221=0,"&lt;-- defina o número do agrupador",OFFSET(EVENTOS!$D$14,$A221,0)),OFFSET($F$15,$A221,0)))</f>
        <v>DRENAGEM</v>
      </c>
      <c r="O221" s="208"/>
      <c r="Q221" s="208"/>
      <c r="R221" s="209"/>
      <c r="S221" s="209"/>
      <c r="T221" s="209"/>
      <c r="U221" s="209"/>
      <c r="V221" s="209"/>
      <c r="W221" s="209"/>
      <c r="X221" s="209"/>
      <c r="Y221" s="209"/>
      <c r="Z221" s="210"/>
      <c r="AB221" s="626">
        <f ca="1">IF(AND($D221="Serviço",AB$12&lt;&gt;0,$H221&gt;0,OR(AUTOEVENTO&lt;&gt;"manual",$M221&lt;&gt;1)),
IF(Import.TipoArredondamento&lt;&gt;"TransfereGOV",
ROUND(OFFSET($P221,0,AB$13),15-13*ORÇAMENTO!$AF$7)/$H221*OFFSET(ORÇAMENTO!$X$15,ROW(AB221)-ROW(AB$15),0),
ROUND(ROUND(OFFSET($P221,0,AB$13),15-13*ORÇAMENTO!$AF$7)*OFFSET(ORÇAMENTO!$W$15,ROW(AB221)-ROW(AB$15),0),15-13*ORÇAMENTO!$AF$11)),0)</f>
        <v>0</v>
      </c>
      <c r="AC221" s="627">
        <f ca="1">IF(AND($D221="Serviço",AC$12&lt;&gt;0,$H221&gt;0,OR(AUTOEVENTO&lt;&gt;"manual",$M221&lt;&gt;1)),
IF(Import.TipoArredondamento&lt;&gt;"TransfereGOV",
ROUND(OFFSET($P221,0,AC$13),15-13*ORÇAMENTO!$AF$7)/$H221*OFFSET(ORÇAMENTO!$X$15,ROW(AC221)-ROW(AC$15),0),
ROUND(ROUND(OFFSET($P221,0,AC$13),15-13*ORÇAMENTO!$AF$7)*OFFSET(ORÇAMENTO!$W$15,ROW(AC221)-ROW(AC$15),0),15-13*ORÇAMENTO!$AF$11)),0)</f>
        <v>0</v>
      </c>
      <c r="AD221" s="627">
        <f ca="1">IF(AND($D221="Serviço",AD$12&lt;&gt;0,$H221&gt;0,OR(AUTOEVENTO&lt;&gt;"manual",$M221&lt;&gt;1)),
IF(Import.TipoArredondamento&lt;&gt;"TransfereGOV",
ROUND(OFFSET($P221,0,AD$13),15-13*ORÇAMENTO!$AF$7)/$H221*OFFSET(ORÇAMENTO!$X$15,ROW(AD221)-ROW(AD$15),0),
ROUND(ROUND(OFFSET($P221,0,AD$13),15-13*ORÇAMENTO!$AF$7)*OFFSET(ORÇAMENTO!$W$15,ROW(AD221)-ROW(AD$15),0),15-13*ORÇAMENTO!$AF$11)),0)</f>
        <v>0</v>
      </c>
      <c r="AE221" s="627">
        <f ca="1">IF(AND($D221="Serviço",AE$12&lt;&gt;0,$H221&gt;0,OR(AUTOEVENTO&lt;&gt;"manual",$M221&lt;&gt;1)),
IF(Import.TipoArredondamento&lt;&gt;"TransfereGOV",
ROUND(OFFSET($P221,0,AE$13),15-13*ORÇAMENTO!$AF$7)/$H221*OFFSET(ORÇAMENTO!$X$15,ROW(AE221)-ROW(AE$15),0),
ROUND(ROUND(OFFSET($P221,0,AE$13),15-13*ORÇAMENTO!$AF$7)*OFFSET(ORÇAMENTO!$W$15,ROW(AE221)-ROW(AE$15),0),15-13*ORÇAMENTO!$AF$11)),0)</f>
        <v>0</v>
      </c>
      <c r="AF221" s="627">
        <f ca="1">IF(AND($D221="Serviço",AF$12&lt;&gt;0,$H221&gt;0,OR(AUTOEVENTO&lt;&gt;"manual",$M221&lt;&gt;1)),
IF(Import.TipoArredondamento&lt;&gt;"TransfereGOV",
ROUND(OFFSET($P221,0,AF$13),15-13*ORÇAMENTO!$AF$7)/$H221*OFFSET(ORÇAMENTO!$X$15,ROW(AF221)-ROW(AF$15),0),
ROUND(ROUND(OFFSET($P221,0,AF$13),15-13*ORÇAMENTO!$AF$7)*OFFSET(ORÇAMENTO!$W$15,ROW(AF221)-ROW(AF$15),0),15-13*ORÇAMENTO!$AF$11)),0)</f>
        <v>0</v>
      </c>
      <c r="AG221" s="627">
        <f ca="1">IF(AND($D221="Serviço",AG$12&lt;&gt;0,$H221&gt;0,OR(AUTOEVENTO&lt;&gt;"manual",$M221&lt;&gt;1)),
IF(Import.TipoArredondamento&lt;&gt;"TransfereGOV",
ROUND(OFFSET($P221,0,AG$13),15-13*ORÇAMENTO!$AF$7)/$H221*OFFSET(ORÇAMENTO!$X$15,ROW(AG221)-ROW(AG$15),0),
ROUND(ROUND(OFFSET($P221,0,AG$13),15-13*ORÇAMENTO!$AF$7)*OFFSET(ORÇAMENTO!$W$15,ROW(AG221)-ROW(AG$15),0),15-13*ORÇAMENTO!$AF$11)),0)</f>
        <v>0</v>
      </c>
      <c r="AH221" s="627">
        <f ca="1">IF(AND($D221="Serviço",AH$12&lt;&gt;0,$H221&gt;0,OR(AUTOEVENTO&lt;&gt;"manual",$M221&lt;&gt;1)),
IF(Import.TipoArredondamento&lt;&gt;"TransfereGOV",
ROUND(OFFSET($P221,0,AH$13),15-13*ORÇAMENTO!$AF$7)/$H221*OFFSET(ORÇAMENTO!$X$15,ROW(AH221)-ROW(AH$15),0),
ROUND(ROUND(OFFSET($P221,0,AH$13),15-13*ORÇAMENTO!$AF$7)*OFFSET(ORÇAMENTO!$W$15,ROW(AH221)-ROW(AH$15),0),15-13*ORÇAMENTO!$AF$11)),0)</f>
        <v>0</v>
      </c>
      <c r="AI221" s="627">
        <f ca="1">IF(AND($D221="Serviço",AI$12&lt;&gt;0,$H221&gt;0,OR(AUTOEVENTO&lt;&gt;"manual",$M221&lt;&gt;1)),
IF(Import.TipoArredondamento&lt;&gt;"TransfereGOV",
ROUND(OFFSET($P221,0,AI$13),15-13*ORÇAMENTO!$AF$7)/$H221*OFFSET(ORÇAMENTO!$X$15,ROW(AI221)-ROW(AI$15),0),
ROUND(ROUND(OFFSET($P221,0,AI$13),15-13*ORÇAMENTO!$AF$7)*OFFSET(ORÇAMENTO!$W$15,ROW(AI221)-ROW(AI$15),0),15-13*ORÇAMENTO!$AF$11)),0)</f>
        <v>0</v>
      </c>
      <c r="AJ221" s="627">
        <f ca="1">IF(AND($D221="Serviço",AJ$12&lt;&gt;0,$H221&gt;0,OR(AUTOEVENTO&lt;&gt;"manual",$M221&lt;&gt;1)),
IF(Import.TipoArredondamento&lt;&gt;"TransfereGOV",
ROUND(OFFSET($P221,0,AJ$13),15-13*ORÇAMENTO!$AF$7)/$H221*OFFSET(ORÇAMENTO!$X$15,ROW(AJ221)-ROW(AJ$15),0),
ROUND(ROUND(OFFSET($P221,0,AJ$13),15-13*ORÇAMENTO!$AF$7)*OFFSET(ORÇAMENTO!$W$15,ROW(AJ221)-ROW(AJ$15),0),15-13*ORÇAMENTO!$AF$11)),0)</f>
        <v>0</v>
      </c>
      <c r="AK221" s="628">
        <f ca="1">IF(AND($D221="Serviço",AK$12&lt;&gt;0,$H221&gt;0,OR(AUTOEVENTO&lt;&gt;"manual",$M221&lt;&gt;1)),
IF(Import.TipoArredondamento&lt;&gt;"TransfereGOV",
ROUND(OFFSET($P221,0,AK$13),15-13*ORÇAMENTO!$AF$7)/$H221*OFFSET(ORÇAMENTO!$X$15,ROW(AK221)-ROW(AK$15),0),
ROUND(ROUND(OFFSET($P221,0,AK$13),15-13*ORÇAMENTO!$AF$7)*OFFSET(ORÇAMENTO!$W$15,ROW(AK221)-ROW(AK$15),0),15-13*ORÇAMENTO!$AF$11)),0)</f>
        <v>0</v>
      </c>
      <c r="AM221" s="211">
        <f ca="1">IF($D221&lt;&gt;"Serviço",0,IF(AND(AUTOEVENTO="Manual",$M221=1),0,IF(OFFSET(CRONOPLE!$F$14,$M221,AM$13)="",10^12,OFFSET(CRONOPLE!$F$14,$M221,AM$13))))</f>
        <v>2</v>
      </c>
      <c r="AN221" s="211">
        <f ca="1">IF($D221&lt;&gt;"Serviço",0,IF(AND(AUTOEVENTO="Manual",$M221=1),0,IF(OFFSET(CRONOPLE!$F$14,$M221,AN$13)="",10^12,OFFSET(CRONOPLE!$F$14,$M221,AN$13))))</f>
        <v>1</v>
      </c>
      <c r="AO221" s="211">
        <f ca="1">IF($D221&lt;&gt;"Serviço",0,IF(AND(AUTOEVENTO="Manual",$M221=1),0,IF(OFFSET(CRONOPLE!$F$14,$M221,AO$13)="",10^12,OFFSET(CRONOPLE!$F$14,$M221,AO$13))))</f>
        <v>2</v>
      </c>
      <c r="AP221" s="211">
        <f ca="1">IF($D221&lt;&gt;"Serviço",0,IF(AND(AUTOEVENTO="Manual",$M221=1),0,IF(OFFSET(CRONOPLE!$F$14,$M221,AP$13)="",10^12,OFFSET(CRONOPLE!$F$14,$M221,AP$13))))</f>
        <v>2</v>
      </c>
      <c r="AQ221" s="211">
        <f ca="1">IF($D221&lt;&gt;"Serviço",0,IF(AND(AUTOEVENTO="Manual",$M221=1),0,IF(OFFSET(CRONOPLE!$F$14,$M221,AQ$13)="",10^12,OFFSET(CRONOPLE!$F$14,$M221,AQ$13))))</f>
        <v>1000000000000</v>
      </c>
      <c r="AR221" s="211">
        <f ca="1">IF($D221&lt;&gt;"Serviço",0,IF(AND(AUTOEVENTO="Manual",$M221=1),0,IF(OFFSET(CRONOPLE!$F$14,$M221,AR$13)="",10^12,OFFSET(CRONOPLE!$F$14,$M221,AR$13))))</f>
        <v>1000000000000</v>
      </c>
      <c r="AS221" s="211">
        <f ca="1">IF($D221&lt;&gt;"Serviço",0,IF(AND(AUTOEVENTO="Manual",$M221=1),0,IF(OFFSET(CRONOPLE!$F$14,$M221,AS$13)="",10^12,OFFSET(CRONOPLE!$F$14,$M221,AS$13))))</f>
        <v>1000000000000</v>
      </c>
      <c r="AT221" s="211">
        <f ca="1">IF($D221&lt;&gt;"Serviço",0,IF(AND(AUTOEVENTO="Manual",$M221=1),0,IF(OFFSET(CRONOPLE!$F$14,$M221,AT$13)="",10^12,OFFSET(CRONOPLE!$F$14,$M221,AT$13))))</f>
        <v>1000000000000</v>
      </c>
      <c r="AU221" s="211">
        <f ca="1">IF($D221&lt;&gt;"Serviço",0,IF(AND(AUTOEVENTO="Manual",$M221=1),0,IF(OFFSET(CRONOPLE!$F$14,$M221,AU$13)="",10^12,OFFSET(CRONOPLE!$F$14,$M221,AU$13))))</f>
        <v>1000000000000</v>
      </c>
      <c r="AV221" s="211">
        <f ca="1">IF($D221&lt;&gt;"Serviço",0,IF(AND(AUTOEVENTO="Manual",$M221=1),0,IF(OFFSET(CRONOPLE!$F$14,$M221,AV$13)="",10^12,OFFSET(CRONOPLE!$F$14,$M221,AV$13))))</f>
        <v>1000000000000</v>
      </c>
      <c r="AX221" s="212">
        <f ca="1">IF($D221&lt;&gt;"Serviço",0,IF(OR(AND(AUTOEVENTO="Manual",$M221=1),$M221&gt;(ROW(PLE.lastrow)-ROW(PLE.firstrow))),0,IF(OFFSET(PLE!$G$14,$M221,AX$13)="",10^12,OFFSET(PLE!$G$14,$M221,AX$13))))</f>
        <v>1000000000000</v>
      </c>
      <c r="AY221" s="212">
        <f ca="1">IF($D221&lt;&gt;"Serviço",0,IF(OR(AND(AUTOEVENTO="Manual",$M221=1),$M221&gt;(ROW(PLE.lastrow)-ROW(PLE.firstrow))),0,IF(OFFSET(PLE!$G$14,$M221,AY$13)="",10^12,OFFSET(PLE!$G$14,$M221,AY$13))))</f>
        <v>1000000000000</v>
      </c>
      <c r="AZ221" s="212">
        <f ca="1">IF($D221&lt;&gt;"Serviço",0,IF(OR(AND(AUTOEVENTO="Manual",$M221=1),$M221&gt;(ROW(PLE.lastrow)-ROW(PLE.firstrow))),0,IF(OFFSET(PLE!$G$14,$M221,AZ$13)="",10^12,OFFSET(PLE!$G$14,$M221,AZ$13))))</f>
        <v>1000000000000</v>
      </c>
      <c r="BA221" s="212">
        <f ca="1">IF($D221&lt;&gt;"Serviço",0,IF(OR(AND(AUTOEVENTO="Manual",$M221=1),$M221&gt;(ROW(PLE.lastrow)-ROW(PLE.firstrow))),0,IF(OFFSET(PLE!$G$14,$M221,BA$13)="",10^12,OFFSET(PLE!$G$14,$M221,BA$13))))</f>
        <v>1000000000000</v>
      </c>
      <c r="BB221" s="212">
        <f ca="1">IF($D221&lt;&gt;"Serviço",0,IF(OR(AND(AUTOEVENTO="Manual",$M221=1),$M221&gt;(ROW(PLE.lastrow)-ROW(PLE.firstrow))),0,IF(OFFSET(PLE!$G$14,$M221,BB$13)="",10^12,OFFSET(PLE!$G$14,$M221,BB$13))))</f>
        <v>1000000000000</v>
      </c>
      <c r="BC221" s="212">
        <f ca="1">IF($D221&lt;&gt;"Serviço",0,IF(OR(AND(AUTOEVENTO="Manual",$M221=1),$M221&gt;(ROW(PLE.lastrow)-ROW(PLE.firstrow))),0,IF(OFFSET(PLE!$G$14,$M221,BC$13)="",10^12,OFFSET(PLE!$G$14,$M221,BC$13))))</f>
        <v>1000000000000</v>
      </c>
      <c r="BD221" s="212">
        <f ca="1">IF($D221&lt;&gt;"Serviço",0,IF(OR(AND(AUTOEVENTO="Manual",$M221=1),$M221&gt;(ROW(PLE.lastrow)-ROW(PLE.firstrow))),0,IF(OFFSET(PLE!$G$14,$M221,BD$13)="",10^12,OFFSET(PLE!$G$14,$M221,BD$13))))</f>
        <v>1000000000000</v>
      </c>
      <c r="BE221" s="212">
        <f ca="1">IF($D221&lt;&gt;"Serviço",0,IF(OR(AND(AUTOEVENTO="Manual",$M221=1),$M221&gt;(ROW(PLE.lastrow)-ROW(PLE.firstrow))),0,IF(OFFSET(PLE!$G$14,$M221,BE$13)="",10^12,OFFSET(PLE!$G$14,$M221,BE$13))))</f>
        <v>1000000000000</v>
      </c>
      <c r="BF221" s="212">
        <f ca="1">IF($D221&lt;&gt;"Serviço",0,IF(OR(AND(AUTOEVENTO="Manual",$M221=1),$M221&gt;(ROW(PLE.lastrow)-ROW(PLE.firstrow))),0,IF(OFFSET(PLE!$G$14,$M221,BF$13)="",10^12,OFFSET(PLE!$G$14,$M221,BF$13))))</f>
        <v>1000000000000</v>
      </c>
      <c r="BG221" s="212">
        <f ca="1">IF($D221&lt;&gt;"Serviço",0,IF(OR(AND(AUTOEVENTO="Manual",$M221=1),$M221&gt;(ROW(PLE.lastrow)-ROW(PLE.firstrow))),0,IF(OFFSET(PLE!$G$14,$M221,BG$13)="",10^12,OFFSET(PLE!$G$14,$M221,BG$13))))</f>
        <v>1000000000000</v>
      </c>
    </row>
    <row r="222" spans="1:59" ht="13.2">
      <c r="A222" s="9" t="str">
        <f t="shared" ca="1" si="12"/>
        <v>15</v>
      </c>
      <c r="B222" s="9" t="str">
        <f ca="1">OFFSET(ORÇAMENTO!C$15,ROW(B222)-ROW(B$15),0)</f>
        <v>S</v>
      </c>
      <c r="C222" s="9" t="str">
        <f ca="1">OFFSET(ORÇAMENTO!L$15,ROW(C222)-ROW(C$15),0)</f>
        <v/>
      </c>
      <c r="D222" s="141" t="str">
        <f ca="1">OFFSET(ORÇAMENTO!N$15,ROW(D222)-ROW(D$15),0)</f>
        <v>Serviço</v>
      </c>
      <c r="E222" s="201" t="str">
        <f ca="1">OFFSET(ORÇAMENTO!O$15,ROW(E222)-ROW(E$15),0)</f>
        <v>-</v>
      </c>
      <c r="F222" s="202" t="str">
        <f ca="1">OFFSET(ORÇAMENTO!R$15,ROW(F222)-ROW(F$15),0)</f>
        <v>(abra o arquivo 'Referência 11-2024.xlsm)</v>
      </c>
      <c r="G222" s="203" t="str">
        <f ca="1">IF($D222&lt;&gt;"Serviço","",OFFSET(ORÇAMENTO!S$15,ROW(G222)-ROW(G$15),0))</f>
        <v>-</v>
      </c>
      <c r="H222" s="147">
        <f ca="1">IF($D222&lt;&gt;"Serviço",0,IF(ACOMPANHAMENTO="BM",ROUND(OFFSET(ORÇAMENTO!AJ$15,ROW(H222)-ROW(H$15),0),15-13*ORÇAMENTO!$AF$7),SUMPRODUCT(($Q$12:$AA$12&lt;&gt;"")*ROUND($Q222:$AA222,15-13*ORÇAMENTO!$AF$7))))</f>
        <v>0</v>
      </c>
      <c r="I222" s="645"/>
      <c r="K222" s="204"/>
      <c r="L222" s="205" t="s">
        <v>255</v>
      </c>
      <c r="M222" s="206">
        <f ca="1">IF($D222&lt;&gt;"Serviço","",IF(AUTOEVENTO="manual",$A222,IF(ISERROR(MATCH($A222,$A$15:OFFSET($A222,-1,0),0)),MAX($M$15:OFFSET(M222,-1,0))+1,INDEX($M$15:OFFSET(M222,-1,0),MATCH($A222,$A$15:OFFSET($A222,-1,0),0)))))</f>
        <v>6</v>
      </c>
      <c r="N222" s="207" t="str">
        <f ca="1">IF($D222&lt;&gt;"Serviço","",IF(AUTOEVENTO="Manual",IF($A222=0,"&lt;-- defina o número do agrupador",OFFSET(EVENTOS!$D$14,$A222,0)),OFFSET($F$15,$A222,0)))</f>
        <v>DRENAGEM</v>
      </c>
      <c r="O222" s="208"/>
      <c r="Q222" s="208"/>
      <c r="R222" s="209"/>
      <c r="S222" s="209"/>
      <c r="T222" s="209"/>
      <c r="U222" s="209"/>
      <c r="V222" s="209"/>
      <c r="W222" s="209"/>
      <c r="X222" s="209"/>
      <c r="Y222" s="209"/>
      <c r="Z222" s="210"/>
      <c r="AB222" s="626">
        <f ca="1">IF(AND($D222="Serviço",AB$12&lt;&gt;0,$H222&gt;0,OR(AUTOEVENTO&lt;&gt;"manual",$M222&lt;&gt;1)),
IF(Import.TipoArredondamento&lt;&gt;"TransfereGOV",
ROUND(OFFSET($P222,0,AB$13),15-13*ORÇAMENTO!$AF$7)/$H222*OFFSET(ORÇAMENTO!$X$15,ROW(AB222)-ROW(AB$15),0),
ROUND(ROUND(OFFSET($P222,0,AB$13),15-13*ORÇAMENTO!$AF$7)*OFFSET(ORÇAMENTO!$W$15,ROW(AB222)-ROW(AB$15),0),15-13*ORÇAMENTO!$AF$11)),0)</f>
        <v>0</v>
      </c>
      <c r="AC222" s="627">
        <f ca="1">IF(AND($D222="Serviço",AC$12&lt;&gt;0,$H222&gt;0,OR(AUTOEVENTO&lt;&gt;"manual",$M222&lt;&gt;1)),
IF(Import.TipoArredondamento&lt;&gt;"TransfereGOV",
ROUND(OFFSET($P222,0,AC$13),15-13*ORÇAMENTO!$AF$7)/$H222*OFFSET(ORÇAMENTO!$X$15,ROW(AC222)-ROW(AC$15),0),
ROUND(ROUND(OFFSET($P222,0,AC$13),15-13*ORÇAMENTO!$AF$7)*OFFSET(ORÇAMENTO!$W$15,ROW(AC222)-ROW(AC$15),0),15-13*ORÇAMENTO!$AF$11)),0)</f>
        <v>0</v>
      </c>
      <c r="AD222" s="627">
        <f ca="1">IF(AND($D222="Serviço",AD$12&lt;&gt;0,$H222&gt;0,OR(AUTOEVENTO&lt;&gt;"manual",$M222&lt;&gt;1)),
IF(Import.TipoArredondamento&lt;&gt;"TransfereGOV",
ROUND(OFFSET($P222,0,AD$13),15-13*ORÇAMENTO!$AF$7)/$H222*OFFSET(ORÇAMENTO!$X$15,ROW(AD222)-ROW(AD$15),0),
ROUND(ROUND(OFFSET($P222,0,AD$13),15-13*ORÇAMENTO!$AF$7)*OFFSET(ORÇAMENTO!$W$15,ROW(AD222)-ROW(AD$15),0),15-13*ORÇAMENTO!$AF$11)),0)</f>
        <v>0</v>
      </c>
      <c r="AE222" s="627">
        <f ca="1">IF(AND($D222="Serviço",AE$12&lt;&gt;0,$H222&gt;0,OR(AUTOEVENTO&lt;&gt;"manual",$M222&lt;&gt;1)),
IF(Import.TipoArredondamento&lt;&gt;"TransfereGOV",
ROUND(OFFSET($P222,0,AE$13),15-13*ORÇAMENTO!$AF$7)/$H222*OFFSET(ORÇAMENTO!$X$15,ROW(AE222)-ROW(AE$15),0),
ROUND(ROUND(OFFSET($P222,0,AE$13),15-13*ORÇAMENTO!$AF$7)*OFFSET(ORÇAMENTO!$W$15,ROW(AE222)-ROW(AE$15),0),15-13*ORÇAMENTO!$AF$11)),0)</f>
        <v>0</v>
      </c>
      <c r="AF222" s="627">
        <f ca="1">IF(AND($D222="Serviço",AF$12&lt;&gt;0,$H222&gt;0,OR(AUTOEVENTO&lt;&gt;"manual",$M222&lt;&gt;1)),
IF(Import.TipoArredondamento&lt;&gt;"TransfereGOV",
ROUND(OFFSET($P222,0,AF$13),15-13*ORÇAMENTO!$AF$7)/$H222*OFFSET(ORÇAMENTO!$X$15,ROW(AF222)-ROW(AF$15),0),
ROUND(ROUND(OFFSET($P222,0,AF$13),15-13*ORÇAMENTO!$AF$7)*OFFSET(ORÇAMENTO!$W$15,ROW(AF222)-ROW(AF$15),0),15-13*ORÇAMENTO!$AF$11)),0)</f>
        <v>0</v>
      </c>
      <c r="AG222" s="627">
        <f ca="1">IF(AND($D222="Serviço",AG$12&lt;&gt;0,$H222&gt;0,OR(AUTOEVENTO&lt;&gt;"manual",$M222&lt;&gt;1)),
IF(Import.TipoArredondamento&lt;&gt;"TransfereGOV",
ROUND(OFFSET($P222,0,AG$13),15-13*ORÇAMENTO!$AF$7)/$H222*OFFSET(ORÇAMENTO!$X$15,ROW(AG222)-ROW(AG$15),0),
ROUND(ROUND(OFFSET($P222,0,AG$13),15-13*ORÇAMENTO!$AF$7)*OFFSET(ORÇAMENTO!$W$15,ROW(AG222)-ROW(AG$15),0),15-13*ORÇAMENTO!$AF$11)),0)</f>
        <v>0</v>
      </c>
      <c r="AH222" s="627">
        <f ca="1">IF(AND($D222="Serviço",AH$12&lt;&gt;0,$H222&gt;0,OR(AUTOEVENTO&lt;&gt;"manual",$M222&lt;&gt;1)),
IF(Import.TipoArredondamento&lt;&gt;"TransfereGOV",
ROUND(OFFSET($P222,0,AH$13),15-13*ORÇAMENTO!$AF$7)/$H222*OFFSET(ORÇAMENTO!$X$15,ROW(AH222)-ROW(AH$15),0),
ROUND(ROUND(OFFSET($P222,0,AH$13),15-13*ORÇAMENTO!$AF$7)*OFFSET(ORÇAMENTO!$W$15,ROW(AH222)-ROW(AH$15),0),15-13*ORÇAMENTO!$AF$11)),0)</f>
        <v>0</v>
      </c>
      <c r="AI222" s="627">
        <f ca="1">IF(AND($D222="Serviço",AI$12&lt;&gt;0,$H222&gt;0,OR(AUTOEVENTO&lt;&gt;"manual",$M222&lt;&gt;1)),
IF(Import.TipoArredondamento&lt;&gt;"TransfereGOV",
ROUND(OFFSET($P222,0,AI$13),15-13*ORÇAMENTO!$AF$7)/$H222*OFFSET(ORÇAMENTO!$X$15,ROW(AI222)-ROW(AI$15),0),
ROUND(ROUND(OFFSET($P222,0,AI$13),15-13*ORÇAMENTO!$AF$7)*OFFSET(ORÇAMENTO!$W$15,ROW(AI222)-ROW(AI$15),0),15-13*ORÇAMENTO!$AF$11)),0)</f>
        <v>0</v>
      </c>
      <c r="AJ222" s="627">
        <f ca="1">IF(AND($D222="Serviço",AJ$12&lt;&gt;0,$H222&gt;0,OR(AUTOEVENTO&lt;&gt;"manual",$M222&lt;&gt;1)),
IF(Import.TipoArredondamento&lt;&gt;"TransfereGOV",
ROUND(OFFSET($P222,0,AJ$13),15-13*ORÇAMENTO!$AF$7)/$H222*OFFSET(ORÇAMENTO!$X$15,ROW(AJ222)-ROW(AJ$15),0),
ROUND(ROUND(OFFSET($P222,0,AJ$13),15-13*ORÇAMENTO!$AF$7)*OFFSET(ORÇAMENTO!$W$15,ROW(AJ222)-ROW(AJ$15),0),15-13*ORÇAMENTO!$AF$11)),0)</f>
        <v>0</v>
      </c>
      <c r="AK222" s="628">
        <f ca="1">IF(AND($D222="Serviço",AK$12&lt;&gt;0,$H222&gt;0,OR(AUTOEVENTO&lt;&gt;"manual",$M222&lt;&gt;1)),
IF(Import.TipoArredondamento&lt;&gt;"TransfereGOV",
ROUND(OFFSET($P222,0,AK$13),15-13*ORÇAMENTO!$AF$7)/$H222*OFFSET(ORÇAMENTO!$X$15,ROW(AK222)-ROW(AK$15),0),
ROUND(ROUND(OFFSET($P222,0,AK$13),15-13*ORÇAMENTO!$AF$7)*OFFSET(ORÇAMENTO!$W$15,ROW(AK222)-ROW(AK$15),0),15-13*ORÇAMENTO!$AF$11)),0)</f>
        <v>0</v>
      </c>
      <c r="AM222" s="211">
        <f ca="1">IF($D222&lt;&gt;"Serviço",0,IF(AND(AUTOEVENTO="Manual",$M222=1),0,IF(OFFSET(CRONOPLE!$F$14,$M222,AM$13)="",10^12,OFFSET(CRONOPLE!$F$14,$M222,AM$13))))</f>
        <v>2</v>
      </c>
      <c r="AN222" s="211">
        <f ca="1">IF($D222&lt;&gt;"Serviço",0,IF(AND(AUTOEVENTO="Manual",$M222=1),0,IF(OFFSET(CRONOPLE!$F$14,$M222,AN$13)="",10^12,OFFSET(CRONOPLE!$F$14,$M222,AN$13))))</f>
        <v>1</v>
      </c>
      <c r="AO222" s="211">
        <f ca="1">IF($D222&lt;&gt;"Serviço",0,IF(AND(AUTOEVENTO="Manual",$M222=1),0,IF(OFFSET(CRONOPLE!$F$14,$M222,AO$13)="",10^12,OFFSET(CRONOPLE!$F$14,$M222,AO$13))))</f>
        <v>2</v>
      </c>
      <c r="AP222" s="211">
        <f ca="1">IF($D222&lt;&gt;"Serviço",0,IF(AND(AUTOEVENTO="Manual",$M222=1),0,IF(OFFSET(CRONOPLE!$F$14,$M222,AP$13)="",10^12,OFFSET(CRONOPLE!$F$14,$M222,AP$13))))</f>
        <v>2</v>
      </c>
      <c r="AQ222" s="211">
        <f ca="1">IF($D222&lt;&gt;"Serviço",0,IF(AND(AUTOEVENTO="Manual",$M222=1),0,IF(OFFSET(CRONOPLE!$F$14,$M222,AQ$13)="",10^12,OFFSET(CRONOPLE!$F$14,$M222,AQ$13))))</f>
        <v>1000000000000</v>
      </c>
      <c r="AR222" s="211">
        <f ca="1">IF($D222&lt;&gt;"Serviço",0,IF(AND(AUTOEVENTO="Manual",$M222=1),0,IF(OFFSET(CRONOPLE!$F$14,$M222,AR$13)="",10^12,OFFSET(CRONOPLE!$F$14,$M222,AR$13))))</f>
        <v>1000000000000</v>
      </c>
      <c r="AS222" s="211">
        <f ca="1">IF($D222&lt;&gt;"Serviço",0,IF(AND(AUTOEVENTO="Manual",$M222=1),0,IF(OFFSET(CRONOPLE!$F$14,$M222,AS$13)="",10^12,OFFSET(CRONOPLE!$F$14,$M222,AS$13))))</f>
        <v>1000000000000</v>
      </c>
      <c r="AT222" s="211">
        <f ca="1">IF($D222&lt;&gt;"Serviço",0,IF(AND(AUTOEVENTO="Manual",$M222=1),0,IF(OFFSET(CRONOPLE!$F$14,$M222,AT$13)="",10^12,OFFSET(CRONOPLE!$F$14,$M222,AT$13))))</f>
        <v>1000000000000</v>
      </c>
      <c r="AU222" s="211">
        <f ca="1">IF($D222&lt;&gt;"Serviço",0,IF(AND(AUTOEVENTO="Manual",$M222=1),0,IF(OFFSET(CRONOPLE!$F$14,$M222,AU$13)="",10^12,OFFSET(CRONOPLE!$F$14,$M222,AU$13))))</f>
        <v>1000000000000</v>
      </c>
      <c r="AV222" s="211">
        <f ca="1">IF($D222&lt;&gt;"Serviço",0,IF(AND(AUTOEVENTO="Manual",$M222=1),0,IF(OFFSET(CRONOPLE!$F$14,$M222,AV$13)="",10^12,OFFSET(CRONOPLE!$F$14,$M222,AV$13))))</f>
        <v>1000000000000</v>
      </c>
      <c r="AX222" s="212">
        <f ca="1">IF($D222&lt;&gt;"Serviço",0,IF(OR(AND(AUTOEVENTO="Manual",$M222=1),$M222&gt;(ROW(PLE.lastrow)-ROW(PLE.firstrow))),0,IF(OFFSET(PLE!$G$14,$M222,AX$13)="",10^12,OFFSET(PLE!$G$14,$M222,AX$13))))</f>
        <v>1000000000000</v>
      </c>
      <c r="AY222" s="212">
        <f ca="1">IF($D222&lt;&gt;"Serviço",0,IF(OR(AND(AUTOEVENTO="Manual",$M222=1),$M222&gt;(ROW(PLE.lastrow)-ROW(PLE.firstrow))),0,IF(OFFSET(PLE!$G$14,$M222,AY$13)="",10^12,OFFSET(PLE!$G$14,$M222,AY$13))))</f>
        <v>1000000000000</v>
      </c>
      <c r="AZ222" s="212">
        <f ca="1">IF($D222&lt;&gt;"Serviço",0,IF(OR(AND(AUTOEVENTO="Manual",$M222=1),$M222&gt;(ROW(PLE.lastrow)-ROW(PLE.firstrow))),0,IF(OFFSET(PLE!$G$14,$M222,AZ$13)="",10^12,OFFSET(PLE!$G$14,$M222,AZ$13))))</f>
        <v>1000000000000</v>
      </c>
      <c r="BA222" s="212">
        <f ca="1">IF($D222&lt;&gt;"Serviço",0,IF(OR(AND(AUTOEVENTO="Manual",$M222=1),$M222&gt;(ROW(PLE.lastrow)-ROW(PLE.firstrow))),0,IF(OFFSET(PLE!$G$14,$M222,BA$13)="",10^12,OFFSET(PLE!$G$14,$M222,BA$13))))</f>
        <v>1000000000000</v>
      </c>
      <c r="BB222" s="212">
        <f ca="1">IF($D222&lt;&gt;"Serviço",0,IF(OR(AND(AUTOEVENTO="Manual",$M222=1),$M222&gt;(ROW(PLE.lastrow)-ROW(PLE.firstrow))),0,IF(OFFSET(PLE!$G$14,$M222,BB$13)="",10^12,OFFSET(PLE!$G$14,$M222,BB$13))))</f>
        <v>1000000000000</v>
      </c>
      <c r="BC222" s="212">
        <f ca="1">IF($D222&lt;&gt;"Serviço",0,IF(OR(AND(AUTOEVENTO="Manual",$M222=1),$M222&gt;(ROW(PLE.lastrow)-ROW(PLE.firstrow))),0,IF(OFFSET(PLE!$G$14,$M222,BC$13)="",10^12,OFFSET(PLE!$G$14,$M222,BC$13))))</f>
        <v>1000000000000</v>
      </c>
      <c r="BD222" s="212">
        <f ca="1">IF($D222&lt;&gt;"Serviço",0,IF(OR(AND(AUTOEVENTO="Manual",$M222=1),$M222&gt;(ROW(PLE.lastrow)-ROW(PLE.firstrow))),0,IF(OFFSET(PLE!$G$14,$M222,BD$13)="",10^12,OFFSET(PLE!$G$14,$M222,BD$13))))</f>
        <v>1000000000000</v>
      </c>
      <c r="BE222" s="212">
        <f ca="1">IF($D222&lt;&gt;"Serviço",0,IF(OR(AND(AUTOEVENTO="Manual",$M222=1),$M222&gt;(ROW(PLE.lastrow)-ROW(PLE.firstrow))),0,IF(OFFSET(PLE!$G$14,$M222,BE$13)="",10^12,OFFSET(PLE!$G$14,$M222,BE$13))))</f>
        <v>1000000000000</v>
      </c>
      <c r="BF222" s="212">
        <f ca="1">IF($D222&lt;&gt;"Serviço",0,IF(OR(AND(AUTOEVENTO="Manual",$M222=1),$M222&gt;(ROW(PLE.lastrow)-ROW(PLE.firstrow))),0,IF(OFFSET(PLE!$G$14,$M222,BF$13)="",10^12,OFFSET(PLE!$G$14,$M222,BF$13))))</f>
        <v>1000000000000</v>
      </c>
      <c r="BG222" s="212">
        <f ca="1">IF($D222&lt;&gt;"Serviço",0,IF(OR(AND(AUTOEVENTO="Manual",$M222=1),$M222&gt;(ROW(PLE.lastrow)-ROW(PLE.firstrow))),0,IF(OFFSET(PLE!$G$14,$M222,BG$13)="",10^12,OFFSET(PLE!$G$14,$M222,BG$13))))</f>
        <v>1000000000000</v>
      </c>
    </row>
    <row r="223" spans="1:59" ht="13.2">
      <c r="A223" s="9" t="str">
        <f t="shared" ca="1" si="12"/>
        <v>15</v>
      </c>
      <c r="B223" s="9" t="str">
        <f ca="1">OFFSET(ORÇAMENTO!C$15,ROW(B223)-ROW(B$15),0)</f>
        <v>S</v>
      </c>
      <c r="C223" s="9" t="str">
        <f ca="1">OFFSET(ORÇAMENTO!L$15,ROW(C223)-ROW(C$15),0)</f>
        <v/>
      </c>
      <c r="D223" s="141" t="str">
        <f ca="1">OFFSET(ORÇAMENTO!N$15,ROW(D223)-ROW(D$15),0)</f>
        <v>Serviço</v>
      </c>
      <c r="E223" s="201" t="str">
        <f ca="1">OFFSET(ORÇAMENTO!O$15,ROW(E223)-ROW(E$15),0)</f>
        <v>-</v>
      </c>
      <c r="F223" s="202" t="str">
        <f ca="1">OFFSET(ORÇAMENTO!R$15,ROW(F223)-ROW(F$15),0)</f>
        <v>(abra o arquivo 'Referência 11-2024.xlsm)</v>
      </c>
      <c r="G223" s="203" t="str">
        <f ca="1">IF($D223&lt;&gt;"Serviço","",OFFSET(ORÇAMENTO!S$15,ROW(G223)-ROW(G$15),0))</f>
        <v>-</v>
      </c>
      <c r="H223" s="147">
        <f ca="1">IF($D223&lt;&gt;"Serviço",0,IF(ACOMPANHAMENTO="BM",ROUND(OFFSET(ORÇAMENTO!AJ$15,ROW(H223)-ROW(H$15),0),15-13*ORÇAMENTO!$AF$7),SUMPRODUCT(($Q$12:$AA$12&lt;&gt;"")*ROUND($Q223:$AA223,15-13*ORÇAMENTO!$AF$7))))</f>
        <v>0</v>
      </c>
      <c r="I223" s="645"/>
      <c r="K223" s="204"/>
      <c r="L223" s="205" t="s">
        <v>255</v>
      </c>
      <c r="M223" s="206">
        <f ca="1">IF($D223&lt;&gt;"Serviço","",IF(AUTOEVENTO="manual",$A223,IF(ISERROR(MATCH($A223,$A$15:OFFSET($A223,-1,0),0)),MAX($M$15:OFFSET(M223,-1,0))+1,INDEX($M$15:OFFSET(M223,-1,0),MATCH($A223,$A$15:OFFSET($A223,-1,0),0)))))</f>
        <v>6</v>
      </c>
      <c r="N223" s="207" t="str">
        <f ca="1">IF($D223&lt;&gt;"Serviço","",IF(AUTOEVENTO="Manual",IF($A223=0,"&lt;-- defina o número do agrupador",OFFSET(EVENTOS!$D$14,$A223,0)),OFFSET($F$15,$A223,0)))</f>
        <v>DRENAGEM</v>
      </c>
      <c r="O223" s="208"/>
      <c r="Q223" s="208"/>
      <c r="R223" s="209"/>
      <c r="S223" s="209"/>
      <c r="T223" s="209"/>
      <c r="U223" s="209"/>
      <c r="V223" s="209"/>
      <c r="W223" s="209"/>
      <c r="X223" s="209"/>
      <c r="Y223" s="209"/>
      <c r="Z223" s="210"/>
      <c r="AB223" s="626">
        <f ca="1">IF(AND($D223="Serviço",AB$12&lt;&gt;0,$H223&gt;0,OR(AUTOEVENTO&lt;&gt;"manual",$M223&lt;&gt;1)),
IF(Import.TipoArredondamento&lt;&gt;"TransfereGOV",
ROUND(OFFSET($P223,0,AB$13),15-13*ORÇAMENTO!$AF$7)/$H223*OFFSET(ORÇAMENTO!$X$15,ROW(AB223)-ROW(AB$15),0),
ROUND(ROUND(OFFSET($P223,0,AB$13),15-13*ORÇAMENTO!$AF$7)*OFFSET(ORÇAMENTO!$W$15,ROW(AB223)-ROW(AB$15),0),15-13*ORÇAMENTO!$AF$11)),0)</f>
        <v>0</v>
      </c>
      <c r="AC223" s="627">
        <f ca="1">IF(AND($D223="Serviço",AC$12&lt;&gt;0,$H223&gt;0,OR(AUTOEVENTO&lt;&gt;"manual",$M223&lt;&gt;1)),
IF(Import.TipoArredondamento&lt;&gt;"TransfereGOV",
ROUND(OFFSET($P223,0,AC$13),15-13*ORÇAMENTO!$AF$7)/$H223*OFFSET(ORÇAMENTO!$X$15,ROW(AC223)-ROW(AC$15),0),
ROUND(ROUND(OFFSET($P223,0,AC$13),15-13*ORÇAMENTO!$AF$7)*OFFSET(ORÇAMENTO!$W$15,ROW(AC223)-ROW(AC$15),0),15-13*ORÇAMENTO!$AF$11)),0)</f>
        <v>0</v>
      </c>
      <c r="AD223" s="627">
        <f ca="1">IF(AND($D223="Serviço",AD$12&lt;&gt;0,$H223&gt;0,OR(AUTOEVENTO&lt;&gt;"manual",$M223&lt;&gt;1)),
IF(Import.TipoArredondamento&lt;&gt;"TransfereGOV",
ROUND(OFFSET($P223,0,AD$13),15-13*ORÇAMENTO!$AF$7)/$H223*OFFSET(ORÇAMENTO!$X$15,ROW(AD223)-ROW(AD$15),0),
ROUND(ROUND(OFFSET($P223,0,AD$13),15-13*ORÇAMENTO!$AF$7)*OFFSET(ORÇAMENTO!$W$15,ROW(AD223)-ROW(AD$15),0),15-13*ORÇAMENTO!$AF$11)),0)</f>
        <v>0</v>
      </c>
      <c r="AE223" s="627">
        <f ca="1">IF(AND($D223="Serviço",AE$12&lt;&gt;0,$H223&gt;0,OR(AUTOEVENTO&lt;&gt;"manual",$M223&lt;&gt;1)),
IF(Import.TipoArredondamento&lt;&gt;"TransfereGOV",
ROUND(OFFSET($P223,0,AE$13),15-13*ORÇAMENTO!$AF$7)/$H223*OFFSET(ORÇAMENTO!$X$15,ROW(AE223)-ROW(AE$15),0),
ROUND(ROUND(OFFSET($P223,0,AE$13),15-13*ORÇAMENTO!$AF$7)*OFFSET(ORÇAMENTO!$W$15,ROW(AE223)-ROW(AE$15),0),15-13*ORÇAMENTO!$AF$11)),0)</f>
        <v>0</v>
      </c>
      <c r="AF223" s="627">
        <f ca="1">IF(AND($D223="Serviço",AF$12&lt;&gt;0,$H223&gt;0,OR(AUTOEVENTO&lt;&gt;"manual",$M223&lt;&gt;1)),
IF(Import.TipoArredondamento&lt;&gt;"TransfereGOV",
ROUND(OFFSET($P223,0,AF$13),15-13*ORÇAMENTO!$AF$7)/$H223*OFFSET(ORÇAMENTO!$X$15,ROW(AF223)-ROW(AF$15),0),
ROUND(ROUND(OFFSET($P223,0,AF$13),15-13*ORÇAMENTO!$AF$7)*OFFSET(ORÇAMENTO!$W$15,ROW(AF223)-ROW(AF$15),0),15-13*ORÇAMENTO!$AF$11)),0)</f>
        <v>0</v>
      </c>
      <c r="AG223" s="627">
        <f ca="1">IF(AND($D223="Serviço",AG$12&lt;&gt;0,$H223&gt;0,OR(AUTOEVENTO&lt;&gt;"manual",$M223&lt;&gt;1)),
IF(Import.TipoArredondamento&lt;&gt;"TransfereGOV",
ROUND(OFFSET($P223,0,AG$13),15-13*ORÇAMENTO!$AF$7)/$H223*OFFSET(ORÇAMENTO!$X$15,ROW(AG223)-ROW(AG$15),0),
ROUND(ROUND(OFFSET($P223,0,AG$13),15-13*ORÇAMENTO!$AF$7)*OFFSET(ORÇAMENTO!$W$15,ROW(AG223)-ROW(AG$15),0),15-13*ORÇAMENTO!$AF$11)),0)</f>
        <v>0</v>
      </c>
      <c r="AH223" s="627">
        <f ca="1">IF(AND($D223="Serviço",AH$12&lt;&gt;0,$H223&gt;0,OR(AUTOEVENTO&lt;&gt;"manual",$M223&lt;&gt;1)),
IF(Import.TipoArredondamento&lt;&gt;"TransfereGOV",
ROUND(OFFSET($P223,0,AH$13),15-13*ORÇAMENTO!$AF$7)/$H223*OFFSET(ORÇAMENTO!$X$15,ROW(AH223)-ROW(AH$15),0),
ROUND(ROUND(OFFSET($P223,0,AH$13),15-13*ORÇAMENTO!$AF$7)*OFFSET(ORÇAMENTO!$W$15,ROW(AH223)-ROW(AH$15),0),15-13*ORÇAMENTO!$AF$11)),0)</f>
        <v>0</v>
      </c>
      <c r="AI223" s="627">
        <f ca="1">IF(AND($D223="Serviço",AI$12&lt;&gt;0,$H223&gt;0,OR(AUTOEVENTO&lt;&gt;"manual",$M223&lt;&gt;1)),
IF(Import.TipoArredondamento&lt;&gt;"TransfereGOV",
ROUND(OFFSET($P223,0,AI$13),15-13*ORÇAMENTO!$AF$7)/$H223*OFFSET(ORÇAMENTO!$X$15,ROW(AI223)-ROW(AI$15),0),
ROUND(ROUND(OFFSET($P223,0,AI$13),15-13*ORÇAMENTO!$AF$7)*OFFSET(ORÇAMENTO!$W$15,ROW(AI223)-ROW(AI$15),0),15-13*ORÇAMENTO!$AF$11)),0)</f>
        <v>0</v>
      </c>
      <c r="AJ223" s="627">
        <f ca="1">IF(AND($D223="Serviço",AJ$12&lt;&gt;0,$H223&gt;0,OR(AUTOEVENTO&lt;&gt;"manual",$M223&lt;&gt;1)),
IF(Import.TipoArredondamento&lt;&gt;"TransfereGOV",
ROUND(OFFSET($P223,0,AJ$13),15-13*ORÇAMENTO!$AF$7)/$H223*OFFSET(ORÇAMENTO!$X$15,ROW(AJ223)-ROW(AJ$15),0),
ROUND(ROUND(OFFSET($P223,0,AJ$13),15-13*ORÇAMENTO!$AF$7)*OFFSET(ORÇAMENTO!$W$15,ROW(AJ223)-ROW(AJ$15),0),15-13*ORÇAMENTO!$AF$11)),0)</f>
        <v>0</v>
      </c>
      <c r="AK223" s="628">
        <f ca="1">IF(AND($D223="Serviço",AK$12&lt;&gt;0,$H223&gt;0,OR(AUTOEVENTO&lt;&gt;"manual",$M223&lt;&gt;1)),
IF(Import.TipoArredondamento&lt;&gt;"TransfereGOV",
ROUND(OFFSET($P223,0,AK$13),15-13*ORÇAMENTO!$AF$7)/$H223*OFFSET(ORÇAMENTO!$X$15,ROW(AK223)-ROW(AK$15),0),
ROUND(ROUND(OFFSET($P223,0,AK$13),15-13*ORÇAMENTO!$AF$7)*OFFSET(ORÇAMENTO!$W$15,ROW(AK223)-ROW(AK$15),0),15-13*ORÇAMENTO!$AF$11)),0)</f>
        <v>0</v>
      </c>
      <c r="AM223" s="211">
        <f ca="1">IF($D223&lt;&gt;"Serviço",0,IF(AND(AUTOEVENTO="Manual",$M223=1),0,IF(OFFSET(CRONOPLE!$F$14,$M223,AM$13)="",10^12,OFFSET(CRONOPLE!$F$14,$M223,AM$13))))</f>
        <v>2</v>
      </c>
      <c r="AN223" s="211">
        <f ca="1">IF($D223&lt;&gt;"Serviço",0,IF(AND(AUTOEVENTO="Manual",$M223=1),0,IF(OFFSET(CRONOPLE!$F$14,$M223,AN$13)="",10^12,OFFSET(CRONOPLE!$F$14,$M223,AN$13))))</f>
        <v>1</v>
      </c>
      <c r="AO223" s="211">
        <f ca="1">IF($D223&lt;&gt;"Serviço",0,IF(AND(AUTOEVENTO="Manual",$M223=1),0,IF(OFFSET(CRONOPLE!$F$14,$M223,AO$13)="",10^12,OFFSET(CRONOPLE!$F$14,$M223,AO$13))))</f>
        <v>2</v>
      </c>
      <c r="AP223" s="211">
        <f ca="1">IF($D223&lt;&gt;"Serviço",0,IF(AND(AUTOEVENTO="Manual",$M223=1),0,IF(OFFSET(CRONOPLE!$F$14,$M223,AP$13)="",10^12,OFFSET(CRONOPLE!$F$14,$M223,AP$13))))</f>
        <v>2</v>
      </c>
      <c r="AQ223" s="211">
        <f ca="1">IF($D223&lt;&gt;"Serviço",0,IF(AND(AUTOEVENTO="Manual",$M223=1),0,IF(OFFSET(CRONOPLE!$F$14,$M223,AQ$13)="",10^12,OFFSET(CRONOPLE!$F$14,$M223,AQ$13))))</f>
        <v>1000000000000</v>
      </c>
      <c r="AR223" s="211">
        <f ca="1">IF($D223&lt;&gt;"Serviço",0,IF(AND(AUTOEVENTO="Manual",$M223=1),0,IF(OFFSET(CRONOPLE!$F$14,$M223,AR$13)="",10^12,OFFSET(CRONOPLE!$F$14,$M223,AR$13))))</f>
        <v>1000000000000</v>
      </c>
      <c r="AS223" s="211">
        <f ca="1">IF($D223&lt;&gt;"Serviço",0,IF(AND(AUTOEVENTO="Manual",$M223=1),0,IF(OFFSET(CRONOPLE!$F$14,$M223,AS$13)="",10^12,OFFSET(CRONOPLE!$F$14,$M223,AS$13))))</f>
        <v>1000000000000</v>
      </c>
      <c r="AT223" s="211">
        <f ca="1">IF($D223&lt;&gt;"Serviço",0,IF(AND(AUTOEVENTO="Manual",$M223=1),0,IF(OFFSET(CRONOPLE!$F$14,$M223,AT$13)="",10^12,OFFSET(CRONOPLE!$F$14,$M223,AT$13))))</f>
        <v>1000000000000</v>
      </c>
      <c r="AU223" s="211">
        <f ca="1">IF($D223&lt;&gt;"Serviço",0,IF(AND(AUTOEVENTO="Manual",$M223=1),0,IF(OFFSET(CRONOPLE!$F$14,$M223,AU$13)="",10^12,OFFSET(CRONOPLE!$F$14,$M223,AU$13))))</f>
        <v>1000000000000</v>
      </c>
      <c r="AV223" s="211">
        <f ca="1">IF($D223&lt;&gt;"Serviço",0,IF(AND(AUTOEVENTO="Manual",$M223=1),0,IF(OFFSET(CRONOPLE!$F$14,$M223,AV$13)="",10^12,OFFSET(CRONOPLE!$F$14,$M223,AV$13))))</f>
        <v>1000000000000</v>
      </c>
      <c r="AX223" s="212">
        <f ca="1">IF($D223&lt;&gt;"Serviço",0,IF(OR(AND(AUTOEVENTO="Manual",$M223=1),$M223&gt;(ROW(PLE.lastrow)-ROW(PLE.firstrow))),0,IF(OFFSET(PLE!$G$14,$M223,AX$13)="",10^12,OFFSET(PLE!$G$14,$M223,AX$13))))</f>
        <v>1000000000000</v>
      </c>
      <c r="AY223" s="212">
        <f ca="1">IF($D223&lt;&gt;"Serviço",0,IF(OR(AND(AUTOEVENTO="Manual",$M223=1),$M223&gt;(ROW(PLE.lastrow)-ROW(PLE.firstrow))),0,IF(OFFSET(PLE!$G$14,$M223,AY$13)="",10^12,OFFSET(PLE!$G$14,$M223,AY$13))))</f>
        <v>1000000000000</v>
      </c>
      <c r="AZ223" s="212">
        <f ca="1">IF($D223&lt;&gt;"Serviço",0,IF(OR(AND(AUTOEVENTO="Manual",$M223=1),$M223&gt;(ROW(PLE.lastrow)-ROW(PLE.firstrow))),0,IF(OFFSET(PLE!$G$14,$M223,AZ$13)="",10^12,OFFSET(PLE!$G$14,$M223,AZ$13))))</f>
        <v>1000000000000</v>
      </c>
      <c r="BA223" s="212">
        <f ca="1">IF($D223&lt;&gt;"Serviço",0,IF(OR(AND(AUTOEVENTO="Manual",$M223=1),$M223&gt;(ROW(PLE.lastrow)-ROW(PLE.firstrow))),0,IF(OFFSET(PLE!$G$14,$M223,BA$13)="",10^12,OFFSET(PLE!$G$14,$M223,BA$13))))</f>
        <v>1000000000000</v>
      </c>
      <c r="BB223" s="212">
        <f ca="1">IF($D223&lt;&gt;"Serviço",0,IF(OR(AND(AUTOEVENTO="Manual",$M223=1),$M223&gt;(ROW(PLE.lastrow)-ROW(PLE.firstrow))),0,IF(OFFSET(PLE!$G$14,$M223,BB$13)="",10^12,OFFSET(PLE!$G$14,$M223,BB$13))))</f>
        <v>1000000000000</v>
      </c>
      <c r="BC223" s="212">
        <f ca="1">IF($D223&lt;&gt;"Serviço",0,IF(OR(AND(AUTOEVENTO="Manual",$M223=1),$M223&gt;(ROW(PLE.lastrow)-ROW(PLE.firstrow))),0,IF(OFFSET(PLE!$G$14,$M223,BC$13)="",10^12,OFFSET(PLE!$G$14,$M223,BC$13))))</f>
        <v>1000000000000</v>
      </c>
      <c r="BD223" s="212">
        <f ca="1">IF($D223&lt;&gt;"Serviço",0,IF(OR(AND(AUTOEVENTO="Manual",$M223=1),$M223&gt;(ROW(PLE.lastrow)-ROW(PLE.firstrow))),0,IF(OFFSET(PLE!$G$14,$M223,BD$13)="",10^12,OFFSET(PLE!$G$14,$M223,BD$13))))</f>
        <v>1000000000000</v>
      </c>
      <c r="BE223" s="212">
        <f ca="1">IF($D223&lt;&gt;"Serviço",0,IF(OR(AND(AUTOEVENTO="Manual",$M223=1),$M223&gt;(ROW(PLE.lastrow)-ROW(PLE.firstrow))),0,IF(OFFSET(PLE!$G$14,$M223,BE$13)="",10^12,OFFSET(PLE!$G$14,$M223,BE$13))))</f>
        <v>1000000000000</v>
      </c>
      <c r="BF223" s="212">
        <f ca="1">IF($D223&lt;&gt;"Serviço",0,IF(OR(AND(AUTOEVENTO="Manual",$M223=1),$M223&gt;(ROW(PLE.lastrow)-ROW(PLE.firstrow))),0,IF(OFFSET(PLE!$G$14,$M223,BF$13)="",10^12,OFFSET(PLE!$G$14,$M223,BF$13))))</f>
        <v>1000000000000</v>
      </c>
      <c r="BG223" s="212">
        <f ca="1">IF($D223&lt;&gt;"Serviço",0,IF(OR(AND(AUTOEVENTO="Manual",$M223=1),$M223&gt;(ROW(PLE.lastrow)-ROW(PLE.firstrow))),0,IF(OFFSET(PLE!$G$14,$M223,BG$13)="",10^12,OFFSET(PLE!$G$14,$M223,BG$13))))</f>
        <v>1000000000000</v>
      </c>
    </row>
    <row r="224" spans="1:59" ht="13.2">
      <c r="A224" s="9" t="str">
        <f t="shared" ca="1" si="12"/>
        <v>15</v>
      </c>
      <c r="B224" s="9" t="str">
        <f ca="1">OFFSET(ORÇAMENTO!C$15,ROW(B224)-ROW(B$15),0)</f>
        <v>S</v>
      </c>
      <c r="C224" s="9" t="str">
        <f ca="1">OFFSET(ORÇAMENTO!L$15,ROW(C224)-ROW(C$15),0)</f>
        <v/>
      </c>
      <c r="D224" s="141" t="str">
        <f ca="1">OFFSET(ORÇAMENTO!N$15,ROW(D224)-ROW(D$15),0)</f>
        <v>Serviço</v>
      </c>
      <c r="E224" s="201" t="str">
        <f ca="1">OFFSET(ORÇAMENTO!O$15,ROW(E224)-ROW(E$15),0)</f>
        <v>-</v>
      </c>
      <c r="F224" s="202" t="str">
        <f ca="1">OFFSET(ORÇAMENTO!R$15,ROW(F224)-ROW(F$15),0)</f>
        <v>(abra o arquivo 'Referência 11-2024.xlsm)</v>
      </c>
      <c r="G224" s="203" t="str">
        <f ca="1">IF($D224&lt;&gt;"Serviço","",OFFSET(ORÇAMENTO!S$15,ROW(G224)-ROW(G$15),0))</f>
        <v>-</v>
      </c>
      <c r="H224" s="147">
        <f ca="1">IF($D224&lt;&gt;"Serviço",0,IF(ACOMPANHAMENTO="BM",ROUND(OFFSET(ORÇAMENTO!AJ$15,ROW(H224)-ROW(H$15),0),15-13*ORÇAMENTO!$AF$7),SUMPRODUCT(($Q$12:$AA$12&lt;&gt;"")*ROUND($Q224:$AA224,15-13*ORÇAMENTO!$AF$7))))</f>
        <v>0</v>
      </c>
      <c r="I224" s="645"/>
      <c r="K224" s="204"/>
      <c r="L224" s="205" t="s">
        <v>255</v>
      </c>
      <c r="M224" s="206">
        <f ca="1">IF($D224&lt;&gt;"Serviço","",IF(AUTOEVENTO="manual",$A224,IF(ISERROR(MATCH($A224,$A$15:OFFSET($A224,-1,0),0)),MAX($M$15:OFFSET(M224,-1,0))+1,INDEX($M$15:OFFSET(M224,-1,0),MATCH($A224,$A$15:OFFSET($A224,-1,0),0)))))</f>
        <v>6</v>
      </c>
      <c r="N224" s="207" t="str">
        <f ca="1">IF($D224&lt;&gt;"Serviço","",IF(AUTOEVENTO="Manual",IF($A224=0,"&lt;-- defina o número do agrupador",OFFSET(EVENTOS!$D$14,$A224,0)),OFFSET($F$15,$A224,0)))</f>
        <v>DRENAGEM</v>
      </c>
      <c r="O224" s="208"/>
      <c r="Q224" s="208"/>
      <c r="R224" s="209"/>
      <c r="S224" s="209"/>
      <c r="T224" s="209"/>
      <c r="U224" s="209"/>
      <c r="V224" s="209"/>
      <c r="W224" s="209"/>
      <c r="X224" s="209"/>
      <c r="Y224" s="209"/>
      <c r="Z224" s="210"/>
      <c r="AB224" s="626">
        <f ca="1">IF(AND($D224="Serviço",AB$12&lt;&gt;0,$H224&gt;0,OR(AUTOEVENTO&lt;&gt;"manual",$M224&lt;&gt;1)),
IF(Import.TipoArredondamento&lt;&gt;"TransfereGOV",
ROUND(OFFSET($P224,0,AB$13),15-13*ORÇAMENTO!$AF$7)/$H224*OFFSET(ORÇAMENTO!$X$15,ROW(AB224)-ROW(AB$15),0),
ROUND(ROUND(OFFSET($P224,0,AB$13),15-13*ORÇAMENTO!$AF$7)*OFFSET(ORÇAMENTO!$W$15,ROW(AB224)-ROW(AB$15),0),15-13*ORÇAMENTO!$AF$11)),0)</f>
        <v>0</v>
      </c>
      <c r="AC224" s="627">
        <f ca="1">IF(AND($D224="Serviço",AC$12&lt;&gt;0,$H224&gt;0,OR(AUTOEVENTO&lt;&gt;"manual",$M224&lt;&gt;1)),
IF(Import.TipoArredondamento&lt;&gt;"TransfereGOV",
ROUND(OFFSET($P224,0,AC$13),15-13*ORÇAMENTO!$AF$7)/$H224*OFFSET(ORÇAMENTO!$X$15,ROW(AC224)-ROW(AC$15),0),
ROUND(ROUND(OFFSET($P224,0,AC$13),15-13*ORÇAMENTO!$AF$7)*OFFSET(ORÇAMENTO!$W$15,ROW(AC224)-ROW(AC$15),0),15-13*ORÇAMENTO!$AF$11)),0)</f>
        <v>0</v>
      </c>
      <c r="AD224" s="627">
        <f ca="1">IF(AND($D224="Serviço",AD$12&lt;&gt;0,$H224&gt;0,OR(AUTOEVENTO&lt;&gt;"manual",$M224&lt;&gt;1)),
IF(Import.TipoArredondamento&lt;&gt;"TransfereGOV",
ROUND(OFFSET($P224,0,AD$13),15-13*ORÇAMENTO!$AF$7)/$H224*OFFSET(ORÇAMENTO!$X$15,ROW(AD224)-ROW(AD$15),0),
ROUND(ROUND(OFFSET($P224,0,AD$13),15-13*ORÇAMENTO!$AF$7)*OFFSET(ORÇAMENTO!$W$15,ROW(AD224)-ROW(AD$15),0),15-13*ORÇAMENTO!$AF$11)),0)</f>
        <v>0</v>
      </c>
      <c r="AE224" s="627">
        <f ca="1">IF(AND($D224="Serviço",AE$12&lt;&gt;0,$H224&gt;0,OR(AUTOEVENTO&lt;&gt;"manual",$M224&lt;&gt;1)),
IF(Import.TipoArredondamento&lt;&gt;"TransfereGOV",
ROUND(OFFSET($P224,0,AE$13),15-13*ORÇAMENTO!$AF$7)/$H224*OFFSET(ORÇAMENTO!$X$15,ROW(AE224)-ROW(AE$15),0),
ROUND(ROUND(OFFSET($P224,0,AE$13),15-13*ORÇAMENTO!$AF$7)*OFFSET(ORÇAMENTO!$W$15,ROW(AE224)-ROW(AE$15),0),15-13*ORÇAMENTO!$AF$11)),0)</f>
        <v>0</v>
      </c>
      <c r="AF224" s="627">
        <f ca="1">IF(AND($D224="Serviço",AF$12&lt;&gt;0,$H224&gt;0,OR(AUTOEVENTO&lt;&gt;"manual",$M224&lt;&gt;1)),
IF(Import.TipoArredondamento&lt;&gt;"TransfereGOV",
ROUND(OFFSET($P224,0,AF$13),15-13*ORÇAMENTO!$AF$7)/$H224*OFFSET(ORÇAMENTO!$X$15,ROW(AF224)-ROW(AF$15),0),
ROUND(ROUND(OFFSET($P224,0,AF$13),15-13*ORÇAMENTO!$AF$7)*OFFSET(ORÇAMENTO!$W$15,ROW(AF224)-ROW(AF$15),0),15-13*ORÇAMENTO!$AF$11)),0)</f>
        <v>0</v>
      </c>
      <c r="AG224" s="627">
        <f ca="1">IF(AND($D224="Serviço",AG$12&lt;&gt;0,$H224&gt;0,OR(AUTOEVENTO&lt;&gt;"manual",$M224&lt;&gt;1)),
IF(Import.TipoArredondamento&lt;&gt;"TransfereGOV",
ROUND(OFFSET($P224,0,AG$13),15-13*ORÇAMENTO!$AF$7)/$H224*OFFSET(ORÇAMENTO!$X$15,ROW(AG224)-ROW(AG$15),0),
ROUND(ROUND(OFFSET($P224,0,AG$13),15-13*ORÇAMENTO!$AF$7)*OFFSET(ORÇAMENTO!$W$15,ROW(AG224)-ROW(AG$15),0),15-13*ORÇAMENTO!$AF$11)),0)</f>
        <v>0</v>
      </c>
      <c r="AH224" s="627">
        <f ca="1">IF(AND($D224="Serviço",AH$12&lt;&gt;0,$H224&gt;0,OR(AUTOEVENTO&lt;&gt;"manual",$M224&lt;&gt;1)),
IF(Import.TipoArredondamento&lt;&gt;"TransfereGOV",
ROUND(OFFSET($P224,0,AH$13),15-13*ORÇAMENTO!$AF$7)/$H224*OFFSET(ORÇAMENTO!$X$15,ROW(AH224)-ROW(AH$15),0),
ROUND(ROUND(OFFSET($P224,0,AH$13),15-13*ORÇAMENTO!$AF$7)*OFFSET(ORÇAMENTO!$W$15,ROW(AH224)-ROW(AH$15),0),15-13*ORÇAMENTO!$AF$11)),0)</f>
        <v>0</v>
      </c>
      <c r="AI224" s="627">
        <f ca="1">IF(AND($D224="Serviço",AI$12&lt;&gt;0,$H224&gt;0,OR(AUTOEVENTO&lt;&gt;"manual",$M224&lt;&gt;1)),
IF(Import.TipoArredondamento&lt;&gt;"TransfereGOV",
ROUND(OFFSET($P224,0,AI$13),15-13*ORÇAMENTO!$AF$7)/$H224*OFFSET(ORÇAMENTO!$X$15,ROW(AI224)-ROW(AI$15),0),
ROUND(ROUND(OFFSET($P224,0,AI$13),15-13*ORÇAMENTO!$AF$7)*OFFSET(ORÇAMENTO!$W$15,ROW(AI224)-ROW(AI$15),0),15-13*ORÇAMENTO!$AF$11)),0)</f>
        <v>0</v>
      </c>
      <c r="AJ224" s="627">
        <f ca="1">IF(AND($D224="Serviço",AJ$12&lt;&gt;0,$H224&gt;0,OR(AUTOEVENTO&lt;&gt;"manual",$M224&lt;&gt;1)),
IF(Import.TipoArredondamento&lt;&gt;"TransfereGOV",
ROUND(OFFSET($P224,0,AJ$13),15-13*ORÇAMENTO!$AF$7)/$H224*OFFSET(ORÇAMENTO!$X$15,ROW(AJ224)-ROW(AJ$15),0),
ROUND(ROUND(OFFSET($P224,0,AJ$13),15-13*ORÇAMENTO!$AF$7)*OFFSET(ORÇAMENTO!$W$15,ROW(AJ224)-ROW(AJ$15),0),15-13*ORÇAMENTO!$AF$11)),0)</f>
        <v>0</v>
      </c>
      <c r="AK224" s="628">
        <f ca="1">IF(AND($D224="Serviço",AK$12&lt;&gt;0,$H224&gt;0,OR(AUTOEVENTO&lt;&gt;"manual",$M224&lt;&gt;1)),
IF(Import.TipoArredondamento&lt;&gt;"TransfereGOV",
ROUND(OFFSET($P224,0,AK$13),15-13*ORÇAMENTO!$AF$7)/$H224*OFFSET(ORÇAMENTO!$X$15,ROW(AK224)-ROW(AK$15),0),
ROUND(ROUND(OFFSET($P224,0,AK$13),15-13*ORÇAMENTO!$AF$7)*OFFSET(ORÇAMENTO!$W$15,ROW(AK224)-ROW(AK$15),0),15-13*ORÇAMENTO!$AF$11)),0)</f>
        <v>0</v>
      </c>
      <c r="AM224" s="211">
        <f ca="1">IF($D224&lt;&gt;"Serviço",0,IF(AND(AUTOEVENTO="Manual",$M224=1),0,IF(OFFSET(CRONOPLE!$F$14,$M224,AM$13)="",10^12,OFFSET(CRONOPLE!$F$14,$M224,AM$13))))</f>
        <v>2</v>
      </c>
      <c r="AN224" s="211">
        <f ca="1">IF($D224&lt;&gt;"Serviço",0,IF(AND(AUTOEVENTO="Manual",$M224=1),0,IF(OFFSET(CRONOPLE!$F$14,$M224,AN$13)="",10^12,OFFSET(CRONOPLE!$F$14,$M224,AN$13))))</f>
        <v>1</v>
      </c>
      <c r="AO224" s="211">
        <f ca="1">IF($D224&lt;&gt;"Serviço",0,IF(AND(AUTOEVENTO="Manual",$M224=1),0,IF(OFFSET(CRONOPLE!$F$14,$M224,AO$13)="",10^12,OFFSET(CRONOPLE!$F$14,$M224,AO$13))))</f>
        <v>2</v>
      </c>
      <c r="AP224" s="211">
        <f ca="1">IF($D224&lt;&gt;"Serviço",0,IF(AND(AUTOEVENTO="Manual",$M224=1),0,IF(OFFSET(CRONOPLE!$F$14,$M224,AP$13)="",10^12,OFFSET(CRONOPLE!$F$14,$M224,AP$13))))</f>
        <v>2</v>
      </c>
      <c r="AQ224" s="211">
        <f ca="1">IF($D224&lt;&gt;"Serviço",0,IF(AND(AUTOEVENTO="Manual",$M224=1),0,IF(OFFSET(CRONOPLE!$F$14,$M224,AQ$13)="",10^12,OFFSET(CRONOPLE!$F$14,$M224,AQ$13))))</f>
        <v>1000000000000</v>
      </c>
      <c r="AR224" s="211">
        <f ca="1">IF($D224&lt;&gt;"Serviço",0,IF(AND(AUTOEVENTO="Manual",$M224=1),0,IF(OFFSET(CRONOPLE!$F$14,$M224,AR$13)="",10^12,OFFSET(CRONOPLE!$F$14,$M224,AR$13))))</f>
        <v>1000000000000</v>
      </c>
      <c r="AS224" s="211">
        <f ca="1">IF($D224&lt;&gt;"Serviço",0,IF(AND(AUTOEVENTO="Manual",$M224=1),0,IF(OFFSET(CRONOPLE!$F$14,$M224,AS$13)="",10^12,OFFSET(CRONOPLE!$F$14,$M224,AS$13))))</f>
        <v>1000000000000</v>
      </c>
      <c r="AT224" s="211">
        <f ca="1">IF($D224&lt;&gt;"Serviço",0,IF(AND(AUTOEVENTO="Manual",$M224=1),0,IF(OFFSET(CRONOPLE!$F$14,$M224,AT$13)="",10^12,OFFSET(CRONOPLE!$F$14,$M224,AT$13))))</f>
        <v>1000000000000</v>
      </c>
      <c r="AU224" s="211">
        <f ca="1">IF($D224&lt;&gt;"Serviço",0,IF(AND(AUTOEVENTO="Manual",$M224=1),0,IF(OFFSET(CRONOPLE!$F$14,$M224,AU$13)="",10^12,OFFSET(CRONOPLE!$F$14,$M224,AU$13))))</f>
        <v>1000000000000</v>
      </c>
      <c r="AV224" s="211">
        <f ca="1">IF($D224&lt;&gt;"Serviço",0,IF(AND(AUTOEVENTO="Manual",$M224=1),0,IF(OFFSET(CRONOPLE!$F$14,$M224,AV$13)="",10^12,OFFSET(CRONOPLE!$F$14,$M224,AV$13))))</f>
        <v>1000000000000</v>
      </c>
      <c r="AX224" s="212">
        <f ca="1">IF($D224&lt;&gt;"Serviço",0,IF(OR(AND(AUTOEVENTO="Manual",$M224=1),$M224&gt;(ROW(PLE.lastrow)-ROW(PLE.firstrow))),0,IF(OFFSET(PLE!$G$14,$M224,AX$13)="",10^12,OFFSET(PLE!$G$14,$M224,AX$13))))</f>
        <v>1000000000000</v>
      </c>
      <c r="AY224" s="212">
        <f ca="1">IF($D224&lt;&gt;"Serviço",0,IF(OR(AND(AUTOEVENTO="Manual",$M224=1),$M224&gt;(ROW(PLE.lastrow)-ROW(PLE.firstrow))),0,IF(OFFSET(PLE!$G$14,$M224,AY$13)="",10^12,OFFSET(PLE!$G$14,$M224,AY$13))))</f>
        <v>1000000000000</v>
      </c>
      <c r="AZ224" s="212">
        <f ca="1">IF($D224&lt;&gt;"Serviço",0,IF(OR(AND(AUTOEVENTO="Manual",$M224=1),$M224&gt;(ROW(PLE.lastrow)-ROW(PLE.firstrow))),0,IF(OFFSET(PLE!$G$14,$M224,AZ$13)="",10^12,OFFSET(PLE!$G$14,$M224,AZ$13))))</f>
        <v>1000000000000</v>
      </c>
      <c r="BA224" s="212">
        <f ca="1">IF($D224&lt;&gt;"Serviço",0,IF(OR(AND(AUTOEVENTO="Manual",$M224=1),$M224&gt;(ROW(PLE.lastrow)-ROW(PLE.firstrow))),0,IF(OFFSET(PLE!$G$14,$M224,BA$13)="",10^12,OFFSET(PLE!$G$14,$M224,BA$13))))</f>
        <v>1000000000000</v>
      </c>
      <c r="BB224" s="212">
        <f ca="1">IF($D224&lt;&gt;"Serviço",0,IF(OR(AND(AUTOEVENTO="Manual",$M224=1),$M224&gt;(ROW(PLE.lastrow)-ROW(PLE.firstrow))),0,IF(OFFSET(PLE!$G$14,$M224,BB$13)="",10^12,OFFSET(PLE!$G$14,$M224,BB$13))))</f>
        <v>1000000000000</v>
      </c>
      <c r="BC224" s="212">
        <f ca="1">IF($D224&lt;&gt;"Serviço",0,IF(OR(AND(AUTOEVENTO="Manual",$M224=1),$M224&gt;(ROW(PLE.lastrow)-ROW(PLE.firstrow))),0,IF(OFFSET(PLE!$G$14,$M224,BC$13)="",10^12,OFFSET(PLE!$G$14,$M224,BC$13))))</f>
        <v>1000000000000</v>
      </c>
      <c r="BD224" s="212">
        <f ca="1">IF($D224&lt;&gt;"Serviço",0,IF(OR(AND(AUTOEVENTO="Manual",$M224=1),$M224&gt;(ROW(PLE.lastrow)-ROW(PLE.firstrow))),0,IF(OFFSET(PLE!$G$14,$M224,BD$13)="",10^12,OFFSET(PLE!$G$14,$M224,BD$13))))</f>
        <v>1000000000000</v>
      </c>
      <c r="BE224" s="212">
        <f ca="1">IF($D224&lt;&gt;"Serviço",0,IF(OR(AND(AUTOEVENTO="Manual",$M224=1),$M224&gt;(ROW(PLE.lastrow)-ROW(PLE.firstrow))),0,IF(OFFSET(PLE!$G$14,$M224,BE$13)="",10^12,OFFSET(PLE!$G$14,$M224,BE$13))))</f>
        <v>1000000000000</v>
      </c>
      <c r="BF224" s="212">
        <f ca="1">IF($D224&lt;&gt;"Serviço",0,IF(OR(AND(AUTOEVENTO="Manual",$M224=1),$M224&gt;(ROW(PLE.lastrow)-ROW(PLE.firstrow))),0,IF(OFFSET(PLE!$G$14,$M224,BF$13)="",10^12,OFFSET(PLE!$G$14,$M224,BF$13))))</f>
        <v>1000000000000</v>
      </c>
      <c r="BG224" s="212">
        <f ca="1">IF($D224&lt;&gt;"Serviço",0,IF(OR(AND(AUTOEVENTO="Manual",$M224=1),$M224&gt;(ROW(PLE.lastrow)-ROW(PLE.firstrow))),0,IF(OFFSET(PLE!$G$14,$M224,BG$13)="",10^12,OFFSET(PLE!$G$14,$M224,BG$13))))</f>
        <v>1000000000000</v>
      </c>
    </row>
    <row r="225" spans="1:59" ht="13.2">
      <c r="A225" s="9" t="str">
        <f t="shared" ca="1" si="12"/>
        <v>15</v>
      </c>
      <c r="B225" s="9" t="str">
        <f ca="1">OFFSET(ORÇAMENTO!C$15,ROW(B225)-ROW(B$15),0)</f>
        <v>S</v>
      </c>
      <c r="C225" s="9" t="str">
        <f ca="1">OFFSET(ORÇAMENTO!L$15,ROW(C225)-ROW(C$15),0)</f>
        <v/>
      </c>
      <c r="D225" s="141" t="str">
        <f ca="1">OFFSET(ORÇAMENTO!N$15,ROW(D225)-ROW(D$15),0)</f>
        <v>Serviço</v>
      </c>
      <c r="E225" s="201" t="str">
        <f ca="1">OFFSET(ORÇAMENTO!O$15,ROW(E225)-ROW(E$15),0)</f>
        <v>-</v>
      </c>
      <c r="F225" s="202" t="str">
        <f ca="1">OFFSET(ORÇAMENTO!R$15,ROW(F225)-ROW(F$15),0)</f>
        <v>(abra o arquivo 'Referência 11-2024.xlsm)</v>
      </c>
      <c r="G225" s="203" t="str">
        <f ca="1">IF($D225&lt;&gt;"Serviço","",OFFSET(ORÇAMENTO!S$15,ROW(G225)-ROW(G$15),0))</f>
        <v>-</v>
      </c>
      <c r="H225" s="147">
        <f ca="1">IF($D225&lt;&gt;"Serviço",0,IF(ACOMPANHAMENTO="BM",ROUND(OFFSET(ORÇAMENTO!AJ$15,ROW(H225)-ROW(H$15),0),15-13*ORÇAMENTO!$AF$7),SUMPRODUCT(($Q$12:$AA$12&lt;&gt;"")*ROUND($Q225:$AA225,15-13*ORÇAMENTO!$AF$7))))</f>
        <v>0</v>
      </c>
      <c r="I225" s="645"/>
      <c r="K225" s="204"/>
      <c r="L225" s="205" t="s">
        <v>255</v>
      </c>
      <c r="M225" s="206">
        <f ca="1">IF($D225&lt;&gt;"Serviço","",IF(AUTOEVENTO="manual",$A225,IF(ISERROR(MATCH($A225,$A$15:OFFSET($A225,-1,0),0)),MAX($M$15:OFFSET(M225,-1,0))+1,INDEX($M$15:OFFSET(M225,-1,0),MATCH($A225,$A$15:OFFSET($A225,-1,0),0)))))</f>
        <v>6</v>
      </c>
      <c r="N225" s="207" t="str">
        <f ca="1">IF($D225&lt;&gt;"Serviço","",IF(AUTOEVENTO="Manual",IF($A225=0,"&lt;-- defina o número do agrupador",OFFSET(EVENTOS!$D$14,$A225,0)),OFFSET($F$15,$A225,0)))</f>
        <v>DRENAGEM</v>
      </c>
      <c r="O225" s="208"/>
      <c r="Q225" s="208"/>
      <c r="R225" s="209"/>
      <c r="S225" s="209"/>
      <c r="T225" s="209"/>
      <c r="U225" s="209"/>
      <c r="V225" s="209"/>
      <c r="W225" s="209"/>
      <c r="X225" s="209"/>
      <c r="Y225" s="209"/>
      <c r="Z225" s="210"/>
      <c r="AB225" s="626">
        <f ca="1">IF(AND($D225="Serviço",AB$12&lt;&gt;0,$H225&gt;0,OR(AUTOEVENTO&lt;&gt;"manual",$M225&lt;&gt;1)),
IF(Import.TipoArredondamento&lt;&gt;"TransfereGOV",
ROUND(OFFSET($P225,0,AB$13),15-13*ORÇAMENTO!$AF$7)/$H225*OFFSET(ORÇAMENTO!$X$15,ROW(AB225)-ROW(AB$15),0),
ROUND(ROUND(OFFSET($P225,0,AB$13),15-13*ORÇAMENTO!$AF$7)*OFFSET(ORÇAMENTO!$W$15,ROW(AB225)-ROW(AB$15),0),15-13*ORÇAMENTO!$AF$11)),0)</f>
        <v>0</v>
      </c>
      <c r="AC225" s="627">
        <f ca="1">IF(AND($D225="Serviço",AC$12&lt;&gt;0,$H225&gt;0,OR(AUTOEVENTO&lt;&gt;"manual",$M225&lt;&gt;1)),
IF(Import.TipoArredondamento&lt;&gt;"TransfereGOV",
ROUND(OFFSET($P225,0,AC$13),15-13*ORÇAMENTO!$AF$7)/$H225*OFFSET(ORÇAMENTO!$X$15,ROW(AC225)-ROW(AC$15),0),
ROUND(ROUND(OFFSET($P225,0,AC$13),15-13*ORÇAMENTO!$AF$7)*OFFSET(ORÇAMENTO!$W$15,ROW(AC225)-ROW(AC$15),0),15-13*ORÇAMENTO!$AF$11)),0)</f>
        <v>0</v>
      </c>
      <c r="AD225" s="627">
        <f ca="1">IF(AND($D225="Serviço",AD$12&lt;&gt;0,$H225&gt;0,OR(AUTOEVENTO&lt;&gt;"manual",$M225&lt;&gt;1)),
IF(Import.TipoArredondamento&lt;&gt;"TransfereGOV",
ROUND(OFFSET($P225,0,AD$13),15-13*ORÇAMENTO!$AF$7)/$H225*OFFSET(ORÇAMENTO!$X$15,ROW(AD225)-ROW(AD$15),0),
ROUND(ROUND(OFFSET($P225,0,AD$13),15-13*ORÇAMENTO!$AF$7)*OFFSET(ORÇAMENTO!$W$15,ROW(AD225)-ROW(AD$15),0),15-13*ORÇAMENTO!$AF$11)),0)</f>
        <v>0</v>
      </c>
      <c r="AE225" s="627">
        <f ca="1">IF(AND($D225="Serviço",AE$12&lt;&gt;0,$H225&gt;0,OR(AUTOEVENTO&lt;&gt;"manual",$M225&lt;&gt;1)),
IF(Import.TipoArredondamento&lt;&gt;"TransfereGOV",
ROUND(OFFSET($P225,0,AE$13),15-13*ORÇAMENTO!$AF$7)/$H225*OFFSET(ORÇAMENTO!$X$15,ROW(AE225)-ROW(AE$15),0),
ROUND(ROUND(OFFSET($P225,0,AE$13),15-13*ORÇAMENTO!$AF$7)*OFFSET(ORÇAMENTO!$W$15,ROW(AE225)-ROW(AE$15),0),15-13*ORÇAMENTO!$AF$11)),0)</f>
        <v>0</v>
      </c>
      <c r="AF225" s="627">
        <f ca="1">IF(AND($D225="Serviço",AF$12&lt;&gt;0,$H225&gt;0,OR(AUTOEVENTO&lt;&gt;"manual",$M225&lt;&gt;1)),
IF(Import.TipoArredondamento&lt;&gt;"TransfereGOV",
ROUND(OFFSET($P225,0,AF$13),15-13*ORÇAMENTO!$AF$7)/$H225*OFFSET(ORÇAMENTO!$X$15,ROW(AF225)-ROW(AF$15),0),
ROUND(ROUND(OFFSET($P225,0,AF$13),15-13*ORÇAMENTO!$AF$7)*OFFSET(ORÇAMENTO!$W$15,ROW(AF225)-ROW(AF$15),0),15-13*ORÇAMENTO!$AF$11)),0)</f>
        <v>0</v>
      </c>
      <c r="AG225" s="627">
        <f ca="1">IF(AND($D225="Serviço",AG$12&lt;&gt;0,$H225&gt;0,OR(AUTOEVENTO&lt;&gt;"manual",$M225&lt;&gt;1)),
IF(Import.TipoArredondamento&lt;&gt;"TransfereGOV",
ROUND(OFFSET($P225,0,AG$13),15-13*ORÇAMENTO!$AF$7)/$H225*OFFSET(ORÇAMENTO!$X$15,ROW(AG225)-ROW(AG$15),0),
ROUND(ROUND(OFFSET($P225,0,AG$13),15-13*ORÇAMENTO!$AF$7)*OFFSET(ORÇAMENTO!$W$15,ROW(AG225)-ROW(AG$15),0),15-13*ORÇAMENTO!$AF$11)),0)</f>
        <v>0</v>
      </c>
      <c r="AH225" s="627">
        <f ca="1">IF(AND($D225="Serviço",AH$12&lt;&gt;0,$H225&gt;0,OR(AUTOEVENTO&lt;&gt;"manual",$M225&lt;&gt;1)),
IF(Import.TipoArredondamento&lt;&gt;"TransfereGOV",
ROUND(OFFSET($P225,0,AH$13),15-13*ORÇAMENTO!$AF$7)/$H225*OFFSET(ORÇAMENTO!$X$15,ROW(AH225)-ROW(AH$15),0),
ROUND(ROUND(OFFSET($P225,0,AH$13),15-13*ORÇAMENTO!$AF$7)*OFFSET(ORÇAMENTO!$W$15,ROW(AH225)-ROW(AH$15),0),15-13*ORÇAMENTO!$AF$11)),0)</f>
        <v>0</v>
      </c>
      <c r="AI225" s="627">
        <f ca="1">IF(AND($D225="Serviço",AI$12&lt;&gt;0,$H225&gt;0,OR(AUTOEVENTO&lt;&gt;"manual",$M225&lt;&gt;1)),
IF(Import.TipoArredondamento&lt;&gt;"TransfereGOV",
ROUND(OFFSET($P225,0,AI$13),15-13*ORÇAMENTO!$AF$7)/$H225*OFFSET(ORÇAMENTO!$X$15,ROW(AI225)-ROW(AI$15),0),
ROUND(ROUND(OFFSET($P225,0,AI$13),15-13*ORÇAMENTO!$AF$7)*OFFSET(ORÇAMENTO!$W$15,ROW(AI225)-ROW(AI$15),0),15-13*ORÇAMENTO!$AF$11)),0)</f>
        <v>0</v>
      </c>
      <c r="AJ225" s="627">
        <f ca="1">IF(AND($D225="Serviço",AJ$12&lt;&gt;0,$H225&gt;0,OR(AUTOEVENTO&lt;&gt;"manual",$M225&lt;&gt;1)),
IF(Import.TipoArredondamento&lt;&gt;"TransfereGOV",
ROUND(OFFSET($P225,0,AJ$13),15-13*ORÇAMENTO!$AF$7)/$H225*OFFSET(ORÇAMENTO!$X$15,ROW(AJ225)-ROW(AJ$15),0),
ROUND(ROUND(OFFSET($P225,0,AJ$13),15-13*ORÇAMENTO!$AF$7)*OFFSET(ORÇAMENTO!$W$15,ROW(AJ225)-ROW(AJ$15),0),15-13*ORÇAMENTO!$AF$11)),0)</f>
        <v>0</v>
      </c>
      <c r="AK225" s="628">
        <f ca="1">IF(AND($D225="Serviço",AK$12&lt;&gt;0,$H225&gt;0,OR(AUTOEVENTO&lt;&gt;"manual",$M225&lt;&gt;1)),
IF(Import.TipoArredondamento&lt;&gt;"TransfereGOV",
ROUND(OFFSET($P225,0,AK$13),15-13*ORÇAMENTO!$AF$7)/$H225*OFFSET(ORÇAMENTO!$X$15,ROW(AK225)-ROW(AK$15),0),
ROUND(ROUND(OFFSET($P225,0,AK$13),15-13*ORÇAMENTO!$AF$7)*OFFSET(ORÇAMENTO!$W$15,ROW(AK225)-ROW(AK$15),0),15-13*ORÇAMENTO!$AF$11)),0)</f>
        <v>0</v>
      </c>
      <c r="AM225" s="211">
        <f ca="1">IF($D225&lt;&gt;"Serviço",0,IF(AND(AUTOEVENTO="Manual",$M225=1),0,IF(OFFSET(CRONOPLE!$F$14,$M225,AM$13)="",10^12,OFFSET(CRONOPLE!$F$14,$M225,AM$13))))</f>
        <v>2</v>
      </c>
      <c r="AN225" s="211">
        <f ca="1">IF($D225&lt;&gt;"Serviço",0,IF(AND(AUTOEVENTO="Manual",$M225=1),0,IF(OFFSET(CRONOPLE!$F$14,$M225,AN$13)="",10^12,OFFSET(CRONOPLE!$F$14,$M225,AN$13))))</f>
        <v>1</v>
      </c>
      <c r="AO225" s="211">
        <f ca="1">IF($D225&lt;&gt;"Serviço",0,IF(AND(AUTOEVENTO="Manual",$M225=1),0,IF(OFFSET(CRONOPLE!$F$14,$M225,AO$13)="",10^12,OFFSET(CRONOPLE!$F$14,$M225,AO$13))))</f>
        <v>2</v>
      </c>
      <c r="AP225" s="211">
        <f ca="1">IF($D225&lt;&gt;"Serviço",0,IF(AND(AUTOEVENTO="Manual",$M225=1),0,IF(OFFSET(CRONOPLE!$F$14,$M225,AP$13)="",10^12,OFFSET(CRONOPLE!$F$14,$M225,AP$13))))</f>
        <v>2</v>
      </c>
      <c r="AQ225" s="211">
        <f ca="1">IF($D225&lt;&gt;"Serviço",0,IF(AND(AUTOEVENTO="Manual",$M225=1),0,IF(OFFSET(CRONOPLE!$F$14,$M225,AQ$13)="",10^12,OFFSET(CRONOPLE!$F$14,$M225,AQ$13))))</f>
        <v>1000000000000</v>
      </c>
      <c r="AR225" s="211">
        <f ca="1">IF($D225&lt;&gt;"Serviço",0,IF(AND(AUTOEVENTO="Manual",$M225=1),0,IF(OFFSET(CRONOPLE!$F$14,$M225,AR$13)="",10^12,OFFSET(CRONOPLE!$F$14,$M225,AR$13))))</f>
        <v>1000000000000</v>
      </c>
      <c r="AS225" s="211">
        <f ca="1">IF($D225&lt;&gt;"Serviço",0,IF(AND(AUTOEVENTO="Manual",$M225=1),0,IF(OFFSET(CRONOPLE!$F$14,$M225,AS$13)="",10^12,OFFSET(CRONOPLE!$F$14,$M225,AS$13))))</f>
        <v>1000000000000</v>
      </c>
      <c r="AT225" s="211">
        <f ca="1">IF($D225&lt;&gt;"Serviço",0,IF(AND(AUTOEVENTO="Manual",$M225=1),0,IF(OFFSET(CRONOPLE!$F$14,$M225,AT$13)="",10^12,OFFSET(CRONOPLE!$F$14,$M225,AT$13))))</f>
        <v>1000000000000</v>
      </c>
      <c r="AU225" s="211">
        <f ca="1">IF($D225&lt;&gt;"Serviço",0,IF(AND(AUTOEVENTO="Manual",$M225=1),0,IF(OFFSET(CRONOPLE!$F$14,$M225,AU$13)="",10^12,OFFSET(CRONOPLE!$F$14,$M225,AU$13))))</f>
        <v>1000000000000</v>
      </c>
      <c r="AV225" s="211">
        <f ca="1">IF($D225&lt;&gt;"Serviço",0,IF(AND(AUTOEVENTO="Manual",$M225=1),0,IF(OFFSET(CRONOPLE!$F$14,$M225,AV$13)="",10^12,OFFSET(CRONOPLE!$F$14,$M225,AV$13))))</f>
        <v>1000000000000</v>
      </c>
      <c r="AX225" s="212">
        <f ca="1">IF($D225&lt;&gt;"Serviço",0,IF(OR(AND(AUTOEVENTO="Manual",$M225=1),$M225&gt;(ROW(PLE.lastrow)-ROW(PLE.firstrow))),0,IF(OFFSET(PLE!$G$14,$M225,AX$13)="",10^12,OFFSET(PLE!$G$14,$M225,AX$13))))</f>
        <v>1000000000000</v>
      </c>
      <c r="AY225" s="212">
        <f ca="1">IF($D225&lt;&gt;"Serviço",0,IF(OR(AND(AUTOEVENTO="Manual",$M225=1),$M225&gt;(ROW(PLE.lastrow)-ROW(PLE.firstrow))),0,IF(OFFSET(PLE!$G$14,$M225,AY$13)="",10^12,OFFSET(PLE!$G$14,$M225,AY$13))))</f>
        <v>1000000000000</v>
      </c>
      <c r="AZ225" s="212">
        <f ca="1">IF($D225&lt;&gt;"Serviço",0,IF(OR(AND(AUTOEVENTO="Manual",$M225=1),$M225&gt;(ROW(PLE.lastrow)-ROW(PLE.firstrow))),0,IF(OFFSET(PLE!$G$14,$M225,AZ$13)="",10^12,OFFSET(PLE!$G$14,$M225,AZ$13))))</f>
        <v>1000000000000</v>
      </c>
      <c r="BA225" s="212">
        <f ca="1">IF($D225&lt;&gt;"Serviço",0,IF(OR(AND(AUTOEVENTO="Manual",$M225=1),$M225&gt;(ROW(PLE.lastrow)-ROW(PLE.firstrow))),0,IF(OFFSET(PLE!$G$14,$M225,BA$13)="",10^12,OFFSET(PLE!$G$14,$M225,BA$13))))</f>
        <v>1000000000000</v>
      </c>
      <c r="BB225" s="212">
        <f ca="1">IF($D225&lt;&gt;"Serviço",0,IF(OR(AND(AUTOEVENTO="Manual",$M225=1),$M225&gt;(ROW(PLE.lastrow)-ROW(PLE.firstrow))),0,IF(OFFSET(PLE!$G$14,$M225,BB$13)="",10^12,OFFSET(PLE!$G$14,$M225,BB$13))))</f>
        <v>1000000000000</v>
      </c>
      <c r="BC225" s="212">
        <f ca="1">IF($D225&lt;&gt;"Serviço",0,IF(OR(AND(AUTOEVENTO="Manual",$M225=1),$M225&gt;(ROW(PLE.lastrow)-ROW(PLE.firstrow))),0,IF(OFFSET(PLE!$G$14,$M225,BC$13)="",10^12,OFFSET(PLE!$G$14,$M225,BC$13))))</f>
        <v>1000000000000</v>
      </c>
      <c r="BD225" s="212">
        <f ca="1">IF($D225&lt;&gt;"Serviço",0,IF(OR(AND(AUTOEVENTO="Manual",$M225=1),$M225&gt;(ROW(PLE.lastrow)-ROW(PLE.firstrow))),0,IF(OFFSET(PLE!$G$14,$M225,BD$13)="",10^12,OFFSET(PLE!$G$14,$M225,BD$13))))</f>
        <v>1000000000000</v>
      </c>
      <c r="BE225" s="212">
        <f ca="1">IF($D225&lt;&gt;"Serviço",0,IF(OR(AND(AUTOEVENTO="Manual",$M225=1),$M225&gt;(ROW(PLE.lastrow)-ROW(PLE.firstrow))),0,IF(OFFSET(PLE!$G$14,$M225,BE$13)="",10^12,OFFSET(PLE!$G$14,$M225,BE$13))))</f>
        <v>1000000000000</v>
      </c>
      <c r="BF225" s="212">
        <f ca="1">IF($D225&lt;&gt;"Serviço",0,IF(OR(AND(AUTOEVENTO="Manual",$M225=1),$M225&gt;(ROW(PLE.lastrow)-ROW(PLE.firstrow))),0,IF(OFFSET(PLE!$G$14,$M225,BF$13)="",10^12,OFFSET(PLE!$G$14,$M225,BF$13))))</f>
        <v>1000000000000</v>
      </c>
      <c r="BG225" s="212">
        <f ca="1">IF($D225&lt;&gt;"Serviço",0,IF(OR(AND(AUTOEVENTO="Manual",$M225=1),$M225&gt;(ROW(PLE.lastrow)-ROW(PLE.firstrow))),0,IF(OFFSET(PLE!$G$14,$M225,BG$13)="",10^12,OFFSET(PLE!$G$14,$M225,BG$13))))</f>
        <v>1000000000000</v>
      </c>
    </row>
    <row r="226" spans="1:59" ht="13.2">
      <c r="A226" s="9" t="str">
        <f t="shared" ca="1" si="12"/>
        <v>15</v>
      </c>
      <c r="B226" s="9" t="str">
        <f ca="1">OFFSET(ORÇAMENTO!C$15,ROW(B226)-ROW(B$15),0)</f>
        <v>S</v>
      </c>
      <c r="C226" s="9" t="str">
        <f ca="1">OFFSET(ORÇAMENTO!L$15,ROW(C226)-ROW(C$15),0)</f>
        <v/>
      </c>
      <c r="D226" s="141" t="str">
        <f ca="1">OFFSET(ORÇAMENTO!N$15,ROW(D226)-ROW(D$15),0)</f>
        <v>Serviço</v>
      </c>
      <c r="E226" s="201" t="str">
        <f ca="1">OFFSET(ORÇAMENTO!O$15,ROW(E226)-ROW(E$15),0)</f>
        <v>-</v>
      </c>
      <c r="F226" s="202" t="str">
        <f ca="1">OFFSET(ORÇAMENTO!R$15,ROW(F226)-ROW(F$15),0)</f>
        <v>(abra o arquivo 'Referência 11-2024.xlsm)</v>
      </c>
      <c r="G226" s="203" t="str">
        <f ca="1">IF($D226&lt;&gt;"Serviço","",OFFSET(ORÇAMENTO!S$15,ROW(G226)-ROW(G$15),0))</f>
        <v>-</v>
      </c>
      <c r="H226" s="147">
        <f ca="1">IF($D226&lt;&gt;"Serviço",0,IF(ACOMPANHAMENTO="BM",ROUND(OFFSET(ORÇAMENTO!AJ$15,ROW(H226)-ROW(H$15),0),15-13*ORÇAMENTO!$AF$7),SUMPRODUCT(($Q$12:$AA$12&lt;&gt;"")*ROUND($Q226:$AA226,15-13*ORÇAMENTO!$AF$7))))</f>
        <v>0</v>
      </c>
      <c r="I226" s="645"/>
      <c r="K226" s="204"/>
      <c r="L226" s="205" t="s">
        <v>255</v>
      </c>
      <c r="M226" s="206">
        <f ca="1">IF($D226&lt;&gt;"Serviço","",IF(AUTOEVENTO="manual",$A226,IF(ISERROR(MATCH($A226,$A$15:OFFSET($A226,-1,0),0)),MAX($M$15:OFFSET(M226,-1,0))+1,INDEX($M$15:OFFSET(M226,-1,0),MATCH($A226,$A$15:OFFSET($A226,-1,0),0)))))</f>
        <v>6</v>
      </c>
      <c r="N226" s="207" t="str">
        <f ca="1">IF($D226&lt;&gt;"Serviço","",IF(AUTOEVENTO="Manual",IF($A226=0,"&lt;-- defina o número do agrupador",OFFSET(EVENTOS!$D$14,$A226,0)),OFFSET($F$15,$A226,0)))</f>
        <v>DRENAGEM</v>
      </c>
      <c r="O226" s="208"/>
      <c r="Q226" s="208"/>
      <c r="R226" s="209"/>
      <c r="S226" s="209"/>
      <c r="T226" s="209"/>
      <c r="U226" s="209"/>
      <c r="V226" s="209"/>
      <c r="W226" s="209"/>
      <c r="X226" s="209"/>
      <c r="Y226" s="209"/>
      <c r="Z226" s="210"/>
      <c r="AB226" s="626">
        <f ca="1">IF(AND($D226="Serviço",AB$12&lt;&gt;0,$H226&gt;0,OR(AUTOEVENTO&lt;&gt;"manual",$M226&lt;&gt;1)),
IF(Import.TipoArredondamento&lt;&gt;"TransfereGOV",
ROUND(OFFSET($P226,0,AB$13),15-13*ORÇAMENTO!$AF$7)/$H226*OFFSET(ORÇAMENTO!$X$15,ROW(AB226)-ROW(AB$15),0),
ROUND(ROUND(OFFSET($P226,0,AB$13),15-13*ORÇAMENTO!$AF$7)*OFFSET(ORÇAMENTO!$W$15,ROW(AB226)-ROW(AB$15),0),15-13*ORÇAMENTO!$AF$11)),0)</f>
        <v>0</v>
      </c>
      <c r="AC226" s="627">
        <f ca="1">IF(AND($D226="Serviço",AC$12&lt;&gt;0,$H226&gt;0,OR(AUTOEVENTO&lt;&gt;"manual",$M226&lt;&gt;1)),
IF(Import.TipoArredondamento&lt;&gt;"TransfereGOV",
ROUND(OFFSET($P226,0,AC$13),15-13*ORÇAMENTO!$AF$7)/$H226*OFFSET(ORÇAMENTO!$X$15,ROW(AC226)-ROW(AC$15),0),
ROUND(ROUND(OFFSET($P226,0,AC$13),15-13*ORÇAMENTO!$AF$7)*OFFSET(ORÇAMENTO!$W$15,ROW(AC226)-ROW(AC$15),0),15-13*ORÇAMENTO!$AF$11)),0)</f>
        <v>0</v>
      </c>
      <c r="AD226" s="627">
        <f ca="1">IF(AND($D226="Serviço",AD$12&lt;&gt;0,$H226&gt;0,OR(AUTOEVENTO&lt;&gt;"manual",$M226&lt;&gt;1)),
IF(Import.TipoArredondamento&lt;&gt;"TransfereGOV",
ROUND(OFFSET($P226,0,AD$13),15-13*ORÇAMENTO!$AF$7)/$H226*OFFSET(ORÇAMENTO!$X$15,ROW(AD226)-ROW(AD$15),0),
ROUND(ROUND(OFFSET($P226,0,AD$13),15-13*ORÇAMENTO!$AF$7)*OFFSET(ORÇAMENTO!$W$15,ROW(AD226)-ROW(AD$15),0),15-13*ORÇAMENTO!$AF$11)),0)</f>
        <v>0</v>
      </c>
      <c r="AE226" s="627">
        <f ca="1">IF(AND($D226="Serviço",AE$12&lt;&gt;0,$H226&gt;0,OR(AUTOEVENTO&lt;&gt;"manual",$M226&lt;&gt;1)),
IF(Import.TipoArredondamento&lt;&gt;"TransfereGOV",
ROUND(OFFSET($P226,0,AE$13),15-13*ORÇAMENTO!$AF$7)/$H226*OFFSET(ORÇAMENTO!$X$15,ROW(AE226)-ROW(AE$15),0),
ROUND(ROUND(OFFSET($P226,0,AE$13),15-13*ORÇAMENTO!$AF$7)*OFFSET(ORÇAMENTO!$W$15,ROW(AE226)-ROW(AE$15),0),15-13*ORÇAMENTO!$AF$11)),0)</f>
        <v>0</v>
      </c>
      <c r="AF226" s="627">
        <f ca="1">IF(AND($D226="Serviço",AF$12&lt;&gt;0,$H226&gt;0,OR(AUTOEVENTO&lt;&gt;"manual",$M226&lt;&gt;1)),
IF(Import.TipoArredondamento&lt;&gt;"TransfereGOV",
ROUND(OFFSET($P226,0,AF$13),15-13*ORÇAMENTO!$AF$7)/$H226*OFFSET(ORÇAMENTO!$X$15,ROW(AF226)-ROW(AF$15),0),
ROUND(ROUND(OFFSET($P226,0,AF$13),15-13*ORÇAMENTO!$AF$7)*OFFSET(ORÇAMENTO!$W$15,ROW(AF226)-ROW(AF$15),0),15-13*ORÇAMENTO!$AF$11)),0)</f>
        <v>0</v>
      </c>
      <c r="AG226" s="627">
        <f ca="1">IF(AND($D226="Serviço",AG$12&lt;&gt;0,$H226&gt;0,OR(AUTOEVENTO&lt;&gt;"manual",$M226&lt;&gt;1)),
IF(Import.TipoArredondamento&lt;&gt;"TransfereGOV",
ROUND(OFFSET($P226,0,AG$13),15-13*ORÇAMENTO!$AF$7)/$H226*OFFSET(ORÇAMENTO!$X$15,ROW(AG226)-ROW(AG$15),0),
ROUND(ROUND(OFFSET($P226,0,AG$13),15-13*ORÇAMENTO!$AF$7)*OFFSET(ORÇAMENTO!$W$15,ROW(AG226)-ROW(AG$15),0),15-13*ORÇAMENTO!$AF$11)),0)</f>
        <v>0</v>
      </c>
      <c r="AH226" s="627">
        <f ca="1">IF(AND($D226="Serviço",AH$12&lt;&gt;0,$H226&gt;0,OR(AUTOEVENTO&lt;&gt;"manual",$M226&lt;&gt;1)),
IF(Import.TipoArredondamento&lt;&gt;"TransfereGOV",
ROUND(OFFSET($P226,0,AH$13),15-13*ORÇAMENTO!$AF$7)/$H226*OFFSET(ORÇAMENTO!$X$15,ROW(AH226)-ROW(AH$15),0),
ROUND(ROUND(OFFSET($P226,0,AH$13),15-13*ORÇAMENTO!$AF$7)*OFFSET(ORÇAMENTO!$W$15,ROW(AH226)-ROW(AH$15),0),15-13*ORÇAMENTO!$AF$11)),0)</f>
        <v>0</v>
      </c>
      <c r="AI226" s="627">
        <f ca="1">IF(AND($D226="Serviço",AI$12&lt;&gt;0,$H226&gt;0,OR(AUTOEVENTO&lt;&gt;"manual",$M226&lt;&gt;1)),
IF(Import.TipoArredondamento&lt;&gt;"TransfereGOV",
ROUND(OFFSET($P226,0,AI$13),15-13*ORÇAMENTO!$AF$7)/$H226*OFFSET(ORÇAMENTO!$X$15,ROW(AI226)-ROW(AI$15),0),
ROUND(ROUND(OFFSET($P226,0,AI$13),15-13*ORÇAMENTO!$AF$7)*OFFSET(ORÇAMENTO!$W$15,ROW(AI226)-ROW(AI$15),0),15-13*ORÇAMENTO!$AF$11)),0)</f>
        <v>0</v>
      </c>
      <c r="AJ226" s="627">
        <f ca="1">IF(AND($D226="Serviço",AJ$12&lt;&gt;0,$H226&gt;0,OR(AUTOEVENTO&lt;&gt;"manual",$M226&lt;&gt;1)),
IF(Import.TipoArredondamento&lt;&gt;"TransfereGOV",
ROUND(OFFSET($P226,0,AJ$13),15-13*ORÇAMENTO!$AF$7)/$H226*OFFSET(ORÇAMENTO!$X$15,ROW(AJ226)-ROW(AJ$15),0),
ROUND(ROUND(OFFSET($P226,0,AJ$13),15-13*ORÇAMENTO!$AF$7)*OFFSET(ORÇAMENTO!$W$15,ROW(AJ226)-ROW(AJ$15),0),15-13*ORÇAMENTO!$AF$11)),0)</f>
        <v>0</v>
      </c>
      <c r="AK226" s="628">
        <f ca="1">IF(AND($D226="Serviço",AK$12&lt;&gt;0,$H226&gt;0,OR(AUTOEVENTO&lt;&gt;"manual",$M226&lt;&gt;1)),
IF(Import.TipoArredondamento&lt;&gt;"TransfereGOV",
ROUND(OFFSET($P226,0,AK$13),15-13*ORÇAMENTO!$AF$7)/$H226*OFFSET(ORÇAMENTO!$X$15,ROW(AK226)-ROW(AK$15),0),
ROUND(ROUND(OFFSET($P226,0,AK$13),15-13*ORÇAMENTO!$AF$7)*OFFSET(ORÇAMENTO!$W$15,ROW(AK226)-ROW(AK$15),0),15-13*ORÇAMENTO!$AF$11)),0)</f>
        <v>0</v>
      </c>
      <c r="AM226" s="211">
        <f ca="1">IF($D226&lt;&gt;"Serviço",0,IF(AND(AUTOEVENTO="Manual",$M226=1),0,IF(OFFSET(CRONOPLE!$F$14,$M226,AM$13)="",10^12,OFFSET(CRONOPLE!$F$14,$M226,AM$13))))</f>
        <v>2</v>
      </c>
      <c r="AN226" s="211">
        <f ca="1">IF($D226&lt;&gt;"Serviço",0,IF(AND(AUTOEVENTO="Manual",$M226=1),0,IF(OFFSET(CRONOPLE!$F$14,$M226,AN$13)="",10^12,OFFSET(CRONOPLE!$F$14,$M226,AN$13))))</f>
        <v>1</v>
      </c>
      <c r="AO226" s="211">
        <f ca="1">IF($D226&lt;&gt;"Serviço",0,IF(AND(AUTOEVENTO="Manual",$M226=1),0,IF(OFFSET(CRONOPLE!$F$14,$M226,AO$13)="",10^12,OFFSET(CRONOPLE!$F$14,$M226,AO$13))))</f>
        <v>2</v>
      </c>
      <c r="AP226" s="211">
        <f ca="1">IF($D226&lt;&gt;"Serviço",0,IF(AND(AUTOEVENTO="Manual",$M226=1),0,IF(OFFSET(CRONOPLE!$F$14,$M226,AP$13)="",10^12,OFFSET(CRONOPLE!$F$14,$M226,AP$13))))</f>
        <v>2</v>
      </c>
      <c r="AQ226" s="211">
        <f ca="1">IF($D226&lt;&gt;"Serviço",0,IF(AND(AUTOEVENTO="Manual",$M226=1),0,IF(OFFSET(CRONOPLE!$F$14,$M226,AQ$13)="",10^12,OFFSET(CRONOPLE!$F$14,$M226,AQ$13))))</f>
        <v>1000000000000</v>
      </c>
      <c r="AR226" s="211">
        <f ca="1">IF($D226&lt;&gt;"Serviço",0,IF(AND(AUTOEVENTO="Manual",$M226=1),0,IF(OFFSET(CRONOPLE!$F$14,$M226,AR$13)="",10^12,OFFSET(CRONOPLE!$F$14,$M226,AR$13))))</f>
        <v>1000000000000</v>
      </c>
      <c r="AS226" s="211">
        <f ca="1">IF($D226&lt;&gt;"Serviço",0,IF(AND(AUTOEVENTO="Manual",$M226=1),0,IF(OFFSET(CRONOPLE!$F$14,$M226,AS$13)="",10^12,OFFSET(CRONOPLE!$F$14,$M226,AS$13))))</f>
        <v>1000000000000</v>
      </c>
      <c r="AT226" s="211">
        <f ca="1">IF($D226&lt;&gt;"Serviço",0,IF(AND(AUTOEVENTO="Manual",$M226=1),0,IF(OFFSET(CRONOPLE!$F$14,$M226,AT$13)="",10^12,OFFSET(CRONOPLE!$F$14,$M226,AT$13))))</f>
        <v>1000000000000</v>
      </c>
      <c r="AU226" s="211">
        <f ca="1">IF($D226&lt;&gt;"Serviço",0,IF(AND(AUTOEVENTO="Manual",$M226=1),0,IF(OFFSET(CRONOPLE!$F$14,$M226,AU$13)="",10^12,OFFSET(CRONOPLE!$F$14,$M226,AU$13))))</f>
        <v>1000000000000</v>
      </c>
      <c r="AV226" s="211">
        <f ca="1">IF($D226&lt;&gt;"Serviço",0,IF(AND(AUTOEVENTO="Manual",$M226=1),0,IF(OFFSET(CRONOPLE!$F$14,$M226,AV$13)="",10^12,OFFSET(CRONOPLE!$F$14,$M226,AV$13))))</f>
        <v>1000000000000</v>
      </c>
      <c r="AX226" s="212">
        <f ca="1">IF($D226&lt;&gt;"Serviço",0,IF(OR(AND(AUTOEVENTO="Manual",$M226=1),$M226&gt;(ROW(PLE.lastrow)-ROW(PLE.firstrow))),0,IF(OFFSET(PLE!$G$14,$M226,AX$13)="",10^12,OFFSET(PLE!$G$14,$M226,AX$13))))</f>
        <v>1000000000000</v>
      </c>
      <c r="AY226" s="212">
        <f ca="1">IF($D226&lt;&gt;"Serviço",0,IF(OR(AND(AUTOEVENTO="Manual",$M226=1),$M226&gt;(ROW(PLE.lastrow)-ROW(PLE.firstrow))),0,IF(OFFSET(PLE!$G$14,$M226,AY$13)="",10^12,OFFSET(PLE!$G$14,$M226,AY$13))))</f>
        <v>1000000000000</v>
      </c>
      <c r="AZ226" s="212">
        <f ca="1">IF($D226&lt;&gt;"Serviço",0,IF(OR(AND(AUTOEVENTO="Manual",$M226=1),$M226&gt;(ROW(PLE.lastrow)-ROW(PLE.firstrow))),0,IF(OFFSET(PLE!$G$14,$M226,AZ$13)="",10^12,OFFSET(PLE!$G$14,$M226,AZ$13))))</f>
        <v>1000000000000</v>
      </c>
      <c r="BA226" s="212">
        <f ca="1">IF($D226&lt;&gt;"Serviço",0,IF(OR(AND(AUTOEVENTO="Manual",$M226=1),$M226&gt;(ROW(PLE.lastrow)-ROW(PLE.firstrow))),0,IF(OFFSET(PLE!$G$14,$M226,BA$13)="",10^12,OFFSET(PLE!$G$14,$M226,BA$13))))</f>
        <v>1000000000000</v>
      </c>
      <c r="BB226" s="212">
        <f ca="1">IF($D226&lt;&gt;"Serviço",0,IF(OR(AND(AUTOEVENTO="Manual",$M226=1),$M226&gt;(ROW(PLE.lastrow)-ROW(PLE.firstrow))),0,IF(OFFSET(PLE!$G$14,$M226,BB$13)="",10^12,OFFSET(PLE!$G$14,$M226,BB$13))))</f>
        <v>1000000000000</v>
      </c>
      <c r="BC226" s="212">
        <f ca="1">IF($D226&lt;&gt;"Serviço",0,IF(OR(AND(AUTOEVENTO="Manual",$M226=1),$M226&gt;(ROW(PLE.lastrow)-ROW(PLE.firstrow))),0,IF(OFFSET(PLE!$G$14,$M226,BC$13)="",10^12,OFFSET(PLE!$G$14,$M226,BC$13))))</f>
        <v>1000000000000</v>
      </c>
      <c r="BD226" s="212">
        <f ca="1">IF($D226&lt;&gt;"Serviço",0,IF(OR(AND(AUTOEVENTO="Manual",$M226=1),$M226&gt;(ROW(PLE.lastrow)-ROW(PLE.firstrow))),0,IF(OFFSET(PLE!$G$14,$M226,BD$13)="",10^12,OFFSET(PLE!$G$14,$M226,BD$13))))</f>
        <v>1000000000000</v>
      </c>
      <c r="BE226" s="212">
        <f ca="1">IF($D226&lt;&gt;"Serviço",0,IF(OR(AND(AUTOEVENTO="Manual",$M226=1),$M226&gt;(ROW(PLE.lastrow)-ROW(PLE.firstrow))),0,IF(OFFSET(PLE!$G$14,$M226,BE$13)="",10^12,OFFSET(PLE!$G$14,$M226,BE$13))))</f>
        <v>1000000000000</v>
      </c>
      <c r="BF226" s="212">
        <f ca="1">IF($D226&lt;&gt;"Serviço",0,IF(OR(AND(AUTOEVENTO="Manual",$M226=1),$M226&gt;(ROW(PLE.lastrow)-ROW(PLE.firstrow))),0,IF(OFFSET(PLE!$G$14,$M226,BF$13)="",10^12,OFFSET(PLE!$G$14,$M226,BF$13))))</f>
        <v>1000000000000</v>
      </c>
      <c r="BG226" s="212">
        <f ca="1">IF($D226&lt;&gt;"Serviço",0,IF(OR(AND(AUTOEVENTO="Manual",$M226=1),$M226&gt;(ROW(PLE.lastrow)-ROW(PLE.firstrow))),0,IF(OFFSET(PLE!$G$14,$M226,BG$13)="",10^12,OFFSET(PLE!$G$14,$M226,BG$13))))</f>
        <v>1000000000000</v>
      </c>
    </row>
    <row r="227" spans="1:59" ht="13.2">
      <c r="A227" s="9" t="str">
        <f t="shared" ca="1" si="12"/>
        <v>15</v>
      </c>
      <c r="B227" s="9" t="str">
        <f ca="1">OFFSET(ORÇAMENTO!C$15,ROW(B227)-ROW(B$15),0)</f>
        <v>S</v>
      </c>
      <c r="C227" s="9" t="str">
        <f ca="1">OFFSET(ORÇAMENTO!L$15,ROW(C227)-ROW(C$15),0)</f>
        <v/>
      </c>
      <c r="D227" s="141" t="str">
        <f ca="1">OFFSET(ORÇAMENTO!N$15,ROW(D227)-ROW(D$15),0)</f>
        <v>Serviço</v>
      </c>
      <c r="E227" s="201" t="str">
        <f ca="1">OFFSET(ORÇAMENTO!O$15,ROW(E227)-ROW(E$15),0)</f>
        <v>-</v>
      </c>
      <c r="F227" s="202" t="str">
        <f ca="1">OFFSET(ORÇAMENTO!R$15,ROW(F227)-ROW(F$15),0)</f>
        <v>(abra o arquivo 'Referência 11-2024.xlsm)</v>
      </c>
      <c r="G227" s="203" t="str">
        <f ca="1">IF($D227&lt;&gt;"Serviço","",OFFSET(ORÇAMENTO!S$15,ROW(G227)-ROW(G$15),0))</f>
        <v>-</v>
      </c>
      <c r="H227" s="147">
        <f ca="1">IF($D227&lt;&gt;"Serviço",0,IF(ACOMPANHAMENTO="BM",ROUND(OFFSET(ORÇAMENTO!AJ$15,ROW(H227)-ROW(H$15),0),15-13*ORÇAMENTO!$AF$7),SUMPRODUCT(($Q$12:$AA$12&lt;&gt;"")*ROUND($Q227:$AA227,15-13*ORÇAMENTO!$AF$7))))</f>
        <v>0</v>
      </c>
      <c r="I227" s="645"/>
      <c r="K227" s="204"/>
      <c r="L227" s="205" t="s">
        <v>255</v>
      </c>
      <c r="M227" s="206">
        <f ca="1">IF($D227&lt;&gt;"Serviço","",IF(AUTOEVENTO="manual",$A227,IF(ISERROR(MATCH($A227,$A$15:OFFSET($A227,-1,0),0)),MAX($M$15:OFFSET(M227,-1,0))+1,INDEX($M$15:OFFSET(M227,-1,0),MATCH($A227,$A$15:OFFSET($A227,-1,0),0)))))</f>
        <v>6</v>
      </c>
      <c r="N227" s="207" t="str">
        <f ca="1">IF($D227&lt;&gt;"Serviço","",IF(AUTOEVENTO="Manual",IF($A227=0,"&lt;-- defina o número do agrupador",OFFSET(EVENTOS!$D$14,$A227,0)),OFFSET($F$15,$A227,0)))</f>
        <v>DRENAGEM</v>
      </c>
      <c r="O227" s="208"/>
      <c r="Q227" s="208"/>
      <c r="R227" s="209"/>
      <c r="S227" s="209"/>
      <c r="T227" s="209"/>
      <c r="U227" s="209"/>
      <c r="V227" s="209"/>
      <c r="W227" s="209"/>
      <c r="X227" s="209"/>
      <c r="Y227" s="209"/>
      <c r="Z227" s="210"/>
      <c r="AB227" s="626">
        <f ca="1">IF(AND($D227="Serviço",AB$12&lt;&gt;0,$H227&gt;0,OR(AUTOEVENTO&lt;&gt;"manual",$M227&lt;&gt;1)),
IF(Import.TipoArredondamento&lt;&gt;"TransfereGOV",
ROUND(OFFSET($P227,0,AB$13),15-13*ORÇAMENTO!$AF$7)/$H227*OFFSET(ORÇAMENTO!$X$15,ROW(AB227)-ROW(AB$15),0),
ROUND(ROUND(OFFSET($P227,0,AB$13),15-13*ORÇAMENTO!$AF$7)*OFFSET(ORÇAMENTO!$W$15,ROW(AB227)-ROW(AB$15),0),15-13*ORÇAMENTO!$AF$11)),0)</f>
        <v>0</v>
      </c>
      <c r="AC227" s="627">
        <f ca="1">IF(AND($D227="Serviço",AC$12&lt;&gt;0,$H227&gt;0,OR(AUTOEVENTO&lt;&gt;"manual",$M227&lt;&gt;1)),
IF(Import.TipoArredondamento&lt;&gt;"TransfereGOV",
ROUND(OFFSET($P227,0,AC$13),15-13*ORÇAMENTO!$AF$7)/$H227*OFFSET(ORÇAMENTO!$X$15,ROW(AC227)-ROW(AC$15),0),
ROUND(ROUND(OFFSET($P227,0,AC$13),15-13*ORÇAMENTO!$AF$7)*OFFSET(ORÇAMENTO!$W$15,ROW(AC227)-ROW(AC$15),0),15-13*ORÇAMENTO!$AF$11)),0)</f>
        <v>0</v>
      </c>
      <c r="AD227" s="627">
        <f ca="1">IF(AND($D227="Serviço",AD$12&lt;&gt;0,$H227&gt;0,OR(AUTOEVENTO&lt;&gt;"manual",$M227&lt;&gt;1)),
IF(Import.TipoArredondamento&lt;&gt;"TransfereGOV",
ROUND(OFFSET($P227,0,AD$13),15-13*ORÇAMENTO!$AF$7)/$H227*OFFSET(ORÇAMENTO!$X$15,ROW(AD227)-ROW(AD$15),0),
ROUND(ROUND(OFFSET($P227,0,AD$13),15-13*ORÇAMENTO!$AF$7)*OFFSET(ORÇAMENTO!$W$15,ROW(AD227)-ROW(AD$15),0),15-13*ORÇAMENTO!$AF$11)),0)</f>
        <v>0</v>
      </c>
      <c r="AE227" s="627">
        <f ca="1">IF(AND($D227="Serviço",AE$12&lt;&gt;0,$H227&gt;0,OR(AUTOEVENTO&lt;&gt;"manual",$M227&lt;&gt;1)),
IF(Import.TipoArredondamento&lt;&gt;"TransfereGOV",
ROUND(OFFSET($P227,0,AE$13),15-13*ORÇAMENTO!$AF$7)/$H227*OFFSET(ORÇAMENTO!$X$15,ROW(AE227)-ROW(AE$15),0),
ROUND(ROUND(OFFSET($P227,0,AE$13),15-13*ORÇAMENTO!$AF$7)*OFFSET(ORÇAMENTO!$W$15,ROW(AE227)-ROW(AE$15),0),15-13*ORÇAMENTO!$AF$11)),0)</f>
        <v>0</v>
      </c>
      <c r="AF227" s="627">
        <f ca="1">IF(AND($D227="Serviço",AF$12&lt;&gt;0,$H227&gt;0,OR(AUTOEVENTO&lt;&gt;"manual",$M227&lt;&gt;1)),
IF(Import.TipoArredondamento&lt;&gt;"TransfereGOV",
ROUND(OFFSET($P227,0,AF$13),15-13*ORÇAMENTO!$AF$7)/$H227*OFFSET(ORÇAMENTO!$X$15,ROW(AF227)-ROW(AF$15),0),
ROUND(ROUND(OFFSET($P227,0,AF$13),15-13*ORÇAMENTO!$AF$7)*OFFSET(ORÇAMENTO!$W$15,ROW(AF227)-ROW(AF$15),0),15-13*ORÇAMENTO!$AF$11)),0)</f>
        <v>0</v>
      </c>
      <c r="AG227" s="627">
        <f ca="1">IF(AND($D227="Serviço",AG$12&lt;&gt;0,$H227&gt;0,OR(AUTOEVENTO&lt;&gt;"manual",$M227&lt;&gt;1)),
IF(Import.TipoArredondamento&lt;&gt;"TransfereGOV",
ROUND(OFFSET($P227,0,AG$13),15-13*ORÇAMENTO!$AF$7)/$H227*OFFSET(ORÇAMENTO!$X$15,ROW(AG227)-ROW(AG$15),0),
ROUND(ROUND(OFFSET($P227,0,AG$13),15-13*ORÇAMENTO!$AF$7)*OFFSET(ORÇAMENTO!$W$15,ROW(AG227)-ROW(AG$15),0),15-13*ORÇAMENTO!$AF$11)),0)</f>
        <v>0</v>
      </c>
      <c r="AH227" s="627">
        <f ca="1">IF(AND($D227="Serviço",AH$12&lt;&gt;0,$H227&gt;0,OR(AUTOEVENTO&lt;&gt;"manual",$M227&lt;&gt;1)),
IF(Import.TipoArredondamento&lt;&gt;"TransfereGOV",
ROUND(OFFSET($P227,0,AH$13),15-13*ORÇAMENTO!$AF$7)/$H227*OFFSET(ORÇAMENTO!$X$15,ROW(AH227)-ROW(AH$15),0),
ROUND(ROUND(OFFSET($P227,0,AH$13),15-13*ORÇAMENTO!$AF$7)*OFFSET(ORÇAMENTO!$W$15,ROW(AH227)-ROW(AH$15),0),15-13*ORÇAMENTO!$AF$11)),0)</f>
        <v>0</v>
      </c>
      <c r="AI227" s="627">
        <f ca="1">IF(AND($D227="Serviço",AI$12&lt;&gt;0,$H227&gt;0,OR(AUTOEVENTO&lt;&gt;"manual",$M227&lt;&gt;1)),
IF(Import.TipoArredondamento&lt;&gt;"TransfereGOV",
ROUND(OFFSET($P227,0,AI$13),15-13*ORÇAMENTO!$AF$7)/$H227*OFFSET(ORÇAMENTO!$X$15,ROW(AI227)-ROW(AI$15),0),
ROUND(ROUND(OFFSET($P227,0,AI$13),15-13*ORÇAMENTO!$AF$7)*OFFSET(ORÇAMENTO!$W$15,ROW(AI227)-ROW(AI$15),0),15-13*ORÇAMENTO!$AF$11)),0)</f>
        <v>0</v>
      </c>
      <c r="AJ227" s="627">
        <f ca="1">IF(AND($D227="Serviço",AJ$12&lt;&gt;0,$H227&gt;0,OR(AUTOEVENTO&lt;&gt;"manual",$M227&lt;&gt;1)),
IF(Import.TipoArredondamento&lt;&gt;"TransfereGOV",
ROUND(OFFSET($P227,0,AJ$13),15-13*ORÇAMENTO!$AF$7)/$H227*OFFSET(ORÇAMENTO!$X$15,ROW(AJ227)-ROW(AJ$15),0),
ROUND(ROUND(OFFSET($P227,0,AJ$13),15-13*ORÇAMENTO!$AF$7)*OFFSET(ORÇAMENTO!$W$15,ROW(AJ227)-ROW(AJ$15),0),15-13*ORÇAMENTO!$AF$11)),0)</f>
        <v>0</v>
      </c>
      <c r="AK227" s="628">
        <f ca="1">IF(AND($D227="Serviço",AK$12&lt;&gt;0,$H227&gt;0,OR(AUTOEVENTO&lt;&gt;"manual",$M227&lt;&gt;1)),
IF(Import.TipoArredondamento&lt;&gt;"TransfereGOV",
ROUND(OFFSET($P227,0,AK$13),15-13*ORÇAMENTO!$AF$7)/$H227*OFFSET(ORÇAMENTO!$X$15,ROW(AK227)-ROW(AK$15),0),
ROUND(ROUND(OFFSET($P227,0,AK$13),15-13*ORÇAMENTO!$AF$7)*OFFSET(ORÇAMENTO!$W$15,ROW(AK227)-ROW(AK$15),0),15-13*ORÇAMENTO!$AF$11)),0)</f>
        <v>0</v>
      </c>
      <c r="AM227" s="211">
        <f ca="1">IF($D227&lt;&gt;"Serviço",0,IF(AND(AUTOEVENTO="Manual",$M227=1),0,IF(OFFSET(CRONOPLE!$F$14,$M227,AM$13)="",10^12,OFFSET(CRONOPLE!$F$14,$M227,AM$13))))</f>
        <v>2</v>
      </c>
      <c r="AN227" s="211">
        <f ca="1">IF($D227&lt;&gt;"Serviço",0,IF(AND(AUTOEVENTO="Manual",$M227=1),0,IF(OFFSET(CRONOPLE!$F$14,$M227,AN$13)="",10^12,OFFSET(CRONOPLE!$F$14,$M227,AN$13))))</f>
        <v>1</v>
      </c>
      <c r="AO227" s="211">
        <f ca="1">IF($D227&lt;&gt;"Serviço",0,IF(AND(AUTOEVENTO="Manual",$M227=1),0,IF(OFFSET(CRONOPLE!$F$14,$M227,AO$13)="",10^12,OFFSET(CRONOPLE!$F$14,$M227,AO$13))))</f>
        <v>2</v>
      </c>
      <c r="AP227" s="211">
        <f ca="1">IF($D227&lt;&gt;"Serviço",0,IF(AND(AUTOEVENTO="Manual",$M227=1),0,IF(OFFSET(CRONOPLE!$F$14,$M227,AP$13)="",10^12,OFFSET(CRONOPLE!$F$14,$M227,AP$13))))</f>
        <v>2</v>
      </c>
      <c r="AQ227" s="211">
        <f ca="1">IF($D227&lt;&gt;"Serviço",0,IF(AND(AUTOEVENTO="Manual",$M227=1),0,IF(OFFSET(CRONOPLE!$F$14,$M227,AQ$13)="",10^12,OFFSET(CRONOPLE!$F$14,$M227,AQ$13))))</f>
        <v>1000000000000</v>
      </c>
      <c r="AR227" s="211">
        <f ca="1">IF($D227&lt;&gt;"Serviço",0,IF(AND(AUTOEVENTO="Manual",$M227=1),0,IF(OFFSET(CRONOPLE!$F$14,$M227,AR$13)="",10^12,OFFSET(CRONOPLE!$F$14,$M227,AR$13))))</f>
        <v>1000000000000</v>
      </c>
      <c r="AS227" s="211">
        <f ca="1">IF($D227&lt;&gt;"Serviço",0,IF(AND(AUTOEVENTO="Manual",$M227=1),0,IF(OFFSET(CRONOPLE!$F$14,$M227,AS$13)="",10^12,OFFSET(CRONOPLE!$F$14,$M227,AS$13))))</f>
        <v>1000000000000</v>
      </c>
      <c r="AT227" s="211">
        <f ca="1">IF($D227&lt;&gt;"Serviço",0,IF(AND(AUTOEVENTO="Manual",$M227=1),0,IF(OFFSET(CRONOPLE!$F$14,$M227,AT$13)="",10^12,OFFSET(CRONOPLE!$F$14,$M227,AT$13))))</f>
        <v>1000000000000</v>
      </c>
      <c r="AU227" s="211">
        <f ca="1">IF($D227&lt;&gt;"Serviço",0,IF(AND(AUTOEVENTO="Manual",$M227=1),0,IF(OFFSET(CRONOPLE!$F$14,$M227,AU$13)="",10^12,OFFSET(CRONOPLE!$F$14,$M227,AU$13))))</f>
        <v>1000000000000</v>
      </c>
      <c r="AV227" s="211">
        <f ca="1">IF($D227&lt;&gt;"Serviço",0,IF(AND(AUTOEVENTO="Manual",$M227=1),0,IF(OFFSET(CRONOPLE!$F$14,$M227,AV$13)="",10^12,OFFSET(CRONOPLE!$F$14,$M227,AV$13))))</f>
        <v>1000000000000</v>
      </c>
      <c r="AX227" s="212">
        <f ca="1">IF($D227&lt;&gt;"Serviço",0,IF(OR(AND(AUTOEVENTO="Manual",$M227=1),$M227&gt;(ROW(PLE.lastrow)-ROW(PLE.firstrow))),0,IF(OFFSET(PLE!$G$14,$M227,AX$13)="",10^12,OFFSET(PLE!$G$14,$M227,AX$13))))</f>
        <v>1000000000000</v>
      </c>
      <c r="AY227" s="212">
        <f ca="1">IF($D227&lt;&gt;"Serviço",0,IF(OR(AND(AUTOEVENTO="Manual",$M227=1),$M227&gt;(ROW(PLE.lastrow)-ROW(PLE.firstrow))),0,IF(OFFSET(PLE!$G$14,$M227,AY$13)="",10^12,OFFSET(PLE!$G$14,$M227,AY$13))))</f>
        <v>1000000000000</v>
      </c>
      <c r="AZ227" s="212">
        <f ca="1">IF($D227&lt;&gt;"Serviço",0,IF(OR(AND(AUTOEVENTO="Manual",$M227=1),$M227&gt;(ROW(PLE.lastrow)-ROW(PLE.firstrow))),0,IF(OFFSET(PLE!$G$14,$M227,AZ$13)="",10^12,OFFSET(PLE!$G$14,$M227,AZ$13))))</f>
        <v>1000000000000</v>
      </c>
      <c r="BA227" s="212">
        <f ca="1">IF($D227&lt;&gt;"Serviço",0,IF(OR(AND(AUTOEVENTO="Manual",$M227=1),$M227&gt;(ROW(PLE.lastrow)-ROW(PLE.firstrow))),0,IF(OFFSET(PLE!$G$14,$M227,BA$13)="",10^12,OFFSET(PLE!$G$14,$M227,BA$13))))</f>
        <v>1000000000000</v>
      </c>
      <c r="BB227" s="212">
        <f ca="1">IF($D227&lt;&gt;"Serviço",0,IF(OR(AND(AUTOEVENTO="Manual",$M227=1),$M227&gt;(ROW(PLE.lastrow)-ROW(PLE.firstrow))),0,IF(OFFSET(PLE!$G$14,$M227,BB$13)="",10^12,OFFSET(PLE!$G$14,$M227,BB$13))))</f>
        <v>1000000000000</v>
      </c>
      <c r="BC227" s="212">
        <f ca="1">IF($D227&lt;&gt;"Serviço",0,IF(OR(AND(AUTOEVENTO="Manual",$M227=1),$M227&gt;(ROW(PLE.lastrow)-ROW(PLE.firstrow))),0,IF(OFFSET(PLE!$G$14,$M227,BC$13)="",10^12,OFFSET(PLE!$G$14,$M227,BC$13))))</f>
        <v>1000000000000</v>
      </c>
      <c r="BD227" s="212">
        <f ca="1">IF($D227&lt;&gt;"Serviço",0,IF(OR(AND(AUTOEVENTO="Manual",$M227=1),$M227&gt;(ROW(PLE.lastrow)-ROW(PLE.firstrow))),0,IF(OFFSET(PLE!$G$14,$M227,BD$13)="",10^12,OFFSET(PLE!$G$14,$M227,BD$13))))</f>
        <v>1000000000000</v>
      </c>
      <c r="BE227" s="212">
        <f ca="1">IF($D227&lt;&gt;"Serviço",0,IF(OR(AND(AUTOEVENTO="Manual",$M227=1),$M227&gt;(ROW(PLE.lastrow)-ROW(PLE.firstrow))),0,IF(OFFSET(PLE!$G$14,$M227,BE$13)="",10^12,OFFSET(PLE!$G$14,$M227,BE$13))))</f>
        <v>1000000000000</v>
      </c>
      <c r="BF227" s="212">
        <f ca="1">IF($D227&lt;&gt;"Serviço",0,IF(OR(AND(AUTOEVENTO="Manual",$M227=1),$M227&gt;(ROW(PLE.lastrow)-ROW(PLE.firstrow))),0,IF(OFFSET(PLE!$G$14,$M227,BF$13)="",10^12,OFFSET(PLE!$G$14,$M227,BF$13))))</f>
        <v>1000000000000</v>
      </c>
      <c r="BG227" s="212">
        <f ca="1">IF($D227&lt;&gt;"Serviço",0,IF(OR(AND(AUTOEVENTO="Manual",$M227=1),$M227&gt;(ROW(PLE.lastrow)-ROW(PLE.firstrow))),0,IF(OFFSET(PLE!$G$14,$M227,BG$13)="",10^12,OFFSET(PLE!$G$14,$M227,BG$13))))</f>
        <v>1000000000000</v>
      </c>
    </row>
    <row r="228" spans="1:59" ht="13.2">
      <c r="A228" s="9" t="str">
        <f t="shared" ca="1" si="12"/>
        <v>15</v>
      </c>
      <c r="B228" s="9" t="str">
        <f ca="1">OFFSET(ORÇAMENTO!C$15,ROW(B228)-ROW(B$15),0)</f>
        <v>S</v>
      </c>
      <c r="C228" s="9" t="str">
        <f ca="1">OFFSET(ORÇAMENTO!L$15,ROW(C228)-ROW(C$15),0)</f>
        <v/>
      </c>
      <c r="D228" s="141" t="str">
        <f ca="1">OFFSET(ORÇAMENTO!N$15,ROW(D228)-ROW(D$15),0)</f>
        <v>Serviço</v>
      </c>
      <c r="E228" s="201" t="str">
        <f ca="1">OFFSET(ORÇAMENTO!O$15,ROW(E228)-ROW(E$15),0)</f>
        <v>-</v>
      </c>
      <c r="F228" s="202" t="str">
        <f ca="1">OFFSET(ORÇAMENTO!R$15,ROW(F228)-ROW(F$15),0)</f>
        <v>(abra o arquivo 'Referência 11-2024.xlsm)</v>
      </c>
      <c r="G228" s="203" t="str">
        <f ca="1">IF($D228&lt;&gt;"Serviço","",OFFSET(ORÇAMENTO!S$15,ROW(G228)-ROW(G$15),0))</f>
        <v>-</v>
      </c>
      <c r="H228" s="147">
        <f ca="1">IF($D228&lt;&gt;"Serviço",0,IF(ACOMPANHAMENTO="BM",ROUND(OFFSET(ORÇAMENTO!AJ$15,ROW(H228)-ROW(H$15),0),15-13*ORÇAMENTO!$AF$7),SUMPRODUCT(($Q$12:$AA$12&lt;&gt;"")*ROUND($Q228:$AA228,15-13*ORÇAMENTO!$AF$7))))</f>
        <v>0</v>
      </c>
      <c r="I228" s="645"/>
      <c r="K228" s="204"/>
      <c r="L228" s="205" t="s">
        <v>255</v>
      </c>
      <c r="M228" s="206">
        <f ca="1">IF($D228&lt;&gt;"Serviço","",IF(AUTOEVENTO="manual",$A228,IF(ISERROR(MATCH($A228,$A$15:OFFSET($A228,-1,0),0)),MAX($M$15:OFFSET(M228,-1,0))+1,INDEX($M$15:OFFSET(M228,-1,0),MATCH($A228,$A$15:OFFSET($A228,-1,0),0)))))</f>
        <v>6</v>
      </c>
      <c r="N228" s="207" t="str">
        <f ca="1">IF($D228&lt;&gt;"Serviço","",IF(AUTOEVENTO="Manual",IF($A228=0,"&lt;-- defina o número do agrupador",OFFSET(EVENTOS!$D$14,$A228,0)),OFFSET($F$15,$A228,0)))</f>
        <v>DRENAGEM</v>
      </c>
      <c r="O228" s="208"/>
      <c r="Q228" s="208"/>
      <c r="R228" s="209"/>
      <c r="S228" s="209"/>
      <c r="T228" s="209"/>
      <c r="U228" s="209"/>
      <c r="V228" s="209"/>
      <c r="W228" s="209"/>
      <c r="X228" s="209"/>
      <c r="Y228" s="209"/>
      <c r="Z228" s="210"/>
      <c r="AB228" s="626">
        <f ca="1">IF(AND($D228="Serviço",AB$12&lt;&gt;0,$H228&gt;0,OR(AUTOEVENTO&lt;&gt;"manual",$M228&lt;&gt;1)),
IF(Import.TipoArredondamento&lt;&gt;"TransfereGOV",
ROUND(OFFSET($P228,0,AB$13),15-13*ORÇAMENTO!$AF$7)/$H228*OFFSET(ORÇAMENTO!$X$15,ROW(AB228)-ROW(AB$15),0),
ROUND(ROUND(OFFSET($P228,0,AB$13),15-13*ORÇAMENTO!$AF$7)*OFFSET(ORÇAMENTO!$W$15,ROW(AB228)-ROW(AB$15),0),15-13*ORÇAMENTO!$AF$11)),0)</f>
        <v>0</v>
      </c>
      <c r="AC228" s="627">
        <f ca="1">IF(AND($D228="Serviço",AC$12&lt;&gt;0,$H228&gt;0,OR(AUTOEVENTO&lt;&gt;"manual",$M228&lt;&gt;1)),
IF(Import.TipoArredondamento&lt;&gt;"TransfereGOV",
ROUND(OFFSET($P228,0,AC$13),15-13*ORÇAMENTO!$AF$7)/$H228*OFFSET(ORÇAMENTO!$X$15,ROW(AC228)-ROW(AC$15),0),
ROUND(ROUND(OFFSET($P228,0,AC$13),15-13*ORÇAMENTO!$AF$7)*OFFSET(ORÇAMENTO!$W$15,ROW(AC228)-ROW(AC$15),0),15-13*ORÇAMENTO!$AF$11)),0)</f>
        <v>0</v>
      </c>
      <c r="AD228" s="627">
        <f ca="1">IF(AND($D228="Serviço",AD$12&lt;&gt;0,$H228&gt;0,OR(AUTOEVENTO&lt;&gt;"manual",$M228&lt;&gt;1)),
IF(Import.TipoArredondamento&lt;&gt;"TransfereGOV",
ROUND(OFFSET($P228,0,AD$13),15-13*ORÇAMENTO!$AF$7)/$H228*OFFSET(ORÇAMENTO!$X$15,ROW(AD228)-ROW(AD$15),0),
ROUND(ROUND(OFFSET($P228,0,AD$13),15-13*ORÇAMENTO!$AF$7)*OFFSET(ORÇAMENTO!$W$15,ROW(AD228)-ROW(AD$15),0),15-13*ORÇAMENTO!$AF$11)),0)</f>
        <v>0</v>
      </c>
      <c r="AE228" s="627">
        <f ca="1">IF(AND($D228="Serviço",AE$12&lt;&gt;0,$H228&gt;0,OR(AUTOEVENTO&lt;&gt;"manual",$M228&lt;&gt;1)),
IF(Import.TipoArredondamento&lt;&gt;"TransfereGOV",
ROUND(OFFSET($P228,0,AE$13),15-13*ORÇAMENTO!$AF$7)/$H228*OFFSET(ORÇAMENTO!$X$15,ROW(AE228)-ROW(AE$15),0),
ROUND(ROUND(OFFSET($P228,0,AE$13),15-13*ORÇAMENTO!$AF$7)*OFFSET(ORÇAMENTO!$W$15,ROW(AE228)-ROW(AE$15),0),15-13*ORÇAMENTO!$AF$11)),0)</f>
        <v>0</v>
      </c>
      <c r="AF228" s="627">
        <f ca="1">IF(AND($D228="Serviço",AF$12&lt;&gt;0,$H228&gt;0,OR(AUTOEVENTO&lt;&gt;"manual",$M228&lt;&gt;1)),
IF(Import.TipoArredondamento&lt;&gt;"TransfereGOV",
ROUND(OFFSET($P228,0,AF$13),15-13*ORÇAMENTO!$AF$7)/$H228*OFFSET(ORÇAMENTO!$X$15,ROW(AF228)-ROW(AF$15),0),
ROUND(ROUND(OFFSET($P228,0,AF$13),15-13*ORÇAMENTO!$AF$7)*OFFSET(ORÇAMENTO!$W$15,ROW(AF228)-ROW(AF$15),0),15-13*ORÇAMENTO!$AF$11)),0)</f>
        <v>0</v>
      </c>
      <c r="AG228" s="627">
        <f ca="1">IF(AND($D228="Serviço",AG$12&lt;&gt;0,$H228&gt;0,OR(AUTOEVENTO&lt;&gt;"manual",$M228&lt;&gt;1)),
IF(Import.TipoArredondamento&lt;&gt;"TransfereGOV",
ROUND(OFFSET($P228,0,AG$13),15-13*ORÇAMENTO!$AF$7)/$H228*OFFSET(ORÇAMENTO!$X$15,ROW(AG228)-ROW(AG$15),0),
ROUND(ROUND(OFFSET($P228,0,AG$13),15-13*ORÇAMENTO!$AF$7)*OFFSET(ORÇAMENTO!$W$15,ROW(AG228)-ROW(AG$15),0),15-13*ORÇAMENTO!$AF$11)),0)</f>
        <v>0</v>
      </c>
      <c r="AH228" s="627">
        <f ca="1">IF(AND($D228="Serviço",AH$12&lt;&gt;0,$H228&gt;0,OR(AUTOEVENTO&lt;&gt;"manual",$M228&lt;&gt;1)),
IF(Import.TipoArredondamento&lt;&gt;"TransfereGOV",
ROUND(OFFSET($P228,0,AH$13),15-13*ORÇAMENTO!$AF$7)/$H228*OFFSET(ORÇAMENTO!$X$15,ROW(AH228)-ROW(AH$15),0),
ROUND(ROUND(OFFSET($P228,0,AH$13),15-13*ORÇAMENTO!$AF$7)*OFFSET(ORÇAMENTO!$W$15,ROW(AH228)-ROW(AH$15),0),15-13*ORÇAMENTO!$AF$11)),0)</f>
        <v>0</v>
      </c>
      <c r="AI228" s="627">
        <f ca="1">IF(AND($D228="Serviço",AI$12&lt;&gt;0,$H228&gt;0,OR(AUTOEVENTO&lt;&gt;"manual",$M228&lt;&gt;1)),
IF(Import.TipoArredondamento&lt;&gt;"TransfereGOV",
ROUND(OFFSET($P228,0,AI$13),15-13*ORÇAMENTO!$AF$7)/$H228*OFFSET(ORÇAMENTO!$X$15,ROW(AI228)-ROW(AI$15),0),
ROUND(ROUND(OFFSET($P228,0,AI$13),15-13*ORÇAMENTO!$AF$7)*OFFSET(ORÇAMENTO!$W$15,ROW(AI228)-ROW(AI$15),0),15-13*ORÇAMENTO!$AF$11)),0)</f>
        <v>0</v>
      </c>
      <c r="AJ228" s="627">
        <f ca="1">IF(AND($D228="Serviço",AJ$12&lt;&gt;0,$H228&gt;0,OR(AUTOEVENTO&lt;&gt;"manual",$M228&lt;&gt;1)),
IF(Import.TipoArredondamento&lt;&gt;"TransfereGOV",
ROUND(OFFSET($P228,0,AJ$13),15-13*ORÇAMENTO!$AF$7)/$H228*OFFSET(ORÇAMENTO!$X$15,ROW(AJ228)-ROW(AJ$15),0),
ROUND(ROUND(OFFSET($P228,0,AJ$13),15-13*ORÇAMENTO!$AF$7)*OFFSET(ORÇAMENTO!$W$15,ROW(AJ228)-ROW(AJ$15),0),15-13*ORÇAMENTO!$AF$11)),0)</f>
        <v>0</v>
      </c>
      <c r="AK228" s="628">
        <f ca="1">IF(AND($D228="Serviço",AK$12&lt;&gt;0,$H228&gt;0,OR(AUTOEVENTO&lt;&gt;"manual",$M228&lt;&gt;1)),
IF(Import.TipoArredondamento&lt;&gt;"TransfereGOV",
ROUND(OFFSET($P228,0,AK$13),15-13*ORÇAMENTO!$AF$7)/$H228*OFFSET(ORÇAMENTO!$X$15,ROW(AK228)-ROW(AK$15),0),
ROUND(ROUND(OFFSET($P228,0,AK$13),15-13*ORÇAMENTO!$AF$7)*OFFSET(ORÇAMENTO!$W$15,ROW(AK228)-ROW(AK$15),0),15-13*ORÇAMENTO!$AF$11)),0)</f>
        <v>0</v>
      </c>
      <c r="AM228" s="211">
        <f ca="1">IF($D228&lt;&gt;"Serviço",0,IF(AND(AUTOEVENTO="Manual",$M228=1),0,IF(OFFSET(CRONOPLE!$F$14,$M228,AM$13)="",10^12,OFFSET(CRONOPLE!$F$14,$M228,AM$13))))</f>
        <v>2</v>
      </c>
      <c r="AN228" s="211">
        <f ca="1">IF($D228&lt;&gt;"Serviço",0,IF(AND(AUTOEVENTO="Manual",$M228=1),0,IF(OFFSET(CRONOPLE!$F$14,$M228,AN$13)="",10^12,OFFSET(CRONOPLE!$F$14,$M228,AN$13))))</f>
        <v>1</v>
      </c>
      <c r="AO228" s="211">
        <f ca="1">IF($D228&lt;&gt;"Serviço",0,IF(AND(AUTOEVENTO="Manual",$M228=1),0,IF(OFFSET(CRONOPLE!$F$14,$M228,AO$13)="",10^12,OFFSET(CRONOPLE!$F$14,$M228,AO$13))))</f>
        <v>2</v>
      </c>
      <c r="AP228" s="211">
        <f ca="1">IF($D228&lt;&gt;"Serviço",0,IF(AND(AUTOEVENTO="Manual",$M228=1),0,IF(OFFSET(CRONOPLE!$F$14,$M228,AP$13)="",10^12,OFFSET(CRONOPLE!$F$14,$M228,AP$13))))</f>
        <v>2</v>
      </c>
      <c r="AQ228" s="211">
        <f ca="1">IF($D228&lt;&gt;"Serviço",0,IF(AND(AUTOEVENTO="Manual",$M228=1),0,IF(OFFSET(CRONOPLE!$F$14,$M228,AQ$13)="",10^12,OFFSET(CRONOPLE!$F$14,$M228,AQ$13))))</f>
        <v>1000000000000</v>
      </c>
      <c r="AR228" s="211">
        <f ca="1">IF($D228&lt;&gt;"Serviço",0,IF(AND(AUTOEVENTO="Manual",$M228=1),0,IF(OFFSET(CRONOPLE!$F$14,$M228,AR$13)="",10^12,OFFSET(CRONOPLE!$F$14,$M228,AR$13))))</f>
        <v>1000000000000</v>
      </c>
      <c r="AS228" s="211">
        <f ca="1">IF($D228&lt;&gt;"Serviço",0,IF(AND(AUTOEVENTO="Manual",$M228=1),0,IF(OFFSET(CRONOPLE!$F$14,$M228,AS$13)="",10^12,OFFSET(CRONOPLE!$F$14,$M228,AS$13))))</f>
        <v>1000000000000</v>
      </c>
      <c r="AT228" s="211">
        <f ca="1">IF($D228&lt;&gt;"Serviço",0,IF(AND(AUTOEVENTO="Manual",$M228=1),0,IF(OFFSET(CRONOPLE!$F$14,$M228,AT$13)="",10^12,OFFSET(CRONOPLE!$F$14,$M228,AT$13))))</f>
        <v>1000000000000</v>
      </c>
      <c r="AU228" s="211">
        <f ca="1">IF($D228&lt;&gt;"Serviço",0,IF(AND(AUTOEVENTO="Manual",$M228=1),0,IF(OFFSET(CRONOPLE!$F$14,$M228,AU$13)="",10^12,OFFSET(CRONOPLE!$F$14,$M228,AU$13))))</f>
        <v>1000000000000</v>
      </c>
      <c r="AV228" s="211">
        <f ca="1">IF($D228&lt;&gt;"Serviço",0,IF(AND(AUTOEVENTO="Manual",$M228=1),0,IF(OFFSET(CRONOPLE!$F$14,$M228,AV$13)="",10^12,OFFSET(CRONOPLE!$F$14,$M228,AV$13))))</f>
        <v>1000000000000</v>
      </c>
      <c r="AX228" s="212">
        <f ca="1">IF($D228&lt;&gt;"Serviço",0,IF(OR(AND(AUTOEVENTO="Manual",$M228=1),$M228&gt;(ROW(PLE.lastrow)-ROW(PLE.firstrow))),0,IF(OFFSET(PLE!$G$14,$M228,AX$13)="",10^12,OFFSET(PLE!$G$14,$M228,AX$13))))</f>
        <v>1000000000000</v>
      </c>
      <c r="AY228" s="212">
        <f ca="1">IF($D228&lt;&gt;"Serviço",0,IF(OR(AND(AUTOEVENTO="Manual",$M228=1),$M228&gt;(ROW(PLE.lastrow)-ROW(PLE.firstrow))),0,IF(OFFSET(PLE!$G$14,$M228,AY$13)="",10^12,OFFSET(PLE!$G$14,$M228,AY$13))))</f>
        <v>1000000000000</v>
      </c>
      <c r="AZ228" s="212">
        <f ca="1">IF($D228&lt;&gt;"Serviço",0,IF(OR(AND(AUTOEVENTO="Manual",$M228=1),$M228&gt;(ROW(PLE.lastrow)-ROW(PLE.firstrow))),0,IF(OFFSET(PLE!$G$14,$M228,AZ$13)="",10^12,OFFSET(PLE!$G$14,$M228,AZ$13))))</f>
        <v>1000000000000</v>
      </c>
      <c r="BA228" s="212">
        <f ca="1">IF($D228&lt;&gt;"Serviço",0,IF(OR(AND(AUTOEVENTO="Manual",$M228=1),$M228&gt;(ROW(PLE.lastrow)-ROW(PLE.firstrow))),0,IF(OFFSET(PLE!$G$14,$M228,BA$13)="",10^12,OFFSET(PLE!$G$14,$M228,BA$13))))</f>
        <v>1000000000000</v>
      </c>
      <c r="BB228" s="212">
        <f ca="1">IF($D228&lt;&gt;"Serviço",0,IF(OR(AND(AUTOEVENTO="Manual",$M228=1),$M228&gt;(ROW(PLE.lastrow)-ROW(PLE.firstrow))),0,IF(OFFSET(PLE!$G$14,$M228,BB$13)="",10^12,OFFSET(PLE!$G$14,$M228,BB$13))))</f>
        <v>1000000000000</v>
      </c>
      <c r="BC228" s="212">
        <f ca="1">IF($D228&lt;&gt;"Serviço",0,IF(OR(AND(AUTOEVENTO="Manual",$M228=1),$M228&gt;(ROW(PLE.lastrow)-ROW(PLE.firstrow))),0,IF(OFFSET(PLE!$G$14,$M228,BC$13)="",10^12,OFFSET(PLE!$G$14,$M228,BC$13))))</f>
        <v>1000000000000</v>
      </c>
      <c r="BD228" s="212">
        <f ca="1">IF($D228&lt;&gt;"Serviço",0,IF(OR(AND(AUTOEVENTO="Manual",$M228=1),$M228&gt;(ROW(PLE.lastrow)-ROW(PLE.firstrow))),0,IF(OFFSET(PLE!$G$14,$M228,BD$13)="",10^12,OFFSET(PLE!$G$14,$M228,BD$13))))</f>
        <v>1000000000000</v>
      </c>
      <c r="BE228" s="212">
        <f ca="1">IF($D228&lt;&gt;"Serviço",0,IF(OR(AND(AUTOEVENTO="Manual",$M228=1),$M228&gt;(ROW(PLE.lastrow)-ROW(PLE.firstrow))),0,IF(OFFSET(PLE!$G$14,$M228,BE$13)="",10^12,OFFSET(PLE!$G$14,$M228,BE$13))))</f>
        <v>1000000000000</v>
      </c>
      <c r="BF228" s="212">
        <f ca="1">IF($D228&lt;&gt;"Serviço",0,IF(OR(AND(AUTOEVENTO="Manual",$M228=1),$M228&gt;(ROW(PLE.lastrow)-ROW(PLE.firstrow))),0,IF(OFFSET(PLE!$G$14,$M228,BF$13)="",10^12,OFFSET(PLE!$G$14,$M228,BF$13))))</f>
        <v>1000000000000</v>
      </c>
      <c r="BG228" s="212">
        <f ca="1">IF($D228&lt;&gt;"Serviço",0,IF(OR(AND(AUTOEVENTO="Manual",$M228=1),$M228&gt;(ROW(PLE.lastrow)-ROW(PLE.firstrow))),0,IF(OFFSET(PLE!$G$14,$M228,BG$13)="",10^12,OFFSET(PLE!$G$14,$M228,BG$13))))</f>
        <v>1000000000000</v>
      </c>
    </row>
    <row r="229" spans="1:59" ht="13.2">
      <c r="A229" s="9" t="str">
        <f t="shared" ca="1" si="12"/>
        <v>15</v>
      </c>
      <c r="B229" s="9" t="str">
        <f ca="1">OFFSET(ORÇAMENTO!C$15,ROW(B229)-ROW(B$15),0)</f>
        <v>S</v>
      </c>
      <c r="C229" s="9" t="str">
        <f ca="1">OFFSET(ORÇAMENTO!L$15,ROW(C229)-ROW(C$15),0)</f>
        <v/>
      </c>
      <c r="D229" s="141" t="str">
        <f ca="1">OFFSET(ORÇAMENTO!N$15,ROW(D229)-ROW(D$15),0)</f>
        <v>Serviço</v>
      </c>
      <c r="E229" s="201" t="str">
        <f ca="1">OFFSET(ORÇAMENTO!O$15,ROW(E229)-ROW(E$15),0)</f>
        <v>-</v>
      </c>
      <c r="F229" s="202" t="str">
        <f ca="1">OFFSET(ORÇAMENTO!R$15,ROW(F229)-ROW(F$15),0)</f>
        <v>(abra o arquivo 'Referência 11-2024.xlsm)</v>
      </c>
      <c r="G229" s="203" t="str">
        <f ca="1">IF($D229&lt;&gt;"Serviço","",OFFSET(ORÇAMENTO!S$15,ROW(G229)-ROW(G$15),0))</f>
        <v>-</v>
      </c>
      <c r="H229" s="147">
        <f ca="1">IF($D229&lt;&gt;"Serviço",0,IF(ACOMPANHAMENTO="BM",ROUND(OFFSET(ORÇAMENTO!AJ$15,ROW(H229)-ROW(H$15),0),15-13*ORÇAMENTO!$AF$7),SUMPRODUCT(($Q$12:$AA$12&lt;&gt;"")*ROUND($Q229:$AA229,15-13*ORÇAMENTO!$AF$7))))</f>
        <v>0</v>
      </c>
      <c r="I229" s="645"/>
      <c r="K229" s="204"/>
      <c r="L229" s="205" t="s">
        <v>255</v>
      </c>
      <c r="M229" s="206">
        <f ca="1">IF($D229&lt;&gt;"Serviço","",IF(AUTOEVENTO="manual",$A229,IF(ISERROR(MATCH($A229,$A$15:OFFSET($A229,-1,0),0)),MAX($M$15:OFFSET(M229,-1,0))+1,INDEX($M$15:OFFSET(M229,-1,0),MATCH($A229,$A$15:OFFSET($A229,-1,0),0)))))</f>
        <v>6</v>
      </c>
      <c r="N229" s="207" t="str">
        <f ca="1">IF($D229&lt;&gt;"Serviço","",IF(AUTOEVENTO="Manual",IF($A229=0,"&lt;-- defina o número do agrupador",OFFSET(EVENTOS!$D$14,$A229,0)),OFFSET($F$15,$A229,0)))</f>
        <v>DRENAGEM</v>
      </c>
      <c r="O229" s="208"/>
      <c r="Q229" s="208"/>
      <c r="R229" s="209"/>
      <c r="S229" s="209"/>
      <c r="T229" s="209"/>
      <c r="U229" s="209"/>
      <c r="V229" s="209"/>
      <c r="W229" s="209"/>
      <c r="X229" s="209"/>
      <c r="Y229" s="209"/>
      <c r="Z229" s="210"/>
      <c r="AB229" s="626">
        <f ca="1">IF(AND($D229="Serviço",AB$12&lt;&gt;0,$H229&gt;0,OR(AUTOEVENTO&lt;&gt;"manual",$M229&lt;&gt;1)),
IF(Import.TipoArredondamento&lt;&gt;"TransfereGOV",
ROUND(OFFSET($P229,0,AB$13),15-13*ORÇAMENTO!$AF$7)/$H229*OFFSET(ORÇAMENTO!$X$15,ROW(AB229)-ROW(AB$15),0),
ROUND(ROUND(OFFSET($P229,0,AB$13),15-13*ORÇAMENTO!$AF$7)*OFFSET(ORÇAMENTO!$W$15,ROW(AB229)-ROW(AB$15),0),15-13*ORÇAMENTO!$AF$11)),0)</f>
        <v>0</v>
      </c>
      <c r="AC229" s="627">
        <f ca="1">IF(AND($D229="Serviço",AC$12&lt;&gt;0,$H229&gt;0,OR(AUTOEVENTO&lt;&gt;"manual",$M229&lt;&gt;1)),
IF(Import.TipoArredondamento&lt;&gt;"TransfereGOV",
ROUND(OFFSET($P229,0,AC$13),15-13*ORÇAMENTO!$AF$7)/$H229*OFFSET(ORÇAMENTO!$X$15,ROW(AC229)-ROW(AC$15),0),
ROUND(ROUND(OFFSET($P229,0,AC$13),15-13*ORÇAMENTO!$AF$7)*OFFSET(ORÇAMENTO!$W$15,ROW(AC229)-ROW(AC$15),0),15-13*ORÇAMENTO!$AF$11)),0)</f>
        <v>0</v>
      </c>
      <c r="AD229" s="627">
        <f ca="1">IF(AND($D229="Serviço",AD$12&lt;&gt;0,$H229&gt;0,OR(AUTOEVENTO&lt;&gt;"manual",$M229&lt;&gt;1)),
IF(Import.TipoArredondamento&lt;&gt;"TransfereGOV",
ROUND(OFFSET($P229,0,AD$13),15-13*ORÇAMENTO!$AF$7)/$H229*OFFSET(ORÇAMENTO!$X$15,ROW(AD229)-ROW(AD$15),0),
ROUND(ROUND(OFFSET($P229,0,AD$13),15-13*ORÇAMENTO!$AF$7)*OFFSET(ORÇAMENTO!$W$15,ROW(AD229)-ROW(AD$15),0),15-13*ORÇAMENTO!$AF$11)),0)</f>
        <v>0</v>
      </c>
      <c r="AE229" s="627">
        <f ca="1">IF(AND($D229="Serviço",AE$12&lt;&gt;0,$H229&gt;0,OR(AUTOEVENTO&lt;&gt;"manual",$M229&lt;&gt;1)),
IF(Import.TipoArredondamento&lt;&gt;"TransfereGOV",
ROUND(OFFSET($P229,0,AE$13),15-13*ORÇAMENTO!$AF$7)/$H229*OFFSET(ORÇAMENTO!$X$15,ROW(AE229)-ROW(AE$15),0),
ROUND(ROUND(OFFSET($P229,0,AE$13),15-13*ORÇAMENTO!$AF$7)*OFFSET(ORÇAMENTO!$W$15,ROW(AE229)-ROW(AE$15),0),15-13*ORÇAMENTO!$AF$11)),0)</f>
        <v>0</v>
      </c>
      <c r="AF229" s="627">
        <f ca="1">IF(AND($D229="Serviço",AF$12&lt;&gt;0,$H229&gt;0,OR(AUTOEVENTO&lt;&gt;"manual",$M229&lt;&gt;1)),
IF(Import.TipoArredondamento&lt;&gt;"TransfereGOV",
ROUND(OFFSET($P229,0,AF$13),15-13*ORÇAMENTO!$AF$7)/$H229*OFFSET(ORÇAMENTO!$X$15,ROW(AF229)-ROW(AF$15),0),
ROUND(ROUND(OFFSET($P229,0,AF$13),15-13*ORÇAMENTO!$AF$7)*OFFSET(ORÇAMENTO!$W$15,ROW(AF229)-ROW(AF$15),0),15-13*ORÇAMENTO!$AF$11)),0)</f>
        <v>0</v>
      </c>
      <c r="AG229" s="627">
        <f ca="1">IF(AND($D229="Serviço",AG$12&lt;&gt;0,$H229&gt;0,OR(AUTOEVENTO&lt;&gt;"manual",$M229&lt;&gt;1)),
IF(Import.TipoArredondamento&lt;&gt;"TransfereGOV",
ROUND(OFFSET($P229,0,AG$13),15-13*ORÇAMENTO!$AF$7)/$H229*OFFSET(ORÇAMENTO!$X$15,ROW(AG229)-ROW(AG$15),0),
ROUND(ROUND(OFFSET($P229,0,AG$13),15-13*ORÇAMENTO!$AF$7)*OFFSET(ORÇAMENTO!$W$15,ROW(AG229)-ROW(AG$15),0),15-13*ORÇAMENTO!$AF$11)),0)</f>
        <v>0</v>
      </c>
      <c r="AH229" s="627">
        <f ca="1">IF(AND($D229="Serviço",AH$12&lt;&gt;0,$H229&gt;0,OR(AUTOEVENTO&lt;&gt;"manual",$M229&lt;&gt;1)),
IF(Import.TipoArredondamento&lt;&gt;"TransfereGOV",
ROUND(OFFSET($P229,0,AH$13),15-13*ORÇAMENTO!$AF$7)/$H229*OFFSET(ORÇAMENTO!$X$15,ROW(AH229)-ROW(AH$15),0),
ROUND(ROUND(OFFSET($P229,0,AH$13),15-13*ORÇAMENTO!$AF$7)*OFFSET(ORÇAMENTO!$W$15,ROW(AH229)-ROW(AH$15),0),15-13*ORÇAMENTO!$AF$11)),0)</f>
        <v>0</v>
      </c>
      <c r="AI229" s="627">
        <f ca="1">IF(AND($D229="Serviço",AI$12&lt;&gt;0,$H229&gt;0,OR(AUTOEVENTO&lt;&gt;"manual",$M229&lt;&gt;1)),
IF(Import.TipoArredondamento&lt;&gt;"TransfereGOV",
ROUND(OFFSET($P229,0,AI$13),15-13*ORÇAMENTO!$AF$7)/$H229*OFFSET(ORÇAMENTO!$X$15,ROW(AI229)-ROW(AI$15),0),
ROUND(ROUND(OFFSET($P229,0,AI$13),15-13*ORÇAMENTO!$AF$7)*OFFSET(ORÇAMENTO!$W$15,ROW(AI229)-ROW(AI$15),0),15-13*ORÇAMENTO!$AF$11)),0)</f>
        <v>0</v>
      </c>
      <c r="AJ229" s="627">
        <f ca="1">IF(AND($D229="Serviço",AJ$12&lt;&gt;0,$H229&gt;0,OR(AUTOEVENTO&lt;&gt;"manual",$M229&lt;&gt;1)),
IF(Import.TipoArredondamento&lt;&gt;"TransfereGOV",
ROUND(OFFSET($P229,0,AJ$13),15-13*ORÇAMENTO!$AF$7)/$H229*OFFSET(ORÇAMENTO!$X$15,ROW(AJ229)-ROW(AJ$15),0),
ROUND(ROUND(OFFSET($P229,0,AJ$13),15-13*ORÇAMENTO!$AF$7)*OFFSET(ORÇAMENTO!$W$15,ROW(AJ229)-ROW(AJ$15),0),15-13*ORÇAMENTO!$AF$11)),0)</f>
        <v>0</v>
      </c>
      <c r="AK229" s="628">
        <f ca="1">IF(AND($D229="Serviço",AK$12&lt;&gt;0,$H229&gt;0,OR(AUTOEVENTO&lt;&gt;"manual",$M229&lt;&gt;1)),
IF(Import.TipoArredondamento&lt;&gt;"TransfereGOV",
ROUND(OFFSET($P229,0,AK$13),15-13*ORÇAMENTO!$AF$7)/$H229*OFFSET(ORÇAMENTO!$X$15,ROW(AK229)-ROW(AK$15),0),
ROUND(ROUND(OFFSET($P229,0,AK$13),15-13*ORÇAMENTO!$AF$7)*OFFSET(ORÇAMENTO!$W$15,ROW(AK229)-ROW(AK$15),0),15-13*ORÇAMENTO!$AF$11)),0)</f>
        <v>0</v>
      </c>
      <c r="AM229" s="211">
        <f ca="1">IF($D229&lt;&gt;"Serviço",0,IF(AND(AUTOEVENTO="Manual",$M229=1),0,IF(OFFSET(CRONOPLE!$F$14,$M229,AM$13)="",10^12,OFFSET(CRONOPLE!$F$14,$M229,AM$13))))</f>
        <v>2</v>
      </c>
      <c r="AN229" s="211">
        <f ca="1">IF($D229&lt;&gt;"Serviço",0,IF(AND(AUTOEVENTO="Manual",$M229=1),0,IF(OFFSET(CRONOPLE!$F$14,$M229,AN$13)="",10^12,OFFSET(CRONOPLE!$F$14,$M229,AN$13))))</f>
        <v>1</v>
      </c>
      <c r="AO229" s="211">
        <f ca="1">IF($D229&lt;&gt;"Serviço",0,IF(AND(AUTOEVENTO="Manual",$M229=1),0,IF(OFFSET(CRONOPLE!$F$14,$M229,AO$13)="",10^12,OFFSET(CRONOPLE!$F$14,$M229,AO$13))))</f>
        <v>2</v>
      </c>
      <c r="AP229" s="211">
        <f ca="1">IF($D229&lt;&gt;"Serviço",0,IF(AND(AUTOEVENTO="Manual",$M229=1),0,IF(OFFSET(CRONOPLE!$F$14,$M229,AP$13)="",10^12,OFFSET(CRONOPLE!$F$14,$M229,AP$13))))</f>
        <v>2</v>
      </c>
      <c r="AQ229" s="211">
        <f ca="1">IF($D229&lt;&gt;"Serviço",0,IF(AND(AUTOEVENTO="Manual",$M229=1),0,IF(OFFSET(CRONOPLE!$F$14,$M229,AQ$13)="",10^12,OFFSET(CRONOPLE!$F$14,$M229,AQ$13))))</f>
        <v>1000000000000</v>
      </c>
      <c r="AR229" s="211">
        <f ca="1">IF($D229&lt;&gt;"Serviço",0,IF(AND(AUTOEVENTO="Manual",$M229=1),0,IF(OFFSET(CRONOPLE!$F$14,$M229,AR$13)="",10^12,OFFSET(CRONOPLE!$F$14,$M229,AR$13))))</f>
        <v>1000000000000</v>
      </c>
      <c r="AS229" s="211">
        <f ca="1">IF($D229&lt;&gt;"Serviço",0,IF(AND(AUTOEVENTO="Manual",$M229=1),0,IF(OFFSET(CRONOPLE!$F$14,$M229,AS$13)="",10^12,OFFSET(CRONOPLE!$F$14,$M229,AS$13))))</f>
        <v>1000000000000</v>
      </c>
      <c r="AT229" s="211">
        <f ca="1">IF($D229&lt;&gt;"Serviço",0,IF(AND(AUTOEVENTO="Manual",$M229=1),0,IF(OFFSET(CRONOPLE!$F$14,$M229,AT$13)="",10^12,OFFSET(CRONOPLE!$F$14,$M229,AT$13))))</f>
        <v>1000000000000</v>
      </c>
      <c r="AU229" s="211">
        <f ca="1">IF($D229&lt;&gt;"Serviço",0,IF(AND(AUTOEVENTO="Manual",$M229=1),0,IF(OFFSET(CRONOPLE!$F$14,$M229,AU$13)="",10^12,OFFSET(CRONOPLE!$F$14,$M229,AU$13))))</f>
        <v>1000000000000</v>
      </c>
      <c r="AV229" s="211">
        <f ca="1">IF($D229&lt;&gt;"Serviço",0,IF(AND(AUTOEVENTO="Manual",$M229=1),0,IF(OFFSET(CRONOPLE!$F$14,$M229,AV$13)="",10^12,OFFSET(CRONOPLE!$F$14,$M229,AV$13))))</f>
        <v>1000000000000</v>
      </c>
      <c r="AX229" s="212">
        <f ca="1">IF($D229&lt;&gt;"Serviço",0,IF(OR(AND(AUTOEVENTO="Manual",$M229=1),$M229&gt;(ROW(PLE.lastrow)-ROW(PLE.firstrow))),0,IF(OFFSET(PLE!$G$14,$M229,AX$13)="",10^12,OFFSET(PLE!$G$14,$M229,AX$13))))</f>
        <v>1000000000000</v>
      </c>
      <c r="AY229" s="212">
        <f ca="1">IF($D229&lt;&gt;"Serviço",0,IF(OR(AND(AUTOEVENTO="Manual",$M229=1),$M229&gt;(ROW(PLE.lastrow)-ROW(PLE.firstrow))),0,IF(OFFSET(PLE!$G$14,$M229,AY$13)="",10^12,OFFSET(PLE!$G$14,$M229,AY$13))))</f>
        <v>1000000000000</v>
      </c>
      <c r="AZ229" s="212">
        <f ca="1">IF($D229&lt;&gt;"Serviço",0,IF(OR(AND(AUTOEVENTO="Manual",$M229=1),$M229&gt;(ROW(PLE.lastrow)-ROW(PLE.firstrow))),0,IF(OFFSET(PLE!$G$14,$M229,AZ$13)="",10^12,OFFSET(PLE!$G$14,$M229,AZ$13))))</f>
        <v>1000000000000</v>
      </c>
      <c r="BA229" s="212">
        <f ca="1">IF($D229&lt;&gt;"Serviço",0,IF(OR(AND(AUTOEVENTO="Manual",$M229=1),$M229&gt;(ROW(PLE.lastrow)-ROW(PLE.firstrow))),0,IF(OFFSET(PLE!$G$14,$M229,BA$13)="",10^12,OFFSET(PLE!$G$14,$M229,BA$13))))</f>
        <v>1000000000000</v>
      </c>
      <c r="BB229" s="212">
        <f ca="1">IF($D229&lt;&gt;"Serviço",0,IF(OR(AND(AUTOEVENTO="Manual",$M229=1),$M229&gt;(ROW(PLE.lastrow)-ROW(PLE.firstrow))),0,IF(OFFSET(PLE!$G$14,$M229,BB$13)="",10^12,OFFSET(PLE!$G$14,$M229,BB$13))))</f>
        <v>1000000000000</v>
      </c>
      <c r="BC229" s="212">
        <f ca="1">IF($D229&lt;&gt;"Serviço",0,IF(OR(AND(AUTOEVENTO="Manual",$M229=1),$M229&gt;(ROW(PLE.lastrow)-ROW(PLE.firstrow))),0,IF(OFFSET(PLE!$G$14,$M229,BC$13)="",10^12,OFFSET(PLE!$G$14,$M229,BC$13))))</f>
        <v>1000000000000</v>
      </c>
      <c r="BD229" s="212">
        <f ca="1">IF($D229&lt;&gt;"Serviço",0,IF(OR(AND(AUTOEVENTO="Manual",$M229=1),$M229&gt;(ROW(PLE.lastrow)-ROW(PLE.firstrow))),0,IF(OFFSET(PLE!$G$14,$M229,BD$13)="",10^12,OFFSET(PLE!$G$14,$M229,BD$13))))</f>
        <v>1000000000000</v>
      </c>
      <c r="BE229" s="212">
        <f ca="1">IF($D229&lt;&gt;"Serviço",0,IF(OR(AND(AUTOEVENTO="Manual",$M229=1),$M229&gt;(ROW(PLE.lastrow)-ROW(PLE.firstrow))),0,IF(OFFSET(PLE!$G$14,$M229,BE$13)="",10^12,OFFSET(PLE!$G$14,$M229,BE$13))))</f>
        <v>1000000000000</v>
      </c>
      <c r="BF229" s="212">
        <f ca="1">IF($D229&lt;&gt;"Serviço",0,IF(OR(AND(AUTOEVENTO="Manual",$M229=1),$M229&gt;(ROW(PLE.lastrow)-ROW(PLE.firstrow))),0,IF(OFFSET(PLE!$G$14,$M229,BF$13)="",10^12,OFFSET(PLE!$G$14,$M229,BF$13))))</f>
        <v>1000000000000</v>
      </c>
      <c r="BG229" s="212">
        <f ca="1">IF($D229&lt;&gt;"Serviço",0,IF(OR(AND(AUTOEVENTO="Manual",$M229=1),$M229&gt;(ROW(PLE.lastrow)-ROW(PLE.firstrow))),0,IF(OFFSET(PLE!$G$14,$M229,BG$13)="",10^12,OFFSET(PLE!$G$14,$M229,BG$13))))</f>
        <v>1000000000000</v>
      </c>
    </row>
    <row r="230" spans="1:59" ht="13.2">
      <c r="A230" s="9" t="str">
        <f t="shared" ca="1" si="12"/>
        <v>15</v>
      </c>
      <c r="B230" s="9" t="str">
        <f ca="1">OFFSET(ORÇAMENTO!C$15,ROW(B230)-ROW(B$15),0)</f>
        <v>S</v>
      </c>
      <c r="C230" s="9" t="str">
        <f ca="1">OFFSET(ORÇAMENTO!L$15,ROW(C230)-ROW(C$15),0)</f>
        <v/>
      </c>
      <c r="D230" s="141" t="str">
        <f ca="1">OFFSET(ORÇAMENTO!N$15,ROW(D230)-ROW(D$15),0)</f>
        <v>Serviço</v>
      </c>
      <c r="E230" s="201" t="str">
        <f ca="1">OFFSET(ORÇAMENTO!O$15,ROW(E230)-ROW(E$15),0)</f>
        <v>-</v>
      </c>
      <c r="F230" s="202" t="str">
        <f ca="1">OFFSET(ORÇAMENTO!R$15,ROW(F230)-ROW(F$15),0)</f>
        <v>(abra o arquivo 'Referência 11-2024.xlsm)</v>
      </c>
      <c r="G230" s="203" t="str">
        <f ca="1">IF($D230&lt;&gt;"Serviço","",OFFSET(ORÇAMENTO!S$15,ROW(G230)-ROW(G$15),0))</f>
        <v>-</v>
      </c>
      <c r="H230" s="147">
        <f ca="1">IF($D230&lt;&gt;"Serviço",0,IF(ACOMPANHAMENTO="BM",ROUND(OFFSET(ORÇAMENTO!AJ$15,ROW(H230)-ROW(H$15),0),15-13*ORÇAMENTO!$AF$7),SUMPRODUCT(($Q$12:$AA$12&lt;&gt;"")*ROUND($Q230:$AA230,15-13*ORÇAMENTO!$AF$7))))</f>
        <v>0</v>
      </c>
      <c r="I230" s="645"/>
      <c r="K230" s="204"/>
      <c r="L230" s="205" t="s">
        <v>255</v>
      </c>
      <c r="M230" s="206">
        <f ca="1">IF($D230&lt;&gt;"Serviço","",IF(AUTOEVENTO="manual",$A230,IF(ISERROR(MATCH($A230,$A$15:OFFSET($A230,-1,0),0)),MAX($M$15:OFFSET(M230,-1,0))+1,INDEX($M$15:OFFSET(M230,-1,0),MATCH($A230,$A$15:OFFSET($A230,-1,0),0)))))</f>
        <v>6</v>
      </c>
      <c r="N230" s="207" t="str">
        <f ca="1">IF($D230&lt;&gt;"Serviço","",IF(AUTOEVENTO="Manual",IF($A230=0,"&lt;-- defina o número do agrupador",OFFSET(EVENTOS!$D$14,$A230,0)),OFFSET($F$15,$A230,0)))</f>
        <v>DRENAGEM</v>
      </c>
      <c r="O230" s="208"/>
      <c r="Q230" s="208"/>
      <c r="R230" s="209"/>
      <c r="S230" s="209"/>
      <c r="T230" s="209"/>
      <c r="U230" s="209"/>
      <c r="V230" s="209"/>
      <c r="W230" s="209"/>
      <c r="X230" s="209"/>
      <c r="Y230" s="209"/>
      <c r="Z230" s="210"/>
      <c r="AB230" s="626">
        <f ca="1">IF(AND($D230="Serviço",AB$12&lt;&gt;0,$H230&gt;0,OR(AUTOEVENTO&lt;&gt;"manual",$M230&lt;&gt;1)),
IF(Import.TipoArredondamento&lt;&gt;"TransfereGOV",
ROUND(OFFSET($P230,0,AB$13),15-13*ORÇAMENTO!$AF$7)/$H230*OFFSET(ORÇAMENTO!$X$15,ROW(AB230)-ROW(AB$15),0),
ROUND(ROUND(OFFSET($P230,0,AB$13),15-13*ORÇAMENTO!$AF$7)*OFFSET(ORÇAMENTO!$W$15,ROW(AB230)-ROW(AB$15),0),15-13*ORÇAMENTO!$AF$11)),0)</f>
        <v>0</v>
      </c>
      <c r="AC230" s="627">
        <f ca="1">IF(AND($D230="Serviço",AC$12&lt;&gt;0,$H230&gt;0,OR(AUTOEVENTO&lt;&gt;"manual",$M230&lt;&gt;1)),
IF(Import.TipoArredondamento&lt;&gt;"TransfereGOV",
ROUND(OFFSET($P230,0,AC$13),15-13*ORÇAMENTO!$AF$7)/$H230*OFFSET(ORÇAMENTO!$X$15,ROW(AC230)-ROW(AC$15),0),
ROUND(ROUND(OFFSET($P230,0,AC$13),15-13*ORÇAMENTO!$AF$7)*OFFSET(ORÇAMENTO!$W$15,ROW(AC230)-ROW(AC$15),0),15-13*ORÇAMENTO!$AF$11)),0)</f>
        <v>0</v>
      </c>
      <c r="AD230" s="627">
        <f ca="1">IF(AND($D230="Serviço",AD$12&lt;&gt;0,$H230&gt;0,OR(AUTOEVENTO&lt;&gt;"manual",$M230&lt;&gt;1)),
IF(Import.TipoArredondamento&lt;&gt;"TransfereGOV",
ROUND(OFFSET($P230,0,AD$13),15-13*ORÇAMENTO!$AF$7)/$H230*OFFSET(ORÇAMENTO!$X$15,ROW(AD230)-ROW(AD$15),0),
ROUND(ROUND(OFFSET($P230,0,AD$13),15-13*ORÇAMENTO!$AF$7)*OFFSET(ORÇAMENTO!$W$15,ROW(AD230)-ROW(AD$15),0),15-13*ORÇAMENTO!$AF$11)),0)</f>
        <v>0</v>
      </c>
      <c r="AE230" s="627">
        <f ca="1">IF(AND($D230="Serviço",AE$12&lt;&gt;0,$H230&gt;0,OR(AUTOEVENTO&lt;&gt;"manual",$M230&lt;&gt;1)),
IF(Import.TipoArredondamento&lt;&gt;"TransfereGOV",
ROUND(OFFSET($P230,0,AE$13),15-13*ORÇAMENTO!$AF$7)/$H230*OFFSET(ORÇAMENTO!$X$15,ROW(AE230)-ROW(AE$15),0),
ROUND(ROUND(OFFSET($P230,0,AE$13),15-13*ORÇAMENTO!$AF$7)*OFFSET(ORÇAMENTO!$W$15,ROW(AE230)-ROW(AE$15),0),15-13*ORÇAMENTO!$AF$11)),0)</f>
        <v>0</v>
      </c>
      <c r="AF230" s="627">
        <f ca="1">IF(AND($D230="Serviço",AF$12&lt;&gt;0,$H230&gt;0,OR(AUTOEVENTO&lt;&gt;"manual",$M230&lt;&gt;1)),
IF(Import.TipoArredondamento&lt;&gt;"TransfereGOV",
ROUND(OFFSET($P230,0,AF$13),15-13*ORÇAMENTO!$AF$7)/$H230*OFFSET(ORÇAMENTO!$X$15,ROW(AF230)-ROW(AF$15),0),
ROUND(ROUND(OFFSET($P230,0,AF$13),15-13*ORÇAMENTO!$AF$7)*OFFSET(ORÇAMENTO!$W$15,ROW(AF230)-ROW(AF$15),0),15-13*ORÇAMENTO!$AF$11)),0)</f>
        <v>0</v>
      </c>
      <c r="AG230" s="627">
        <f ca="1">IF(AND($D230="Serviço",AG$12&lt;&gt;0,$H230&gt;0,OR(AUTOEVENTO&lt;&gt;"manual",$M230&lt;&gt;1)),
IF(Import.TipoArredondamento&lt;&gt;"TransfereGOV",
ROUND(OFFSET($P230,0,AG$13),15-13*ORÇAMENTO!$AF$7)/$H230*OFFSET(ORÇAMENTO!$X$15,ROW(AG230)-ROW(AG$15),0),
ROUND(ROUND(OFFSET($P230,0,AG$13),15-13*ORÇAMENTO!$AF$7)*OFFSET(ORÇAMENTO!$W$15,ROW(AG230)-ROW(AG$15),0),15-13*ORÇAMENTO!$AF$11)),0)</f>
        <v>0</v>
      </c>
      <c r="AH230" s="627">
        <f ca="1">IF(AND($D230="Serviço",AH$12&lt;&gt;0,$H230&gt;0,OR(AUTOEVENTO&lt;&gt;"manual",$M230&lt;&gt;1)),
IF(Import.TipoArredondamento&lt;&gt;"TransfereGOV",
ROUND(OFFSET($P230,0,AH$13),15-13*ORÇAMENTO!$AF$7)/$H230*OFFSET(ORÇAMENTO!$X$15,ROW(AH230)-ROW(AH$15),0),
ROUND(ROUND(OFFSET($P230,0,AH$13),15-13*ORÇAMENTO!$AF$7)*OFFSET(ORÇAMENTO!$W$15,ROW(AH230)-ROW(AH$15),0),15-13*ORÇAMENTO!$AF$11)),0)</f>
        <v>0</v>
      </c>
      <c r="AI230" s="627">
        <f ca="1">IF(AND($D230="Serviço",AI$12&lt;&gt;0,$H230&gt;0,OR(AUTOEVENTO&lt;&gt;"manual",$M230&lt;&gt;1)),
IF(Import.TipoArredondamento&lt;&gt;"TransfereGOV",
ROUND(OFFSET($P230,0,AI$13),15-13*ORÇAMENTO!$AF$7)/$H230*OFFSET(ORÇAMENTO!$X$15,ROW(AI230)-ROW(AI$15),0),
ROUND(ROUND(OFFSET($P230,0,AI$13),15-13*ORÇAMENTO!$AF$7)*OFFSET(ORÇAMENTO!$W$15,ROW(AI230)-ROW(AI$15),0),15-13*ORÇAMENTO!$AF$11)),0)</f>
        <v>0</v>
      </c>
      <c r="AJ230" s="627">
        <f ca="1">IF(AND($D230="Serviço",AJ$12&lt;&gt;0,$H230&gt;0,OR(AUTOEVENTO&lt;&gt;"manual",$M230&lt;&gt;1)),
IF(Import.TipoArredondamento&lt;&gt;"TransfereGOV",
ROUND(OFFSET($P230,0,AJ$13),15-13*ORÇAMENTO!$AF$7)/$H230*OFFSET(ORÇAMENTO!$X$15,ROW(AJ230)-ROW(AJ$15),0),
ROUND(ROUND(OFFSET($P230,0,AJ$13),15-13*ORÇAMENTO!$AF$7)*OFFSET(ORÇAMENTO!$W$15,ROW(AJ230)-ROW(AJ$15),0),15-13*ORÇAMENTO!$AF$11)),0)</f>
        <v>0</v>
      </c>
      <c r="AK230" s="628">
        <f ca="1">IF(AND($D230="Serviço",AK$12&lt;&gt;0,$H230&gt;0,OR(AUTOEVENTO&lt;&gt;"manual",$M230&lt;&gt;1)),
IF(Import.TipoArredondamento&lt;&gt;"TransfereGOV",
ROUND(OFFSET($P230,0,AK$13),15-13*ORÇAMENTO!$AF$7)/$H230*OFFSET(ORÇAMENTO!$X$15,ROW(AK230)-ROW(AK$15),0),
ROUND(ROUND(OFFSET($P230,0,AK$13),15-13*ORÇAMENTO!$AF$7)*OFFSET(ORÇAMENTO!$W$15,ROW(AK230)-ROW(AK$15),0),15-13*ORÇAMENTO!$AF$11)),0)</f>
        <v>0</v>
      </c>
      <c r="AM230" s="211">
        <f ca="1">IF($D230&lt;&gt;"Serviço",0,IF(AND(AUTOEVENTO="Manual",$M230=1),0,IF(OFFSET(CRONOPLE!$F$14,$M230,AM$13)="",10^12,OFFSET(CRONOPLE!$F$14,$M230,AM$13))))</f>
        <v>2</v>
      </c>
      <c r="AN230" s="211">
        <f ca="1">IF($D230&lt;&gt;"Serviço",0,IF(AND(AUTOEVENTO="Manual",$M230=1),0,IF(OFFSET(CRONOPLE!$F$14,$M230,AN$13)="",10^12,OFFSET(CRONOPLE!$F$14,$M230,AN$13))))</f>
        <v>1</v>
      </c>
      <c r="AO230" s="211">
        <f ca="1">IF($D230&lt;&gt;"Serviço",0,IF(AND(AUTOEVENTO="Manual",$M230=1),0,IF(OFFSET(CRONOPLE!$F$14,$M230,AO$13)="",10^12,OFFSET(CRONOPLE!$F$14,$M230,AO$13))))</f>
        <v>2</v>
      </c>
      <c r="AP230" s="211">
        <f ca="1">IF($D230&lt;&gt;"Serviço",0,IF(AND(AUTOEVENTO="Manual",$M230=1),0,IF(OFFSET(CRONOPLE!$F$14,$M230,AP$13)="",10^12,OFFSET(CRONOPLE!$F$14,$M230,AP$13))))</f>
        <v>2</v>
      </c>
      <c r="AQ230" s="211">
        <f ca="1">IF($D230&lt;&gt;"Serviço",0,IF(AND(AUTOEVENTO="Manual",$M230=1),0,IF(OFFSET(CRONOPLE!$F$14,$M230,AQ$13)="",10^12,OFFSET(CRONOPLE!$F$14,$M230,AQ$13))))</f>
        <v>1000000000000</v>
      </c>
      <c r="AR230" s="211">
        <f ca="1">IF($D230&lt;&gt;"Serviço",0,IF(AND(AUTOEVENTO="Manual",$M230=1),0,IF(OFFSET(CRONOPLE!$F$14,$M230,AR$13)="",10^12,OFFSET(CRONOPLE!$F$14,$M230,AR$13))))</f>
        <v>1000000000000</v>
      </c>
      <c r="AS230" s="211">
        <f ca="1">IF($D230&lt;&gt;"Serviço",0,IF(AND(AUTOEVENTO="Manual",$M230=1),0,IF(OFFSET(CRONOPLE!$F$14,$M230,AS$13)="",10^12,OFFSET(CRONOPLE!$F$14,$M230,AS$13))))</f>
        <v>1000000000000</v>
      </c>
      <c r="AT230" s="211">
        <f ca="1">IF($D230&lt;&gt;"Serviço",0,IF(AND(AUTOEVENTO="Manual",$M230=1),0,IF(OFFSET(CRONOPLE!$F$14,$M230,AT$13)="",10^12,OFFSET(CRONOPLE!$F$14,$M230,AT$13))))</f>
        <v>1000000000000</v>
      </c>
      <c r="AU230" s="211">
        <f ca="1">IF($D230&lt;&gt;"Serviço",0,IF(AND(AUTOEVENTO="Manual",$M230=1),0,IF(OFFSET(CRONOPLE!$F$14,$M230,AU$13)="",10^12,OFFSET(CRONOPLE!$F$14,$M230,AU$13))))</f>
        <v>1000000000000</v>
      </c>
      <c r="AV230" s="211">
        <f ca="1">IF($D230&lt;&gt;"Serviço",0,IF(AND(AUTOEVENTO="Manual",$M230=1),0,IF(OFFSET(CRONOPLE!$F$14,$M230,AV$13)="",10^12,OFFSET(CRONOPLE!$F$14,$M230,AV$13))))</f>
        <v>1000000000000</v>
      </c>
      <c r="AX230" s="212">
        <f ca="1">IF($D230&lt;&gt;"Serviço",0,IF(OR(AND(AUTOEVENTO="Manual",$M230=1),$M230&gt;(ROW(PLE.lastrow)-ROW(PLE.firstrow))),0,IF(OFFSET(PLE!$G$14,$M230,AX$13)="",10^12,OFFSET(PLE!$G$14,$M230,AX$13))))</f>
        <v>1000000000000</v>
      </c>
      <c r="AY230" s="212">
        <f ca="1">IF($D230&lt;&gt;"Serviço",0,IF(OR(AND(AUTOEVENTO="Manual",$M230=1),$M230&gt;(ROW(PLE.lastrow)-ROW(PLE.firstrow))),0,IF(OFFSET(PLE!$G$14,$M230,AY$13)="",10^12,OFFSET(PLE!$G$14,$M230,AY$13))))</f>
        <v>1000000000000</v>
      </c>
      <c r="AZ230" s="212">
        <f ca="1">IF($D230&lt;&gt;"Serviço",0,IF(OR(AND(AUTOEVENTO="Manual",$M230=1),$M230&gt;(ROW(PLE.lastrow)-ROW(PLE.firstrow))),0,IF(OFFSET(PLE!$G$14,$M230,AZ$13)="",10^12,OFFSET(PLE!$G$14,$M230,AZ$13))))</f>
        <v>1000000000000</v>
      </c>
      <c r="BA230" s="212">
        <f ca="1">IF($D230&lt;&gt;"Serviço",0,IF(OR(AND(AUTOEVENTO="Manual",$M230=1),$M230&gt;(ROW(PLE.lastrow)-ROW(PLE.firstrow))),0,IF(OFFSET(PLE!$G$14,$M230,BA$13)="",10^12,OFFSET(PLE!$G$14,$M230,BA$13))))</f>
        <v>1000000000000</v>
      </c>
      <c r="BB230" s="212">
        <f ca="1">IF($D230&lt;&gt;"Serviço",0,IF(OR(AND(AUTOEVENTO="Manual",$M230=1),$M230&gt;(ROW(PLE.lastrow)-ROW(PLE.firstrow))),0,IF(OFFSET(PLE!$G$14,$M230,BB$13)="",10^12,OFFSET(PLE!$G$14,$M230,BB$13))))</f>
        <v>1000000000000</v>
      </c>
      <c r="BC230" s="212">
        <f ca="1">IF($D230&lt;&gt;"Serviço",0,IF(OR(AND(AUTOEVENTO="Manual",$M230=1),$M230&gt;(ROW(PLE.lastrow)-ROW(PLE.firstrow))),0,IF(OFFSET(PLE!$G$14,$M230,BC$13)="",10^12,OFFSET(PLE!$G$14,$M230,BC$13))))</f>
        <v>1000000000000</v>
      </c>
      <c r="BD230" s="212">
        <f ca="1">IF($D230&lt;&gt;"Serviço",0,IF(OR(AND(AUTOEVENTO="Manual",$M230=1),$M230&gt;(ROW(PLE.lastrow)-ROW(PLE.firstrow))),0,IF(OFFSET(PLE!$G$14,$M230,BD$13)="",10^12,OFFSET(PLE!$G$14,$M230,BD$13))))</f>
        <v>1000000000000</v>
      </c>
      <c r="BE230" s="212">
        <f ca="1">IF($D230&lt;&gt;"Serviço",0,IF(OR(AND(AUTOEVENTO="Manual",$M230=1),$M230&gt;(ROW(PLE.lastrow)-ROW(PLE.firstrow))),0,IF(OFFSET(PLE!$G$14,$M230,BE$13)="",10^12,OFFSET(PLE!$G$14,$M230,BE$13))))</f>
        <v>1000000000000</v>
      </c>
      <c r="BF230" s="212">
        <f ca="1">IF($D230&lt;&gt;"Serviço",0,IF(OR(AND(AUTOEVENTO="Manual",$M230=1),$M230&gt;(ROW(PLE.lastrow)-ROW(PLE.firstrow))),0,IF(OFFSET(PLE!$G$14,$M230,BF$13)="",10^12,OFFSET(PLE!$G$14,$M230,BF$13))))</f>
        <v>1000000000000</v>
      </c>
      <c r="BG230" s="212">
        <f ca="1">IF($D230&lt;&gt;"Serviço",0,IF(OR(AND(AUTOEVENTO="Manual",$M230=1),$M230&gt;(ROW(PLE.lastrow)-ROW(PLE.firstrow))),0,IF(OFFSET(PLE!$G$14,$M230,BG$13)="",10^12,OFFSET(PLE!$G$14,$M230,BG$13))))</f>
        <v>1000000000000</v>
      </c>
    </row>
    <row r="231" spans="1:59" ht="13.2">
      <c r="A231" s="9" t="str">
        <f t="shared" ca="1" si="12"/>
        <v>15</v>
      </c>
      <c r="B231" s="9" t="str">
        <f ca="1">OFFSET(ORÇAMENTO!C$15,ROW(B231)-ROW(B$15),0)</f>
        <v>S</v>
      </c>
      <c r="C231" s="9" t="str">
        <f ca="1">OFFSET(ORÇAMENTO!L$15,ROW(C231)-ROW(C$15),0)</f>
        <v/>
      </c>
      <c r="D231" s="141" t="str">
        <f ca="1">OFFSET(ORÇAMENTO!N$15,ROW(D231)-ROW(D$15),0)</f>
        <v>Serviço</v>
      </c>
      <c r="E231" s="201" t="str">
        <f ca="1">OFFSET(ORÇAMENTO!O$15,ROW(E231)-ROW(E$15),0)</f>
        <v>-</v>
      </c>
      <c r="F231" s="202" t="str">
        <f ca="1">OFFSET(ORÇAMENTO!R$15,ROW(F231)-ROW(F$15),0)</f>
        <v>(abra o arquivo 'Referência 11-2024.xlsm)</v>
      </c>
      <c r="G231" s="203" t="str">
        <f ca="1">IF($D231&lt;&gt;"Serviço","",OFFSET(ORÇAMENTO!S$15,ROW(G231)-ROW(G$15),0))</f>
        <v>-</v>
      </c>
      <c r="H231" s="147">
        <f ca="1">IF($D231&lt;&gt;"Serviço",0,IF(ACOMPANHAMENTO="BM",ROUND(OFFSET(ORÇAMENTO!AJ$15,ROW(H231)-ROW(H$15),0),15-13*ORÇAMENTO!$AF$7),SUMPRODUCT(($Q$12:$AA$12&lt;&gt;"")*ROUND($Q231:$AA231,15-13*ORÇAMENTO!$AF$7))))</f>
        <v>0</v>
      </c>
      <c r="I231" s="645"/>
      <c r="K231" s="204"/>
      <c r="L231" s="205" t="s">
        <v>255</v>
      </c>
      <c r="M231" s="206">
        <f ca="1">IF($D231&lt;&gt;"Serviço","",IF(AUTOEVENTO="manual",$A231,IF(ISERROR(MATCH($A231,$A$15:OFFSET($A231,-1,0),0)),MAX($M$15:OFFSET(M231,-1,0))+1,INDEX($M$15:OFFSET(M231,-1,0),MATCH($A231,$A$15:OFFSET($A231,-1,0),0)))))</f>
        <v>6</v>
      </c>
      <c r="N231" s="207" t="str">
        <f ca="1">IF($D231&lt;&gt;"Serviço","",IF(AUTOEVENTO="Manual",IF($A231=0,"&lt;-- defina o número do agrupador",OFFSET(EVENTOS!$D$14,$A231,0)),OFFSET($F$15,$A231,0)))</f>
        <v>DRENAGEM</v>
      </c>
      <c r="O231" s="208"/>
      <c r="Q231" s="208"/>
      <c r="R231" s="209"/>
      <c r="S231" s="209"/>
      <c r="T231" s="209"/>
      <c r="U231" s="209"/>
      <c r="V231" s="209"/>
      <c r="W231" s="209"/>
      <c r="X231" s="209"/>
      <c r="Y231" s="209"/>
      <c r="Z231" s="210"/>
      <c r="AB231" s="626">
        <f ca="1">IF(AND($D231="Serviço",AB$12&lt;&gt;0,$H231&gt;0,OR(AUTOEVENTO&lt;&gt;"manual",$M231&lt;&gt;1)),
IF(Import.TipoArredondamento&lt;&gt;"TransfereGOV",
ROUND(OFFSET($P231,0,AB$13),15-13*ORÇAMENTO!$AF$7)/$H231*OFFSET(ORÇAMENTO!$X$15,ROW(AB231)-ROW(AB$15),0),
ROUND(ROUND(OFFSET($P231,0,AB$13),15-13*ORÇAMENTO!$AF$7)*OFFSET(ORÇAMENTO!$W$15,ROW(AB231)-ROW(AB$15),0),15-13*ORÇAMENTO!$AF$11)),0)</f>
        <v>0</v>
      </c>
      <c r="AC231" s="627">
        <f ca="1">IF(AND($D231="Serviço",AC$12&lt;&gt;0,$H231&gt;0,OR(AUTOEVENTO&lt;&gt;"manual",$M231&lt;&gt;1)),
IF(Import.TipoArredondamento&lt;&gt;"TransfereGOV",
ROUND(OFFSET($P231,0,AC$13),15-13*ORÇAMENTO!$AF$7)/$H231*OFFSET(ORÇAMENTO!$X$15,ROW(AC231)-ROW(AC$15),0),
ROUND(ROUND(OFFSET($P231,0,AC$13),15-13*ORÇAMENTO!$AF$7)*OFFSET(ORÇAMENTO!$W$15,ROW(AC231)-ROW(AC$15),0),15-13*ORÇAMENTO!$AF$11)),0)</f>
        <v>0</v>
      </c>
      <c r="AD231" s="627">
        <f ca="1">IF(AND($D231="Serviço",AD$12&lt;&gt;0,$H231&gt;0,OR(AUTOEVENTO&lt;&gt;"manual",$M231&lt;&gt;1)),
IF(Import.TipoArredondamento&lt;&gt;"TransfereGOV",
ROUND(OFFSET($P231,0,AD$13),15-13*ORÇAMENTO!$AF$7)/$H231*OFFSET(ORÇAMENTO!$X$15,ROW(AD231)-ROW(AD$15),0),
ROUND(ROUND(OFFSET($P231,0,AD$13),15-13*ORÇAMENTO!$AF$7)*OFFSET(ORÇAMENTO!$W$15,ROW(AD231)-ROW(AD$15),0),15-13*ORÇAMENTO!$AF$11)),0)</f>
        <v>0</v>
      </c>
      <c r="AE231" s="627">
        <f ca="1">IF(AND($D231="Serviço",AE$12&lt;&gt;0,$H231&gt;0,OR(AUTOEVENTO&lt;&gt;"manual",$M231&lt;&gt;1)),
IF(Import.TipoArredondamento&lt;&gt;"TransfereGOV",
ROUND(OFFSET($P231,0,AE$13),15-13*ORÇAMENTO!$AF$7)/$H231*OFFSET(ORÇAMENTO!$X$15,ROW(AE231)-ROW(AE$15),0),
ROUND(ROUND(OFFSET($P231,0,AE$13),15-13*ORÇAMENTO!$AF$7)*OFFSET(ORÇAMENTO!$W$15,ROW(AE231)-ROW(AE$15),0),15-13*ORÇAMENTO!$AF$11)),0)</f>
        <v>0</v>
      </c>
      <c r="AF231" s="627">
        <f ca="1">IF(AND($D231="Serviço",AF$12&lt;&gt;0,$H231&gt;0,OR(AUTOEVENTO&lt;&gt;"manual",$M231&lt;&gt;1)),
IF(Import.TipoArredondamento&lt;&gt;"TransfereGOV",
ROUND(OFFSET($P231,0,AF$13),15-13*ORÇAMENTO!$AF$7)/$H231*OFFSET(ORÇAMENTO!$X$15,ROW(AF231)-ROW(AF$15),0),
ROUND(ROUND(OFFSET($P231,0,AF$13),15-13*ORÇAMENTO!$AF$7)*OFFSET(ORÇAMENTO!$W$15,ROW(AF231)-ROW(AF$15),0),15-13*ORÇAMENTO!$AF$11)),0)</f>
        <v>0</v>
      </c>
      <c r="AG231" s="627">
        <f ca="1">IF(AND($D231="Serviço",AG$12&lt;&gt;0,$H231&gt;0,OR(AUTOEVENTO&lt;&gt;"manual",$M231&lt;&gt;1)),
IF(Import.TipoArredondamento&lt;&gt;"TransfereGOV",
ROUND(OFFSET($P231,0,AG$13),15-13*ORÇAMENTO!$AF$7)/$H231*OFFSET(ORÇAMENTO!$X$15,ROW(AG231)-ROW(AG$15),0),
ROUND(ROUND(OFFSET($P231,0,AG$13),15-13*ORÇAMENTO!$AF$7)*OFFSET(ORÇAMENTO!$W$15,ROW(AG231)-ROW(AG$15),0),15-13*ORÇAMENTO!$AF$11)),0)</f>
        <v>0</v>
      </c>
      <c r="AH231" s="627">
        <f ca="1">IF(AND($D231="Serviço",AH$12&lt;&gt;0,$H231&gt;0,OR(AUTOEVENTO&lt;&gt;"manual",$M231&lt;&gt;1)),
IF(Import.TipoArredondamento&lt;&gt;"TransfereGOV",
ROUND(OFFSET($P231,0,AH$13),15-13*ORÇAMENTO!$AF$7)/$H231*OFFSET(ORÇAMENTO!$X$15,ROW(AH231)-ROW(AH$15),0),
ROUND(ROUND(OFFSET($P231,0,AH$13),15-13*ORÇAMENTO!$AF$7)*OFFSET(ORÇAMENTO!$W$15,ROW(AH231)-ROW(AH$15),0),15-13*ORÇAMENTO!$AF$11)),0)</f>
        <v>0</v>
      </c>
      <c r="AI231" s="627">
        <f ca="1">IF(AND($D231="Serviço",AI$12&lt;&gt;0,$H231&gt;0,OR(AUTOEVENTO&lt;&gt;"manual",$M231&lt;&gt;1)),
IF(Import.TipoArredondamento&lt;&gt;"TransfereGOV",
ROUND(OFFSET($P231,0,AI$13),15-13*ORÇAMENTO!$AF$7)/$H231*OFFSET(ORÇAMENTO!$X$15,ROW(AI231)-ROW(AI$15),0),
ROUND(ROUND(OFFSET($P231,0,AI$13),15-13*ORÇAMENTO!$AF$7)*OFFSET(ORÇAMENTO!$W$15,ROW(AI231)-ROW(AI$15),0),15-13*ORÇAMENTO!$AF$11)),0)</f>
        <v>0</v>
      </c>
      <c r="AJ231" s="627">
        <f ca="1">IF(AND($D231="Serviço",AJ$12&lt;&gt;0,$H231&gt;0,OR(AUTOEVENTO&lt;&gt;"manual",$M231&lt;&gt;1)),
IF(Import.TipoArredondamento&lt;&gt;"TransfereGOV",
ROUND(OFFSET($P231,0,AJ$13),15-13*ORÇAMENTO!$AF$7)/$H231*OFFSET(ORÇAMENTO!$X$15,ROW(AJ231)-ROW(AJ$15),0),
ROUND(ROUND(OFFSET($P231,0,AJ$13),15-13*ORÇAMENTO!$AF$7)*OFFSET(ORÇAMENTO!$W$15,ROW(AJ231)-ROW(AJ$15),0),15-13*ORÇAMENTO!$AF$11)),0)</f>
        <v>0</v>
      </c>
      <c r="AK231" s="628">
        <f ca="1">IF(AND($D231="Serviço",AK$12&lt;&gt;0,$H231&gt;0,OR(AUTOEVENTO&lt;&gt;"manual",$M231&lt;&gt;1)),
IF(Import.TipoArredondamento&lt;&gt;"TransfereGOV",
ROUND(OFFSET($P231,0,AK$13),15-13*ORÇAMENTO!$AF$7)/$H231*OFFSET(ORÇAMENTO!$X$15,ROW(AK231)-ROW(AK$15),0),
ROUND(ROUND(OFFSET($P231,0,AK$13),15-13*ORÇAMENTO!$AF$7)*OFFSET(ORÇAMENTO!$W$15,ROW(AK231)-ROW(AK$15),0),15-13*ORÇAMENTO!$AF$11)),0)</f>
        <v>0</v>
      </c>
      <c r="AM231" s="211">
        <f ca="1">IF($D231&lt;&gt;"Serviço",0,IF(AND(AUTOEVENTO="Manual",$M231=1),0,IF(OFFSET(CRONOPLE!$F$14,$M231,AM$13)="",10^12,OFFSET(CRONOPLE!$F$14,$M231,AM$13))))</f>
        <v>2</v>
      </c>
      <c r="AN231" s="211">
        <f ca="1">IF($D231&lt;&gt;"Serviço",0,IF(AND(AUTOEVENTO="Manual",$M231=1),0,IF(OFFSET(CRONOPLE!$F$14,$M231,AN$13)="",10^12,OFFSET(CRONOPLE!$F$14,$M231,AN$13))))</f>
        <v>1</v>
      </c>
      <c r="AO231" s="211">
        <f ca="1">IF($D231&lt;&gt;"Serviço",0,IF(AND(AUTOEVENTO="Manual",$M231=1),0,IF(OFFSET(CRONOPLE!$F$14,$M231,AO$13)="",10^12,OFFSET(CRONOPLE!$F$14,$M231,AO$13))))</f>
        <v>2</v>
      </c>
      <c r="AP231" s="211">
        <f ca="1">IF($D231&lt;&gt;"Serviço",0,IF(AND(AUTOEVENTO="Manual",$M231=1),0,IF(OFFSET(CRONOPLE!$F$14,$M231,AP$13)="",10^12,OFFSET(CRONOPLE!$F$14,$M231,AP$13))))</f>
        <v>2</v>
      </c>
      <c r="AQ231" s="211">
        <f ca="1">IF($D231&lt;&gt;"Serviço",0,IF(AND(AUTOEVENTO="Manual",$M231=1),0,IF(OFFSET(CRONOPLE!$F$14,$M231,AQ$13)="",10^12,OFFSET(CRONOPLE!$F$14,$M231,AQ$13))))</f>
        <v>1000000000000</v>
      </c>
      <c r="AR231" s="211">
        <f ca="1">IF($D231&lt;&gt;"Serviço",0,IF(AND(AUTOEVENTO="Manual",$M231=1),0,IF(OFFSET(CRONOPLE!$F$14,$M231,AR$13)="",10^12,OFFSET(CRONOPLE!$F$14,$M231,AR$13))))</f>
        <v>1000000000000</v>
      </c>
      <c r="AS231" s="211">
        <f ca="1">IF($D231&lt;&gt;"Serviço",0,IF(AND(AUTOEVENTO="Manual",$M231=1),0,IF(OFFSET(CRONOPLE!$F$14,$M231,AS$13)="",10^12,OFFSET(CRONOPLE!$F$14,$M231,AS$13))))</f>
        <v>1000000000000</v>
      </c>
      <c r="AT231" s="211">
        <f ca="1">IF($D231&lt;&gt;"Serviço",0,IF(AND(AUTOEVENTO="Manual",$M231=1),0,IF(OFFSET(CRONOPLE!$F$14,$M231,AT$13)="",10^12,OFFSET(CRONOPLE!$F$14,$M231,AT$13))))</f>
        <v>1000000000000</v>
      </c>
      <c r="AU231" s="211">
        <f ca="1">IF($D231&lt;&gt;"Serviço",0,IF(AND(AUTOEVENTO="Manual",$M231=1),0,IF(OFFSET(CRONOPLE!$F$14,$M231,AU$13)="",10^12,OFFSET(CRONOPLE!$F$14,$M231,AU$13))))</f>
        <v>1000000000000</v>
      </c>
      <c r="AV231" s="211">
        <f ca="1">IF($D231&lt;&gt;"Serviço",0,IF(AND(AUTOEVENTO="Manual",$M231=1),0,IF(OFFSET(CRONOPLE!$F$14,$M231,AV$13)="",10^12,OFFSET(CRONOPLE!$F$14,$M231,AV$13))))</f>
        <v>1000000000000</v>
      </c>
      <c r="AX231" s="212">
        <f ca="1">IF($D231&lt;&gt;"Serviço",0,IF(OR(AND(AUTOEVENTO="Manual",$M231=1),$M231&gt;(ROW(PLE.lastrow)-ROW(PLE.firstrow))),0,IF(OFFSET(PLE!$G$14,$M231,AX$13)="",10^12,OFFSET(PLE!$G$14,$M231,AX$13))))</f>
        <v>1000000000000</v>
      </c>
      <c r="AY231" s="212">
        <f ca="1">IF($D231&lt;&gt;"Serviço",0,IF(OR(AND(AUTOEVENTO="Manual",$M231=1),$M231&gt;(ROW(PLE.lastrow)-ROW(PLE.firstrow))),0,IF(OFFSET(PLE!$G$14,$M231,AY$13)="",10^12,OFFSET(PLE!$G$14,$M231,AY$13))))</f>
        <v>1000000000000</v>
      </c>
      <c r="AZ231" s="212">
        <f ca="1">IF($D231&lt;&gt;"Serviço",0,IF(OR(AND(AUTOEVENTO="Manual",$M231=1),$M231&gt;(ROW(PLE.lastrow)-ROW(PLE.firstrow))),0,IF(OFFSET(PLE!$G$14,$M231,AZ$13)="",10^12,OFFSET(PLE!$G$14,$M231,AZ$13))))</f>
        <v>1000000000000</v>
      </c>
      <c r="BA231" s="212">
        <f ca="1">IF($D231&lt;&gt;"Serviço",0,IF(OR(AND(AUTOEVENTO="Manual",$M231=1),$M231&gt;(ROW(PLE.lastrow)-ROW(PLE.firstrow))),0,IF(OFFSET(PLE!$G$14,$M231,BA$13)="",10^12,OFFSET(PLE!$G$14,$M231,BA$13))))</f>
        <v>1000000000000</v>
      </c>
      <c r="BB231" s="212">
        <f ca="1">IF($D231&lt;&gt;"Serviço",0,IF(OR(AND(AUTOEVENTO="Manual",$M231=1),$M231&gt;(ROW(PLE.lastrow)-ROW(PLE.firstrow))),0,IF(OFFSET(PLE!$G$14,$M231,BB$13)="",10^12,OFFSET(PLE!$G$14,$M231,BB$13))))</f>
        <v>1000000000000</v>
      </c>
      <c r="BC231" s="212">
        <f ca="1">IF($D231&lt;&gt;"Serviço",0,IF(OR(AND(AUTOEVENTO="Manual",$M231=1),$M231&gt;(ROW(PLE.lastrow)-ROW(PLE.firstrow))),0,IF(OFFSET(PLE!$G$14,$M231,BC$13)="",10^12,OFFSET(PLE!$G$14,$M231,BC$13))))</f>
        <v>1000000000000</v>
      </c>
      <c r="BD231" s="212">
        <f ca="1">IF($D231&lt;&gt;"Serviço",0,IF(OR(AND(AUTOEVENTO="Manual",$M231=1),$M231&gt;(ROW(PLE.lastrow)-ROW(PLE.firstrow))),0,IF(OFFSET(PLE!$G$14,$M231,BD$13)="",10^12,OFFSET(PLE!$G$14,$M231,BD$13))))</f>
        <v>1000000000000</v>
      </c>
      <c r="BE231" s="212">
        <f ca="1">IF($D231&lt;&gt;"Serviço",0,IF(OR(AND(AUTOEVENTO="Manual",$M231=1),$M231&gt;(ROW(PLE.lastrow)-ROW(PLE.firstrow))),0,IF(OFFSET(PLE!$G$14,$M231,BE$13)="",10^12,OFFSET(PLE!$G$14,$M231,BE$13))))</f>
        <v>1000000000000</v>
      </c>
      <c r="BF231" s="212">
        <f ca="1">IF($D231&lt;&gt;"Serviço",0,IF(OR(AND(AUTOEVENTO="Manual",$M231=1),$M231&gt;(ROW(PLE.lastrow)-ROW(PLE.firstrow))),0,IF(OFFSET(PLE!$G$14,$M231,BF$13)="",10^12,OFFSET(PLE!$G$14,$M231,BF$13))))</f>
        <v>1000000000000</v>
      </c>
      <c r="BG231" s="212">
        <f ca="1">IF($D231&lt;&gt;"Serviço",0,IF(OR(AND(AUTOEVENTO="Manual",$M231=1),$M231&gt;(ROW(PLE.lastrow)-ROW(PLE.firstrow))),0,IF(OFFSET(PLE!$G$14,$M231,BG$13)="",10^12,OFFSET(PLE!$G$14,$M231,BG$13))))</f>
        <v>1000000000000</v>
      </c>
    </row>
    <row r="232" spans="1:59" ht="13.2">
      <c r="A232" s="9" t="str">
        <f t="shared" ca="1" si="12"/>
        <v>15</v>
      </c>
      <c r="B232" s="9" t="str">
        <f ca="1">OFFSET(ORÇAMENTO!C$15,ROW(B232)-ROW(B$15),0)</f>
        <v>S</v>
      </c>
      <c r="C232" s="9" t="str">
        <f ca="1">OFFSET(ORÇAMENTO!L$15,ROW(C232)-ROW(C$15),0)</f>
        <v/>
      </c>
      <c r="D232" s="141" t="str">
        <f ca="1">OFFSET(ORÇAMENTO!N$15,ROW(D232)-ROW(D$15),0)</f>
        <v>Serviço</v>
      </c>
      <c r="E232" s="201" t="str">
        <f ca="1">OFFSET(ORÇAMENTO!O$15,ROW(E232)-ROW(E$15),0)</f>
        <v>-</v>
      </c>
      <c r="F232" s="202" t="str">
        <f ca="1">OFFSET(ORÇAMENTO!R$15,ROW(F232)-ROW(F$15),0)</f>
        <v>(abra o arquivo 'Referência 11-2024.xlsm)</v>
      </c>
      <c r="G232" s="203" t="str">
        <f ca="1">IF($D232&lt;&gt;"Serviço","",OFFSET(ORÇAMENTO!S$15,ROW(G232)-ROW(G$15),0))</f>
        <v>-</v>
      </c>
      <c r="H232" s="147">
        <f ca="1">IF($D232&lt;&gt;"Serviço",0,IF(ACOMPANHAMENTO="BM",ROUND(OFFSET(ORÇAMENTO!AJ$15,ROW(H232)-ROW(H$15),0),15-13*ORÇAMENTO!$AF$7),SUMPRODUCT(($Q$12:$AA$12&lt;&gt;"")*ROUND($Q232:$AA232,15-13*ORÇAMENTO!$AF$7))))</f>
        <v>0</v>
      </c>
      <c r="I232" s="645"/>
      <c r="K232" s="204"/>
      <c r="L232" s="205" t="s">
        <v>255</v>
      </c>
      <c r="M232" s="206">
        <f ca="1">IF($D232&lt;&gt;"Serviço","",IF(AUTOEVENTO="manual",$A232,IF(ISERROR(MATCH($A232,$A$15:OFFSET($A232,-1,0),0)),MAX($M$15:OFFSET(M232,-1,0))+1,INDEX($M$15:OFFSET(M232,-1,0),MATCH($A232,$A$15:OFFSET($A232,-1,0),0)))))</f>
        <v>6</v>
      </c>
      <c r="N232" s="207" t="str">
        <f ca="1">IF($D232&lt;&gt;"Serviço","",IF(AUTOEVENTO="Manual",IF($A232=0,"&lt;-- defina o número do agrupador",OFFSET(EVENTOS!$D$14,$A232,0)),OFFSET($F$15,$A232,0)))</f>
        <v>DRENAGEM</v>
      </c>
      <c r="O232" s="208"/>
      <c r="Q232" s="208"/>
      <c r="R232" s="209"/>
      <c r="S232" s="209"/>
      <c r="T232" s="209"/>
      <c r="U232" s="209"/>
      <c r="V232" s="209"/>
      <c r="W232" s="209"/>
      <c r="X232" s="209"/>
      <c r="Y232" s="209"/>
      <c r="Z232" s="210"/>
      <c r="AB232" s="626">
        <f ca="1">IF(AND($D232="Serviço",AB$12&lt;&gt;0,$H232&gt;0,OR(AUTOEVENTO&lt;&gt;"manual",$M232&lt;&gt;1)),
IF(Import.TipoArredondamento&lt;&gt;"TransfereGOV",
ROUND(OFFSET($P232,0,AB$13),15-13*ORÇAMENTO!$AF$7)/$H232*OFFSET(ORÇAMENTO!$X$15,ROW(AB232)-ROW(AB$15),0),
ROUND(ROUND(OFFSET($P232,0,AB$13),15-13*ORÇAMENTO!$AF$7)*OFFSET(ORÇAMENTO!$W$15,ROW(AB232)-ROW(AB$15),0),15-13*ORÇAMENTO!$AF$11)),0)</f>
        <v>0</v>
      </c>
      <c r="AC232" s="627">
        <f ca="1">IF(AND($D232="Serviço",AC$12&lt;&gt;0,$H232&gt;0,OR(AUTOEVENTO&lt;&gt;"manual",$M232&lt;&gt;1)),
IF(Import.TipoArredondamento&lt;&gt;"TransfereGOV",
ROUND(OFFSET($P232,0,AC$13),15-13*ORÇAMENTO!$AF$7)/$H232*OFFSET(ORÇAMENTO!$X$15,ROW(AC232)-ROW(AC$15),0),
ROUND(ROUND(OFFSET($P232,0,AC$13),15-13*ORÇAMENTO!$AF$7)*OFFSET(ORÇAMENTO!$W$15,ROW(AC232)-ROW(AC$15),0),15-13*ORÇAMENTO!$AF$11)),0)</f>
        <v>0</v>
      </c>
      <c r="AD232" s="627">
        <f ca="1">IF(AND($D232="Serviço",AD$12&lt;&gt;0,$H232&gt;0,OR(AUTOEVENTO&lt;&gt;"manual",$M232&lt;&gt;1)),
IF(Import.TipoArredondamento&lt;&gt;"TransfereGOV",
ROUND(OFFSET($P232,0,AD$13),15-13*ORÇAMENTO!$AF$7)/$H232*OFFSET(ORÇAMENTO!$X$15,ROW(AD232)-ROW(AD$15),0),
ROUND(ROUND(OFFSET($P232,0,AD$13),15-13*ORÇAMENTO!$AF$7)*OFFSET(ORÇAMENTO!$W$15,ROW(AD232)-ROW(AD$15),0),15-13*ORÇAMENTO!$AF$11)),0)</f>
        <v>0</v>
      </c>
      <c r="AE232" s="627">
        <f ca="1">IF(AND($D232="Serviço",AE$12&lt;&gt;0,$H232&gt;0,OR(AUTOEVENTO&lt;&gt;"manual",$M232&lt;&gt;1)),
IF(Import.TipoArredondamento&lt;&gt;"TransfereGOV",
ROUND(OFFSET($P232,0,AE$13),15-13*ORÇAMENTO!$AF$7)/$H232*OFFSET(ORÇAMENTO!$X$15,ROW(AE232)-ROW(AE$15),0),
ROUND(ROUND(OFFSET($P232,0,AE$13),15-13*ORÇAMENTO!$AF$7)*OFFSET(ORÇAMENTO!$W$15,ROW(AE232)-ROW(AE$15),0),15-13*ORÇAMENTO!$AF$11)),0)</f>
        <v>0</v>
      </c>
      <c r="AF232" s="627">
        <f ca="1">IF(AND($D232="Serviço",AF$12&lt;&gt;0,$H232&gt;0,OR(AUTOEVENTO&lt;&gt;"manual",$M232&lt;&gt;1)),
IF(Import.TipoArredondamento&lt;&gt;"TransfereGOV",
ROUND(OFFSET($P232,0,AF$13),15-13*ORÇAMENTO!$AF$7)/$H232*OFFSET(ORÇAMENTO!$X$15,ROW(AF232)-ROW(AF$15),0),
ROUND(ROUND(OFFSET($P232,0,AF$13),15-13*ORÇAMENTO!$AF$7)*OFFSET(ORÇAMENTO!$W$15,ROW(AF232)-ROW(AF$15),0),15-13*ORÇAMENTO!$AF$11)),0)</f>
        <v>0</v>
      </c>
      <c r="AG232" s="627">
        <f ca="1">IF(AND($D232="Serviço",AG$12&lt;&gt;0,$H232&gt;0,OR(AUTOEVENTO&lt;&gt;"manual",$M232&lt;&gt;1)),
IF(Import.TipoArredondamento&lt;&gt;"TransfereGOV",
ROUND(OFFSET($P232,0,AG$13),15-13*ORÇAMENTO!$AF$7)/$H232*OFFSET(ORÇAMENTO!$X$15,ROW(AG232)-ROW(AG$15),0),
ROUND(ROUND(OFFSET($P232,0,AG$13),15-13*ORÇAMENTO!$AF$7)*OFFSET(ORÇAMENTO!$W$15,ROW(AG232)-ROW(AG$15),0),15-13*ORÇAMENTO!$AF$11)),0)</f>
        <v>0</v>
      </c>
      <c r="AH232" s="627">
        <f ca="1">IF(AND($D232="Serviço",AH$12&lt;&gt;0,$H232&gt;0,OR(AUTOEVENTO&lt;&gt;"manual",$M232&lt;&gt;1)),
IF(Import.TipoArredondamento&lt;&gt;"TransfereGOV",
ROUND(OFFSET($P232,0,AH$13),15-13*ORÇAMENTO!$AF$7)/$H232*OFFSET(ORÇAMENTO!$X$15,ROW(AH232)-ROW(AH$15),0),
ROUND(ROUND(OFFSET($P232,0,AH$13),15-13*ORÇAMENTO!$AF$7)*OFFSET(ORÇAMENTO!$W$15,ROW(AH232)-ROW(AH$15),0),15-13*ORÇAMENTO!$AF$11)),0)</f>
        <v>0</v>
      </c>
      <c r="AI232" s="627">
        <f ca="1">IF(AND($D232="Serviço",AI$12&lt;&gt;0,$H232&gt;0,OR(AUTOEVENTO&lt;&gt;"manual",$M232&lt;&gt;1)),
IF(Import.TipoArredondamento&lt;&gt;"TransfereGOV",
ROUND(OFFSET($P232,0,AI$13),15-13*ORÇAMENTO!$AF$7)/$H232*OFFSET(ORÇAMENTO!$X$15,ROW(AI232)-ROW(AI$15),0),
ROUND(ROUND(OFFSET($P232,0,AI$13),15-13*ORÇAMENTO!$AF$7)*OFFSET(ORÇAMENTO!$W$15,ROW(AI232)-ROW(AI$15),0),15-13*ORÇAMENTO!$AF$11)),0)</f>
        <v>0</v>
      </c>
      <c r="AJ232" s="627">
        <f ca="1">IF(AND($D232="Serviço",AJ$12&lt;&gt;0,$H232&gt;0,OR(AUTOEVENTO&lt;&gt;"manual",$M232&lt;&gt;1)),
IF(Import.TipoArredondamento&lt;&gt;"TransfereGOV",
ROUND(OFFSET($P232,0,AJ$13),15-13*ORÇAMENTO!$AF$7)/$H232*OFFSET(ORÇAMENTO!$X$15,ROW(AJ232)-ROW(AJ$15),0),
ROUND(ROUND(OFFSET($P232,0,AJ$13),15-13*ORÇAMENTO!$AF$7)*OFFSET(ORÇAMENTO!$W$15,ROW(AJ232)-ROW(AJ$15),0),15-13*ORÇAMENTO!$AF$11)),0)</f>
        <v>0</v>
      </c>
      <c r="AK232" s="628">
        <f ca="1">IF(AND($D232="Serviço",AK$12&lt;&gt;0,$H232&gt;0,OR(AUTOEVENTO&lt;&gt;"manual",$M232&lt;&gt;1)),
IF(Import.TipoArredondamento&lt;&gt;"TransfereGOV",
ROUND(OFFSET($P232,0,AK$13),15-13*ORÇAMENTO!$AF$7)/$H232*OFFSET(ORÇAMENTO!$X$15,ROW(AK232)-ROW(AK$15),0),
ROUND(ROUND(OFFSET($P232,0,AK$13),15-13*ORÇAMENTO!$AF$7)*OFFSET(ORÇAMENTO!$W$15,ROW(AK232)-ROW(AK$15),0),15-13*ORÇAMENTO!$AF$11)),0)</f>
        <v>0</v>
      </c>
      <c r="AM232" s="211">
        <f ca="1">IF($D232&lt;&gt;"Serviço",0,IF(AND(AUTOEVENTO="Manual",$M232=1),0,IF(OFFSET(CRONOPLE!$F$14,$M232,AM$13)="",10^12,OFFSET(CRONOPLE!$F$14,$M232,AM$13))))</f>
        <v>2</v>
      </c>
      <c r="AN232" s="211">
        <f ca="1">IF($D232&lt;&gt;"Serviço",0,IF(AND(AUTOEVENTO="Manual",$M232=1),0,IF(OFFSET(CRONOPLE!$F$14,$M232,AN$13)="",10^12,OFFSET(CRONOPLE!$F$14,$M232,AN$13))))</f>
        <v>1</v>
      </c>
      <c r="AO232" s="211">
        <f ca="1">IF($D232&lt;&gt;"Serviço",0,IF(AND(AUTOEVENTO="Manual",$M232=1),0,IF(OFFSET(CRONOPLE!$F$14,$M232,AO$13)="",10^12,OFFSET(CRONOPLE!$F$14,$M232,AO$13))))</f>
        <v>2</v>
      </c>
      <c r="AP232" s="211">
        <f ca="1">IF($D232&lt;&gt;"Serviço",0,IF(AND(AUTOEVENTO="Manual",$M232=1),0,IF(OFFSET(CRONOPLE!$F$14,$M232,AP$13)="",10^12,OFFSET(CRONOPLE!$F$14,$M232,AP$13))))</f>
        <v>2</v>
      </c>
      <c r="AQ232" s="211">
        <f ca="1">IF($D232&lt;&gt;"Serviço",0,IF(AND(AUTOEVENTO="Manual",$M232=1),0,IF(OFFSET(CRONOPLE!$F$14,$M232,AQ$13)="",10^12,OFFSET(CRONOPLE!$F$14,$M232,AQ$13))))</f>
        <v>1000000000000</v>
      </c>
      <c r="AR232" s="211">
        <f ca="1">IF($D232&lt;&gt;"Serviço",0,IF(AND(AUTOEVENTO="Manual",$M232=1),0,IF(OFFSET(CRONOPLE!$F$14,$M232,AR$13)="",10^12,OFFSET(CRONOPLE!$F$14,$M232,AR$13))))</f>
        <v>1000000000000</v>
      </c>
      <c r="AS232" s="211">
        <f ca="1">IF($D232&lt;&gt;"Serviço",0,IF(AND(AUTOEVENTO="Manual",$M232=1),0,IF(OFFSET(CRONOPLE!$F$14,$M232,AS$13)="",10^12,OFFSET(CRONOPLE!$F$14,$M232,AS$13))))</f>
        <v>1000000000000</v>
      </c>
      <c r="AT232" s="211">
        <f ca="1">IF($D232&lt;&gt;"Serviço",0,IF(AND(AUTOEVENTO="Manual",$M232=1),0,IF(OFFSET(CRONOPLE!$F$14,$M232,AT$13)="",10^12,OFFSET(CRONOPLE!$F$14,$M232,AT$13))))</f>
        <v>1000000000000</v>
      </c>
      <c r="AU232" s="211">
        <f ca="1">IF($D232&lt;&gt;"Serviço",0,IF(AND(AUTOEVENTO="Manual",$M232=1),0,IF(OFFSET(CRONOPLE!$F$14,$M232,AU$13)="",10^12,OFFSET(CRONOPLE!$F$14,$M232,AU$13))))</f>
        <v>1000000000000</v>
      </c>
      <c r="AV232" s="211">
        <f ca="1">IF($D232&lt;&gt;"Serviço",0,IF(AND(AUTOEVENTO="Manual",$M232=1),0,IF(OFFSET(CRONOPLE!$F$14,$M232,AV$13)="",10^12,OFFSET(CRONOPLE!$F$14,$M232,AV$13))))</f>
        <v>1000000000000</v>
      </c>
      <c r="AX232" s="212">
        <f ca="1">IF($D232&lt;&gt;"Serviço",0,IF(OR(AND(AUTOEVENTO="Manual",$M232=1),$M232&gt;(ROW(PLE.lastrow)-ROW(PLE.firstrow))),0,IF(OFFSET(PLE!$G$14,$M232,AX$13)="",10^12,OFFSET(PLE!$G$14,$M232,AX$13))))</f>
        <v>1000000000000</v>
      </c>
      <c r="AY232" s="212">
        <f ca="1">IF($D232&lt;&gt;"Serviço",0,IF(OR(AND(AUTOEVENTO="Manual",$M232=1),$M232&gt;(ROW(PLE.lastrow)-ROW(PLE.firstrow))),0,IF(OFFSET(PLE!$G$14,$M232,AY$13)="",10^12,OFFSET(PLE!$G$14,$M232,AY$13))))</f>
        <v>1000000000000</v>
      </c>
      <c r="AZ232" s="212">
        <f ca="1">IF($D232&lt;&gt;"Serviço",0,IF(OR(AND(AUTOEVENTO="Manual",$M232=1),$M232&gt;(ROW(PLE.lastrow)-ROW(PLE.firstrow))),0,IF(OFFSET(PLE!$G$14,$M232,AZ$13)="",10^12,OFFSET(PLE!$G$14,$M232,AZ$13))))</f>
        <v>1000000000000</v>
      </c>
      <c r="BA232" s="212">
        <f ca="1">IF($D232&lt;&gt;"Serviço",0,IF(OR(AND(AUTOEVENTO="Manual",$M232=1),$M232&gt;(ROW(PLE.lastrow)-ROW(PLE.firstrow))),0,IF(OFFSET(PLE!$G$14,$M232,BA$13)="",10^12,OFFSET(PLE!$G$14,$M232,BA$13))))</f>
        <v>1000000000000</v>
      </c>
      <c r="BB232" s="212">
        <f ca="1">IF($D232&lt;&gt;"Serviço",0,IF(OR(AND(AUTOEVENTO="Manual",$M232=1),$M232&gt;(ROW(PLE.lastrow)-ROW(PLE.firstrow))),0,IF(OFFSET(PLE!$G$14,$M232,BB$13)="",10^12,OFFSET(PLE!$G$14,$M232,BB$13))))</f>
        <v>1000000000000</v>
      </c>
      <c r="BC232" s="212">
        <f ca="1">IF($D232&lt;&gt;"Serviço",0,IF(OR(AND(AUTOEVENTO="Manual",$M232=1),$M232&gt;(ROW(PLE.lastrow)-ROW(PLE.firstrow))),0,IF(OFFSET(PLE!$G$14,$M232,BC$13)="",10^12,OFFSET(PLE!$G$14,$M232,BC$13))))</f>
        <v>1000000000000</v>
      </c>
      <c r="BD232" s="212">
        <f ca="1">IF($D232&lt;&gt;"Serviço",0,IF(OR(AND(AUTOEVENTO="Manual",$M232=1),$M232&gt;(ROW(PLE.lastrow)-ROW(PLE.firstrow))),0,IF(OFFSET(PLE!$G$14,$M232,BD$13)="",10^12,OFFSET(PLE!$G$14,$M232,BD$13))))</f>
        <v>1000000000000</v>
      </c>
      <c r="BE232" s="212">
        <f ca="1">IF($D232&lt;&gt;"Serviço",0,IF(OR(AND(AUTOEVENTO="Manual",$M232=1),$M232&gt;(ROW(PLE.lastrow)-ROW(PLE.firstrow))),0,IF(OFFSET(PLE!$G$14,$M232,BE$13)="",10^12,OFFSET(PLE!$G$14,$M232,BE$13))))</f>
        <v>1000000000000</v>
      </c>
      <c r="BF232" s="212">
        <f ca="1">IF($D232&lt;&gt;"Serviço",0,IF(OR(AND(AUTOEVENTO="Manual",$M232=1),$M232&gt;(ROW(PLE.lastrow)-ROW(PLE.firstrow))),0,IF(OFFSET(PLE!$G$14,$M232,BF$13)="",10^12,OFFSET(PLE!$G$14,$M232,BF$13))))</f>
        <v>1000000000000</v>
      </c>
      <c r="BG232" s="212">
        <f ca="1">IF($D232&lt;&gt;"Serviço",0,IF(OR(AND(AUTOEVENTO="Manual",$M232=1),$M232&gt;(ROW(PLE.lastrow)-ROW(PLE.firstrow))),0,IF(OFFSET(PLE!$G$14,$M232,BG$13)="",10^12,OFFSET(PLE!$G$14,$M232,BG$13))))</f>
        <v>1000000000000</v>
      </c>
    </row>
    <row r="233" spans="1:59" ht="13.2">
      <c r="A233" s="9" t="str">
        <f t="shared" ca="1" si="12"/>
        <v>15</v>
      </c>
      <c r="B233" s="9" t="str">
        <f ca="1">OFFSET(ORÇAMENTO!C$15,ROW(B233)-ROW(B$15),0)</f>
        <v>S</v>
      </c>
      <c r="C233" s="9" t="str">
        <f ca="1">OFFSET(ORÇAMENTO!L$15,ROW(C233)-ROW(C$15),0)</f>
        <v/>
      </c>
      <c r="D233" s="141" t="str">
        <f ca="1">OFFSET(ORÇAMENTO!N$15,ROW(D233)-ROW(D$15),0)</f>
        <v>Serviço</v>
      </c>
      <c r="E233" s="201" t="str">
        <f ca="1">OFFSET(ORÇAMENTO!O$15,ROW(E233)-ROW(E$15),0)</f>
        <v>-</v>
      </c>
      <c r="F233" s="202" t="str">
        <f ca="1">OFFSET(ORÇAMENTO!R$15,ROW(F233)-ROW(F$15),0)</f>
        <v>(abra o arquivo 'Referência 11-2024.xlsm)</v>
      </c>
      <c r="G233" s="203" t="str">
        <f ca="1">IF($D233&lt;&gt;"Serviço","",OFFSET(ORÇAMENTO!S$15,ROW(G233)-ROW(G$15),0))</f>
        <v>-</v>
      </c>
      <c r="H233" s="147">
        <f ca="1">IF($D233&lt;&gt;"Serviço",0,IF(ACOMPANHAMENTO="BM",ROUND(OFFSET(ORÇAMENTO!AJ$15,ROW(H233)-ROW(H$15),0),15-13*ORÇAMENTO!$AF$7),SUMPRODUCT(($Q$12:$AA$12&lt;&gt;"")*ROUND($Q233:$AA233,15-13*ORÇAMENTO!$AF$7))))</f>
        <v>0</v>
      </c>
      <c r="I233" s="645"/>
      <c r="K233" s="204"/>
      <c r="L233" s="205" t="s">
        <v>255</v>
      </c>
      <c r="M233" s="206">
        <f ca="1">IF($D233&lt;&gt;"Serviço","",IF(AUTOEVENTO="manual",$A233,IF(ISERROR(MATCH($A233,$A$15:OFFSET($A233,-1,0),0)),MAX($M$15:OFFSET(M233,-1,0))+1,INDEX($M$15:OFFSET(M233,-1,0),MATCH($A233,$A$15:OFFSET($A233,-1,0),0)))))</f>
        <v>6</v>
      </c>
      <c r="N233" s="207" t="str">
        <f ca="1">IF($D233&lt;&gt;"Serviço","",IF(AUTOEVENTO="Manual",IF($A233=0,"&lt;-- defina o número do agrupador",OFFSET(EVENTOS!$D$14,$A233,0)),OFFSET($F$15,$A233,0)))</f>
        <v>DRENAGEM</v>
      </c>
      <c r="O233" s="208"/>
      <c r="Q233" s="208"/>
      <c r="R233" s="209"/>
      <c r="S233" s="209"/>
      <c r="T233" s="209"/>
      <c r="U233" s="209"/>
      <c r="V233" s="209"/>
      <c r="W233" s="209"/>
      <c r="X233" s="209"/>
      <c r="Y233" s="209"/>
      <c r="Z233" s="210"/>
      <c r="AB233" s="626">
        <f ca="1">IF(AND($D233="Serviço",AB$12&lt;&gt;0,$H233&gt;0,OR(AUTOEVENTO&lt;&gt;"manual",$M233&lt;&gt;1)),
IF(Import.TipoArredondamento&lt;&gt;"TransfereGOV",
ROUND(OFFSET($P233,0,AB$13),15-13*ORÇAMENTO!$AF$7)/$H233*OFFSET(ORÇAMENTO!$X$15,ROW(AB233)-ROW(AB$15),0),
ROUND(ROUND(OFFSET($P233,0,AB$13),15-13*ORÇAMENTO!$AF$7)*OFFSET(ORÇAMENTO!$W$15,ROW(AB233)-ROW(AB$15),0),15-13*ORÇAMENTO!$AF$11)),0)</f>
        <v>0</v>
      </c>
      <c r="AC233" s="627">
        <f ca="1">IF(AND($D233="Serviço",AC$12&lt;&gt;0,$H233&gt;0,OR(AUTOEVENTO&lt;&gt;"manual",$M233&lt;&gt;1)),
IF(Import.TipoArredondamento&lt;&gt;"TransfereGOV",
ROUND(OFFSET($P233,0,AC$13),15-13*ORÇAMENTO!$AF$7)/$H233*OFFSET(ORÇAMENTO!$X$15,ROW(AC233)-ROW(AC$15),0),
ROUND(ROUND(OFFSET($P233,0,AC$13),15-13*ORÇAMENTO!$AF$7)*OFFSET(ORÇAMENTO!$W$15,ROW(AC233)-ROW(AC$15),0),15-13*ORÇAMENTO!$AF$11)),0)</f>
        <v>0</v>
      </c>
      <c r="AD233" s="627">
        <f ca="1">IF(AND($D233="Serviço",AD$12&lt;&gt;0,$H233&gt;0,OR(AUTOEVENTO&lt;&gt;"manual",$M233&lt;&gt;1)),
IF(Import.TipoArredondamento&lt;&gt;"TransfereGOV",
ROUND(OFFSET($P233,0,AD$13),15-13*ORÇAMENTO!$AF$7)/$H233*OFFSET(ORÇAMENTO!$X$15,ROW(AD233)-ROW(AD$15),0),
ROUND(ROUND(OFFSET($P233,0,AD$13),15-13*ORÇAMENTO!$AF$7)*OFFSET(ORÇAMENTO!$W$15,ROW(AD233)-ROW(AD$15),0),15-13*ORÇAMENTO!$AF$11)),0)</f>
        <v>0</v>
      </c>
      <c r="AE233" s="627">
        <f ca="1">IF(AND($D233="Serviço",AE$12&lt;&gt;0,$H233&gt;0,OR(AUTOEVENTO&lt;&gt;"manual",$M233&lt;&gt;1)),
IF(Import.TipoArredondamento&lt;&gt;"TransfereGOV",
ROUND(OFFSET($P233,0,AE$13),15-13*ORÇAMENTO!$AF$7)/$H233*OFFSET(ORÇAMENTO!$X$15,ROW(AE233)-ROW(AE$15),0),
ROUND(ROUND(OFFSET($P233,0,AE$13),15-13*ORÇAMENTO!$AF$7)*OFFSET(ORÇAMENTO!$W$15,ROW(AE233)-ROW(AE$15),0),15-13*ORÇAMENTO!$AF$11)),0)</f>
        <v>0</v>
      </c>
      <c r="AF233" s="627">
        <f ca="1">IF(AND($D233="Serviço",AF$12&lt;&gt;0,$H233&gt;0,OR(AUTOEVENTO&lt;&gt;"manual",$M233&lt;&gt;1)),
IF(Import.TipoArredondamento&lt;&gt;"TransfereGOV",
ROUND(OFFSET($P233,0,AF$13),15-13*ORÇAMENTO!$AF$7)/$H233*OFFSET(ORÇAMENTO!$X$15,ROW(AF233)-ROW(AF$15),0),
ROUND(ROUND(OFFSET($P233,0,AF$13),15-13*ORÇAMENTO!$AF$7)*OFFSET(ORÇAMENTO!$W$15,ROW(AF233)-ROW(AF$15),0),15-13*ORÇAMENTO!$AF$11)),0)</f>
        <v>0</v>
      </c>
      <c r="AG233" s="627">
        <f ca="1">IF(AND($D233="Serviço",AG$12&lt;&gt;0,$H233&gt;0,OR(AUTOEVENTO&lt;&gt;"manual",$M233&lt;&gt;1)),
IF(Import.TipoArredondamento&lt;&gt;"TransfereGOV",
ROUND(OFFSET($P233,0,AG$13),15-13*ORÇAMENTO!$AF$7)/$H233*OFFSET(ORÇAMENTO!$X$15,ROW(AG233)-ROW(AG$15),0),
ROUND(ROUND(OFFSET($P233,0,AG$13),15-13*ORÇAMENTO!$AF$7)*OFFSET(ORÇAMENTO!$W$15,ROW(AG233)-ROW(AG$15),0),15-13*ORÇAMENTO!$AF$11)),0)</f>
        <v>0</v>
      </c>
      <c r="AH233" s="627">
        <f ca="1">IF(AND($D233="Serviço",AH$12&lt;&gt;0,$H233&gt;0,OR(AUTOEVENTO&lt;&gt;"manual",$M233&lt;&gt;1)),
IF(Import.TipoArredondamento&lt;&gt;"TransfereGOV",
ROUND(OFFSET($P233,0,AH$13),15-13*ORÇAMENTO!$AF$7)/$H233*OFFSET(ORÇAMENTO!$X$15,ROW(AH233)-ROW(AH$15),0),
ROUND(ROUND(OFFSET($P233,0,AH$13),15-13*ORÇAMENTO!$AF$7)*OFFSET(ORÇAMENTO!$W$15,ROW(AH233)-ROW(AH$15),0),15-13*ORÇAMENTO!$AF$11)),0)</f>
        <v>0</v>
      </c>
      <c r="AI233" s="627">
        <f ca="1">IF(AND($D233="Serviço",AI$12&lt;&gt;0,$H233&gt;0,OR(AUTOEVENTO&lt;&gt;"manual",$M233&lt;&gt;1)),
IF(Import.TipoArredondamento&lt;&gt;"TransfereGOV",
ROUND(OFFSET($P233,0,AI$13),15-13*ORÇAMENTO!$AF$7)/$H233*OFFSET(ORÇAMENTO!$X$15,ROW(AI233)-ROW(AI$15),0),
ROUND(ROUND(OFFSET($P233,0,AI$13),15-13*ORÇAMENTO!$AF$7)*OFFSET(ORÇAMENTO!$W$15,ROW(AI233)-ROW(AI$15),0),15-13*ORÇAMENTO!$AF$11)),0)</f>
        <v>0</v>
      </c>
      <c r="AJ233" s="627">
        <f ca="1">IF(AND($D233="Serviço",AJ$12&lt;&gt;0,$H233&gt;0,OR(AUTOEVENTO&lt;&gt;"manual",$M233&lt;&gt;1)),
IF(Import.TipoArredondamento&lt;&gt;"TransfereGOV",
ROUND(OFFSET($P233,0,AJ$13),15-13*ORÇAMENTO!$AF$7)/$H233*OFFSET(ORÇAMENTO!$X$15,ROW(AJ233)-ROW(AJ$15),0),
ROUND(ROUND(OFFSET($P233,0,AJ$13),15-13*ORÇAMENTO!$AF$7)*OFFSET(ORÇAMENTO!$W$15,ROW(AJ233)-ROW(AJ$15),0),15-13*ORÇAMENTO!$AF$11)),0)</f>
        <v>0</v>
      </c>
      <c r="AK233" s="628">
        <f ca="1">IF(AND($D233="Serviço",AK$12&lt;&gt;0,$H233&gt;0,OR(AUTOEVENTO&lt;&gt;"manual",$M233&lt;&gt;1)),
IF(Import.TipoArredondamento&lt;&gt;"TransfereGOV",
ROUND(OFFSET($P233,0,AK$13),15-13*ORÇAMENTO!$AF$7)/$H233*OFFSET(ORÇAMENTO!$X$15,ROW(AK233)-ROW(AK$15),0),
ROUND(ROUND(OFFSET($P233,0,AK$13),15-13*ORÇAMENTO!$AF$7)*OFFSET(ORÇAMENTO!$W$15,ROW(AK233)-ROW(AK$15),0),15-13*ORÇAMENTO!$AF$11)),0)</f>
        <v>0</v>
      </c>
      <c r="AM233" s="211">
        <f ca="1">IF($D233&lt;&gt;"Serviço",0,IF(AND(AUTOEVENTO="Manual",$M233=1),0,IF(OFFSET(CRONOPLE!$F$14,$M233,AM$13)="",10^12,OFFSET(CRONOPLE!$F$14,$M233,AM$13))))</f>
        <v>2</v>
      </c>
      <c r="AN233" s="211">
        <f ca="1">IF($D233&lt;&gt;"Serviço",0,IF(AND(AUTOEVENTO="Manual",$M233=1),0,IF(OFFSET(CRONOPLE!$F$14,$M233,AN$13)="",10^12,OFFSET(CRONOPLE!$F$14,$M233,AN$13))))</f>
        <v>1</v>
      </c>
      <c r="AO233" s="211">
        <f ca="1">IF($D233&lt;&gt;"Serviço",0,IF(AND(AUTOEVENTO="Manual",$M233=1),0,IF(OFFSET(CRONOPLE!$F$14,$M233,AO$13)="",10^12,OFFSET(CRONOPLE!$F$14,$M233,AO$13))))</f>
        <v>2</v>
      </c>
      <c r="AP233" s="211">
        <f ca="1">IF($D233&lt;&gt;"Serviço",0,IF(AND(AUTOEVENTO="Manual",$M233=1),0,IF(OFFSET(CRONOPLE!$F$14,$M233,AP$13)="",10^12,OFFSET(CRONOPLE!$F$14,$M233,AP$13))))</f>
        <v>2</v>
      </c>
      <c r="AQ233" s="211">
        <f ca="1">IF($D233&lt;&gt;"Serviço",0,IF(AND(AUTOEVENTO="Manual",$M233=1),0,IF(OFFSET(CRONOPLE!$F$14,$M233,AQ$13)="",10^12,OFFSET(CRONOPLE!$F$14,$M233,AQ$13))))</f>
        <v>1000000000000</v>
      </c>
      <c r="AR233" s="211">
        <f ca="1">IF($D233&lt;&gt;"Serviço",0,IF(AND(AUTOEVENTO="Manual",$M233=1),0,IF(OFFSET(CRONOPLE!$F$14,$M233,AR$13)="",10^12,OFFSET(CRONOPLE!$F$14,$M233,AR$13))))</f>
        <v>1000000000000</v>
      </c>
      <c r="AS233" s="211">
        <f ca="1">IF($D233&lt;&gt;"Serviço",0,IF(AND(AUTOEVENTO="Manual",$M233=1),0,IF(OFFSET(CRONOPLE!$F$14,$M233,AS$13)="",10^12,OFFSET(CRONOPLE!$F$14,$M233,AS$13))))</f>
        <v>1000000000000</v>
      </c>
      <c r="AT233" s="211">
        <f ca="1">IF($D233&lt;&gt;"Serviço",0,IF(AND(AUTOEVENTO="Manual",$M233=1),0,IF(OFFSET(CRONOPLE!$F$14,$M233,AT$13)="",10^12,OFFSET(CRONOPLE!$F$14,$M233,AT$13))))</f>
        <v>1000000000000</v>
      </c>
      <c r="AU233" s="211">
        <f ca="1">IF($D233&lt;&gt;"Serviço",0,IF(AND(AUTOEVENTO="Manual",$M233=1),0,IF(OFFSET(CRONOPLE!$F$14,$M233,AU$13)="",10^12,OFFSET(CRONOPLE!$F$14,$M233,AU$13))))</f>
        <v>1000000000000</v>
      </c>
      <c r="AV233" s="211">
        <f ca="1">IF($D233&lt;&gt;"Serviço",0,IF(AND(AUTOEVENTO="Manual",$M233=1),0,IF(OFFSET(CRONOPLE!$F$14,$M233,AV$13)="",10^12,OFFSET(CRONOPLE!$F$14,$M233,AV$13))))</f>
        <v>1000000000000</v>
      </c>
      <c r="AX233" s="212">
        <f ca="1">IF($D233&lt;&gt;"Serviço",0,IF(OR(AND(AUTOEVENTO="Manual",$M233=1),$M233&gt;(ROW(PLE.lastrow)-ROW(PLE.firstrow))),0,IF(OFFSET(PLE!$G$14,$M233,AX$13)="",10^12,OFFSET(PLE!$G$14,$M233,AX$13))))</f>
        <v>1000000000000</v>
      </c>
      <c r="AY233" s="212">
        <f ca="1">IF($D233&lt;&gt;"Serviço",0,IF(OR(AND(AUTOEVENTO="Manual",$M233=1),$M233&gt;(ROW(PLE.lastrow)-ROW(PLE.firstrow))),0,IF(OFFSET(PLE!$G$14,$M233,AY$13)="",10^12,OFFSET(PLE!$G$14,$M233,AY$13))))</f>
        <v>1000000000000</v>
      </c>
      <c r="AZ233" s="212">
        <f ca="1">IF($D233&lt;&gt;"Serviço",0,IF(OR(AND(AUTOEVENTO="Manual",$M233=1),$M233&gt;(ROW(PLE.lastrow)-ROW(PLE.firstrow))),0,IF(OFFSET(PLE!$G$14,$M233,AZ$13)="",10^12,OFFSET(PLE!$G$14,$M233,AZ$13))))</f>
        <v>1000000000000</v>
      </c>
      <c r="BA233" s="212">
        <f ca="1">IF($D233&lt;&gt;"Serviço",0,IF(OR(AND(AUTOEVENTO="Manual",$M233=1),$M233&gt;(ROW(PLE.lastrow)-ROW(PLE.firstrow))),0,IF(OFFSET(PLE!$G$14,$M233,BA$13)="",10^12,OFFSET(PLE!$G$14,$M233,BA$13))))</f>
        <v>1000000000000</v>
      </c>
      <c r="BB233" s="212">
        <f ca="1">IF($D233&lt;&gt;"Serviço",0,IF(OR(AND(AUTOEVENTO="Manual",$M233=1),$M233&gt;(ROW(PLE.lastrow)-ROW(PLE.firstrow))),0,IF(OFFSET(PLE!$G$14,$M233,BB$13)="",10^12,OFFSET(PLE!$G$14,$M233,BB$13))))</f>
        <v>1000000000000</v>
      </c>
      <c r="BC233" s="212">
        <f ca="1">IF($D233&lt;&gt;"Serviço",0,IF(OR(AND(AUTOEVENTO="Manual",$M233=1),$M233&gt;(ROW(PLE.lastrow)-ROW(PLE.firstrow))),0,IF(OFFSET(PLE!$G$14,$M233,BC$13)="",10^12,OFFSET(PLE!$G$14,$M233,BC$13))))</f>
        <v>1000000000000</v>
      </c>
      <c r="BD233" s="212">
        <f ca="1">IF($D233&lt;&gt;"Serviço",0,IF(OR(AND(AUTOEVENTO="Manual",$M233=1),$M233&gt;(ROW(PLE.lastrow)-ROW(PLE.firstrow))),0,IF(OFFSET(PLE!$G$14,$M233,BD$13)="",10^12,OFFSET(PLE!$G$14,$M233,BD$13))))</f>
        <v>1000000000000</v>
      </c>
      <c r="BE233" s="212">
        <f ca="1">IF($D233&lt;&gt;"Serviço",0,IF(OR(AND(AUTOEVENTO="Manual",$M233=1),$M233&gt;(ROW(PLE.lastrow)-ROW(PLE.firstrow))),0,IF(OFFSET(PLE!$G$14,$M233,BE$13)="",10^12,OFFSET(PLE!$G$14,$M233,BE$13))))</f>
        <v>1000000000000</v>
      </c>
      <c r="BF233" s="212">
        <f ca="1">IF($D233&lt;&gt;"Serviço",0,IF(OR(AND(AUTOEVENTO="Manual",$M233=1),$M233&gt;(ROW(PLE.lastrow)-ROW(PLE.firstrow))),0,IF(OFFSET(PLE!$G$14,$M233,BF$13)="",10^12,OFFSET(PLE!$G$14,$M233,BF$13))))</f>
        <v>1000000000000</v>
      </c>
      <c r="BG233" s="212">
        <f ca="1">IF($D233&lt;&gt;"Serviço",0,IF(OR(AND(AUTOEVENTO="Manual",$M233=1),$M233&gt;(ROW(PLE.lastrow)-ROW(PLE.firstrow))),0,IF(OFFSET(PLE!$G$14,$M233,BG$13)="",10^12,OFFSET(PLE!$G$14,$M233,BG$13))))</f>
        <v>1000000000000</v>
      </c>
    </row>
    <row r="234" spans="1:59" ht="13.2">
      <c r="A234" s="9" t="str">
        <f t="shared" ca="1" si="12"/>
        <v>15</v>
      </c>
      <c r="B234" s="9" t="str">
        <f ca="1">OFFSET(ORÇAMENTO!C$15,ROW(B234)-ROW(B$15),0)</f>
        <v>S</v>
      </c>
      <c r="C234" s="9" t="str">
        <f ca="1">OFFSET(ORÇAMENTO!L$15,ROW(C234)-ROW(C$15),0)</f>
        <v/>
      </c>
      <c r="D234" s="141" t="str">
        <f ca="1">OFFSET(ORÇAMENTO!N$15,ROW(D234)-ROW(D$15),0)</f>
        <v>Serviço</v>
      </c>
      <c r="E234" s="201" t="str">
        <f ca="1">OFFSET(ORÇAMENTO!O$15,ROW(E234)-ROW(E$15),0)</f>
        <v>-</v>
      </c>
      <c r="F234" s="202" t="str">
        <f ca="1">OFFSET(ORÇAMENTO!R$15,ROW(F234)-ROW(F$15),0)</f>
        <v>(abra o arquivo 'Referência 11-2024.xlsm)</v>
      </c>
      <c r="G234" s="203" t="str">
        <f ca="1">IF($D234&lt;&gt;"Serviço","",OFFSET(ORÇAMENTO!S$15,ROW(G234)-ROW(G$15),0))</f>
        <v>-</v>
      </c>
      <c r="H234" s="147">
        <f ca="1">IF($D234&lt;&gt;"Serviço",0,IF(ACOMPANHAMENTO="BM",ROUND(OFFSET(ORÇAMENTO!AJ$15,ROW(H234)-ROW(H$15),0),15-13*ORÇAMENTO!$AF$7),SUMPRODUCT(($Q$12:$AA$12&lt;&gt;"")*ROUND($Q234:$AA234,15-13*ORÇAMENTO!$AF$7))))</f>
        <v>0</v>
      </c>
      <c r="I234" s="645"/>
      <c r="K234" s="204"/>
      <c r="L234" s="205" t="s">
        <v>255</v>
      </c>
      <c r="M234" s="206">
        <f ca="1">IF($D234&lt;&gt;"Serviço","",IF(AUTOEVENTO="manual",$A234,IF(ISERROR(MATCH($A234,$A$15:OFFSET($A234,-1,0),0)),MAX($M$15:OFFSET(M234,-1,0))+1,INDEX($M$15:OFFSET(M234,-1,0),MATCH($A234,$A$15:OFFSET($A234,-1,0),0)))))</f>
        <v>6</v>
      </c>
      <c r="N234" s="207" t="str">
        <f ca="1">IF($D234&lt;&gt;"Serviço","",IF(AUTOEVENTO="Manual",IF($A234=0,"&lt;-- defina o número do agrupador",OFFSET(EVENTOS!$D$14,$A234,0)),OFFSET($F$15,$A234,0)))</f>
        <v>DRENAGEM</v>
      </c>
      <c r="O234" s="208"/>
      <c r="Q234" s="208"/>
      <c r="R234" s="209"/>
      <c r="S234" s="209"/>
      <c r="T234" s="209"/>
      <c r="U234" s="209"/>
      <c r="V234" s="209"/>
      <c r="W234" s="209"/>
      <c r="X234" s="209"/>
      <c r="Y234" s="209"/>
      <c r="Z234" s="210"/>
      <c r="AB234" s="626">
        <f ca="1">IF(AND($D234="Serviço",AB$12&lt;&gt;0,$H234&gt;0,OR(AUTOEVENTO&lt;&gt;"manual",$M234&lt;&gt;1)),
IF(Import.TipoArredondamento&lt;&gt;"TransfereGOV",
ROUND(OFFSET($P234,0,AB$13),15-13*ORÇAMENTO!$AF$7)/$H234*OFFSET(ORÇAMENTO!$X$15,ROW(AB234)-ROW(AB$15),0),
ROUND(ROUND(OFFSET($P234,0,AB$13),15-13*ORÇAMENTO!$AF$7)*OFFSET(ORÇAMENTO!$W$15,ROW(AB234)-ROW(AB$15),0),15-13*ORÇAMENTO!$AF$11)),0)</f>
        <v>0</v>
      </c>
      <c r="AC234" s="627">
        <f ca="1">IF(AND($D234="Serviço",AC$12&lt;&gt;0,$H234&gt;0,OR(AUTOEVENTO&lt;&gt;"manual",$M234&lt;&gt;1)),
IF(Import.TipoArredondamento&lt;&gt;"TransfereGOV",
ROUND(OFFSET($P234,0,AC$13),15-13*ORÇAMENTO!$AF$7)/$H234*OFFSET(ORÇAMENTO!$X$15,ROW(AC234)-ROW(AC$15),0),
ROUND(ROUND(OFFSET($P234,0,AC$13),15-13*ORÇAMENTO!$AF$7)*OFFSET(ORÇAMENTO!$W$15,ROW(AC234)-ROW(AC$15),0),15-13*ORÇAMENTO!$AF$11)),0)</f>
        <v>0</v>
      </c>
      <c r="AD234" s="627">
        <f ca="1">IF(AND($D234="Serviço",AD$12&lt;&gt;0,$H234&gt;0,OR(AUTOEVENTO&lt;&gt;"manual",$M234&lt;&gt;1)),
IF(Import.TipoArredondamento&lt;&gt;"TransfereGOV",
ROUND(OFFSET($P234,0,AD$13),15-13*ORÇAMENTO!$AF$7)/$H234*OFFSET(ORÇAMENTO!$X$15,ROW(AD234)-ROW(AD$15),0),
ROUND(ROUND(OFFSET($P234,0,AD$13),15-13*ORÇAMENTO!$AF$7)*OFFSET(ORÇAMENTO!$W$15,ROW(AD234)-ROW(AD$15),0),15-13*ORÇAMENTO!$AF$11)),0)</f>
        <v>0</v>
      </c>
      <c r="AE234" s="627">
        <f ca="1">IF(AND($D234="Serviço",AE$12&lt;&gt;0,$H234&gt;0,OR(AUTOEVENTO&lt;&gt;"manual",$M234&lt;&gt;1)),
IF(Import.TipoArredondamento&lt;&gt;"TransfereGOV",
ROUND(OFFSET($P234,0,AE$13),15-13*ORÇAMENTO!$AF$7)/$H234*OFFSET(ORÇAMENTO!$X$15,ROW(AE234)-ROW(AE$15),0),
ROUND(ROUND(OFFSET($P234,0,AE$13),15-13*ORÇAMENTO!$AF$7)*OFFSET(ORÇAMENTO!$W$15,ROW(AE234)-ROW(AE$15),0),15-13*ORÇAMENTO!$AF$11)),0)</f>
        <v>0</v>
      </c>
      <c r="AF234" s="627">
        <f ca="1">IF(AND($D234="Serviço",AF$12&lt;&gt;0,$H234&gt;0,OR(AUTOEVENTO&lt;&gt;"manual",$M234&lt;&gt;1)),
IF(Import.TipoArredondamento&lt;&gt;"TransfereGOV",
ROUND(OFFSET($P234,0,AF$13),15-13*ORÇAMENTO!$AF$7)/$H234*OFFSET(ORÇAMENTO!$X$15,ROW(AF234)-ROW(AF$15),0),
ROUND(ROUND(OFFSET($P234,0,AF$13),15-13*ORÇAMENTO!$AF$7)*OFFSET(ORÇAMENTO!$W$15,ROW(AF234)-ROW(AF$15),0),15-13*ORÇAMENTO!$AF$11)),0)</f>
        <v>0</v>
      </c>
      <c r="AG234" s="627">
        <f ca="1">IF(AND($D234="Serviço",AG$12&lt;&gt;0,$H234&gt;0,OR(AUTOEVENTO&lt;&gt;"manual",$M234&lt;&gt;1)),
IF(Import.TipoArredondamento&lt;&gt;"TransfereGOV",
ROUND(OFFSET($P234,0,AG$13),15-13*ORÇAMENTO!$AF$7)/$H234*OFFSET(ORÇAMENTO!$X$15,ROW(AG234)-ROW(AG$15),0),
ROUND(ROUND(OFFSET($P234,0,AG$13),15-13*ORÇAMENTO!$AF$7)*OFFSET(ORÇAMENTO!$W$15,ROW(AG234)-ROW(AG$15),0),15-13*ORÇAMENTO!$AF$11)),0)</f>
        <v>0</v>
      </c>
      <c r="AH234" s="627">
        <f ca="1">IF(AND($D234="Serviço",AH$12&lt;&gt;0,$H234&gt;0,OR(AUTOEVENTO&lt;&gt;"manual",$M234&lt;&gt;1)),
IF(Import.TipoArredondamento&lt;&gt;"TransfereGOV",
ROUND(OFFSET($P234,0,AH$13),15-13*ORÇAMENTO!$AF$7)/$H234*OFFSET(ORÇAMENTO!$X$15,ROW(AH234)-ROW(AH$15),0),
ROUND(ROUND(OFFSET($P234,0,AH$13),15-13*ORÇAMENTO!$AF$7)*OFFSET(ORÇAMENTO!$W$15,ROW(AH234)-ROW(AH$15),0),15-13*ORÇAMENTO!$AF$11)),0)</f>
        <v>0</v>
      </c>
      <c r="AI234" s="627">
        <f ca="1">IF(AND($D234="Serviço",AI$12&lt;&gt;0,$H234&gt;0,OR(AUTOEVENTO&lt;&gt;"manual",$M234&lt;&gt;1)),
IF(Import.TipoArredondamento&lt;&gt;"TransfereGOV",
ROUND(OFFSET($P234,0,AI$13),15-13*ORÇAMENTO!$AF$7)/$H234*OFFSET(ORÇAMENTO!$X$15,ROW(AI234)-ROW(AI$15),0),
ROUND(ROUND(OFFSET($P234,0,AI$13),15-13*ORÇAMENTO!$AF$7)*OFFSET(ORÇAMENTO!$W$15,ROW(AI234)-ROW(AI$15),0),15-13*ORÇAMENTO!$AF$11)),0)</f>
        <v>0</v>
      </c>
      <c r="AJ234" s="627">
        <f ca="1">IF(AND($D234="Serviço",AJ$12&lt;&gt;0,$H234&gt;0,OR(AUTOEVENTO&lt;&gt;"manual",$M234&lt;&gt;1)),
IF(Import.TipoArredondamento&lt;&gt;"TransfereGOV",
ROUND(OFFSET($P234,0,AJ$13),15-13*ORÇAMENTO!$AF$7)/$H234*OFFSET(ORÇAMENTO!$X$15,ROW(AJ234)-ROW(AJ$15),0),
ROUND(ROUND(OFFSET($P234,0,AJ$13),15-13*ORÇAMENTO!$AF$7)*OFFSET(ORÇAMENTO!$W$15,ROW(AJ234)-ROW(AJ$15),0),15-13*ORÇAMENTO!$AF$11)),0)</f>
        <v>0</v>
      </c>
      <c r="AK234" s="628">
        <f ca="1">IF(AND($D234="Serviço",AK$12&lt;&gt;0,$H234&gt;0,OR(AUTOEVENTO&lt;&gt;"manual",$M234&lt;&gt;1)),
IF(Import.TipoArredondamento&lt;&gt;"TransfereGOV",
ROUND(OFFSET($P234,0,AK$13),15-13*ORÇAMENTO!$AF$7)/$H234*OFFSET(ORÇAMENTO!$X$15,ROW(AK234)-ROW(AK$15),0),
ROUND(ROUND(OFFSET($P234,0,AK$13),15-13*ORÇAMENTO!$AF$7)*OFFSET(ORÇAMENTO!$W$15,ROW(AK234)-ROW(AK$15),0),15-13*ORÇAMENTO!$AF$11)),0)</f>
        <v>0</v>
      </c>
      <c r="AM234" s="211">
        <f ca="1">IF($D234&lt;&gt;"Serviço",0,IF(AND(AUTOEVENTO="Manual",$M234=1),0,IF(OFFSET(CRONOPLE!$F$14,$M234,AM$13)="",10^12,OFFSET(CRONOPLE!$F$14,$M234,AM$13))))</f>
        <v>2</v>
      </c>
      <c r="AN234" s="211">
        <f ca="1">IF($D234&lt;&gt;"Serviço",0,IF(AND(AUTOEVENTO="Manual",$M234=1),0,IF(OFFSET(CRONOPLE!$F$14,$M234,AN$13)="",10^12,OFFSET(CRONOPLE!$F$14,$M234,AN$13))))</f>
        <v>1</v>
      </c>
      <c r="AO234" s="211">
        <f ca="1">IF($D234&lt;&gt;"Serviço",0,IF(AND(AUTOEVENTO="Manual",$M234=1),0,IF(OFFSET(CRONOPLE!$F$14,$M234,AO$13)="",10^12,OFFSET(CRONOPLE!$F$14,$M234,AO$13))))</f>
        <v>2</v>
      </c>
      <c r="AP234" s="211">
        <f ca="1">IF($D234&lt;&gt;"Serviço",0,IF(AND(AUTOEVENTO="Manual",$M234=1),0,IF(OFFSET(CRONOPLE!$F$14,$M234,AP$13)="",10^12,OFFSET(CRONOPLE!$F$14,$M234,AP$13))))</f>
        <v>2</v>
      </c>
      <c r="AQ234" s="211">
        <f ca="1">IF($D234&lt;&gt;"Serviço",0,IF(AND(AUTOEVENTO="Manual",$M234=1),0,IF(OFFSET(CRONOPLE!$F$14,$M234,AQ$13)="",10^12,OFFSET(CRONOPLE!$F$14,$M234,AQ$13))))</f>
        <v>1000000000000</v>
      </c>
      <c r="AR234" s="211">
        <f ca="1">IF($D234&lt;&gt;"Serviço",0,IF(AND(AUTOEVENTO="Manual",$M234=1),0,IF(OFFSET(CRONOPLE!$F$14,$M234,AR$13)="",10^12,OFFSET(CRONOPLE!$F$14,$M234,AR$13))))</f>
        <v>1000000000000</v>
      </c>
      <c r="AS234" s="211">
        <f ca="1">IF($D234&lt;&gt;"Serviço",0,IF(AND(AUTOEVENTO="Manual",$M234=1),0,IF(OFFSET(CRONOPLE!$F$14,$M234,AS$13)="",10^12,OFFSET(CRONOPLE!$F$14,$M234,AS$13))))</f>
        <v>1000000000000</v>
      </c>
      <c r="AT234" s="211">
        <f ca="1">IF($D234&lt;&gt;"Serviço",0,IF(AND(AUTOEVENTO="Manual",$M234=1),0,IF(OFFSET(CRONOPLE!$F$14,$M234,AT$13)="",10^12,OFFSET(CRONOPLE!$F$14,$M234,AT$13))))</f>
        <v>1000000000000</v>
      </c>
      <c r="AU234" s="211">
        <f ca="1">IF($D234&lt;&gt;"Serviço",0,IF(AND(AUTOEVENTO="Manual",$M234=1),0,IF(OFFSET(CRONOPLE!$F$14,$M234,AU$13)="",10^12,OFFSET(CRONOPLE!$F$14,$M234,AU$13))))</f>
        <v>1000000000000</v>
      </c>
      <c r="AV234" s="211">
        <f ca="1">IF($D234&lt;&gt;"Serviço",0,IF(AND(AUTOEVENTO="Manual",$M234=1),0,IF(OFFSET(CRONOPLE!$F$14,$M234,AV$13)="",10^12,OFFSET(CRONOPLE!$F$14,$M234,AV$13))))</f>
        <v>1000000000000</v>
      </c>
      <c r="AX234" s="212">
        <f ca="1">IF($D234&lt;&gt;"Serviço",0,IF(OR(AND(AUTOEVENTO="Manual",$M234=1),$M234&gt;(ROW(PLE.lastrow)-ROW(PLE.firstrow))),0,IF(OFFSET(PLE!$G$14,$M234,AX$13)="",10^12,OFFSET(PLE!$G$14,$M234,AX$13))))</f>
        <v>1000000000000</v>
      </c>
      <c r="AY234" s="212">
        <f ca="1">IF($D234&lt;&gt;"Serviço",0,IF(OR(AND(AUTOEVENTO="Manual",$M234=1),$M234&gt;(ROW(PLE.lastrow)-ROW(PLE.firstrow))),0,IF(OFFSET(PLE!$G$14,$M234,AY$13)="",10^12,OFFSET(PLE!$G$14,$M234,AY$13))))</f>
        <v>1000000000000</v>
      </c>
      <c r="AZ234" s="212">
        <f ca="1">IF($D234&lt;&gt;"Serviço",0,IF(OR(AND(AUTOEVENTO="Manual",$M234=1),$M234&gt;(ROW(PLE.lastrow)-ROW(PLE.firstrow))),0,IF(OFFSET(PLE!$G$14,$M234,AZ$13)="",10^12,OFFSET(PLE!$G$14,$M234,AZ$13))))</f>
        <v>1000000000000</v>
      </c>
      <c r="BA234" s="212">
        <f ca="1">IF($D234&lt;&gt;"Serviço",0,IF(OR(AND(AUTOEVENTO="Manual",$M234=1),$M234&gt;(ROW(PLE.lastrow)-ROW(PLE.firstrow))),0,IF(OFFSET(PLE!$G$14,$M234,BA$13)="",10^12,OFFSET(PLE!$G$14,$M234,BA$13))))</f>
        <v>1000000000000</v>
      </c>
      <c r="BB234" s="212">
        <f ca="1">IF($D234&lt;&gt;"Serviço",0,IF(OR(AND(AUTOEVENTO="Manual",$M234=1),$M234&gt;(ROW(PLE.lastrow)-ROW(PLE.firstrow))),0,IF(OFFSET(PLE!$G$14,$M234,BB$13)="",10^12,OFFSET(PLE!$G$14,$M234,BB$13))))</f>
        <v>1000000000000</v>
      </c>
      <c r="BC234" s="212">
        <f ca="1">IF($D234&lt;&gt;"Serviço",0,IF(OR(AND(AUTOEVENTO="Manual",$M234=1),$M234&gt;(ROW(PLE.lastrow)-ROW(PLE.firstrow))),0,IF(OFFSET(PLE!$G$14,$M234,BC$13)="",10^12,OFFSET(PLE!$G$14,$M234,BC$13))))</f>
        <v>1000000000000</v>
      </c>
      <c r="BD234" s="212">
        <f ca="1">IF($D234&lt;&gt;"Serviço",0,IF(OR(AND(AUTOEVENTO="Manual",$M234=1),$M234&gt;(ROW(PLE.lastrow)-ROW(PLE.firstrow))),0,IF(OFFSET(PLE!$G$14,$M234,BD$13)="",10^12,OFFSET(PLE!$G$14,$M234,BD$13))))</f>
        <v>1000000000000</v>
      </c>
      <c r="BE234" s="212">
        <f ca="1">IF($D234&lt;&gt;"Serviço",0,IF(OR(AND(AUTOEVENTO="Manual",$M234=1),$M234&gt;(ROW(PLE.lastrow)-ROW(PLE.firstrow))),0,IF(OFFSET(PLE!$G$14,$M234,BE$13)="",10^12,OFFSET(PLE!$G$14,$M234,BE$13))))</f>
        <v>1000000000000</v>
      </c>
      <c r="BF234" s="212">
        <f ca="1">IF($D234&lt;&gt;"Serviço",0,IF(OR(AND(AUTOEVENTO="Manual",$M234=1),$M234&gt;(ROW(PLE.lastrow)-ROW(PLE.firstrow))),0,IF(OFFSET(PLE!$G$14,$M234,BF$13)="",10^12,OFFSET(PLE!$G$14,$M234,BF$13))))</f>
        <v>1000000000000</v>
      </c>
      <c r="BG234" s="212">
        <f ca="1">IF($D234&lt;&gt;"Serviço",0,IF(OR(AND(AUTOEVENTO="Manual",$M234=1),$M234&gt;(ROW(PLE.lastrow)-ROW(PLE.firstrow))),0,IF(OFFSET(PLE!$G$14,$M234,BG$13)="",10^12,OFFSET(PLE!$G$14,$M234,BG$13))))</f>
        <v>1000000000000</v>
      </c>
    </row>
    <row r="235" spans="1:59" ht="13.2">
      <c r="A235" s="9" t="str">
        <f t="shared" ca="1" si="12"/>
        <v>15</v>
      </c>
      <c r="B235" s="9" t="str">
        <f ca="1">OFFSET(ORÇAMENTO!C$15,ROW(B235)-ROW(B$15),0)</f>
        <v>S</v>
      </c>
      <c r="C235" s="9" t="str">
        <f ca="1">OFFSET(ORÇAMENTO!L$15,ROW(C235)-ROW(C$15),0)</f>
        <v/>
      </c>
      <c r="D235" s="141" t="str">
        <f ca="1">OFFSET(ORÇAMENTO!N$15,ROW(D235)-ROW(D$15),0)</f>
        <v>Serviço</v>
      </c>
      <c r="E235" s="201" t="str">
        <f ca="1">OFFSET(ORÇAMENTO!O$15,ROW(E235)-ROW(E$15),0)</f>
        <v>-</v>
      </c>
      <c r="F235" s="202" t="str">
        <f ca="1">OFFSET(ORÇAMENTO!R$15,ROW(F235)-ROW(F$15),0)</f>
        <v>(abra o arquivo 'Referência 11-2024.xlsm)</v>
      </c>
      <c r="G235" s="203" t="str">
        <f ca="1">IF($D235&lt;&gt;"Serviço","",OFFSET(ORÇAMENTO!S$15,ROW(G235)-ROW(G$15),0))</f>
        <v>-</v>
      </c>
      <c r="H235" s="147">
        <f ca="1">IF($D235&lt;&gt;"Serviço",0,IF(ACOMPANHAMENTO="BM",ROUND(OFFSET(ORÇAMENTO!AJ$15,ROW(H235)-ROW(H$15),0),15-13*ORÇAMENTO!$AF$7),SUMPRODUCT(($Q$12:$AA$12&lt;&gt;"")*ROUND($Q235:$AA235,15-13*ORÇAMENTO!$AF$7))))</f>
        <v>0</v>
      </c>
      <c r="I235" s="645"/>
      <c r="K235" s="204"/>
      <c r="L235" s="205" t="s">
        <v>255</v>
      </c>
      <c r="M235" s="206">
        <f ca="1">IF($D235&lt;&gt;"Serviço","",IF(AUTOEVENTO="manual",$A235,IF(ISERROR(MATCH($A235,$A$15:OFFSET($A235,-1,0),0)),MAX($M$15:OFFSET(M235,-1,0))+1,INDEX($M$15:OFFSET(M235,-1,0),MATCH($A235,$A$15:OFFSET($A235,-1,0),0)))))</f>
        <v>6</v>
      </c>
      <c r="N235" s="207" t="str">
        <f ca="1">IF($D235&lt;&gt;"Serviço","",IF(AUTOEVENTO="Manual",IF($A235=0,"&lt;-- defina o número do agrupador",OFFSET(EVENTOS!$D$14,$A235,0)),OFFSET($F$15,$A235,0)))</f>
        <v>DRENAGEM</v>
      </c>
      <c r="O235" s="208"/>
      <c r="Q235" s="208"/>
      <c r="R235" s="209"/>
      <c r="S235" s="209"/>
      <c r="T235" s="209"/>
      <c r="U235" s="209"/>
      <c r="V235" s="209"/>
      <c r="W235" s="209"/>
      <c r="X235" s="209"/>
      <c r="Y235" s="209"/>
      <c r="Z235" s="210"/>
      <c r="AB235" s="626">
        <f ca="1">IF(AND($D235="Serviço",AB$12&lt;&gt;0,$H235&gt;0,OR(AUTOEVENTO&lt;&gt;"manual",$M235&lt;&gt;1)),
IF(Import.TipoArredondamento&lt;&gt;"TransfereGOV",
ROUND(OFFSET($P235,0,AB$13),15-13*ORÇAMENTO!$AF$7)/$H235*OFFSET(ORÇAMENTO!$X$15,ROW(AB235)-ROW(AB$15),0),
ROUND(ROUND(OFFSET($P235,0,AB$13),15-13*ORÇAMENTO!$AF$7)*OFFSET(ORÇAMENTO!$W$15,ROW(AB235)-ROW(AB$15),0),15-13*ORÇAMENTO!$AF$11)),0)</f>
        <v>0</v>
      </c>
      <c r="AC235" s="627">
        <f ca="1">IF(AND($D235="Serviço",AC$12&lt;&gt;0,$H235&gt;0,OR(AUTOEVENTO&lt;&gt;"manual",$M235&lt;&gt;1)),
IF(Import.TipoArredondamento&lt;&gt;"TransfereGOV",
ROUND(OFFSET($P235,0,AC$13),15-13*ORÇAMENTO!$AF$7)/$H235*OFFSET(ORÇAMENTO!$X$15,ROW(AC235)-ROW(AC$15),0),
ROUND(ROUND(OFFSET($P235,0,AC$13),15-13*ORÇAMENTO!$AF$7)*OFFSET(ORÇAMENTO!$W$15,ROW(AC235)-ROW(AC$15),0),15-13*ORÇAMENTO!$AF$11)),0)</f>
        <v>0</v>
      </c>
      <c r="AD235" s="627">
        <f ca="1">IF(AND($D235="Serviço",AD$12&lt;&gt;0,$H235&gt;0,OR(AUTOEVENTO&lt;&gt;"manual",$M235&lt;&gt;1)),
IF(Import.TipoArredondamento&lt;&gt;"TransfereGOV",
ROUND(OFFSET($P235,0,AD$13),15-13*ORÇAMENTO!$AF$7)/$H235*OFFSET(ORÇAMENTO!$X$15,ROW(AD235)-ROW(AD$15),0),
ROUND(ROUND(OFFSET($P235,0,AD$13),15-13*ORÇAMENTO!$AF$7)*OFFSET(ORÇAMENTO!$W$15,ROW(AD235)-ROW(AD$15),0),15-13*ORÇAMENTO!$AF$11)),0)</f>
        <v>0</v>
      </c>
      <c r="AE235" s="627">
        <f ca="1">IF(AND($D235="Serviço",AE$12&lt;&gt;0,$H235&gt;0,OR(AUTOEVENTO&lt;&gt;"manual",$M235&lt;&gt;1)),
IF(Import.TipoArredondamento&lt;&gt;"TransfereGOV",
ROUND(OFFSET($P235,0,AE$13),15-13*ORÇAMENTO!$AF$7)/$H235*OFFSET(ORÇAMENTO!$X$15,ROW(AE235)-ROW(AE$15),0),
ROUND(ROUND(OFFSET($P235,0,AE$13),15-13*ORÇAMENTO!$AF$7)*OFFSET(ORÇAMENTO!$W$15,ROW(AE235)-ROW(AE$15),0),15-13*ORÇAMENTO!$AF$11)),0)</f>
        <v>0</v>
      </c>
      <c r="AF235" s="627">
        <f ca="1">IF(AND($D235="Serviço",AF$12&lt;&gt;0,$H235&gt;0,OR(AUTOEVENTO&lt;&gt;"manual",$M235&lt;&gt;1)),
IF(Import.TipoArredondamento&lt;&gt;"TransfereGOV",
ROUND(OFFSET($P235,0,AF$13),15-13*ORÇAMENTO!$AF$7)/$H235*OFFSET(ORÇAMENTO!$X$15,ROW(AF235)-ROW(AF$15),0),
ROUND(ROUND(OFFSET($P235,0,AF$13),15-13*ORÇAMENTO!$AF$7)*OFFSET(ORÇAMENTO!$W$15,ROW(AF235)-ROW(AF$15),0),15-13*ORÇAMENTO!$AF$11)),0)</f>
        <v>0</v>
      </c>
      <c r="AG235" s="627">
        <f ca="1">IF(AND($D235="Serviço",AG$12&lt;&gt;0,$H235&gt;0,OR(AUTOEVENTO&lt;&gt;"manual",$M235&lt;&gt;1)),
IF(Import.TipoArredondamento&lt;&gt;"TransfereGOV",
ROUND(OFFSET($P235,0,AG$13),15-13*ORÇAMENTO!$AF$7)/$H235*OFFSET(ORÇAMENTO!$X$15,ROW(AG235)-ROW(AG$15),0),
ROUND(ROUND(OFFSET($P235,0,AG$13),15-13*ORÇAMENTO!$AF$7)*OFFSET(ORÇAMENTO!$W$15,ROW(AG235)-ROW(AG$15),0),15-13*ORÇAMENTO!$AF$11)),0)</f>
        <v>0</v>
      </c>
      <c r="AH235" s="627">
        <f ca="1">IF(AND($D235="Serviço",AH$12&lt;&gt;0,$H235&gt;0,OR(AUTOEVENTO&lt;&gt;"manual",$M235&lt;&gt;1)),
IF(Import.TipoArredondamento&lt;&gt;"TransfereGOV",
ROUND(OFFSET($P235,0,AH$13),15-13*ORÇAMENTO!$AF$7)/$H235*OFFSET(ORÇAMENTO!$X$15,ROW(AH235)-ROW(AH$15),0),
ROUND(ROUND(OFFSET($P235,0,AH$13),15-13*ORÇAMENTO!$AF$7)*OFFSET(ORÇAMENTO!$W$15,ROW(AH235)-ROW(AH$15),0),15-13*ORÇAMENTO!$AF$11)),0)</f>
        <v>0</v>
      </c>
      <c r="AI235" s="627">
        <f ca="1">IF(AND($D235="Serviço",AI$12&lt;&gt;0,$H235&gt;0,OR(AUTOEVENTO&lt;&gt;"manual",$M235&lt;&gt;1)),
IF(Import.TipoArredondamento&lt;&gt;"TransfereGOV",
ROUND(OFFSET($P235,0,AI$13),15-13*ORÇAMENTO!$AF$7)/$H235*OFFSET(ORÇAMENTO!$X$15,ROW(AI235)-ROW(AI$15),0),
ROUND(ROUND(OFFSET($P235,0,AI$13),15-13*ORÇAMENTO!$AF$7)*OFFSET(ORÇAMENTO!$W$15,ROW(AI235)-ROW(AI$15),0),15-13*ORÇAMENTO!$AF$11)),0)</f>
        <v>0</v>
      </c>
      <c r="AJ235" s="627">
        <f ca="1">IF(AND($D235="Serviço",AJ$12&lt;&gt;0,$H235&gt;0,OR(AUTOEVENTO&lt;&gt;"manual",$M235&lt;&gt;1)),
IF(Import.TipoArredondamento&lt;&gt;"TransfereGOV",
ROUND(OFFSET($P235,0,AJ$13),15-13*ORÇAMENTO!$AF$7)/$H235*OFFSET(ORÇAMENTO!$X$15,ROW(AJ235)-ROW(AJ$15),0),
ROUND(ROUND(OFFSET($P235,0,AJ$13),15-13*ORÇAMENTO!$AF$7)*OFFSET(ORÇAMENTO!$W$15,ROW(AJ235)-ROW(AJ$15),0),15-13*ORÇAMENTO!$AF$11)),0)</f>
        <v>0</v>
      </c>
      <c r="AK235" s="628">
        <f ca="1">IF(AND($D235="Serviço",AK$12&lt;&gt;0,$H235&gt;0,OR(AUTOEVENTO&lt;&gt;"manual",$M235&lt;&gt;1)),
IF(Import.TipoArredondamento&lt;&gt;"TransfereGOV",
ROUND(OFFSET($P235,0,AK$13),15-13*ORÇAMENTO!$AF$7)/$H235*OFFSET(ORÇAMENTO!$X$15,ROW(AK235)-ROW(AK$15),0),
ROUND(ROUND(OFFSET($P235,0,AK$13),15-13*ORÇAMENTO!$AF$7)*OFFSET(ORÇAMENTO!$W$15,ROW(AK235)-ROW(AK$15),0),15-13*ORÇAMENTO!$AF$11)),0)</f>
        <v>0</v>
      </c>
      <c r="AM235" s="211">
        <f ca="1">IF($D235&lt;&gt;"Serviço",0,IF(AND(AUTOEVENTO="Manual",$M235=1),0,IF(OFFSET(CRONOPLE!$F$14,$M235,AM$13)="",10^12,OFFSET(CRONOPLE!$F$14,$M235,AM$13))))</f>
        <v>2</v>
      </c>
      <c r="AN235" s="211">
        <f ca="1">IF($D235&lt;&gt;"Serviço",0,IF(AND(AUTOEVENTO="Manual",$M235=1),0,IF(OFFSET(CRONOPLE!$F$14,$M235,AN$13)="",10^12,OFFSET(CRONOPLE!$F$14,$M235,AN$13))))</f>
        <v>1</v>
      </c>
      <c r="AO235" s="211">
        <f ca="1">IF($D235&lt;&gt;"Serviço",0,IF(AND(AUTOEVENTO="Manual",$M235=1),0,IF(OFFSET(CRONOPLE!$F$14,$M235,AO$13)="",10^12,OFFSET(CRONOPLE!$F$14,$M235,AO$13))))</f>
        <v>2</v>
      </c>
      <c r="AP235" s="211">
        <f ca="1">IF($D235&lt;&gt;"Serviço",0,IF(AND(AUTOEVENTO="Manual",$M235=1),0,IF(OFFSET(CRONOPLE!$F$14,$M235,AP$13)="",10^12,OFFSET(CRONOPLE!$F$14,$M235,AP$13))))</f>
        <v>2</v>
      </c>
      <c r="AQ235" s="211">
        <f ca="1">IF($D235&lt;&gt;"Serviço",0,IF(AND(AUTOEVENTO="Manual",$M235=1),0,IF(OFFSET(CRONOPLE!$F$14,$M235,AQ$13)="",10^12,OFFSET(CRONOPLE!$F$14,$M235,AQ$13))))</f>
        <v>1000000000000</v>
      </c>
      <c r="AR235" s="211">
        <f ca="1">IF($D235&lt;&gt;"Serviço",0,IF(AND(AUTOEVENTO="Manual",$M235=1),0,IF(OFFSET(CRONOPLE!$F$14,$M235,AR$13)="",10^12,OFFSET(CRONOPLE!$F$14,$M235,AR$13))))</f>
        <v>1000000000000</v>
      </c>
      <c r="AS235" s="211">
        <f ca="1">IF($D235&lt;&gt;"Serviço",0,IF(AND(AUTOEVENTO="Manual",$M235=1),0,IF(OFFSET(CRONOPLE!$F$14,$M235,AS$13)="",10^12,OFFSET(CRONOPLE!$F$14,$M235,AS$13))))</f>
        <v>1000000000000</v>
      </c>
      <c r="AT235" s="211">
        <f ca="1">IF($D235&lt;&gt;"Serviço",0,IF(AND(AUTOEVENTO="Manual",$M235=1),0,IF(OFFSET(CRONOPLE!$F$14,$M235,AT$13)="",10^12,OFFSET(CRONOPLE!$F$14,$M235,AT$13))))</f>
        <v>1000000000000</v>
      </c>
      <c r="AU235" s="211">
        <f ca="1">IF($D235&lt;&gt;"Serviço",0,IF(AND(AUTOEVENTO="Manual",$M235=1),0,IF(OFFSET(CRONOPLE!$F$14,$M235,AU$13)="",10^12,OFFSET(CRONOPLE!$F$14,$M235,AU$13))))</f>
        <v>1000000000000</v>
      </c>
      <c r="AV235" s="211">
        <f ca="1">IF($D235&lt;&gt;"Serviço",0,IF(AND(AUTOEVENTO="Manual",$M235=1),0,IF(OFFSET(CRONOPLE!$F$14,$M235,AV$13)="",10^12,OFFSET(CRONOPLE!$F$14,$M235,AV$13))))</f>
        <v>1000000000000</v>
      </c>
      <c r="AX235" s="212">
        <f ca="1">IF($D235&lt;&gt;"Serviço",0,IF(OR(AND(AUTOEVENTO="Manual",$M235=1),$M235&gt;(ROW(PLE.lastrow)-ROW(PLE.firstrow))),0,IF(OFFSET(PLE!$G$14,$M235,AX$13)="",10^12,OFFSET(PLE!$G$14,$M235,AX$13))))</f>
        <v>1000000000000</v>
      </c>
      <c r="AY235" s="212">
        <f ca="1">IF($D235&lt;&gt;"Serviço",0,IF(OR(AND(AUTOEVENTO="Manual",$M235=1),$M235&gt;(ROW(PLE.lastrow)-ROW(PLE.firstrow))),0,IF(OFFSET(PLE!$G$14,$M235,AY$13)="",10^12,OFFSET(PLE!$G$14,$M235,AY$13))))</f>
        <v>1000000000000</v>
      </c>
      <c r="AZ235" s="212">
        <f ca="1">IF($D235&lt;&gt;"Serviço",0,IF(OR(AND(AUTOEVENTO="Manual",$M235=1),$M235&gt;(ROW(PLE.lastrow)-ROW(PLE.firstrow))),0,IF(OFFSET(PLE!$G$14,$M235,AZ$13)="",10^12,OFFSET(PLE!$G$14,$M235,AZ$13))))</f>
        <v>1000000000000</v>
      </c>
      <c r="BA235" s="212">
        <f ca="1">IF($D235&lt;&gt;"Serviço",0,IF(OR(AND(AUTOEVENTO="Manual",$M235=1),$M235&gt;(ROW(PLE.lastrow)-ROW(PLE.firstrow))),0,IF(OFFSET(PLE!$G$14,$M235,BA$13)="",10^12,OFFSET(PLE!$G$14,$M235,BA$13))))</f>
        <v>1000000000000</v>
      </c>
      <c r="BB235" s="212">
        <f ca="1">IF($D235&lt;&gt;"Serviço",0,IF(OR(AND(AUTOEVENTO="Manual",$M235=1),$M235&gt;(ROW(PLE.lastrow)-ROW(PLE.firstrow))),0,IF(OFFSET(PLE!$G$14,$M235,BB$13)="",10^12,OFFSET(PLE!$G$14,$M235,BB$13))))</f>
        <v>1000000000000</v>
      </c>
      <c r="BC235" s="212">
        <f ca="1">IF($D235&lt;&gt;"Serviço",0,IF(OR(AND(AUTOEVENTO="Manual",$M235=1),$M235&gt;(ROW(PLE.lastrow)-ROW(PLE.firstrow))),0,IF(OFFSET(PLE!$G$14,$M235,BC$13)="",10^12,OFFSET(PLE!$G$14,$M235,BC$13))))</f>
        <v>1000000000000</v>
      </c>
      <c r="BD235" s="212">
        <f ca="1">IF($D235&lt;&gt;"Serviço",0,IF(OR(AND(AUTOEVENTO="Manual",$M235=1),$M235&gt;(ROW(PLE.lastrow)-ROW(PLE.firstrow))),0,IF(OFFSET(PLE!$G$14,$M235,BD$13)="",10^12,OFFSET(PLE!$G$14,$M235,BD$13))))</f>
        <v>1000000000000</v>
      </c>
      <c r="BE235" s="212">
        <f ca="1">IF($D235&lt;&gt;"Serviço",0,IF(OR(AND(AUTOEVENTO="Manual",$M235=1),$M235&gt;(ROW(PLE.lastrow)-ROW(PLE.firstrow))),0,IF(OFFSET(PLE!$G$14,$M235,BE$13)="",10^12,OFFSET(PLE!$G$14,$M235,BE$13))))</f>
        <v>1000000000000</v>
      </c>
      <c r="BF235" s="212">
        <f ca="1">IF($D235&lt;&gt;"Serviço",0,IF(OR(AND(AUTOEVENTO="Manual",$M235=1),$M235&gt;(ROW(PLE.lastrow)-ROW(PLE.firstrow))),0,IF(OFFSET(PLE!$G$14,$M235,BF$13)="",10^12,OFFSET(PLE!$G$14,$M235,BF$13))))</f>
        <v>1000000000000</v>
      </c>
      <c r="BG235" s="212">
        <f ca="1">IF($D235&lt;&gt;"Serviço",0,IF(OR(AND(AUTOEVENTO="Manual",$M235=1),$M235&gt;(ROW(PLE.lastrow)-ROW(PLE.firstrow))),0,IF(OFFSET(PLE!$G$14,$M235,BG$13)="",10^12,OFFSET(PLE!$G$14,$M235,BG$13))))</f>
        <v>1000000000000</v>
      </c>
    </row>
    <row r="236" spans="1:59" ht="13.2">
      <c r="A236" s="9" t="str">
        <f t="shared" ca="1" si="12"/>
        <v>15</v>
      </c>
      <c r="B236" s="9" t="str">
        <f ca="1">OFFSET(ORÇAMENTO!C$15,ROW(B236)-ROW(B$15),0)</f>
        <v>S</v>
      </c>
      <c r="C236" s="9" t="str">
        <f ca="1">OFFSET(ORÇAMENTO!L$15,ROW(C236)-ROW(C$15),0)</f>
        <v/>
      </c>
      <c r="D236" s="141" t="str">
        <f ca="1">OFFSET(ORÇAMENTO!N$15,ROW(D236)-ROW(D$15),0)</f>
        <v>Serviço</v>
      </c>
      <c r="E236" s="201" t="str">
        <f ca="1">OFFSET(ORÇAMENTO!O$15,ROW(E236)-ROW(E$15),0)</f>
        <v>-</v>
      </c>
      <c r="F236" s="202" t="str">
        <f ca="1">OFFSET(ORÇAMENTO!R$15,ROW(F236)-ROW(F$15),0)</f>
        <v>(abra o arquivo 'Referência 11-2024.xlsm)</v>
      </c>
      <c r="G236" s="203" t="str">
        <f ca="1">IF($D236&lt;&gt;"Serviço","",OFFSET(ORÇAMENTO!S$15,ROW(G236)-ROW(G$15),0))</f>
        <v>-</v>
      </c>
      <c r="H236" s="147">
        <f ca="1">IF($D236&lt;&gt;"Serviço",0,IF(ACOMPANHAMENTO="BM",ROUND(OFFSET(ORÇAMENTO!AJ$15,ROW(H236)-ROW(H$15),0),15-13*ORÇAMENTO!$AF$7),SUMPRODUCT(($Q$12:$AA$12&lt;&gt;"")*ROUND($Q236:$AA236,15-13*ORÇAMENTO!$AF$7))))</f>
        <v>0</v>
      </c>
      <c r="I236" s="645"/>
      <c r="K236" s="204"/>
      <c r="L236" s="205" t="s">
        <v>255</v>
      </c>
      <c r="M236" s="206">
        <f ca="1">IF($D236&lt;&gt;"Serviço","",IF(AUTOEVENTO="manual",$A236,IF(ISERROR(MATCH($A236,$A$15:OFFSET($A236,-1,0),0)),MAX($M$15:OFFSET(M236,-1,0))+1,INDEX($M$15:OFFSET(M236,-1,0),MATCH($A236,$A$15:OFFSET($A236,-1,0),0)))))</f>
        <v>6</v>
      </c>
      <c r="N236" s="207" t="str">
        <f ca="1">IF($D236&lt;&gt;"Serviço","",IF(AUTOEVENTO="Manual",IF($A236=0,"&lt;-- defina o número do agrupador",OFFSET(EVENTOS!$D$14,$A236,0)),OFFSET($F$15,$A236,0)))</f>
        <v>DRENAGEM</v>
      </c>
      <c r="O236" s="208"/>
      <c r="Q236" s="208"/>
      <c r="R236" s="209"/>
      <c r="S236" s="209"/>
      <c r="T236" s="209"/>
      <c r="U236" s="209"/>
      <c r="V236" s="209"/>
      <c r="W236" s="209"/>
      <c r="X236" s="209"/>
      <c r="Y236" s="209"/>
      <c r="Z236" s="210"/>
      <c r="AB236" s="626">
        <f ca="1">IF(AND($D236="Serviço",AB$12&lt;&gt;0,$H236&gt;0,OR(AUTOEVENTO&lt;&gt;"manual",$M236&lt;&gt;1)),
IF(Import.TipoArredondamento&lt;&gt;"TransfereGOV",
ROUND(OFFSET($P236,0,AB$13),15-13*ORÇAMENTO!$AF$7)/$H236*OFFSET(ORÇAMENTO!$X$15,ROW(AB236)-ROW(AB$15),0),
ROUND(ROUND(OFFSET($P236,0,AB$13),15-13*ORÇAMENTO!$AF$7)*OFFSET(ORÇAMENTO!$W$15,ROW(AB236)-ROW(AB$15),0),15-13*ORÇAMENTO!$AF$11)),0)</f>
        <v>0</v>
      </c>
      <c r="AC236" s="627">
        <f ca="1">IF(AND($D236="Serviço",AC$12&lt;&gt;0,$H236&gt;0,OR(AUTOEVENTO&lt;&gt;"manual",$M236&lt;&gt;1)),
IF(Import.TipoArredondamento&lt;&gt;"TransfereGOV",
ROUND(OFFSET($P236,0,AC$13),15-13*ORÇAMENTO!$AF$7)/$H236*OFFSET(ORÇAMENTO!$X$15,ROW(AC236)-ROW(AC$15),0),
ROUND(ROUND(OFFSET($P236,0,AC$13),15-13*ORÇAMENTO!$AF$7)*OFFSET(ORÇAMENTO!$W$15,ROW(AC236)-ROW(AC$15),0),15-13*ORÇAMENTO!$AF$11)),0)</f>
        <v>0</v>
      </c>
      <c r="AD236" s="627">
        <f ca="1">IF(AND($D236="Serviço",AD$12&lt;&gt;0,$H236&gt;0,OR(AUTOEVENTO&lt;&gt;"manual",$M236&lt;&gt;1)),
IF(Import.TipoArredondamento&lt;&gt;"TransfereGOV",
ROUND(OFFSET($P236,0,AD$13),15-13*ORÇAMENTO!$AF$7)/$H236*OFFSET(ORÇAMENTO!$X$15,ROW(AD236)-ROW(AD$15),0),
ROUND(ROUND(OFFSET($P236,0,AD$13),15-13*ORÇAMENTO!$AF$7)*OFFSET(ORÇAMENTO!$W$15,ROW(AD236)-ROW(AD$15),0),15-13*ORÇAMENTO!$AF$11)),0)</f>
        <v>0</v>
      </c>
      <c r="AE236" s="627">
        <f ca="1">IF(AND($D236="Serviço",AE$12&lt;&gt;0,$H236&gt;0,OR(AUTOEVENTO&lt;&gt;"manual",$M236&lt;&gt;1)),
IF(Import.TipoArredondamento&lt;&gt;"TransfereGOV",
ROUND(OFFSET($P236,0,AE$13),15-13*ORÇAMENTO!$AF$7)/$H236*OFFSET(ORÇAMENTO!$X$15,ROW(AE236)-ROW(AE$15),0),
ROUND(ROUND(OFFSET($P236,0,AE$13),15-13*ORÇAMENTO!$AF$7)*OFFSET(ORÇAMENTO!$W$15,ROW(AE236)-ROW(AE$15),0),15-13*ORÇAMENTO!$AF$11)),0)</f>
        <v>0</v>
      </c>
      <c r="AF236" s="627">
        <f ca="1">IF(AND($D236="Serviço",AF$12&lt;&gt;0,$H236&gt;0,OR(AUTOEVENTO&lt;&gt;"manual",$M236&lt;&gt;1)),
IF(Import.TipoArredondamento&lt;&gt;"TransfereGOV",
ROUND(OFFSET($P236,0,AF$13),15-13*ORÇAMENTO!$AF$7)/$H236*OFFSET(ORÇAMENTO!$X$15,ROW(AF236)-ROW(AF$15),0),
ROUND(ROUND(OFFSET($P236,0,AF$13),15-13*ORÇAMENTO!$AF$7)*OFFSET(ORÇAMENTO!$W$15,ROW(AF236)-ROW(AF$15),0),15-13*ORÇAMENTO!$AF$11)),0)</f>
        <v>0</v>
      </c>
      <c r="AG236" s="627">
        <f ca="1">IF(AND($D236="Serviço",AG$12&lt;&gt;0,$H236&gt;0,OR(AUTOEVENTO&lt;&gt;"manual",$M236&lt;&gt;1)),
IF(Import.TipoArredondamento&lt;&gt;"TransfereGOV",
ROUND(OFFSET($P236,0,AG$13),15-13*ORÇAMENTO!$AF$7)/$H236*OFFSET(ORÇAMENTO!$X$15,ROW(AG236)-ROW(AG$15),0),
ROUND(ROUND(OFFSET($P236,0,AG$13),15-13*ORÇAMENTO!$AF$7)*OFFSET(ORÇAMENTO!$W$15,ROW(AG236)-ROW(AG$15),0),15-13*ORÇAMENTO!$AF$11)),0)</f>
        <v>0</v>
      </c>
      <c r="AH236" s="627">
        <f ca="1">IF(AND($D236="Serviço",AH$12&lt;&gt;0,$H236&gt;0,OR(AUTOEVENTO&lt;&gt;"manual",$M236&lt;&gt;1)),
IF(Import.TipoArredondamento&lt;&gt;"TransfereGOV",
ROUND(OFFSET($P236,0,AH$13),15-13*ORÇAMENTO!$AF$7)/$H236*OFFSET(ORÇAMENTO!$X$15,ROW(AH236)-ROW(AH$15),0),
ROUND(ROUND(OFFSET($P236,0,AH$13),15-13*ORÇAMENTO!$AF$7)*OFFSET(ORÇAMENTO!$W$15,ROW(AH236)-ROW(AH$15),0),15-13*ORÇAMENTO!$AF$11)),0)</f>
        <v>0</v>
      </c>
      <c r="AI236" s="627">
        <f ca="1">IF(AND($D236="Serviço",AI$12&lt;&gt;0,$H236&gt;0,OR(AUTOEVENTO&lt;&gt;"manual",$M236&lt;&gt;1)),
IF(Import.TipoArredondamento&lt;&gt;"TransfereGOV",
ROUND(OFFSET($P236,0,AI$13),15-13*ORÇAMENTO!$AF$7)/$H236*OFFSET(ORÇAMENTO!$X$15,ROW(AI236)-ROW(AI$15),0),
ROUND(ROUND(OFFSET($P236,0,AI$13),15-13*ORÇAMENTO!$AF$7)*OFFSET(ORÇAMENTO!$W$15,ROW(AI236)-ROW(AI$15),0),15-13*ORÇAMENTO!$AF$11)),0)</f>
        <v>0</v>
      </c>
      <c r="AJ236" s="627">
        <f ca="1">IF(AND($D236="Serviço",AJ$12&lt;&gt;0,$H236&gt;0,OR(AUTOEVENTO&lt;&gt;"manual",$M236&lt;&gt;1)),
IF(Import.TipoArredondamento&lt;&gt;"TransfereGOV",
ROUND(OFFSET($P236,0,AJ$13),15-13*ORÇAMENTO!$AF$7)/$H236*OFFSET(ORÇAMENTO!$X$15,ROW(AJ236)-ROW(AJ$15),0),
ROUND(ROUND(OFFSET($P236,0,AJ$13),15-13*ORÇAMENTO!$AF$7)*OFFSET(ORÇAMENTO!$W$15,ROW(AJ236)-ROW(AJ$15),0),15-13*ORÇAMENTO!$AF$11)),0)</f>
        <v>0</v>
      </c>
      <c r="AK236" s="628">
        <f ca="1">IF(AND($D236="Serviço",AK$12&lt;&gt;0,$H236&gt;0,OR(AUTOEVENTO&lt;&gt;"manual",$M236&lt;&gt;1)),
IF(Import.TipoArredondamento&lt;&gt;"TransfereGOV",
ROUND(OFFSET($P236,0,AK$13),15-13*ORÇAMENTO!$AF$7)/$H236*OFFSET(ORÇAMENTO!$X$15,ROW(AK236)-ROW(AK$15),0),
ROUND(ROUND(OFFSET($P236,0,AK$13),15-13*ORÇAMENTO!$AF$7)*OFFSET(ORÇAMENTO!$W$15,ROW(AK236)-ROW(AK$15),0),15-13*ORÇAMENTO!$AF$11)),0)</f>
        <v>0</v>
      </c>
      <c r="AM236" s="211">
        <f ca="1">IF($D236&lt;&gt;"Serviço",0,IF(AND(AUTOEVENTO="Manual",$M236=1),0,IF(OFFSET(CRONOPLE!$F$14,$M236,AM$13)="",10^12,OFFSET(CRONOPLE!$F$14,$M236,AM$13))))</f>
        <v>2</v>
      </c>
      <c r="AN236" s="211">
        <f ca="1">IF($D236&lt;&gt;"Serviço",0,IF(AND(AUTOEVENTO="Manual",$M236=1),0,IF(OFFSET(CRONOPLE!$F$14,$M236,AN$13)="",10^12,OFFSET(CRONOPLE!$F$14,$M236,AN$13))))</f>
        <v>1</v>
      </c>
      <c r="AO236" s="211">
        <f ca="1">IF($D236&lt;&gt;"Serviço",0,IF(AND(AUTOEVENTO="Manual",$M236=1),0,IF(OFFSET(CRONOPLE!$F$14,$M236,AO$13)="",10^12,OFFSET(CRONOPLE!$F$14,$M236,AO$13))))</f>
        <v>2</v>
      </c>
      <c r="AP236" s="211">
        <f ca="1">IF($D236&lt;&gt;"Serviço",0,IF(AND(AUTOEVENTO="Manual",$M236=1),0,IF(OFFSET(CRONOPLE!$F$14,$M236,AP$13)="",10^12,OFFSET(CRONOPLE!$F$14,$M236,AP$13))))</f>
        <v>2</v>
      </c>
      <c r="AQ236" s="211">
        <f ca="1">IF($D236&lt;&gt;"Serviço",0,IF(AND(AUTOEVENTO="Manual",$M236=1),0,IF(OFFSET(CRONOPLE!$F$14,$M236,AQ$13)="",10^12,OFFSET(CRONOPLE!$F$14,$M236,AQ$13))))</f>
        <v>1000000000000</v>
      </c>
      <c r="AR236" s="211">
        <f ca="1">IF($D236&lt;&gt;"Serviço",0,IF(AND(AUTOEVENTO="Manual",$M236=1),0,IF(OFFSET(CRONOPLE!$F$14,$M236,AR$13)="",10^12,OFFSET(CRONOPLE!$F$14,$M236,AR$13))))</f>
        <v>1000000000000</v>
      </c>
      <c r="AS236" s="211">
        <f ca="1">IF($D236&lt;&gt;"Serviço",0,IF(AND(AUTOEVENTO="Manual",$M236=1),0,IF(OFFSET(CRONOPLE!$F$14,$M236,AS$13)="",10^12,OFFSET(CRONOPLE!$F$14,$M236,AS$13))))</f>
        <v>1000000000000</v>
      </c>
      <c r="AT236" s="211">
        <f ca="1">IF($D236&lt;&gt;"Serviço",0,IF(AND(AUTOEVENTO="Manual",$M236=1),0,IF(OFFSET(CRONOPLE!$F$14,$M236,AT$13)="",10^12,OFFSET(CRONOPLE!$F$14,$M236,AT$13))))</f>
        <v>1000000000000</v>
      </c>
      <c r="AU236" s="211">
        <f ca="1">IF($D236&lt;&gt;"Serviço",0,IF(AND(AUTOEVENTO="Manual",$M236=1),0,IF(OFFSET(CRONOPLE!$F$14,$M236,AU$13)="",10^12,OFFSET(CRONOPLE!$F$14,$M236,AU$13))))</f>
        <v>1000000000000</v>
      </c>
      <c r="AV236" s="211">
        <f ca="1">IF($D236&lt;&gt;"Serviço",0,IF(AND(AUTOEVENTO="Manual",$M236=1),0,IF(OFFSET(CRONOPLE!$F$14,$M236,AV$13)="",10^12,OFFSET(CRONOPLE!$F$14,$M236,AV$13))))</f>
        <v>1000000000000</v>
      </c>
      <c r="AX236" s="212">
        <f ca="1">IF($D236&lt;&gt;"Serviço",0,IF(OR(AND(AUTOEVENTO="Manual",$M236=1),$M236&gt;(ROW(PLE.lastrow)-ROW(PLE.firstrow))),0,IF(OFFSET(PLE!$G$14,$M236,AX$13)="",10^12,OFFSET(PLE!$G$14,$M236,AX$13))))</f>
        <v>1000000000000</v>
      </c>
      <c r="AY236" s="212">
        <f ca="1">IF($D236&lt;&gt;"Serviço",0,IF(OR(AND(AUTOEVENTO="Manual",$M236=1),$M236&gt;(ROW(PLE.lastrow)-ROW(PLE.firstrow))),0,IF(OFFSET(PLE!$G$14,$M236,AY$13)="",10^12,OFFSET(PLE!$G$14,$M236,AY$13))))</f>
        <v>1000000000000</v>
      </c>
      <c r="AZ236" s="212">
        <f ca="1">IF($D236&lt;&gt;"Serviço",0,IF(OR(AND(AUTOEVENTO="Manual",$M236=1),$M236&gt;(ROW(PLE.lastrow)-ROW(PLE.firstrow))),0,IF(OFFSET(PLE!$G$14,$M236,AZ$13)="",10^12,OFFSET(PLE!$G$14,$M236,AZ$13))))</f>
        <v>1000000000000</v>
      </c>
      <c r="BA236" s="212">
        <f ca="1">IF($D236&lt;&gt;"Serviço",0,IF(OR(AND(AUTOEVENTO="Manual",$M236=1),$M236&gt;(ROW(PLE.lastrow)-ROW(PLE.firstrow))),0,IF(OFFSET(PLE!$G$14,$M236,BA$13)="",10^12,OFFSET(PLE!$G$14,$M236,BA$13))))</f>
        <v>1000000000000</v>
      </c>
      <c r="BB236" s="212">
        <f ca="1">IF($D236&lt;&gt;"Serviço",0,IF(OR(AND(AUTOEVENTO="Manual",$M236=1),$M236&gt;(ROW(PLE.lastrow)-ROW(PLE.firstrow))),0,IF(OFFSET(PLE!$G$14,$M236,BB$13)="",10^12,OFFSET(PLE!$G$14,$M236,BB$13))))</f>
        <v>1000000000000</v>
      </c>
      <c r="BC236" s="212">
        <f ca="1">IF($D236&lt;&gt;"Serviço",0,IF(OR(AND(AUTOEVENTO="Manual",$M236=1),$M236&gt;(ROW(PLE.lastrow)-ROW(PLE.firstrow))),0,IF(OFFSET(PLE!$G$14,$M236,BC$13)="",10^12,OFFSET(PLE!$G$14,$M236,BC$13))))</f>
        <v>1000000000000</v>
      </c>
      <c r="BD236" s="212">
        <f ca="1">IF($D236&lt;&gt;"Serviço",0,IF(OR(AND(AUTOEVENTO="Manual",$M236=1),$M236&gt;(ROW(PLE.lastrow)-ROW(PLE.firstrow))),0,IF(OFFSET(PLE!$G$14,$M236,BD$13)="",10^12,OFFSET(PLE!$G$14,$M236,BD$13))))</f>
        <v>1000000000000</v>
      </c>
      <c r="BE236" s="212">
        <f ca="1">IF($D236&lt;&gt;"Serviço",0,IF(OR(AND(AUTOEVENTO="Manual",$M236=1),$M236&gt;(ROW(PLE.lastrow)-ROW(PLE.firstrow))),0,IF(OFFSET(PLE!$G$14,$M236,BE$13)="",10^12,OFFSET(PLE!$G$14,$M236,BE$13))))</f>
        <v>1000000000000</v>
      </c>
      <c r="BF236" s="212">
        <f ca="1">IF($D236&lt;&gt;"Serviço",0,IF(OR(AND(AUTOEVENTO="Manual",$M236=1),$M236&gt;(ROW(PLE.lastrow)-ROW(PLE.firstrow))),0,IF(OFFSET(PLE!$G$14,$M236,BF$13)="",10^12,OFFSET(PLE!$G$14,$M236,BF$13))))</f>
        <v>1000000000000</v>
      </c>
      <c r="BG236" s="212">
        <f ca="1">IF($D236&lt;&gt;"Serviço",0,IF(OR(AND(AUTOEVENTO="Manual",$M236=1),$M236&gt;(ROW(PLE.lastrow)-ROW(PLE.firstrow))),0,IF(OFFSET(PLE!$G$14,$M236,BG$13)="",10^12,OFFSET(PLE!$G$14,$M236,BG$13))))</f>
        <v>1000000000000</v>
      </c>
    </row>
    <row r="237" spans="1:59" ht="13.2">
      <c r="A237" s="9" t="str">
        <f t="shared" ca="1" si="12"/>
        <v>15</v>
      </c>
      <c r="B237" s="9" t="str">
        <f ca="1">OFFSET(ORÇAMENTO!C$15,ROW(B237)-ROW(B$15),0)</f>
        <v>S</v>
      </c>
      <c r="C237" s="9" t="str">
        <f ca="1">OFFSET(ORÇAMENTO!L$15,ROW(C237)-ROW(C$15),0)</f>
        <v/>
      </c>
      <c r="D237" s="141" t="str">
        <f ca="1">OFFSET(ORÇAMENTO!N$15,ROW(D237)-ROW(D$15),0)</f>
        <v>Serviço</v>
      </c>
      <c r="E237" s="201" t="str">
        <f ca="1">OFFSET(ORÇAMENTO!O$15,ROW(E237)-ROW(E$15),0)</f>
        <v>-</v>
      </c>
      <c r="F237" s="202" t="str">
        <f ca="1">OFFSET(ORÇAMENTO!R$15,ROW(F237)-ROW(F$15),0)</f>
        <v>(abra o arquivo 'Referência 11-2024.xlsm)</v>
      </c>
      <c r="G237" s="203" t="str">
        <f ca="1">IF($D237&lt;&gt;"Serviço","",OFFSET(ORÇAMENTO!S$15,ROW(G237)-ROW(G$15),0))</f>
        <v>-</v>
      </c>
      <c r="H237" s="147">
        <f ca="1">IF($D237&lt;&gt;"Serviço",0,IF(ACOMPANHAMENTO="BM",ROUND(OFFSET(ORÇAMENTO!AJ$15,ROW(H237)-ROW(H$15),0),15-13*ORÇAMENTO!$AF$7),SUMPRODUCT(($Q$12:$AA$12&lt;&gt;"")*ROUND($Q237:$AA237,15-13*ORÇAMENTO!$AF$7))))</f>
        <v>0</v>
      </c>
      <c r="I237" s="645"/>
      <c r="K237" s="204"/>
      <c r="L237" s="205" t="s">
        <v>255</v>
      </c>
      <c r="M237" s="206">
        <f ca="1">IF($D237&lt;&gt;"Serviço","",IF(AUTOEVENTO="manual",$A237,IF(ISERROR(MATCH($A237,$A$15:OFFSET($A237,-1,0),0)),MAX($M$15:OFFSET(M237,-1,0))+1,INDEX($M$15:OFFSET(M237,-1,0),MATCH($A237,$A$15:OFFSET($A237,-1,0),0)))))</f>
        <v>6</v>
      </c>
      <c r="N237" s="207" t="str">
        <f ca="1">IF($D237&lt;&gt;"Serviço","",IF(AUTOEVENTO="Manual",IF($A237=0,"&lt;-- defina o número do agrupador",OFFSET(EVENTOS!$D$14,$A237,0)),OFFSET($F$15,$A237,0)))</f>
        <v>DRENAGEM</v>
      </c>
      <c r="O237" s="208"/>
      <c r="Q237" s="208"/>
      <c r="R237" s="209"/>
      <c r="S237" s="209"/>
      <c r="T237" s="209"/>
      <c r="U237" s="209"/>
      <c r="V237" s="209"/>
      <c r="W237" s="209"/>
      <c r="X237" s="209"/>
      <c r="Y237" s="209"/>
      <c r="Z237" s="210"/>
      <c r="AB237" s="626">
        <f ca="1">IF(AND($D237="Serviço",AB$12&lt;&gt;0,$H237&gt;0,OR(AUTOEVENTO&lt;&gt;"manual",$M237&lt;&gt;1)),
IF(Import.TipoArredondamento&lt;&gt;"TransfereGOV",
ROUND(OFFSET($P237,0,AB$13),15-13*ORÇAMENTO!$AF$7)/$H237*OFFSET(ORÇAMENTO!$X$15,ROW(AB237)-ROW(AB$15),0),
ROUND(ROUND(OFFSET($P237,0,AB$13),15-13*ORÇAMENTO!$AF$7)*OFFSET(ORÇAMENTO!$W$15,ROW(AB237)-ROW(AB$15),0),15-13*ORÇAMENTO!$AF$11)),0)</f>
        <v>0</v>
      </c>
      <c r="AC237" s="627">
        <f ca="1">IF(AND($D237="Serviço",AC$12&lt;&gt;0,$H237&gt;0,OR(AUTOEVENTO&lt;&gt;"manual",$M237&lt;&gt;1)),
IF(Import.TipoArredondamento&lt;&gt;"TransfereGOV",
ROUND(OFFSET($P237,0,AC$13),15-13*ORÇAMENTO!$AF$7)/$H237*OFFSET(ORÇAMENTO!$X$15,ROW(AC237)-ROW(AC$15),0),
ROUND(ROUND(OFFSET($P237,0,AC$13),15-13*ORÇAMENTO!$AF$7)*OFFSET(ORÇAMENTO!$W$15,ROW(AC237)-ROW(AC$15),0),15-13*ORÇAMENTO!$AF$11)),0)</f>
        <v>0</v>
      </c>
      <c r="AD237" s="627">
        <f ca="1">IF(AND($D237="Serviço",AD$12&lt;&gt;0,$H237&gt;0,OR(AUTOEVENTO&lt;&gt;"manual",$M237&lt;&gt;1)),
IF(Import.TipoArredondamento&lt;&gt;"TransfereGOV",
ROUND(OFFSET($P237,0,AD$13),15-13*ORÇAMENTO!$AF$7)/$H237*OFFSET(ORÇAMENTO!$X$15,ROW(AD237)-ROW(AD$15),0),
ROUND(ROUND(OFFSET($P237,0,AD$13),15-13*ORÇAMENTO!$AF$7)*OFFSET(ORÇAMENTO!$W$15,ROW(AD237)-ROW(AD$15),0),15-13*ORÇAMENTO!$AF$11)),0)</f>
        <v>0</v>
      </c>
      <c r="AE237" s="627">
        <f ca="1">IF(AND($D237="Serviço",AE$12&lt;&gt;0,$H237&gt;0,OR(AUTOEVENTO&lt;&gt;"manual",$M237&lt;&gt;1)),
IF(Import.TipoArredondamento&lt;&gt;"TransfereGOV",
ROUND(OFFSET($P237,0,AE$13),15-13*ORÇAMENTO!$AF$7)/$H237*OFFSET(ORÇAMENTO!$X$15,ROW(AE237)-ROW(AE$15),0),
ROUND(ROUND(OFFSET($P237,0,AE$13),15-13*ORÇAMENTO!$AF$7)*OFFSET(ORÇAMENTO!$W$15,ROW(AE237)-ROW(AE$15),0),15-13*ORÇAMENTO!$AF$11)),0)</f>
        <v>0</v>
      </c>
      <c r="AF237" s="627">
        <f ca="1">IF(AND($D237="Serviço",AF$12&lt;&gt;0,$H237&gt;0,OR(AUTOEVENTO&lt;&gt;"manual",$M237&lt;&gt;1)),
IF(Import.TipoArredondamento&lt;&gt;"TransfereGOV",
ROUND(OFFSET($P237,0,AF$13),15-13*ORÇAMENTO!$AF$7)/$H237*OFFSET(ORÇAMENTO!$X$15,ROW(AF237)-ROW(AF$15),0),
ROUND(ROUND(OFFSET($P237,0,AF$13),15-13*ORÇAMENTO!$AF$7)*OFFSET(ORÇAMENTO!$W$15,ROW(AF237)-ROW(AF$15),0),15-13*ORÇAMENTO!$AF$11)),0)</f>
        <v>0</v>
      </c>
      <c r="AG237" s="627">
        <f ca="1">IF(AND($D237="Serviço",AG$12&lt;&gt;0,$H237&gt;0,OR(AUTOEVENTO&lt;&gt;"manual",$M237&lt;&gt;1)),
IF(Import.TipoArredondamento&lt;&gt;"TransfereGOV",
ROUND(OFFSET($P237,0,AG$13),15-13*ORÇAMENTO!$AF$7)/$H237*OFFSET(ORÇAMENTO!$X$15,ROW(AG237)-ROW(AG$15),0),
ROUND(ROUND(OFFSET($P237,0,AG$13),15-13*ORÇAMENTO!$AF$7)*OFFSET(ORÇAMENTO!$W$15,ROW(AG237)-ROW(AG$15),0),15-13*ORÇAMENTO!$AF$11)),0)</f>
        <v>0</v>
      </c>
      <c r="AH237" s="627">
        <f ca="1">IF(AND($D237="Serviço",AH$12&lt;&gt;0,$H237&gt;0,OR(AUTOEVENTO&lt;&gt;"manual",$M237&lt;&gt;1)),
IF(Import.TipoArredondamento&lt;&gt;"TransfereGOV",
ROUND(OFFSET($P237,0,AH$13),15-13*ORÇAMENTO!$AF$7)/$H237*OFFSET(ORÇAMENTO!$X$15,ROW(AH237)-ROW(AH$15),0),
ROUND(ROUND(OFFSET($P237,0,AH$13),15-13*ORÇAMENTO!$AF$7)*OFFSET(ORÇAMENTO!$W$15,ROW(AH237)-ROW(AH$15),0),15-13*ORÇAMENTO!$AF$11)),0)</f>
        <v>0</v>
      </c>
      <c r="AI237" s="627">
        <f ca="1">IF(AND($D237="Serviço",AI$12&lt;&gt;0,$H237&gt;0,OR(AUTOEVENTO&lt;&gt;"manual",$M237&lt;&gt;1)),
IF(Import.TipoArredondamento&lt;&gt;"TransfereGOV",
ROUND(OFFSET($P237,0,AI$13),15-13*ORÇAMENTO!$AF$7)/$H237*OFFSET(ORÇAMENTO!$X$15,ROW(AI237)-ROW(AI$15),0),
ROUND(ROUND(OFFSET($P237,0,AI$13),15-13*ORÇAMENTO!$AF$7)*OFFSET(ORÇAMENTO!$W$15,ROW(AI237)-ROW(AI$15),0),15-13*ORÇAMENTO!$AF$11)),0)</f>
        <v>0</v>
      </c>
      <c r="AJ237" s="627">
        <f ca="1">IF(AND($D237="Serviço",AJ$12&lt;&gt;0,$H237&gt;0,OR(AUTOEVENTO&lt;&gt;"manual",$M237&lt;&gt;1)),
IF(Import.TipoArredondamento&lt;&gt;"TransfereGOV",
ROUND(OFFSET($P237,0,AJ$13),15-13*ORÇAMENTO!$AF$7)/$H237*OFFSET(ORÇAMENTO!$X$15,ROW(AJ237)-ROW(AJ$15),0),
ROUND(ROUND(OFFSET($P237,0,AJ$13),15-13*ORÇAMENTO!$AF$7)*OFFSET(ORÇAMENTO!$W$15,ROW(AJ237)-ROW(AJ$15),0),15-13*ORÇAMENTO!$AF$11)),0)</f>
        <v>0</v>
      </c>
      <c r="AK237" s="628">
        <f ca="1">IF(AND($D237="Serviço",AK$12&lt;&gt;0,$H237&gt;0,OR(AUTOEVENTO&lt;&gt;"manual",$M237&lt;&gt;1)),
IF(Import.TipoArredondamento&lt;&gt;"TransfereGOV",
ROUND(OFFSET($P237,0,AK$13),15-13*ORÇAMENTO!$AF$7)/$H237*OFFSET(ORÇAMENTO!$X$15,ROW(AK237)-ROW(AK$15),0),
ROUND(ROUND(OFFSET($P237,0,AK$13),15-13*ORÇAMENTO!$AF$7)*OFFSET(ORÇAMENTO!$W$15,ROW(AK237)-ROW(AK$15),0),15-13*ORÇAMENTO!$AF$11)),0)</f>
        <v>0</v>
      </c>
      <c r="AM237" s="211">
        <f ca="1">IF($D237&lt;&gt;"Serviço",0,IF(AND(AUTOEVENTO="Manual",$M237=1),0,IF(OFFSET(CRONOPLE!$F$14,$M237,AM$13)="",10^12,OFFSET(CRONOPLE!$F$14,$M237,AM$13))))</f>
        <v>2</v>
      </c>
      <c r="AN237" s="211">
        <f ca="1">IF($D237&lt;&gt;"Serviço",0,IF(AND(AUTOEVENTO="Manual",$M237=1),0,IF(OFFSET(CRONOPLE!$F$14,$M237,AN$13)="",10^12,OFFSET(CRONOPLE!$F$14,$M237,AN$13))))</f>
        <v>1</v>
      </c>
      <c r="AO237" s="211">
        <f ca="1">IF($D237&lt;&gt;"Serviço",0,IF(AND(AUTOEVENTO="Manual",$M237=1),0,IF(OFFSET(CRONOPLE!$F$14,$M237,AO$13)="",10^12,OFFSET(CRONOPLE!$F$14,$M237,AO$13))))</f>
        <v>2</v>
      </c>
      <c r="AP237" s="211">
        <f ca="1">IF($D237&lt;&gt;"Serviço",0,IF(AND(AUTOEVENTO="Manual",$M237=1),0,IF(OFFSET(CRONOPLE!$F$14,$M237,AP$13)="",10^12,OFFSET(CRONOPLE!$F$14,$M237,AP$13))))</f>
        <v>2</v>
      </c>
      <c r="AQ237" s="211">
        <f ca="1">IF($D237&lt;&gt;"Serviço",0,IF(AND(AUTOEVENTO="Manual",$M237=1),0,IF(OFFSET(CRONOPLE!$F$14,$M237,AQ$13)="",10^12,OFFSET(CRONOPLE!$F$14,$M237,AQ$13))))</f>
        <v>1000000000000</v>
      </c>
      <c r="AR237" s="211">
        <f ca="1">IF($D237&lt;&gt;"Serviço",0,IF(AND(AUTOEVENTO="Manual",$M237=1),0,IF(OFFSET(CRONOPLE!$F$14,$M237,AR$13)="",10^12,OFFSET(CRONOPLE!$F$14,$M237,AR$13))))</f>
        <v>1000000000000</v>
      </c>
      <c r="AS237" s="211">
        <f ca="1">IF($D237&lt;&gt;"Serviço",0,IF(AND(AUTOEVENTO="Manual",$M237=1),0,IF(OFFSET(CRONOPLE!$F$14,$M237,AS$13)="",10^12,OFFSET(CRONOPLE!$F$14,$M237,AS$13))))</f>
        <v>1000000000000</v>
      </c>
      <c r="AT237" s="211">
        <f ca="1">IF($D237&lt;&gt;"Serviço",0,IF(AND(AUTOEVENTO="Manual",$M237=1),0,IF(OFFSET(CRONOPLE!$F$14,$M237,AT$13)="",10^12,OFFSET(CRONOPLE!$F$14,$M237,AT$13))))</f>
        <v>1000000000000</v>
      </c>
      <c r="AU237" s="211">
        <f ca="1">IF($D237&lt;&gt;"Serviço",0,IF(AND(AUTOEVENTO="Manual",$M237=1),0,IF(OFFSET(CRONOPLE!$F$14,$M237,AU$13)="",10^12,OFFSET(CRONOPLE!$F$14,$M237,AU$13))))</f>
        <v>1000000000000</v>
      </c>
      <c r="AV237" s="211">
        <f ca="1">IF($D237&lt;&gt;"Serviço",0,IF(AND(AUTOEVENTO="Manual",$M237=1),0,IF(OFFSET(CRONOPLE!$F$14,$M237,AV$13)="",10^12,OFFSET(CRONOPLE!$F$14,$M237,AV$13))))</f>
        <v>1000000000000</v>
      </c>
      <c r="AX237" s="212">
        <f ca="1">IF($D237&lt;&gt;"Serviço",0,IF(OR(AND(AUTOEVENTO="Manual",$M237=1),$M237&gt;(ROW(PLE.lastrow)-ROW(PLE.firstrow))),0,IF(OFFSET(PLE!$G$14,$M237,AX$13)="",10^12,OFFSET(PLE!$G$14,$M237,AX$13))))</f>
        <v>1000000000000</v>
      </c>
      <c r="AY237" s="212">
        <f ca="1">IF($D237&lt;&gt;"Serviço",0,IF(OR(AND(AUTOEVENTO="Manual",$M237=1),$M237&gt;(ROW(PLE.lastrow)-ROW(PLE.firstrow))),0,IF(OFFSET(PLE!$G$14,$M237,AY$13)="",10^12,OFFSET(PLE!$G$14,$M237,AY$13))))</f>
        <v>1000000000000</v>
      </c>
      <c r="AZ237" s="212">
        <f ca="1">IF($D237&lt;&gt;"Serviço",0,IF(OR(AND(AUTOEVENTO="Manual",$M237=1),$M237&gt;(ROW(PLE.lastrow)-ROW(PLE.firstrow))),0,IF(OFFSET(PLE!$G$14,$M237,AZ$13)="",10^12,OFFSET(PLE!$G$14,$M237,AZ$13))))</f>
        <v>1000000000000</v>
      </c>
      <c r="BA237" s="212">
        <f ca="1">IF($D237&lt;&gt;"Serviço",0,IF(OR(AND(AUTOEVENTO="Manual",$M237=1),$M237&gt;(ROW(PLE.lastrow)-ROW(PLE.firstrow))),0,IF(OFFSET(PLE!$G$14,$M237,BA$13)="",10^12,OFFSET(PLE!$G$14,$M237,BA$13))))</f>
        <v>1000000000000</v>
      </c>
      <c r="BB237" s="212">
        <f ca="1">IF($D237&lt;&gt;"Serviço",0,IF(OR(AND(AUTOEVENTO="Manual",$M237=1),$M237&gt;(ROW(PLE.lastrow)-ROW(PLE.firstrow))),0,IF(OFFSET(PLE!$G$14,$M237,BB$13)="",10^12,OFFSET(PLE!$G$14,$M237,BB$13))))</f>
        <v>1000000000000</v>
      </c>
      <c r="BC237" s="212">
        <f ca="1">IF($D237&lt;&gt;"Serviço",0,IF(OR(AND(AUTOEVENTO="Manual",$M237=1),$M237&gt;(ROW(PLE.lastrow)-ROW(PLE.firstrow))),0,IF(OFFSET(PLE!$G$14,$M237,BC$13)="",10^12,OFFSET(PLE!$G$14,$M237,BC$13))))</f>
        <v>1000000000000</v>
      </c>
      <c r="BD237" s="212">
        <f ca="1">IF($D237&lt;&gt;"Serviço",0,IF(OR(AND(AUTOEVENTO="Manual",$M237=1),$M237&gt;(ROW(PLE.lastrow)-ROW(PLE.firstrow))),0,IF(OFFSET(PLE!$G$14,$M237,BD$13)="",10^12,OFFSET(PLE!$G$14,$M237,BD$13))))</f>
        <v>1000000000000</v>
      </c>
      <c r="BE237" s="212">
        <f ca="1">IF($D237&lt;&gt;"Serviço",0,IF(OR(AND(AUTOEVENTO="Manual",$M237=1),$M237&gt;(ROW(PLE.lastrow)-ROW(PLE.firstrow))),0,IF(OFFSET(PLE!$G$14,$M237,BE$13)="",10^12,OFFSET(PLE!$G$14,$M237,BE$13))))</f>
        <v>1000000000000</v>
      </c>
      <c r="BF237" s="212">
        <f ca="1">IF($D237&lt;&gt;"Serviço",0,IF(OR(AND(AUTOEVENTO="Manual",$M237=1),$M237&gt;(ROW(PLE.lastrow)-ROW(PLE.firstrow))),0,IF(OFFSET(PLE!$G$14,$M237,BF$13)="",10^12,OFFSET(PLE!$G$14,$M237,BF$13))))</f>
        <v>1000000000000</v>
      </c>
      <c r="BG237" s="212">
        <f ca="1">IF($D237&lt;&gt;"Serviço",0,IF(OR(AND(AUTOEVENTO="Manual",$M237=1),$M237&gt;(ROW(PLE.lastrow)-ROW(PLE.firstrow))),0,IF(OFFSET(PLE!$G$14,$M237,BG$13)="",10^12,OFFSET(PLE!$G$14,$M237,BG$13))))</f>
        <v>1000000000000</v>
      </c>
    </row>
    <row r="238" spans="1:59" ht="13.2">
      <c r="A238" s="9" t="str">
        <f t="shared" ca="1" si="12"/>
        <v>15</v>
      </c>
      <c r="B238" s="9" t="str">
        <f ca="1">OFFSET(ORÇAMENTO!C$15,ROW(B238)-ROW(B$15),0)</f>
        <v>S</v>
      </c>
      <c r="C238" s="9" t="str">
        <f ca="1">OFFSET(ORÇAMENTO!L$15,ROW(C238)-ROW(C$15),0)</f>
        <v/>
      </c>
      <c r="D238" s="141" t="str">
        <f ca="1">OFFSET(ORÇAMENTO!N$15,ROW(D238)-ROW(D$15),0)</f>
        <v>Serviço</v>
      </c>
      <c r="E238" s="201" t="str">
        <f ca="1">OFFSET(ORÇAMENTO!O$15,ROW(E238)-ROW(E$15),0)</f>
        <v>-</v>
      </c>
      <c r="F238" s="202" t="str">
        <f ca="1">OFFSET(ORÇAMENTO!R$15,ROW(F238)-ROW(F$15),0)</f>
        <v>(abra o arquivo 'Referência 11-2024.xlsm)</v>
      </c>
      <c r="G238" s="203" t="str">
        <f ca="1">IF($D238&lt;&gt;"Serviço","",OFFSET(ORÇAMENTO!S$15,ROW(G238)-ROW(G$15),0))</f>
        <v>-</v>
      </c>
      <c r="H238" s="147">
        <f ca="1">IF($D238&lt;&gt;"Serviço",0,IF(ACOMPANHAMENTO="BM",ROUND(OFFSET(ORÇAMENTO!AJ$15,ROW(H238)-ROW(H$15),0),15-13*ORÇAMENTO!$AF$7),SUMPRODUCT(($Q$12:$AA$12&lt;&gt;"")*ROUND($Q238:$AA238,15-13*ORÇAMENTO!$AF$7))))</f>
        <v>0</v>
      </c>
      <c r="I238" s="645"/>
      <c r="K238" s="204"/>
      <c r="L238" s="205" t="s">
        <v>255</v>
      </c>
      <c r="M238" s="206">
        <f ca="1">IF($D238&lt;&gt;"Serviço","",IF(AUTOEVENTO="manual",$A238,IF(ISERROR(MATCH($A238,$A$15:OFFSET($A238,-1,0),0)),MAX($M$15:OFFSET(M238,-1,0))+1,INDEX($M$15:OFFSET(M238,-1,0),MATCH($A238,$A$15:OFFSET($A238,-1,0),0)))))</f>
        <v>6</v>
      </c>
      <c r="N238" s="207" t="str">
        <f ca="1">IF($D238&lt;&gt;"Serviço","",IF(AUTOEVENTO="Manual",IF($A238=0,"&lt;-- defina o número do agrupador",OFFSET(EVENTOS!$D$14,$A238,0)),OFFSET($F$15,$A238,0)))</f>
        <v>DRENAGEM</v>
      </c>
      <c r="O238" s="208"/>
      <c r="Q238" s="208"/>
      <c r="R238" s="209"/>
      <c r="S238" s="209"/>
      <c r="T238" s="209"/>
      <c r="U238" s="209"/>
      <c r="V238" s="209"/>
      <c r="W238" s="209"/>
      <c r="X238" s="209"/>
      <c r="Y238" s="209"/>
      <c r="Z238" s="210"/>
      <c r="AB238" s="626">
        <f ca="1">IF(AND($D238="Serviço",AB$12&lt;&gt;0,$H238&gt;0,OR(AUTOEVENTO&lt;&gt;"manual",$M238&lt;&gt;1)),
IF(Import.TipoArredondamento&lt;&gt;"TransfereGOV",
ROUND(OFFSET($P238,0,AB$13),15-13*ORÇAMENTO!$AF$7)/$H238*OFFSET(ORÇAMENTO!$X$15,ROW(AB238)-ROW(AB$15),0),
ROUND(ROUND(OFFSET($P238,0,AB$13),15-13*ORÇAMENTO!$AF$7)*OFFSET(ORÇAMENTO!$W$15,ROW(AB238)-ROW(AB$15),0),15-13*ORÇAMENTO!$AF$11)),0)</f>
        <v>0</v>
      </c>
      <c r="AC238" s="627">
        <f ca="1">IF(AND($D238="Serviço",AC$12&lt;&gt;0,$H238&gt;0,OR(AUTOEVENTO&lt;&gt;"manual",$M238&lt;&gt;1)),
IF(Import.TipoArredondamento&lt;&gt;"TransfereGOV",
ROUND(OFFSET($P238,0,AC$13),15-13*ORÇAMENTO!$AF$7)/$H238*OFFSET(ORÇAMENTO!$X$15,ROW(AC238)-ROW(AC$15),0),
ROUND(ROUND(OFFSET($P238,0,AC$13),15-13*ORÇAMENTO!$AF$7)*OFFSET(ORÇAMENTO!$W$15,ROW(AC238)-ROW(AC$15),0),15-13*ORÇAMENTO!$AF$11)),0)</f>
        <v>0</v>
      </c>
      <c r="AD238" s="627">
        <f ca="1">IF(AND($D238="Serviço",AD$12&lt;&gt;0,$H238&gt;0,OR(AUTOEVENTO&lt;&gt;"manual",$M238&lt;&gt;1)),
IF(Import.TipoArredondamento&lt;&gt;"TransfereGOV",
ROUND(OFFSET($P238,0,AD$13),15-13*ORÇAMENTO!$AF$7)/$H238*OFFSET(ORÇAMENTO!$X$15,ROW(AD238)-ROW(AD$15),0),
ROUND(ROUND(OFFSET($P238,0,AD$13),15-13*ORÇAMENTO!$AF$7)*OFFSET(ORÇAMENTO!$W$15,ROW(AD238)-ROW(AD$15),0),15-13*ORÇAMENTO!$AF$11)),0)</f>
        <v>0</v>
      </c>
      <c r="AE238" s="627">
        <f ca="1">IF(AND($D238="Serviço",AE$12&lt;&gt;0,$H238&gt;0,OR(AUTOEVENTO&lt;&gt;"manual",$M238&lt;&gt;1)),
IF(Import.TipoArredondamento&lt;&gt;"TransfereGOV",
ROUND(OFFSET($P238,0,AE$13),15-13*ORÇAMENTO!$AF$7)/$H238*OFFSET(ORÇAMENTO!$X$15,ROW(AE238)-ROW(AE$15),0),
ROUND(ROUND(OFFSET($P238,0,AE$13),15-13*ORÇAMENTO!$AF$7)*OFFSET(ORÇAMENTO!$W$15,ROW(AE238)-ROW(AE$15),0),15-13*ORÇAMENTO!$AF$11)),0)</f>
        <v>0</v>
      </c>
      <c r="AF238" s="627">
        <f ca="1">IF(AND($D238="Serviço",AF$12&lt;&gt;0,$H238&gt;0,OR(AUTOEVENTO&lt;&gt;"manual",$M238&lt;&gt;1)),
IF(Import.TipoArredondamento&lt;&gt;"TransfereGOV",
ROUND(OFFSET($P238,0,AF$13),15-13*ORÇAMENTO!$AF$7)/$H238*OFFSET(ORÇAMENTO!$X$15,ROW(AF238)-ROW(AF$15),0),
ROUND(ROUND(OFFSET($P238,0,AF$13),15-13*ORÇAMENTO!$AF$7)*OFFSET(ORÇAMENTO!$W$15,ROW(AF238)-ROW(AF$15),0),15-13*ORÇAMENTO!$AF$11)),0)</f>
        <v>0</v>
      </c>
      <c r="AG238" s="627">
        <f ca="1">IF(AND($D238="Serviço",AG$12&lt;&gt;0,$H238&gt;0,OR(AUTOEVENTO&lt;&gt;"manual",$M238&lt;&gt;1)),
IF(Import.TipoArredondamento&lt;&gt;"TransfereGOV",
ROUND(OFFSET($P238,0,AG$13),15-13*ORÇAMENTO!$AF$7)/$H238*OFFSET(ORÇAMENTO!$X$15,ROW(AG238)-ROW(AG$15),0),
ROUND(ROUND(OFFSET($P238,0,AG$13),15-13*ORÇAMENTO!$AF$7)*OFFSET(ORÇAMENTO!$W$15,ROW(AG238)-ROW(AG$15),0),15-13*ORÇAMENTO!$AF$11)),0)</f>
        <v>0</v>
      </c>
      <c r="AH238" s="627">
        <f ca="1">IF(AND($D238="Serviço",AH$12&lt;&gt;0,$H238&gt;0,OR(AUTOEVENTO&lt;&gt;"manual",$M238&lt;&gt;1)),
IF(Import.TipoArredondamento&lt;&gt;"TransfereGOV",
ROUND(OFFSET($P238,0,AH$13),15-13*ORÇAMENTO!$AF$7)/$H238*OFFSET(ORÇAMENTO!$X$15,ROW(AH238)-ROW(AH$15),0),
ROUND(ROUND(OFFSET($P238,0,AH$13),15-13*ORÇAMENTO!$AF$7)*OFFSET(ORÇAMENTO!$W$15,ROW(AH238)-ROW(AH$15),0),15-13*ORÇAMENTO!$AF$11)),0)</f>
        <v>0</v>
      </c>
      <c r="AI238" s="627">
        <f ca="1">IF(AND($D238="Serviço",AI$12&lt;&gt;0,$H238&gt;0,OR(AUTOEVENTO&lt;&gt;"manual",$M238&lt;&gt;1)),
IF(Import.TipoArredondamento&lt;&gt;"TransfereGOV",
ROUND(OFFSET($P238,0,AI$13),15-13*ORÇAMENTO!$AF$7)/$H238*OFFSET(ORÇAMENTO!$X$15,ROW(AI238)-ROW(AI$15),0),
ROUND(ROUND(OFFSET($P238,0,AI$13),15-13*ORÇAMENTO!$AF$7)*OFFSET(ORÇAMENTO!$W$15,ROW(AI238)-ROW(AI$15),0),15-13*ORÇAMENTO!$AF$11)),0)</f>
        <v>0</v>
      </c>
      <c r="AJ238" s="627">
        <f ca="1">IF(AND($D238="Serviço",AJ$12&lt;&gt;0,$H238&gt;0,OR(AUTOEVENTO&lt;&gt;"manual",$M238&lt;&gt;1)),
IF(Import.TipoArredondamento&lt;&gt;"TransfereGOV",
ROUND(OFFSET($P238,0,AJ$13),15-13*ORÇAMENTO!$AF$7)/$H238*OFFSET(ORÇAMENTO!$X$15,ROW(AJ238)-ROW(AJ$15),0),
ROUND(ROUND(OFFSET($P238,0,AJ$13),15-13*ORÇAMENTO!$AF$7)*OFFSET(ORÇAMENTO!$W$15,ROW(AJ238)-ROW(AJ$15),0),15-13*ORÇAMENTO!$AF$11)),0)</f>
        <v>0</v>
      </c>
      <c r="AK238" s="628">
        <f ca="1">IF(AND($D238="Serviço",AK$12&lt;&gt;0,$H238&gt;0,OR(AUTOEVENTO&lt;&gt;"manual",$M238&lt;&gt;1)),
IF(Import.TipoArredondamento&lt;&gt;"TransfereGOV",
ROUND(OFFSET($P238,0,AK$13),15-13*ORÇAMENTO!$AF$7)/$H238*OFFSET(ORÇAMENTO!$X$15,ROW(AK238)-ROW(AK$15),0),
ROUND(ROUND(OFFSET($P238,0,AK$13),15-13*ORÇAMENTO!$AF$7)*OFFSET(ORÇAMENTO!$W$15,ROW(AK238)-ROW(AK$15),0),15-13*ORÇAMENTO!$AF$11)),0)</f>
        <v>0</v>
      </c>
      <c r="AM238" s="211">
        <f ca="1">IF($D238&lt;&gt;"Serviço",0,IF(AND(AUTOEVENTO="Manual",$M238=1),0,IF(OFFSET(CRONOPLE!$F$14,$M238,AM$13)="",10^12,OFFSET(CRONOPLE!$F$14,$M238,AM$13))))</f>
        <v>2</v>
      </c>
      <c r="AN238" s="211">
        <f ca="1">IF($D238&lt;&gt;"Serviço",0,IF(AND(AUTOEVENTO="Manual",$M238=1),0,IF(OFFSET(CRONOPLE!$F$14,$M238,AN$13)="",10^12,OFFSET(CRONOPLE!$F$14,$M238,AN$13))))</f>
        <v>1</v>
      </c>
      <c r="AO238" s="211">
        <f ca="1">IF($D238&lt;&gt;"Serviço",0,IF(AND(AUTOEVENTO="Manual",$M238=1),0,IF(OFFSET(CRONOPLE!$F$14,$M238,AO$13)="",10^12,OFFSET(CRONOPLE!$F$14,$M238,AO$13))))</f>
        <v>2</v>
      </c>
      <c r="AP238" s="211">
        <f ca="1">IF($D238&lt;&gt;"Serviço",0,IF(AND(AUTOEVENTO="Manual",$M238=1),0,IF(OFFSET(CRONOPLE!$F$14,$M238,AP$13)="",10^12,OFFSET(CRONOPLE!$F$14,$M238,AP$13))))</f>
        <v>2</v>
      </c>
      <c r="AQ238" s="211">
        <f ca="1">IF($D238&lt;&gt;"Serviço",0,IF(AND(AUTOEVENTO="Manual",$M238=1),0,IF(OFFSET(CRONOPLE!$F$14,$M238,AQ$13)="",10^12,OFFSET(CRONOPLE!$F$14,$M238,AQ$13))))</f>
        <v>1000000000000</v>
      </c>
      <c r="AR238" s="211">
        <f ca="1">IF($D238&lt;&gt;"Serviço",0,IF(AND(AUTOEVENTO="Manual",$M238=1),0,IF(OFFSET(CRONOPLE!$F$14,$M238,AR$13)="",10^12,OFFSET(CRONOPLE!$F$14,$M238,AR$13))))</f>
        <v>1000000000000</v>
      </c>
      <c r="AS238" s="211">
        <f ca="1">IF($D238&lt;&gt;"Serviço",0,IF(AND(AUTOEVENTO="Manual",$M238=1),0,IF(OFFSET(CRONOPLE!$F$14,$M238,AS$13)="",10^12,OFFSET(CRONOPLE!$F$14,$M238,AS$13))))</f>
        <v>1000000000000</v>
      </c>
      <c r="AT238" s="211">
        <f ca="1">IF($D238&lt;&gt;"Serviço",0,IF(AND(AUTOEVENTO="Manual",$M238=1),0,IF(OFFSET(CRONOPLE!$F$14,$M238,AT$13)="",10^12,OFFSET(CRONOPLE!$F$14,$M238,AT$13))))</f>
        <v>1000000000000</v>
      </c>
      <c r="AU238" s="211">
        <f ca="1">IF($D238&lt;&gt;"Serviço",0,IF(AND(AUTOEVENTO="Manual",$M238=1),0,IF(OFFSET(CRONOPLE!$F$14,$M238,AU$13)="",10^12,OFFSET(CRONOPLE!$F$14,$M238,AU$13))))</f>
        <v>1000000000000</v>
      </c>
      <c r="AV238" s="211">
        <f ca="1">IF($D238&lt;&gt;"Serviço",0,IF(AND(AUTOEVENTO="Manual",$M238=1),0,IF(OFFSET(CRONOPLE!$F$14,$M238,AV$13)="",10^12,OFFSET(CRONOPLE!$F$14,$M238,AV$13))))</f>
        <v>1000000000000</v>
      </c>
      <c r="AX238" s="212">
        <f ca="1">IF($D238&lt;&gt;"Serviço",0,IF(OR(AND(AUTOEVENTO="Manual",$M238=1),$M238&gt;(ROW(PLE.lastrow)-ROW(PLE.firstrow))),0,IF(OFFSET(PLE!$G$14,$M238,AX$13)="",10^12,OFFSET(PLE!$G$14,$M238,AX$13))))</f>
        <v>1000000000000</v>
      </c>
      <c r="AY238" s="212">
        <f ca="1">IF($D238&lt;&gt;"Serviço",0,IF(OR(AND(AUTOEVENTO="Manual",$M238=1),$M238&gt;(ROW(PLE.lastrow)-ROW(PLE.firstrow))),0,IF(OFFSET(PLE!$G$14,$M238,AY$13)="",10^12,OFFSET(PLE!$G$14,$M238,AY$13))))</f>
        <v>1000000000000</v>
      </c>
      <c r="AZ238" s="212">
        <f ca="1">IF($D238&lt;&gt;"Serviço",0,IF(OR(AND(AUTOEVENTO="Manual",$M238=1),$M238&gt;(ROW(PLE.lastrow)-ROW(PLE.firstrow))),0,IF(OFFSET(PLE!$G$14,$M238,AZ$13)="",10^12,OFFSET(PLE!$G$14,$M238,AZ$13))))</f>
        <v>1000000000000</v>
      </c>
      <c r="BA238" s="212">
        <f ca="1">IF($D238&lt;&gt;"Serviço",0,IF(OR(AND(AUTOEVENTO="Manual",$M238=1),$M238&gt;(ROW(PLE.lastrow)-ROW(PLE.firstrow))),0,IF(OFFSET(PLE!$G$14,$M238,BA$13)="",10^12,OFFSET(PLE!$G$14,$M238,BA$13))))</f>
        <v>1000000000000</v>
      </c>
      <c r="BB238" s="212">
        <f ca="1">IF($D238&lt;&gt;"Serviço",0,IF(OR(AND(AUTOEVENTO="Manual",$M238=1),$M238&gt;(ROW(PLE.lastrow)-ROW(PLE.firstrow))),0,IF(OFFSET(PLE!$G$14,$M238,BB$13)="",10^12,OFFSET(PLE!$G$14,$M238,BB$13))))</f>
        <v>1000000000000</v>
      </c>
      <c r="BC238" s="212">
        <f ca="1">IF($D238&lt;&gt;"Serviço",0,IF(OR(AND(AUTOEVENTO="Manual",$M238=1),$M238&gt;(ROW(PLE.lastrow)-ROW(PLE.firstrow))),0,IF(OFFSET(PLE!$G$14,$M238,BC$13)="",10^12,OFFSET(PLE!$G$14,$M238,BC$13))))</f>
        <v>1000000000000</v>
      </c>
      <c r="BD238" s="212">
        <f ca="1">IF($D238&lt;&gt;"Serviço",0,IF(OR(AND(AUTOEVENTO="Manual",$M238=1),$M238&gt;(ROW(PLE.lastrow)-ROW(PLE.firstrow))),0,IF(OFFSET(PLE!$G$14,$M238,BD$13)="",10^12,OFFSET(PLE!$G$14,$M238,BD$13))))</f>
        <v>1000000000000</v>
      </c>
      <c r="BE238" s="212">
        <f ca="1">IF($D238&lt;&gt;"Serviço",0,IF(OR(AND(AUTOEVENTO="Manual",$M238=1),$M238&gt;(ROW(PLE.lastrow)-ROW(PLE.firstrow))),0,IF(OFFSET(PLE!$G$14,$M238,BE$13)="",10^12,OFFSET(PLE!$G$14,$M238,BE$13))))</f>
        <v>1000000000000</v>
      </c>
      <c r="BF238" s="212">
        <f ca="1">IF($D238&lt;&gt;"Serviço",0,IF(OR(AND(AUTOEVENTO="Manual",$M238=1),$M238&gt;(ROW(PLE.lastrow)-ROW(PLE.firstrow))),0,IF(OFFSET(PLE!$G$14,$M238,BF$13)="",10^12,OFFSET(PLE!$G$14,$M238,BF$13))))</f>
        <v>1000000000000</v>
      </c>
      <c r="BG238" s="212">
        <f ca="1">IF($D238&lt;&gt;"Serviço",0,IF(OR(AND(AUTOEVENTO="Manual",$M238=1),$M238&gt;(ROW(PLE.lastrow)-ROW(PLE.firstrow))),0,IF(OFFSET(PLE!$G$14,$M238,BG$13)="",10^12,OFFSET(PLE!$G$14,$M238,BG$13))))</f>
        <v>1000000000000</v>
      </c>
    </row>
    <row r="239" spans="1:59" ht="13.2">
      <c r="A239" s="9" t="str">
        <f t="shared" ca="1" si="12"/>
        <v>15</v>
      </c>
      <c r="B239" s="9" t="str">
        <f ca="1">OFFSET(ORÇAMENTO!C$15,ROW(B239)-ROW(B$15),0)</f>
        <v>S</v>
      </c>
      <c r="C239" s="9" t="str">
        <f ca="1">OFFSET(ORÇAMENTO!L$15,ROW(C239)-ROW(C$15),0)</f>
        <v/>
      </c>
      <c r="D239" s="141" t="str">
        <f ca="1">OFFSET(ORÇAMENTO!N$15,ROW(D239)-ROW(D$15),0)</f>
        <v>Serviço</v>
      </c>
      <c r="E239" s="201" t="str">
        <f ca="1">OFFSET(ORÇAMENTO!O$15,ROW(E239)-ROW(E$15),0)</f>
        <v>-</v>
      </c>
      <c r="F239" s="202" t="str">
        <f ca="1">OFFSET(ORÇAMENTO!R$15,ROW(F239)-ROW(F$15),0)</f>
        <v>(abra o arquivo 'Referência 11-2024.xlsm)</v>
      </c>
      <c r="G239" s="203" t="str">
        <f ca="1">IF($D239&lt;&gt;"Serviço","",OFFSET(ORÇAMENTO!S$15,ROW(G239)-ROW(G$15),0))</f>
        <v>-</v>
      </c>
      <c r="H239" s="147">
        <f ca="1">IF($D239&lt;&gt;"Serviço",0,IF(ACOMPANHAMENTO="BM",ROUND(OFFSET(ORÇAMENTO!AJ$15,ROW(H239)-ROW(H$15),0),15-13*ORÇAMENTO!$AF$7),SUMPRODUCT(($Q$12:$AA$12&lt;&gt;"")*ROUND($Q239:$AA239,15-13*ORÇAMENTO!$AF$7))))</f>
        <v>0</v>
      </c>
      <c r="I239" s="645"/>
      <c r="K239" s="204"/>
      <c r="L239" s="205" t="s">
        <v>255</v>
      </c>
      <c r="M239" s="206">
        <f ca="1">IF($D239&lt;&gt;"Serviço","",IF(AUTOEVENTO="manual",$A239,IF(ISERROR(MATCH($A239,$A$15:OFFSET($A239,-1,0),0)),MAX($M$15:OFFSET(M239,-1,0))+1,INDEX($M$15:OFFSET(M239,-1,0),MATCH($A239,$A$15:OFFSET($A239,-1,0),0)))))</f>
        <v>6</v>
      </c>
      <c r="N239" s="207" t="str">
        <f ca="1">IF($D239&lt;&gt;"Serviço","",IF(AUTOEVENTO="Manual",IF($A239=0,"&lt;-- defina o número do agrupador",OFFSET(EVENTOS!$D$14,$A239,0)),OFFSET($F$15,$A239,0)))</f>
        <v>DRENAGEM</v>
      </c>
      <c r="O239" s="208"/>
      <c r="Q239" s="208"/>
      <c r="R239" s="209"/>
      <c r="S239" s="209"/>
      <c r="T239" s="209"/>
      <c r="U239" s="209"/>
      <c r="V239" s="209"/>
      <c r="W239" s="209"/>
      <c r="X239" s="209"/>
      <c r="Y239" s="209"/>
      <c r="Z239" s="210"/>
      <c r="AB239" s="626">
        <f ca="1">IF(AND($D239="Serviço",AB$12&lt;&gt;0,$H239&gt;0,OR(AUTOEVENTO&lt;&gt;"manual",$M239&lt;&gt;1)),
IF(Import.TipoArredondamento&lt;&gt;"TransfereGOV",
ROUND(OFFSET($P239,0,AB$13),15-13*ORÇAMENTO!$AF$7)/$H239*OFFSET(ORÇAMENTO!$X$15,ROW(AB239)-ROW(AB$15),0),
ROUND(ROUND(OFFSET($P239,0,AB$13),15-13*ORÇAMENTO!$AF$7)*OFFSET(ORÇAMENTO!$W$15,ROW(AB239)-ROW(AB$15),0),15-13*ORÇAMENTO!$AF$11)),0)</f>
        <v>0</v>
      </c>
      <c r="AC239" s="627">
        <f ca="1">IF(AND($D239="Serviço",AC$12&lt;&gt;0,$H239&gt;0,OR(AUTOEVENTO&lt;&gt;"manual",$M239&lt;&gt;1)),
IF(Import.TipoArredondamento&lt;&gt;"TransfereGOV",
ROUND(OFFSET($P239,0,AC$13),15-13*ORÇAMENTO!$AF$7)/$H239*OFFSET(ORÇAMENTO!$X$15,ROW(AC239)-ROW(AC$15),0),
ROUND(ROUND(OFFSET($P239,0,AC$13),15-13*ORÇAMENTO!$AF$7)*OFFSET(ORÇAMENTO!$W$15,ROW(AC239)-ROW(AC$15),0),15-13*ORÇAMENTO!$AF$11)),0)</f>
        <v>0</v>
      </c>
      <c r="AD239" s="627">
        <f ca="1">IF(AND($D239="Serviço",AD$12&lt;&gt;0,$H239&gt;0,OR(AUTOEVENTO&lt;&gt;"manual",$M239&lt;&gt;1)),
IF(Import.TipoArredondamento&lt;&gt;"TransfereGOV",
ROUND(OFFSET($P239,0,AD$13),15-13*ORÇAMENTO!$AF$7)/$H239*OFFSET(ORÇAMENTO!$X$15,ROW(AD239)-ROW(AD$15),0),
ROUND(ROUND(OFFSET($P239,0,AD$13),15-13*ORÇAMENTO!$AF$7)*OFFSET(ORÇAMENTO!$W$15,ROW(AD239)-ROW(AD$15),0),15-13*ORÇAMENTO!$AF$11)),0)</f>
        <v>0</v>
      </c>
      <c r="AE239" s="627">
        <f ca="1">IF(AND($D239="Serviço",AE$12&lt;&gt;0,$H239&gt;0,OR(AUTOEVENTO&lt;&gt;"manual",$M239&lt;&gt;1)),
IF(Import.TipoArredondamento&lt;&gt;"TransfereGOV",
ROUND(OFFSET($P239,0,AE$13),15-13*ORÇAMENTO!$AF$7)/$H239*OFFSET(ORÇAMENTO!$X$15,ROW(AE239)-ROW(AE$15),0),
ROUND(ROUND(OFFSET($P239,0,AE$13),15-13*ORÇAMENTO!$AF$7)*OFFSET(ORÇAMENTO!$W$15,ROW(AE239)-ROW(AE$15),0),15-13*ORÇAMENTO!$AF$11)),0)</f>
        <v>0</v>
      </c>
      <c r="AF239" s="627">
        <f ca="1">IF(AND($D239="Serviço",AF$12&lt;&gt;0,$H239&gt;0,OR(AUTOEVENTO&lt;&gt;"manual",$M239&lt;&gt;1)),
IF(Import.TipoArredondamento&lt;&gt;"TransfereGOV",
ROUND(OFFSET($P239,0,AF$13),15-13*ORÇAMENTO!$AF$7)/$H239*OFFSET(ORÇAMENTO!$X$15,ROW(AF239)-ROW(AF$15),0),
ROUND(ROUND(OFFSET($P239,0,AF$13),15-13*ORÇAMENTO!$AF$7)*OFFSET(ORÇAMENTO!$W$15,ROW(AF239)-ROW(AF$15),0),15-13*ORÇAMENTO!$AF$11)),0)</f>
        <v>0</v>
      </c>
      <c r="AG239" s="627">
        <f ca="1">IF(AND($D239="Serviço",AG$12&lt;&gt;0,$H239&gt;0,OR(AUTOEVENTO&lt;&gt;"manual",$M239&lt;&gt;1)),
IF(Import.TipoArredondamento&lt;&gt;"TransfereGOV",
ROUND(OFFSET($P239,0,AG$13),15-13*ORÇAMENTO!$AF$7)/$H239*OFFSET(ORÇAMENTO!$X$15,ROW(AG239)-ROW(AG$15),0),
ROUND(ROUND(OFFSET($P239,0,AG$13),15-13*ORÇAMENTO!$AF$7)*OFFSET(ORÇAMENTO!$W$15,ROW(AG239)-ROW(AG$15),0),15-13*ORÇAMENTO!$AF$11)),0)</f>
        <v>0</v>
      </c>
      <c r="AH239" s="627">
        <f ca="1">IF(AND($D239="Serviço",AH$12&lt;&gt;0,$H239&gt;0,OR(AUTOEVENTO&lt;&gt;"manual",$M239&lt;&gt;1)),
IF(Import.TipoArredondamento&lt;&gt;"TransfereGOV",
ROUND(OFFSET($P239,0,AH$13),15-13*ORÇAMENTO!$AF$7)/$H239*OFFSET(ORÇAMENTO!$X$15,ROW(AH239)-ROW(AH$15),0),
ROUND(ROUND(OFFSET($P239,0,AH$13),15-13*ORÇAMENTO!$AF$7)*OFFSET(ORÇAMENTO!$W$15,ROW(AH239)-ROW(AH$15),0),15-13*ORÇAMENTO!$AF$11)),0)</f>
        <v>0</v>
      </c>
      <c r="AI239" s="627">
        <f ca="1">IF(AND($D239="Serviço",AI$12&lt;&gt;0,$H239&gt;0,OR(AUTOEVENTO&lt;&gt;"manual",$M239&lt;&gt;1)),
IF(Import.TipoArredondamento&lt;&gt;"TransfereGOV",
ROUND(OFFSET($P239,0,AI$13),15-13*ORÇAMENTO!$AF$7)/$H239*OFFSET(ORÇAMENTO!$X$15,ROW(AI239)-ROW(AI$15),0),
ROUND(ROUND(OFFSET($P239,0,AI$13),15-13*ORÇAMENTO!$AF$7)*OFFSET(ORÇAMENTO!$W$15,ROW(AI239)-ROW(AI$15),0),15-13*ORÇAMENTO!$AF$11)),0)</f>
        <v>0</v>
      </c>
      <c r="AJ239" s="627">
        <f ca="1">IF(AND($D239="Serviço",AJ$12&lt;&gt;0,$H239&gt;0,OR(AUTOEVENTO&lt;&gt;"manual",$M239&lt;&gt;1)),
IF(Import.TipoArredondamento&lt;&gt;"TransfereGOV",
ROUND(OFFSET($P239,0,AJ$13),15-13*ORÇAMENTO!$AF$7)/$H239*OFFSET(ORÇAMENTO!$X$15,ROW(AJ239)-ROW(AJ$15),0),
ROUND(ROUND(OFFSET($P239,0,AJ$13),15-13*ORÇAMENTO!$AF$7)*OFFSET(ORÇAMENTO!$W$15,ROW(AJ239)-ROW(AJ$15),0),15-13*ORÇAMENTO!$AF$11)),0)</f>
        <v>0</v>
      </c>
      <c r="AK239" s="628">
        <f ca="1">IF(AND($D239="Serviço",AK$12&lt;&gt;0,$H239&gt;0,OR(AUTOEVENTO&lt;&gt;"manual",$M239&lt;&gt;1)),
IF(Import.TipoArredondamento&lt;&gt;"TransfereGOV",
ROUND(OFFSET($P239,0,AK$13),15-13*ORÇAMENTO!$AF$7)/$H239*OFFSET(ORÇAMENTO!$X$15,ROW(AK239)-ROW(AK$15),0),
ROUND(ROUND(OFFSET($P239,0,AK$13),15-13*ORÇAMENTO!$AF$7)*OFFSET(ORÇAMENTO!$W$15,ROW(AK239)-ROW(AK$15),0),15-13*ORÇAMENTO!$AF$11)),0)</f>
        <v>0</v>
      </c>
      <c r="AM239" s="211">
        <f ca="1">IF($D239&lt;&gt;"Serviço",0,IF(AND(AUTOEVENTO="Manual",$M239=1),0,IF(OFFSET(CRONOPLE!$F$14,$M239,AM$13)="",10^12,OFFSET(CRONOPLE!$F$14,$M239,AM$13))))</f>
        <v>2</v>
      </c>
      <c r="AN239" s="211">
        <f ca="1">IF($D239&lt;&gt;"Serviço",0,IF(AND(AUTOEVENTO="Manual",$M239=1),0,IF(OFFSET(CRONOPLE!$F$14,$M239,AN$13)="",10^12,OFFSET(CRONOPLE!$F$14,$M239,AN$13))))</f>
        <v>1</v>
      </c>
      <c r="AO239" s="211">
        <f ca="1">IF($D239&lt;&gt;"Serviço",0,IF(AND(AUTOEVENTO="Manual",$M239=1),0,IF(OFFSET(CRONOPLE!$F$14,$M239,AO$13)="",10^12,OFFSET(CRONOPLE!$F$14,$M239,AO$13))))</f>
        <v>2</v>
      </c>
      <c r="AP239" s="211">
        <f ca="1">IF($D239&lt;&gt;"Serviço",0,IF(AND(AUTOEVENTO="Manual",$M239=1),0,IF(OFFSET(CRONOPLE!$F$14,$M239,AP$13)="",10^12,OFFSET(CRONOPLE!$F$14,$M239,AP$13))))</f>
        <v>2</v>
      </c>
      <c r="AQ239" s="211">
        <f ca="1">IF($D239&lt;&gt;"Serviço",0,IF(AND(AUTOEVENTO="Manual",$M239=1),0,IF(OFFSET(CRONOPLE!$F$14,$M239,AQ$13)="",10^12,OFFSET(CRONOPLE!$F$14,$M239,AQ$13))))</f>
        <v>1000000000000</v>
      </c>
      <c r="AR239" s="211">
        <f ca="1">IF($D239&lt;&gt;"Serviço",0,IF(AND(AUTOEVENTO="Manual",$M239=1),0,IF(OFFSET(CRONOPLE!$F$14,$M239,AR$13)="",10^12,OFFSET(CRONOPLE!$F$14,$M239,AR$13))))</f>
        <v>1000000000000</v>
      </c>
      <c r="AS239" s="211">
        <f ca="1">IF($D239&lt;&gt;"Serviço",0,IF(AND(AUTOEVENTO="Manual",$M239=1),0,IF(OFFSET(CRONOPLE!$F$14,$M239,AS$13)="",10^12,OFFSET(CRONOPLE!$F$14,$M239,AS$13))))</f>
        <v>1000000000000</v>
      </c>
      <c r="AT239" s="211">
        <f ca="1">IF($D239&lt;&gt;"Serviço",0,IF(AND(AUTOEVENTO="Manual",$M239=1),0,IF(OFFSET(CRONOPLE!$F$14,$M239,AT$13)="",10^12,OFFSET(CRONOPLE!$F$14,$M239,AT$13))))</f>
        <v>1000000000000</v>
      </c>
      <c r="AU239" s="211">
        <f ca="1">IF($D239&lt;&gt;"Serviço",0,IF(AND(AUTOEVENTO="Manual",$M239=1),0,IF(OFFSET(CRONOPLE!$F$14,$M239,AU$13)="",10^12,OFFSET(CRONOPLE!$F$14,$M239,AU$13))))</f>
        <v>1000000000000</v>
      </c>
      <c r="AV239" s="211">
        <f ca="1">IF($D239&lt;&gt;"Serviço",0,IF(AND(AUTOEVENTO="Manual",$M239=1),0,IF(OFFSET(CRONOPLE!$F$14,$M239,AV$13)="",10^12,OFFSET(CRONOPLE!$F$14,$M239,AV$13))))</f>
        <v>1000000000000</v>
      </c>
      <c r="AX239" s="212">
        <f ca="1">IF($D239&lt;&gt;"Serviço",0,IF(OR(AND(AUTOEVENTO="Manual",$M239=1),$M239&gt;(ROW(PLE.lastrow)-ROW(PLE.firstrow))),0,IF(OFFSET(PLE!$G$14,$M239,AX$13)="",10^12,OFFSET(PLE!$G$14,$M239,AX$13))))</f>
        <v>1000000000000</v>
      </c>
      <c r="AY239" s="212">
        <f ca="1">IF($D239&lt;&gt;"Serviço",0,IF(OR(AND(AUTOEVENTO="Manual",$M239=1),$M239&gt;(ROW(PLE.lastrow)-ROW(PLE.firstrow))),0,IF(OFFSET(PLE!$G$14,$M239,AY$13)="",10^12,OFFSET(PLE!$G$14,$M239,AY$13))))</f>
        <v>1000000000000</v>
      </c>
      <c r="AZ239" s="212">
        <f ca="1">IF($D239&lt;&gt;"Serviço",0,IF(OR(AND(AUTOEVENTO="Manual",$M239=1),$M239&gt;(ROW(PLE.lastrow)-ROW(PLE.firstrow))),0,IF(OFFSET(PLE!$G$14,$M239,AZ$13)="",10^12,OFFSET(PLE!$G$14,$M239,AZ$13))))</f>
        <v>1000000000000</v>
      </c>
      <c r="BA239" s="212">
        <f ca="1">IF($D239&lt;&gt;"Serviço",0,IF(OR(AND(AUTOEVENTO="Manual",$M239=1),$M239&gt;(ROW(PLE.lastrow)-ROW(PLE.firstrow))),0,IF(OFFSET(PLE!$G$14,$M239,BA$13)="",10^12,OFFSET(PLE!$G$14,$M239,BA$13))))</f>
        <v>1000000000000</v>
      </c>
      <c r="BB239" s="212">
        <f ca="1">IF($D239&lt;&gt;"Serviço",0,IF(OR(AND(AUTOEVENTO="Manual",$M239=1),$M239&gt;(ROW(PLE.lastrow)-ROW(PLE.firstrow))),0,IF(OFFSET(PLE!$G$14,$M239,BB$13)="",10^12,OFFSET(PLE!$G$14,$M239,BB$13))))</f>
        <v>1000000000000</v>
      </c>
      <c r="BC239" s="212">
        <f ca="1">IF($D239&lt;&gt;"Serviço",0,IF(OR(AND(AUTOEVENTO="Manual",$M239=1),$M239&gt;(ROW(PLE.lastrow)-ROW(PLE.firstrow))),0,IF(OFFSET(PLE!$G$14,$M239,BC$13)="",10^12,OFFSET(PLE!$G$14,$M239,BC$13))))</f>
        <v>1000000000000</v>
      </c>
      <c r="BD239" s="212">
        <f ca="1">IF($D239&lt;&gt;"Serviço",0,IF(OR(AND(AUTOEVENTO="Manual",$M239=1),$M239&gt;(ROW(PLE.lastrow)-ROW(PLE.firstrow))),0,IF(OFFSET(PLE!$G$14,$M239,BD$13)="",10^12,OFFSET(PLE!$G$14,$M239,BD$13))))</f>
        <v>1000000000000</v>
      </c>
      <c r="BE239" s="212">
        <f ca="1">IF($D239&lt;&gt;"Serviço",0,IF(OR(AND(AUTOEVENTO="Manual",$M239=1),$M239&gt;(ROW(PLE.lastrow)-ROW(PLE.firstrow))),0,IF(OFFSET(PLE!$G$14,$M239,BE$13)="",10^12,OFFSET(PLE!$G$14,$M239,BE$13))))</f>
        <v>1000000000000</v>
      </c>
      <c r="BF239" s="212">
        <f ca="1">IF($D239&lt;&gt;"Serviço",0,IF(OR(AND(AUTOEVENTO="Manual",$M239=1),$M239&gt;(ROW(PLE.lastrow)-ROW(PLE.firstrow))),0,IF(OFFSET(PLE!$G$14,$M239,BF$13)="",10^12,OFFSET(PLE!$G$14,$M239,BF$13))))</f>
        <v>1000000000000</v>
      </c>
      <c r="BG239" s="212">
        <f ca="1">IF($D239&lt;&gt;"Serviço",0,IF(OR(AND(AUTOEVENTO="Manual",$M239=1),$M239&gt;(ROW(PLE.lastrow)-ROW(PLE.firstrow))),0,IF(OFFSET(PLE!$G$14,$M239,BG$13)="",10^12,OFFSET(PLE!$G$14,$M239,BG$13))))</f>
        <v>1000000000000</v>
      </c>
    </row>
    <row r="240" spans="1:59" ht="13.2">
      <c r="A240" s="9" t="str">
        <f t="shared" ca="1" si="12"/>
        <v>15</v>
      </c>
      <c r="B240" s="9" t="str">
        <f ca="1">OFFSET(ORÇAMENTO!C$15,ROW(B240)-ROW(B$15),0)</f>
        <v>S</v>
      </c>
      <c r="C240" s="9" t="str">
        <f ca="1">OFFSET(ORÇAMENTO!L$15,ROW(C240)-ROW(C$15),0)</f>
        <v/>
      </c>
      <c r="D240" s="141" t="str">
        <f ca="1">OFFSET(ORÇAMENTO!N$15,ROW(D240)-ROW(D$15),0)</f>
        <v>Serviço</v>
      </c>
      <c r="E240" s="201" t="str">
        <f ca="1">OFFSET(ORÇAMENTO!O$15,ROW(E240)-ROW(E$15),0)</f>
        <v>-</v>
      </c>
      <c r="F240" s="202" t="str">
        <f ca="1">OFFSET(ORÇAMENTO!R$15,ROW(F240)-ROW(F$15),0)</f>
        <v>(abra o arquivo 'Referência 11-2024.xlsm)</v>
      </c>
      <c r="G240" s="203" t="str">
        <f ca="1">IF($D240&lt;&gt;"Serviço","",OFFSET(ORÇAMENTO!S$15,ROW(G240)-ROW(G$15),0))</f>
        <v>-</v>
      </c>
      <c r="H240" s="147">
        <f ca="1">IF($D240&lt;&gt;"Serviço",0,IF(ACOMPANHAMENTO="BM",ROUND(OFFSET(ORÇAMENTO!AJ$15,ROW(H240)-ROW(H$15),0),15-13*ORÇAMENTO!$AF$7),SUMPRODUCT(($Q$12:$AA$12&lt;&gt;"")*ROUND($Q240:$AA240,15-13*ORÇAMENTO!$AF$7))))</f>
        <v>0</v>
      </c>
      <c r="I240" s="645"/>
      <c r="K240" s="204"/>
      <c r="L240" s="205" t="s">
        <v>255</v>
      </c>
      <c r="M240" s="206">
        <f ca="1">IF($D240&lt;&gt;"Serviço","",IF(AUTOEVENTO="manual",$A240,IF(ISERROR(MATCH($A240,$A$15:OFFSET($A240,-1,0),0)),MAX($M$15:OFFSET(M240,-1,0))+1,INDEX($M$15:OFFSET(M240,-1,0),MATCH($A240,$A$15:OFFSET($A240,-1,0),0)))))</f>
        <v>6</v>
      </c>
      <c r="N240" s="207" t="str">
        <f ca="1">IF($D240&lt;&gt;"Serviço","",IF(AUTOEVENTO="Manual",IF($A240=0,"&lt;-- defina o número do agrupador",OFFSET(EVENTOS!$D$14,$A240,0)),OFFSET($F$15,$A240,0)))</f>
        <v>DRENAGEM</v>
      </c>
      <c r="O240" s="208"/>
      <c r="Q240" s="208"/>
      <c r="R240" s="209"/>
      <c r="S240" s="209"/>
      <c r="T240" s="209"/>
      <c r="U240" s="209"/>
      <c r="V240" s="209"/>
      <c r="W240" s="209"/>
      <c r="X240" s="209"/>
      <c r="Y240" s="209"/>
      <c r="Z240" s="210"/>
      <c r="AB240" s="626">
        <f ca="1">IF(AND($D240="Serviço",AB$12&lt;&gt;0,$H240&gt;0,OR(AUTOEVENTO&lt;&gt;"manual",$M240&lt;&gt;1)),
IF(Import.TipoArredondamento&lt;&gt;"TransfereGOV",
ROUND(OFFSET($P240,0,AB$13),15-13*ORÇAMENTO!$AF$7)/$H240*OFFSET(ORÇAMENTO!$X$15,ROW(AB240)-ROW(AB$15),0),
ROUND(ROUND(OFFSET($P240,0,AB$13),15-13*ORÇAMENTO!$AF$7)*OFFSET(ORÇAMENTO!$W$15,ROW(AB240)-ROW(AB$15),0),15-13*ORÇAMENTO!$AF$11)),0)</f>
        <v>0</v>
      </c>
      <c r="AC240" s="627">
        <f ca="1">IF(AND($D240="Serviço",AC$12&lt;&gt;0,$H240&gt;0,OR(AUTOEVENTO&lt;&gt;"manual",$M240&lt;&gt;1)),
IF(Import.TipoArredondamento&lt;&gt;"TransfereGOV",
ROUND(OFFSET($P240,0,AC$13),15-13*ORÇAMENTO!$AF$7)/$H240*OFFSET(ORÇAMENTO!$X$15,ROW(AC240)-ROW(AC$15),0),
ROUND(ROUND(OFFSET($P240,0,AC$13),15-13*ORÇAMENTO!$AF$7)*OFFSET(ORÇAMENTO!$W$15,ROW(AC240)-ROW(AC$15),0),15-13*ORÇAMENTO!$AF$11)),0)</f>
        <v>0</v>
      </c>
      <c r="AD240" s="627">
        <f ca="1">IF(AND($D240="Serviço",AD$12&lt;&gt;0,$H240&gt;0,OR(AUTOEVENTO&lt;&gt;"manual",$M240&lt;&gt;1)),
IF(Import.TipoArredondamento&lt;&gt;"TransfereGOV",
ROUND(OFFSET($P240,0,AD$13),15-13*ORÇAMENTO!$AF$7)/$H240*OFFSET(ORÇAMENTO!$X$15,ROW(AD240)-ROW(AD$15),0),
ROUND(ROUND(OFFSET($P240,0,AD$13),15-13*ORÇAMENTO!$AF$7)*OFFSET(ORÇAMENTO!$W$15,ROW(AD240)-ROW(AD$15),0),15-13*ORÇAMENTO!$AF$11)),0)</f>
        <v>0</v>
      </c>
      <c r="AE240" s="627">
        <f ca="1">IF(AND($D240="Serviço",AE$12&lt;&gt;0,$H240&gt;0,OR(AUTOEVENTO&lt;&gt;"manual",$M240&lt;&gt;1)),
IF(Import.TipoArredondamento&lt;&gt;"TransfereGOV",
ROUND(OFFSET($P240,0,AE$13),15-13*ORÇAMENTO!$AF$7)/$H240*OFFSET(ORÇAMENTO!$X$15,ROW(AE240)-ROW(AE$15),0),
ROUND(ROUND(OFFSET($P240,0,AE$13),15-13*ORÇAMENTO!$AF$7)*OFFSET(ORÇAMENTO!$W$15,ROW(AE240)-ROW(AE$15),0),15-13*ORÇAMENTO!$AF$11)),0)</f>
        <v>0</v>
      </c>
      <c r="AF240" s="627">
        <f ca="1">IF(AND($D240="Serviço",AF$12&lt;&gt;0,$H240&gt;0,OR(AUTOEVENTO&lt;&gt;"manual",$M240&lt;&gt;1)),
IF(Import.TipoArredondamento&lt;&gt;"TransfereGOV",
ROUND(OFFSET($P240,0,AF$13),15-13*ORÇAMENTO!$AF$7)/$H240*OFFSET(ORÇAMENTO!$X$15,ROW(AF240)-ROW(AF$15),0),
ROUND(ROUND(OFFSET($P240,0,AF$13),15-13*ORÇAMENTO!$AF$7)*OFFSET(ORÇAMENTO!$W$15,ROW(AF240)-ROW(AF$15),0),15-13*ORÇAMENTO!$AF$11)),0)</f>
        <v>0</v>
      </c>
      <c r="AG240" s="627">
        <f ca="1">IF(AND($D240="Serviço",AG$12&lt;&gt;0,$H240&gt;0,OR(AUTOEVENTO&lt;&gt;"manual",$M240&lt;&gt;1)),
IF(Import.TipoArredondamento&lt;&gt;"TransfereGOV",
ROUND(OFFSET($P240,0,AG$13),15-13*ORÇAMENTO!$AF$7)/$H240*OFFSET(ORÇAMENTO!$X$15,ROW(AG240)-ROW(AG$15),0),
ROUND(ROUND(OFFSET($P240,0,AG$13),15-13*ORÇAMENTO!$AF$7)*OFFSET(ORÇAMENTO!$W$15,ROW(AG240)-ROW(AG$15),0),15-13*ORÇAMENTO!$AF$11)),0)</f>
        <v>0</v>
      </c>
      <c r="AH240" s="627">
        <f ca="1">IF(AND($D240="Serviço",AH$12&lt;&gt;0,$H240&gt;0,OR(AUTOEVENTO&lt;&gt;"manual",$M240&lt;&gt;1)),
IF(Import.TipoArredondamento&lt;&gt;"TransfereGOV",
ROUND(OFFSET($P240,0,AH$13),15-13*ORÇAMENTO!$AF$7)/$H240*OFFSET(ORÇAMENTO!$X$15,ROW(AH240)-ROW(AH$15),0),
ROUND(ROUND(OFFSET($P240,0,AH$13),15-13*ORÇAMENTO!$AF$7)*OFFSET(ORÇAMENTO!$W$15,ROW(AH240)-ROW(AH$15),0),15-13*ORÇAMENTO!$AF$11)),0)</f>
        <v>0</v>
      </c>
      <c r="AI240" s="627">
        <f ca="1">IF(AND($D240="Serviço",AI$12&lt;&gt;0,$H240&gt;0,OR(AUTOEVENTO&lt;&gt;"manual",$M240&lt;&gt;1)),
IF(Import.TipoArredondamento&lt;&gt;"TransfereGOV",
ROUND(OFFSET($P240,0,AI$13),15-13*ORÇAMENTO!$AF$7)/$H240*OFFSET(ORÇAMENTO!$X$15,ROW(AI240)-ROW(AI$15),0),
ROUND(ROUND(OFFSET($P240,0,AI$13),15-13*ORÇAMENTO!$AF$7)*OFFSET(ORÇAMENTO!$W$15,ROW(AI240)-ROW(AI$15),0),15-13*ORÇAMENTO!$AF$11)),0)</f>
        <v>0</v>
      </c>
      <c r="AJ240" s="627">
        <f ca="1">IF(AND($D240="Serviço",AJ$12&lt;&gt;0,$H240&gt;0,OR(AUTOEVENTO&lt;&gt;"manual",$M240&lt;&gt;1)),
IF(Import.TipoArredondamento&lt;&gt;"TransfereGOV",
ROUND(OFFSET($P240,0,AJ$13),15-13*ORÇAMENTO!$AF$7)/$H240*OFFSET(ORÇAMENTO!$X$15,ROW(AJ240)-ROW(AJ$15),0),
ROUND(ROUND(OFFSET($P240,0,AJ$13),15-13*ORÇAMENTO!$AF$7)*OFFSET(ORÇAMENTO!$W$15,ROW(AJ240)-ROW(AJ$15),0),15-13*ORÇAMENTO!$AF$11)),0)</f>
        <v>0</v>
      </c>
      <c r="AK240" s="628">
        <f ca="1">IF(AND($D240="Serviço",AK$12&lt;&gt;0,$H240&gt;0,OR(AUTOEVENTO&lt;&gt;"manual",$M240&lt;&gt;1)),
IF(Import.TipoArredondamento&lt;&gt;"TransfereGOV",
ROUND(OFFSET($P240,0,AK$13),15-13*ORÇAMENTO!$AF$7)/$H240*OFFSET(ORÇAMENTO!$X$15,ROW(AK240)-ROW(AK$15),0),
ROUND(ROUND(OFFSET($P240,0,AK$13),15-13*ORÇAMENTO!$AF$7)*OFFSET(ORÇAMENTO!$W$15,ROW(AK240)-ROW(AK$15),0),15-13*ORÇAMENTO!$AF$11)),0)</f>
        <v>0</v>
      </c>
      <c r="AM240" s="211">
        <f ca="1">IF($D240&lt;&gt;"Serviço",0,IF(AND(AUTOEVENTO="Manual",$M240=1),0,IF(OFFSET(CRONOPLE!$F$14,$M240,AM$13)="",10^12,OFFSET(CRONOPLE!$F$14,$M240,AM$13))))</f>
        <v>2</v>
      </c>
      <c r="AN240" s="211">
        <f ca="1">IF($D240&lt;&gt;"Serviço",0,IF(AND(AUTOEVENTO="Manual",$M240=1),0,IF(OFFSET(CRONOPLE!$F$14,$M240,AN$13)="",10^12,OFFSET(CRONOPLE!$F$14,$M240,AN$13))))</f>
        <v>1</v>
      </c>
      <c r="AO240" s="211">
        <f ca="1">IF($D240&lt;&gt;"Serviço",0,IF(AND(AUTOEVENTO="Manual",$M240=1),0,IF(OFFSET(CRONOPLE!$F$14,$M240,AO$13)="",10^12,OFFSET(CRONOPLE!$F$14,$M240,AO$13))))</f>
        <v>2</v>
      </c>
      <c r="AP240" s="211">
        <f ca="1">IF($D240&lt;&gt;"Serviço",0,IF(AND(AUTOEVENTO="Manual",$M240=1),0,IF(OFFSET(CRONOPLE!$F$14,$M240,AP$13)="",10^12,OFFSET(CRONOPLE!$F$14,$M240,AP$13))))</f>
        <v>2</v>
      </c>
      <c r="AQ240" s="211">
        <f ca="1">IF($D240&lt;&gt;"Serviço",0,IF(AND(AUTOEVENTO="Manual",$M240=1),0,IF(OFFSET(CRONOPLE!$F$14,$M240,AQ$13)="",10^12,OFFSET(CRONOPLE!$F$14,$M240,AQ$13))))</f>
        <v>1000000000000</v>
      </c>
      <c r="AR240" s="211">
        <f ca="1">IF($D240&lt;&gt;"Serviço",0,IF(AND(AUTOEVENTO="Manual",$M240=1),0,IF(OFFSET(CRONOPLE!$F$14,$M240,AR$13)="",10^12,OFFSET(CRONOPLE!$F$14,$M240,AR$13))))</f>
        <v>1000000000000</v>
      </c>
      <c r="AS240" s="211">
        <f ca="1">IF($D240&lt;&gt;"Serviço",0,IF(AND(AUTOEVENTO="Manual",$M240=1),0,IF(OFFSET(CRONOPLE!$F$14,$M240,AS$13)="",10^12,OFFSET(CRONOPLE!$F$14,$M240,AS$13))))</f>
        <v>1000000000000</v>
      </c>
      <c r="AT240" s="211">
        <f ca="1">IF($D240&lt;&gt;"Serviço",0,IF(AND(AUTOEVENTO="Manual",$M240=1),0,IF(OFFSET(CRONOPLE!$F$14,$M240,AT$13)="",10^12,OFFSET(CRONOPLE!$F$14,$M240,AT$13))))</f>
        <v>1000000000000</v>
      </c>
      <c r="AU240" s="211">
        <f ca="1">IF($D240&lt;&gt;"Serviço",0,IF(AND(AUTOEVENTO="Manual",$M240=1),0,IF(OFFSET(CRONOPLE!$F$14,$M240,AU$13)="",10^12,OFFSET(CRONOPLE!$F$14,$M240,AU$13))))</f>
        <v>1000000000000</v>
      </c>
      <c r="AV240" s="211">
        <f ca="1">IF($D240&lt;&gt;"Serviço",0,IF(AND(AUTOEVENTO="Manual",$M240=1),0,IF(OFFSET(CRONOPLE!$F$14,$M240,AV$13)="",10^12,OFFSET(CRONOPLE!$F$14,$M240,AV$13))))</f>
        <v>1000000000000</v>
      </c>
      <c r="AX240" s="212">
        <f ca="1">IF($D240&lt;&gt;"Serviço",0,IF(OR(AND(AUTOEVENTO="Manual",$M240=1),$M240&gt;(ROW(PLE.lastrow)-ROW(PLE.firstrow))),0,IF(OFFSET(PLE!$G$14,$M240,AX$13)="",10^12,OFFSET(PLE!$G$14,$M240,AX$13))))</f>
        <v>1000000000000</v>
      </c>
      <c r="AY240" s="212">
        <f ca="1">IF($D240&lt;&gt;"Serviço",0,IF(OR(AND(AUTOEVENTO="Manual",$M240=1),$M240&gt;(ROW(PLE.lastrow)-ROW(PLE.firstrow))),0,IF(OFFSET(PLE!$G$14,$M240,AY$13)="",10^12,OFFSET(PLE!$G$14,$M240,AY$13))))</f>
        <v>1000000000000</v>
      </c>
      <c r="AZ240" s="212">
        <f ca="1">IF($D240&lt;&gt;"Serviço",0,IF(OR(AND(AUTOEVENTO="Manual",$M240=1),$M240&gt;(ROW(PLE.lastrow)-ROW(PLE.firstrow))),0,IF(OFFSET(PLE!$G$14,$M240,AZ$13)="",10^12,OFFSET(PLE!$G$14,$M240,AZ$13))))</f>
        <v>1000000000000</v>
      </c>
      <c r="BA240" s="212">
        <f ca="1">IF($D240&lt;&gt;"Serviço",0,IF(OR(AND(AUTOEVENTO="Manual",$M240=1),$M240&gt;(ROW(PLE.lastrow)-ROW(PLE.firstrow))),0,IF(OFFSET(PLE!$G$14,$M240,BA$13)="",10^12,OFFSET(PLE!$G$14,$M240,BA$13))))</f>
        <v>1000000000000</v>
      </c>
      <c r="BB240" s="212">
        <f ca="1">IF($D240&lt;&gt;"Serviço",0,IF(OR(AND(AUTOEVENTO="Manual",$M240=1),$M240&gt;(ROW(PLE.lastrow)-ROW(PLE.firstrow))),0,IF(OFFSET(PLE!$G$14,$M240,BB$13)="",10^12,OFFSET(PLE!$G$14,$M240,BB$13))))</f>
        <v>1000000000000</v>
      </c>
      <c r="BC240" s="212">
        <f ca="1">IF($D240&lt;&gt;"Serviço",0,IF(OR(AND(AUTOEVENTO="Manual",$M240=1),$M240&gt;(ROW(PLE.lastrow)-ROW(PLE.firstrow))),0,IF(OFFSET(PLE!$G$14,$M240,BC$13)="",10^12,OFFSET(PLE!$G$14,$M240,BC$13))))</f>
        <v>1000000000000</v>
      </c>
      <c r="BD240" s="212">
        <f ca="1">IF($D240&lt;&gt;"Serviço",0,IF(OR(AND(AUTOEVENTO="Manual",$M240=1),$M240&gt;(ROW(PLE.lastrow)-ROW(PLE.firstrow))),0,IF(OFFSET(PLE!$G$14,$M240,BD$13)="",10^12,OFFSET(PLE!$G$14,$M240,BD$13))))</f>
        <v>1000000000000</v>
      </c>
      <c r="BE240" s="212">
        <f ca="1">IF($D240&lt;&gt;"Serviço",0,IF(OR(AND(AUTOEVENTO="Manual",$M240=1),$M240&gt;(ROW(PLE.lastrow)-ROW(PLE.firstrow))),0,IF(OFFSET(PLE!$G$14,$M240,BE$13)="",10^12,OFFSET(PLE!$G$14,$M240,BE$13))))</f>
        <v>1000000000000</v>
      </c>
      <c r="BF240" s="212">
        <f ca="1">IF($D240&lt;&gt;"Serviço",0,IF(OR(AND(AUTOEVENTO="Manual",$M240=1),$M240&gt;(ROW(PLE.lastrow)-ROW(PLE.firstrow))),0,IF(OFFSET(PLE!$G$14,$M240,BF$13)="",10^12,OFFSET(PLE!$G$14,$M240,BF$13))))</f>
        <v>1000000000000</v>
      </c>
      <c r="BG240" s="212">
        <f ca="1">IF($D240&lt;&gt;"Serviço",0,IF(OR(AND(AUTOEVENTO="Manual",$M240=1),$M240&gt;(ROW(PLE.lastrow)-ROW(PLE.firstrow))),0,IF(OFFSET(PLE!$G$14,$M240,BG$13)="",10^12,OFFSET(PLE!$G$14,$M240,BG$13))))</f>
        <v>1000000000000</v>
      </c>
    </row>
    <row r="241" spans="1:59" ht="13.2">
      <c r="A241" s="9" t="str">
        <f t="shared" ca="1" si="12"/>
        <v>15</v>
      </c>
      <c r="B241" s="9" t="str">
        <f ca="1">OFFSET(ORÇAMENTO!C$15,ROW(B241)-ROW(B$15),0)</f>
        <v>S</v>
      </c>
      <c r="C241" s="9" t="str">
        <f ca="1">OFFSET(ORÇAMENTO!L$15,ROW(C241)-ROW(C$15),0)</f>
        <v/>
      </c>
      <c r="D241" s="141" t="str">
        <f ca="1">OFFSET(ORÇAMENTO!N$15,ROW(D241)-ROW(D$15),0)</f>
        <v>Serviço</v>
      </c>
      <c r="E241" s="201" t="str">
        <f ca="1">OFFSET(ORÇAMENTO!O$15,ROW(E241)-ROW(E$15),0)</f>
        <v>-</v>
      </c>
      <c r="F241" s="202" t="str">
        <f ca="1">OFFSET(ORÇAMENTO!R$15,ROW(F241)-ROW(F$15),0)</f>
        <v>(abra o arquivo 'Referência 11-2024.xlsm)</v>
      </c>
      <c r="G241" s="203" t="str">
        <f ca="1">IF($D241&lt;&gt;"Serviço","",OFFSET(ORÇAMENTO!S$15,ROW(G241)-ROW(G$15),0))</f>
        <v>-</v>
      </c>
      <c r="H241" s="147">
        <f ca="1">IF($D241&lt;&gt;"Serviço",0,IF(ACOMPANHAMENTO="BM",ROUND(OFFSET(ORÇAMENTO!AJ$15,ROW(H241)-ROW(H$15),0),15-13*ORÇAMENTO!$AF$7),SUMPRODUCT(($Q$12:$AA$12&lt;&gt;"")*ROUND($Q241:$AA241,15-13*ORÇAMENTO!$AF$7))))</f>
        <v>0</v>
      </c>
      <c r="I241" s="645"/>
      <c r="K241" s="204"/>
      <c r="L241" s="205" t="s">
        <v>255</v>
      </c>
      <c r="M241" s="206">
        <f ca="1">IF($D241&lt;&gt;"Serviço","",IF(AUTOEVENTO="manual",$A241,IF(ISERROR(MATCH($A241,$A$15:OFFSET($A241,-1,0),0)),MAX($M$15:OFFSET(M241,-1,0))+1,INDEX($M$15:OFFSET(M241,-1,0),MATCH($A241,$A$15:OFFSET($A241,-1,0),0)))))</f>
        <v>6</v>
      </c>
      <c r="N241" s="207" t="str">
        <f ca="1">IF($D241&lt;&gt;"Serviço","",IF(AUTOEVENTO="Manual",IF($A241=0,"&lt;-- defina o número do agrupador",OFFSET(EVENTOS!$D$14,$A241,0)),OFFSET($F$15,$A241,0)))</f>
        <v>DRENAGEM</v>
      </c>
      <c r="O241" s="208"/>
      <c r="Q241" s="208"/>
      <c r="R241" s="209"/>
      <c r="S241" s="209"/>
      <c r="T241" s="209"/>
      <c r="U241" s="209"/>
      <c r="V241" s="209"/>
      <c r="W241" s="209"/>
      <c r="X241" s="209"/>
      <c r="Y241" s="209"/>
      <c r="Z241" s="210"/>
      <c r="AB241" s="626">
        <f ca="1">IF(AND($D241="Serviço",AB$12&lt;&gt;0,$H241&gt;0,OR(AUTOEVENTO&lt;&gt;"manual",$M241&lt;&gt;1)),
IF(Import.TipoArredondamento&lt;&gt;"TransfereGOV",
ROUND(OFFSET($P241,0,AB$13),15-13*ORÇAMENTO!$AF$7)/$H241*OFFSET(ORÇAMENTO!$X$15,ROW(AB241)-ROW(AB$15),0),
ROUND(ROUND(OFFSET($P241,0,AB$13),15-13*ORÇAMENTO!$AF$7)*OFFSET(ORÇAMENTO!$W$15,ROW(AB241)-ROW(AB$15),0),15-13*ORÇAMENTO!$AF$11)),0)</f>
        <v>0</v>
      </c>
      <c r="AC241" s="627">
        <f ca="1">IF(AND($D241="Serviço",AC$12&lt;&gt;0,$H241&gt;0,OR(AUTOEVENTO&lt;&gt;"manual",$M241&lt;&gt;1)),
IF(Import.TipoArredondamento&lt;&gt;"TransfereGOV",
ROUND(OFFSET($P241,0,AC$13),15-13*ORÇAMENTO!$AF$7)/$H241*OFFSET(ORÇAMENTO!$X$15,ROW(AC241)-ROW(AC$15),0),
ROUND(ROUND(OFFSET($P241,0,AC$13),15-13*ORÇAMENTO!$AF$7)*OFFSET(ORÇAMENTO!$W$15,ROW(AC241)-ROW(AC$15),0),15-13*ORÇAMENTO!$AF$11)),0)</f>
        <v>0</v>
      </c>
      <c r="AD241" s="627">
        <f ca="1">IF(AND($D241="Serviço",AD$12&lt;&gt;0,$H241&gt;0,OR(AUTOEVENTO&lt;&gt;"manual",$M241&lt;&gt;1)),
IF(Import.TipoArredondamento&lt;&gt;"TransfereGOV",
ROUND(OFFSET($P241,0,AD$13),15-13*ORÇAMENTO!$AF$7)/$H241*OFFSET(ORÇAMENTO!$X$15,ROW(AD241)-ROW(AD$15),0),
ROUND(ROUND(OFFSET($P241,0,AD$13),15-13*ORÇAMENTO!$AF$7)*OFFSET(ORÇAMENTO!$W$15,ROW(AD241)-ROW(AD$15),0),15-13*ORÇAMENTO!$AF$11)),0)</f>
        <v>0</v>
      </c>
      <c r="AE241" s="627">
        <f ca="1">IF(AND($D241="Serviço",AE$12&lt;&gt;0,$H241&gt;0,OR(AUTOEVENTO&lt;&gt;"manual",$M241&lt;&gt;1)),
IF(Import.TipoArredondamento&lt;&gt;"TransfereGOV",
ROUND(OFFSET($P241,0,AE$13),15-13*ORÇAMENTO!$AF$7)/$H241*OFFSET(ORÇAMENTO!$X$15,ROW(AE241)-ROW(AE$15),0),
ROUND(ROUND(OFFSET($P241,0,AE$13),15-13*ORÇAMENTO!$AF$7)*OFFSET(ORÇAMENTO!$W$15,ROW(AE241)-ROW(AE$15),0),15-13*ORÇAMENTO!$AF$11)),0)</f>
        <v>0</v>
      </c>
      <c r="AF241" s="627">
        <f ca="1">IF(AND($D241="Serviço",AF$12&lt;&gt;0,$H241&gt;0,OR(AUTOEVENTO&lt;&gt;"manual",$M241&lt;&gt;1)),
IF(Import.TipoArredondamento&lt;&gt;"TransfereGOV",
ROUND(OFFSET($P241,0,AF$13),15-13*ORÇAMENTO!$AF$7)/$H241*OFFSET(ORÇAMENTO!$X$15,ROW(AF241)-ROW(AF$15),0),
ROUND(ROUND(OFFSET($P241,0,AF$13),15-13*ORÇAMENTO!$AF$7)*OFFSET(ORÇAMENTO!$W$15,ROW(AF241)-ROW(AF$15),0),15-13*ORÇAMENTO!$AF$11)),0)</f>
        <v>0</v>
      </c>
      <c r="AG241" s="627">
        <f ca="1">IF(AND($D241="Serviço",AG$12&lt;&gt;0,$H241&gt;0,OR(AUTOEVENTO&lt;&gt;"manual",$M241&lt;&gt;1)),
IF(Import.TipoArredondamento&lt;&gt;"TransfereGOV",
ROUND(OFFSET($P241,0,AG$13),15-13*ORÇAMENTO!$AF$7)/$H241*OFFSET(ORÇAMENTO!$X$15,ROW(AG241)-ROW(AG$15),0),
ROUND(ROUND(OFFSET($P241,0,AG$13),15-13*ORÇAMENTO!$AF$7)*OFFSET(ORÇAMENTO!$W$15,ROW(AG241)-ROW(AG$15),0),15-13*ORÇAMENTO!$AF$11)),0)</f>
        <v>0</v>
      </c>
      <c r="AH241" s="627">
        <f ca="1">IF(AND($D241="Serviço",AH$12&lt;&gt;0,$H241&gt;0,OR(AUTOEVENTO&lt;&gt;"manual",$M241&lt;&gt;1)),
IF(Import.TipoArredondamento&lt;&gt;"TransfereGOV",
ROUND(OFFSET($P241,0,AH$13),15-13*ORÇAMENTO!$AF$7)/$H241*OFFSET(ORÇAMENTO!$X$15,ROW(AH241)-ROW(AH$15),0),
ROUND(ROUND(OFFSET($P241,0,AH$13),15-13*ORÇAMENTO!$AF$7)*OFFSET(ORÇAMENTO!$W$15,ROW(AH241)-ROW(AH$15),0),15-13*ORÇAMENTO!$AF$11)),0)</f>
        <v>0</v>
      </c>
      <c r="AI241" s="627">
        <f ca="1">IF(AND($D241="Serviço",AI$12&lt;&gt;0,$H241&gt;0,OR(AUTOEVENTO&lt;&gt;"manual",$M241&lt;&gt;1)),
IF(Import.TipoArredondamento&lt;&gt;"TransfereGOV",
ROUND(OFFSET($P241,0,AI$13),15-13*ORÇAMENTO!$AF$7)/$H241*OFFSET(ORÇAMENTO!$X$15,ROW(AI241)-ROW(AI$15),0),
ROUND(ROUND(OFFSET($P241,0,AI$13),15-13*ORÇAMENTO!$AF$7)*OFFSET(ORÇAMENTO!$W$15,ROW(AI241)-ROW(AI$15),0),15-13*ORÇAMENTO!$AF$11)),0)</f>
        <v>0</v>
      </c>
      <c r="AJ241" s="627">
        <f ca="1">IF(AND($D241="Serviço",AJ$12&lt;&gt;0,$H241&gt;0,OR(AUTOEVENTO&lt;&gt;"manual",$M241&lt;&gt;1)),
IF(Import.TipoArredondamento&lt;&gt;"TransfereGOV",
ROUND(OFFSET($P241,0,AJ$13),15-13*ORÇAMENTO!$AF$7)/$H241*OFFSET(ORÇAMENTO!$X$15,ROW(AJ241)-ROW(AJ$15),0),
ROUND(ROUND(OFFSET($P241,0,AJ$13),15-13*ORÇAMENTO!$AF$7)*OFFSET(ORÇAMENTO!$W$15,ROW(AJ241)-ROW(AJ$15),0),15-13*ORÇAMENTO!$AF$11)),0)</f>
        <v>0</v>
      </c>
      <c r="AK241" s="628">
        <f ca="1">IF(AND($D241="Serviço",AK$12&lt;&gt;0,$H241&gt;0,OR(AUTOEVENTO&lt;&gt;"manual",$M241&lt;&gt;1)),
IF(Import.TipoArredondamento&lt;&gt;"TransfereGOV",
ROUND(OFFSET($P241,0,AK$13),15-13*ORÇAMENTO!$AF$7)/$H241*OFFSET(ORÇAMENTO!$X$15,ROW(AK241)-ROW(AK$15),0),
ROUND(ROUND(OFFSET($P241,0,AK$13),15-13*ORÇAMENTO!$AF$7)*OFFSET(ORÇAMENTO!$W$15,ROW(AK241)-ROW(AK$15),0),15-13*ORÇAMENTO!$AF$11)),0)</f>
        <v>0</v>
      </c>
      <c r="AM241" s="211">
        <f ca="1">IF($D241&lt;&gt;"Serviço",0,IF(AND(AUTOEVENTO="Manual",$M241=1),0,IF(OFFSET(CRONOPLE!$F$14,$M241,AM$13)="",10^12,OFFSET(CRONOPLE!$F$14,$M241,AM$13))))</f>
        <v>2</v>
      </c>
      <c r="AN241" s="211">
        <f ca="1">IF($D241&lt;&gt;"Serviço",0,IF(AND(AUTOEVENTO="Manual",$M241=1),0,IF(OFFSET(CRONOPLE!$F$14,$M241,AN$13)="",10^12,OFFSET(CRONOPLE!$F$14,$M241,AN$13))))</f>
        <v>1</v>
      </c>
      <c r="AO241" s="211">
        <f ca="1">IF($D241&lt;&gt;"Serviço",0,IF(AND(AUTOEVENTO="Manual",$M241=1),0,IF(OFFSET(CRONOPLE!$F$14,$M241,AO$13)="",10^12,OFFSET(CRONOPLE!$F$14,$M241,AO$13))))</f>
        <v>2</v>
      </c>
      <c r="AP241" s="211">
        <f ca="1">IF($D241&lt;&gt;"Serviço",0,IF(AND(AUTOEVENTO="Manual",$M241=1),0,IF(OFFSET(CRONOPLE!$F$14,$M241,AP$13)="",10^12,OFFSET(CRONOPLE!$F$14,$M241,AP$13))))</f>
        <v>2</v>
      </c>
      <c r="AQ241" s="211">
        <f ca="1">IF($D241&lt;&gt;"Serviço",0,IF(AND(AUTOEVENTO="Manual",$M241=1),0,IF(OFFSET(CRONOPLE!$F$14,$M241,AQ$13)="",10^12,OFFSET(CRONOPLE!$F$14,$M241,AQ$13))))</f>
        <v>1000000000000</v>
      </c>
      <c r="AR241" s="211">
        <f ca="1">IF($D241&lt;&gt;"Serviço",0,IF(AND(AUTOEVENTO="Manual",$M241=1),0,IF(OFFSET(CRONOPLE!$F$14,$M241,AR$13)="",10^12,OFFSET(CRONOPLE!$F$14,$M241,AR$13))))</f>
        <v>1000000000000</v>
      </c>
      <c r="AS241" s="211">
        <f ca="1">IF($D241&lt;&gt;"Serviço",0,IF(AND(AUTOEVENTO="Manual",$M241=1),0,IF(OFFSET(CRONOPLE!$F$14,$M241,AS$13)="",10^12,OFFSET(CRONOPLE!$F$14,$M241,AS$13))))</f>
        <v>1000000000000</v>
      </c>
      <c r="AT241" s="211">
        <f ca="1">IF($D241&lt;&gt;"Serviço",0,IF(AND(AUTOEVENTO="Manual",$M241=1),0,IF(OFFSET(CRONOPLE!$F$14,$M241,AT$13)="",10^12,OFFSET(CRONOPLE!$F$14,$M241,AT$13))))</f>
        <v>1000000000000</v>
      </c>
      <c r="AU241" s="211">
        <f ca="1">IF($D241&lt;&gt;"Serviço",0,IF(AND(AUTOEVENTO="Manual",$M241=1),0,IF(OFFSET(CRONOPLE!$F$14,$M241,AU$13)="",10^12,OFFSET(CRONOPLE!$F$14,$M241,AU$13))))</f>
        <v>1000000000000</v>
      </c>
      <c r="AV241" s="211">
        <f ca="1">IF($D241&lt;&gt;"Serviço",0,IF(AND(AUTOEVENTO="Manual",$M241=1),0,IF(OFFSET(CRONOPLE!$F$14,$M241,AV$13)="",10^12,OFFSET(CRONOPLE!$F$14,$M241,AV$13))))</f>
        <v>1000000000000</v>
      </c>
      <c r="AX241" s="212">
        <f ca="1">IF($D241&lt;&gt;"Serviço",0,IF(OR(AND(AUTOEVENTO="Manual",$M241=1),$M241&gt;(ROW(PLE.lastrow)-ROW(PLE.firstrow))),0,IF(OFFSET(PLE!$G$14,$M241,AX$13)="",10^12,OFFSET(PLE!$G$14,$M241,AX$13))))</f>
        <v>1000000000000</v>
      </c>
      <c r="AY241" s="212">
        <f ca="1">IF($D241&lt;&gt;"Serviço",0,IF(OR(AND(AUTOEVENTO="Manual",$M241=1),$M241&gt;(ROW(PLE.lastrow)-ROW(PLE.firstrow))),0,IF(OFFSET(PLE!$G$14,$M241,AY$13)="",10^12,OFFSET(PLE!$G$14,$M241,AY$13))))</f>
        <v>1000000000000</v>
      </c>
      <c r="AZ241" s="212">
        <f ca="1">IF($D241&lt;&gt;"Serviço",0,IF(OR(AND(AUTOEVENTO="Manual",$M241=1),$M241&gt;(ROW(PLE.lastrow)-ROW(PLE.firstrow))),0,IF(OFFSET(PLE!$G$14,$M241,AZ$13)="",10^12,OFFSET(PLE!$G$14,$M241,AZ$13))))</f>
        <v>1000000000000</v>
      </c>
      <c r="BA241" s="212">
        <f ca="1">IF($D241&lt;&gt;"Serviço",0,IF(OR(AND(AUTOEVENTO="Manual",$M241=1),$M241&gt;(ROW(PLE.lastrow)-ROW(PLE.firstrow))),0,IF(OFFSET(PLE!$G$14,$M241,BA$13)="",10^12,OFFSET(PLE!$G$14,$M241,BA$13))))</f>
        <v>1000000000000</v>
      </c>
      <c r="BB241" s="212">
        <f ca="1">IF($D241&lt;&gt;"Serviço",0,IF(OR(AND(AUTOEVENTO="Manual",$M241=1),$M241&gt;(ROW(PLE.lastrow)-ROW(PLE.firstrow))),0,IF(OFFSET(PLE!$G$14,$M241,BB$13)="",10^12,OFFSET(PLE!$G$14,$M241,BB$13))))</f>
        <v>1000000000000</v>
      </c>
      <c r="BC241" s="212">
        <f ca="1">IF($D241&lt;&gt;"Serviço",0,IF(OR(AND(AUTOEVENTO="Manual",$M241=1),$M241&gt;(ROW(PLE.lastrow)-ROW(PLE.firstrow))),0,IF(OFFSET(PLE!$G$14,$M241,BC$13)="",10^12,OFFSET(PLE!$G$14,$M241,BC$13))))</f>
        <v>1000000000000</v>
      </c>
      <c r="BD241" s="212">
        <f ca="1">IF($D241&lt;&gt;"Serviço",0,IF(OR(AND(AUTOEVENTO="Manual",$M241=1),$M241&gt;(ROW(PLE.lastrow)-ROW(PLE.firstrow))),0,IF(OFFSET(PLE!$G$14,$M241,BD$13)="",10^12,OFFSET(PLE!$G$14,$M241,BD$13))))</f>
        <v>1000000000000</v>
      </c>
      <c r="BE241" s="212">
        <f ca="1">IF($D241&lt;&gt;"Serviço",0,IF(OR(AND(AUTOEVENTO="Manual",$M241=1),$M241&gt;(ROW(PLE.lastrow)-ROW(PLE.firstrow))),0,IF(OFFSET(PLE!$G$14,$M241,BE$13)="",10^12,OFFSET(PLE!$G$14,$M241,BE$13))))</f>
        <v>1000000000000</v>
      </c>
      <c r="BF241" s="212">
        <f ca="1">IF($D241&lt;&gt;"Serviço",0,IF(OR(AND(AUTOEVENTO="Manual",$M241=1),$M241&gt;(ROW(PLE.lastrow)-ROW(PLE.firstrow))),0,IF(OFFSET(PLE!$G$14,$M241,BF$13)="",10^12,OFFSET(PLE!$G$14,$M241,BF$13))))</f>
        <v>1000000000000</v>
      </c>
      <c r="BG241" s="212">
        <f ca="1">IF($D241&lt;&gt;"Serviço",0,IF(OR(AND(AUTOEVENTO="Manual",$M241=1),$M241&gt;(ROW(PLE.lastrow)-ROW(PLE.firstrow))),0,IF(OFFSET(PLE!$G$14,$M241,BG$13)="",10^12,OFFSET(PLE!$G$14,$M241,BG$13))))</f>
        <v>1000000000000</v>
      </c>
    </row>
    <row r="242" spans="1:59" ht="13.2">
      <c r="A242" s="9" t="str">
        <f t="shared" ca="1" si="12"/>
        <v>15</v>
      </c>
      <c r="B242" s="9" t="str">
        <f ca="1">OFFSET(ORÇAMENTO!C$15,ROW(B242)-ROW(B$15),0)</f>
        <v>S</v>
      </c>
      <c r="C242" s="9" t="str">
        <f ca="1">OFFSET(ORÇAMENTO!L$15,ROW(C242)-ROW(C$15),0)</f>
        <v/>
      </c>
      <c r="D242" s="141" t="str">
        <f ca="1">OFFSET(ORÇAMENTO!N$15,ROW(D242)-ROW(D$15),0)</f>
        <v>Serviço</v>
      </c>
      <c r="E242" s="201" t="str">
        <f ca="1">OFFSET(ORÇAMENTO!O$15,ROW(E242)-ROW(E$15),0)</f>
        <v>-</v>
      </c>
      <c r="F242" s="202" t="str">
        <f ca="1">OFFSET(ORÇAMENTO!R$15,ROW(F242)-ROW(F$15),0)</f>
        <v>(abra o arquivo 'Referência 11-2024.xlsm)</v>
      </c>
      <c r="G242" s="203" t="str">
        <f ca="1">IF($D242&lt;&gt;"Serviço","",OFFSET(ORÇAMENTO!S$15,ROW(G242)-ROW(G$15),0))</f>
        <v>-</v>
      </c>
      <c r="H242" s="147">
        <f ca="1">IF($D242&lt;&gt;"Serviço",0,IF(ACOMPANHAMENTO="BM",ROUND(OFFSET(ORÇAMENTO!AJ$15,ROW(H242)-ROW(H$15),0),15-13*ORÇAMENTO!$AF$7),SUMPRODUCT(($Q$12:$AA$12&lt;&gt;"")*ROUND($Q242:$AA242,15-13*ORÇAMENTO!$AF$7))))</f>
        <v>0</v>
      </c>
      <c r="I242" s="645"/>
      <c r="K242" s="204"/>
      <c r="L242" s="205" t="s">
        <v>255</v>
      </c>
      <c r="M242" s="206">
        <f ca="1">IF($D242&lt;&gt;"Serviço","",IF(AUTOEVENTO="manual",$A242,IF(ISERROR(MATCH($A242,$A$15:OFFSET($A242,-1,0),0)),MAX($M$15:OFFSET(M242,-1,0))+1,INDEX($M$15:OFFSET(M242,-1,0),MATCH($A242,$A$15:OFFSET($A242,-1,0),0)))))</f>
        <v>6</v>
      </c>
      <c r="N242" s="207" t="str">
        <f ca="1">IF($D242&lt;&gt;"Serviço","",IF(AUTOEVENTO="Manual",IF($A242=0,"&lt;-- defina o número do agrupador",OFFSET(EVENTOS!$D$14,$A242,0)),OFFSET($F$15,$A242,0)))</f>
        <v>DRENAGEM</v>
      </c>
      <c r="O242" s="208"/>
      <c r="Q242" s="208"/>
      <c r="R242" s="209"/>
      <c r="S242" s="209"/>
      <c r="T242" s="209"/>
      <c r="U242" s="209"/>
      <c r="V242" s="209"/>
      <c r="W242" s="209"/>
      <c r="X242" s="209"/>
      <c r="Y242" s="209"/>
      <c r="Z242" s="210"/>
      <c r="AB242" s="626">
        <f ca="1">IF(AND($D242="Serviço",AB$12&lt;&gt;0,$H242&gt;0,OR(AUTOEVENTO&lt;&gt;"manual",$M242&lt;&gt;1)),
IF(Import.TipoArredondamento&lt;&gt;"TransfereGOV",
ROUND(OFFSET($P242,0,AB$13),15-13*ORÇAMENTO!$AF$7)/$H242*OFFSET(ORÇAMENTO!$X$15,ROW(AB242)-ROW(AB$15),0),
ROUND(ROUND(OFFSET($P242,0,AB$13),15-13*ORÇAMENTO!$AF$7)*OFFSET(ORÇAMENTO!$W$15,ROW(AB242)-ROW(AB$15),0),15-13*ORÇAMENTO!$AF$11)),0)</f>
        <v>0</v>
      </c>
      <c r="AC242" s="627">
        <f ca="1">IF(AND($D242="Serviço",AC$12&lt;&gt;0,$H242&gt;0,OR(AUTOEVENTO&lt;&gt;"manual",$M242&lt;&gt;1)),
IF(Import.TipoArredondamento&lt;&gt;"TransfereGOV",
ROUND(OFFSET($P242,0,AC$13),15-13*ORÇAMENTO!$AF$7)/$H242*OFFSET(ORÇAMENTO!$X$15,ROW(AC242)-ROW(AC$15),0),
ROUND(ROUND(OFFSET($P242,0,AC$13),15-13*ORÇAMENTO!$AF$7)*OFFSET(ORÇAMENTO!$W$15,ROW(AC242)-ROW(AC$15),0),15-13*ORÇAMENTO!$AF$11)),0)</f>
        <v>0</v>
      </c>
      <c r="AD242" s="627">
        <f ca="1">IF(AND($D242="Serviço",AD$12&lt;&gt;0,$H242&gt;0,OR(AUTOEVENTO&lt;&gt;"manual",$M242&lt;&gt;1)),
IF(Import.TipoArredondamento&lt;&gt;"TransfereGOV",
ROUND(OFFSET($P242,0,AD$13),15-13*ORÇAMENTO!$AF$7)/$H242*OFFSET(ORÇAMENTO!$X$15,ROW(AD242)-ROW(AD$15),0),
ROUND(ROUND(OFFSET($P242,0,AD$13),15-13*ORÇAMENTO!$AF$7)*OFFSET(ORÇAMENTO!$W$15,ROW(AD242)-ROW(AD$15),0),15-13*ORÇAMENTO!$AF$11)),0)</f>
        <v>0</v>
      </c>
      <c r="AE242" s="627">
        <f ca="1">IF(AND($D242="Serviço",AE$12&lt;&gt;0,$H242&gt;0,OR(AUTOEVENTO&lt;&gt;"manual",$M242&lt;&gt;1)),
IF(Import.TipoArredondamento&lt;&gt;"TransfereGOV",
ROUND(OFFSET($P242,0,AE$13),15-13*ORÇAMENTO!$AF$7)/$H242*OFFSET(ORÇAMENTO!$X$15,ROW(AE242)-ROW(AE$15),0),
ROUND(ROUND(OFFSET($P242,0,AE$13),15-13*ORÇAMENTO!$AF$7)*OFFSET(ORÇAMENTO!$W$15,ROW(AE242)-ROW(AE$15),0),15-13*ORÇAMENTO!$AF$11)),0)</f>
        <v>0</v>
      </c>
      <c r="AF242" s="627">
        <f ca="1">IF(AND($D242="Serviço",AF$12&lt;&gt;0,$H242&gt;0,OR(AUTOEVENTO&lt;&gt;"manual",$M242&lt;&gt;1)),
IF(Import.TipoArredondamento&lt;&gt;"TransfereGOV",
ROUND(OFFSET($P242,0,AF$13),15-13*ORÇAMENTO!$AF$7)/$H242*OFFSET(ORÇAMENTO!$X$15,ROW(AF242)-ROW(AF$15),0),
ROUND(ROUND(OFFSET($P242,0,AF$13),15-13*ORÇAMENTO!$AF$7)*OFFSET(ORÇAMENTO!$W$15,ROW(AF242)-ROW(AF$15),0),15-13*ORÇAMENTO!$AF$11)),0)</f>
        <v>0</v>
      </c>
      <c r="AG242" s="627">
        <f ca="1">IF(AND($D242="Serviço",AG$12&lt;&gt;0,$H242&gt;0,OR(AUTOEVENTO&lt;&gt;"manual",$M242&lt;&gt;1)),
IF(Import.TipoArredondamento&lt;&gt;"TransfereGOV",
ROUND(OFFSET($P242,0,AG$13),15-13*ORÇAMENTO!$AF$7)/$H242*OFFSET(ORÇAMENTO!$X$15,ROW(AG242)-ROW(AG$15),0),
ROUND(ROUND(OFFSET($P242,0,AG$13),15-13*ORÇAMENTO!$AF$7)*OFFSET(ORÇAMENTO!$W$15,ROW(AG242)-ROW(AG$15),0),15-13*ORÇAMENTO!$AF$11)),0)</f>
        <v>0</v>
      </c>
      <c r="AH242" s="627">
        <f ca="1">IF(AND($D242="Serviço",AH$12&lt;&gt;0,$H242&gt;0,OR(AUTOEVENTO&lt;&gt;"manual",$M242&lt;&gt;1)),
IF(Import.TipoArredondamento&lt;&gt;"TransfereGOV",
ROUND(OFFSET($P242,0,AH$13),15-13*ORÇAMENTO!$AF$7)/$H242*OFFSET(ORÇAMENTO!$X$15,ROW(AH242)-ROW(AH$15),0),
ROUND(ROUND(OFFSET($P242,0,AH$13),15-13*ORÇAMENTO!$AF$7)*OFFSET(ORÇAMENTO!$W$15,ROW(AH242)-ROW(AH$15),0),15-13*ORÇAMENTO!$AF$11)),0)</f>
        <v>0</v>
      </c>
      <c r="AI242" s="627">
        <f ca="1">IF(AND($D242="Serviço",AI$12&lt;&gt;0,$H242&gt;0,OR(AUTOEVENTO&lt;&gt;"manual",$M242&lt;&gt;1)),
IF(Import.TipoArredondamento&lt;&gt;"TransfereGOV",
ROUND(OFFSET($P242,0,AI$13),15-13*ORÇAMENTO!$AF$7)/$H242*OFFSET(ORÇAMENTO!$X$15,ROW(AI242)-ROW(AI$15),0),
ROUND(ROUND(OFFSET($P242,0,AI$13),15-13*ORÇAMENTO!$AF$7)*OFFSET(ORÇAMENTO!$W$15,ROW(AI242)-ROW(AI$15),0),15-13*ORÇAMENTO!$AF$11)),0)</f>
        <v>0</v>
      </c>
      <c r="AJ242" s="627">
        <f ca="1">IF(AND($D242="Serviço",AJ$12&lt;&gt;0,$H242&gt;0,OR(AUTOEVENTO&lt;&gt;"manual",$M242&lt;&gt;1)),
IF(Import.TipoArredondamento&lt;&gt;"TransfereGOV",
ROUND(OFFSET($P242,0,AJ$13),15-13*ORÇAMENTO!$AF$7)/$H242*OFFSET(ORÇAMENTO!$X$15,ROW(AJ242)-ROW(AJ$15),0),
ROUND(ROUND(OFFSET($P242,0,AJ$13),15-13*ORÇAMENTO!$AF$7)*OFFSET(ORÇAMENTO!$W$15,ROW(AJ242)-ROW(AJ$15),0),15-13*ORÇAMENTO!$AF$11)),0)</f>
        <v>0</v>
      </c>
      <c r="AK242" s="628">
        <f ca="1">IF(AND($D242="Serviço",AK$12&lt;&gt;0,$H242&gt;0,OR(AUTOEVENTO&lt;&gt;"manual",$M242&lt;&gt;1)),
IF(Import.TipoArredondamento&lt;&gt;"TransfereGOV",
ROUND(OFFSET($P242,0,AK$13),15-13*ORÇAMENTO!$AF$7)/$H242*OFFSET(ORÇAMENTO!$X$15,ROW(AK242)-ROW(AK$15),0),
ROUND(ROUND(OFFSET($P242,0,AK$13),15-13*ORÇAMENTO!$AF$7)*OFFSET(ORÇAMENTO!$W$15,ROW(AK242)-ROW(AK$15),0),15-13*ORÇAMENTO!$AF$11)),0)</f>
        <v>0</v>
      </c>
      <c r="AM242" s="211">
        <f ca="1">IF($D242&lt;&gt;"Serviço",0,IF(AND(AUTOEVENTO="Manual",$M242=1),0,IF(OFFSET(CRONOPLE!$F$14,$M242,AM$13)="",10^12,OFFSET(CRONOPLE!$F$14,$M242,AM$13))))</f>
        <v>2</v>
      </c>
      <c r="AN242" s="211">
        <f ca="1">IF($D242&lt;&gt;"Serviço",0,IF(AND(AUTOEVENTO="Manual",$M242=1),0,IF(OFFSET(CRONOPLE!$F$14,$M242,AN$13)="",10^12,OFFSET(CRONOPLE!$F$14,$M242,AN$13))))</f>
        <v>1</v>
      </c>
      <c r="AO242" s="211">
        <f ca="1">IF($D242&lt;&gt;"Serviço",0,IF(AND(AUTOEVENTO="Manual",$M242=1),0,IF(OFFSET(CRONOPLE!$F$14,$M242,AO$13)="",10^12,OFFSET(CRONOPLE!$F$14,$M242,AO$13))))</f>
        <v>2</v>
      </c>
      <c r="AP242" s="211">
        <f ca="1">IF($D242&lt;&gt;"Serviço",0,IF(AND(AUTOEVENTO="Manual",$M242=1),0,IF(OFFSET(CRONOPLE!$F$14,$M242,AP$13)="",10^12,OFFSET(CRONOPLE!$F$14,$M242,AP$13))))</f>
        <v>2</v>
      </c>
      <c r="AQ242" s="211">
        <f ca="1">IF($D242&lt;&gt;"Serviço",0,IF(AND(AUTOEVENTO="Manual",$M242=1),0,IF(OFFSET(CRONOPLE!$F$14,$M242,AQ$13)="",10^12,OFFSET(CRONOPLE!$F$14,$M242,AQ$13))))</f>
        <v>1000000000000</v>
      </c>
      <c r="AR242" s="211">
        <f ca="1">IF($D242&lt;&gt;"Serviço",0,IF(AND(AUTOEVENTO="Manual",$M242=1),0,IF(OFFSET(CRONOPLE!$F$14,$M242,AR$13)="",10^12,OFFSET(CRONOPLE!$F$14,$M242,AR$13))))</f>
        <v>1000000000000</v>
      </c>
      <c r="AS242" s="211">
        <f ca="1">IF($D242&lt;&gt;"Serviço",0,IF(AND(AUTOEVENTO="Manual",$M242=1),0,IF(OFFSET(CRONOPLE!$F$14,$M242,AS$13)="",10^12,OFFSET(CRONOPLE!$F$14,$M242,AS$13))))</f>
        <v>1000000000000</v>
      </c>
      <c r="AT242" s="211">
        <f ca="1">IF($D242&lt;&gt;"Serviço",0,IF(AND(AUTOEVENTO="Manual",$M242=1),0,IF(OFFSET(CRONOPLE!$F$14,$M242,AT$13)="",10^12,OFFSET(CRONOPLE!$F$14,$M242,AT$13))))</f>
        <v>1000000000000</v>
      </c>
      <c r="AU242" s="211">
        <f ca="1">IF($D242&lt;&gt;"Serviço",0,IF(AND(AUTOEVENTO="Manual",$M242=1),0,IF(OFFSET(CRONOPLE!$F$14,$M242,AU$13)="",10^12,OFFSET(CRONOPLE!$F$14,$M242,AU$13))))</f>
        <v>1000000000000</v>
      </c>
      <c r="AV242" s="211">
        <f ca="1">IF($D242&lt;&gt;"Serviço",0,IF(AND(AUTOEVENTO="Manual",$M242=1),0,IF(OFFSET(CRONOPLE!$F$14,$M242,AV$13)="",10^12,OFFSET(CRONOPLE!$F$14,$M242,AV$13))))</f>
        <v>1000000000000</v>
      </c>
      <c r="AX242" s="212">
        <f ca="1">IF($D242&lt;&gt;"Serviço",0,IF(OR(AND(AUTOEVENTO="Manual",$M242=1),$M242&gt;(ROW(PLE.lastrow)-ROW(PLE.firstrow))),0,IF(OFFSET(PLE!$G$14,$M242,AX$13)="",10^12,OFFSET(PLE!$G$14,$M242,AX$13))))</f>
        <v>1000000000000</v>
      </c>
      <c r="AY242" s="212">
        <f ca="1">IF($D242&lt;&gt;"Serviço",0,IF(OR(AND(AUTOEVENTO="Manual",$M242=1),$M242&gt;(ROW(PLE.lastrow)-ROW(PLE.firstrow))),0,IF(OFFSET(PLE!$G$14,$M242,AY$13)="",10^12,OFFSET(PLE!$G$14,$M242,AY$13))))</f>
        <v>1000000000000</v>
      </c>
      <c r="AZ242" s="212">
        <f ca="1">IF($D242&lt;&gt;"Serviço",0,IF(OR(AND(AUTOEVENTO="Manual",$M242=1),$M242&gt;(ROW(PLE.lastrow)-ROW(PLE.firstrow))),0,IF(OFFSET(PLE!$G$14,$M242,AZ$13)="",10^12,OFFSET(PLE!$G$14,$M242,AZ$13))))</f>
        <v>1000000000000</v>
      </c>
      <c r="BA242" s="212">
        <f ca="1">IF($D242&lt;&gt;"Serviço",0,IF(OR(AND(AUTOEVENTO="Manual",$M242=1),$M242&gt;(ROW(PLE.lastrow)-ROW(PLE.firstrow))),0,IF(OFFSET(PLE!$G$14,$M242,BA$13)="",10^12,OFFSET(PLE!$G$14,$M242,BA$13))))</f>
        <v>1000000000000</v>
      </c>
      <c r="BB242" s="212">
        <f ca="1">IF($D242&lt;&gt;"Serviço",0,IF(OR(AND(AUTOEVENTO="Manual",$M242=1),$M242&gt;(ROW(PLE.lastrow)-ROW(PLE.firstrow))),0,IF(OFFSET(PLE!$G$14,$M242,BB$13)="",10^12,OFFSET(PLE!$G$14,$M242,BB$13))))</f>
        <v>1000000000000</v>
      </c>
      <c r="BC242" s="212">
        <f ca="1">IF($D242&lt;&gt;"Serviço",0,IF(OR(AND(AUTOEVENTO="Manual",$M242=1),$M242&gt;(ROW(PLE.lastrow)-ROW(PLE.firstrow))),0,IF(OFFSET(PLE!$G$14,$M242,BC$13)="",10^12,OFFSET(PLE!$G$14,$M242,BC$13))))</f>
        <v>1000000000000</v>
      </c>
      <c r="BD242" s="212">
        <f ca="1">IF($D242&lt;&gt;"Serviço",0,IF(OR(AND(AUTOEVENTO="Manual",$M242=1),$M242&gt;(ROW(PLE.lastrow)-ROW(PLE.firstrow))),0,IF(OFFSET(PLE!$G$14,$M242,BD$13)="",10^12,OFFSET(PLE!$G$14,$M242,BD$13))))</f>
        <v>1000000000000</v>
      </c>
      <c r="BE242" s="212">
        <f ca="1">IF($D242&lt;&gt;"Serviço",0,IF(OR(AND(AUTOEVENTO="Manual",$M242=1),$M242&gt;(ROW(PLE.lastrow)-ROW(PLE.firstrow))),0,IF(OFFSET(PLE!$G$14,$M242,BE$13)="",10^12,OFFSET(PLE!$G$14,$M242,BE$13))))</f>
        <v>1000000000000</v>
      </c>
      <c r="BF242" s="212">
        <f ca="1">IF($D242&lt;&gt;"Serviço",0,IF(OR(AND(AUTOEVENTO="Manual",$M242=1),$M242&gt;(ROW(PLE.lastrow)-ROW(PLE.firstrow))),0,IF(OFFSET(PLE!$G$14,$M242,BF$13)="",10^12,OFFSET(PLE!$G$14,$M242,BF$13))))</f>
        <v>1000000000000</v>
      </c>
      <c r="BG242" s="212">
        <f ca="1">IF($D242&lt;&gt;"Serviço",0,IF(OR(AND(AUTOEVENTO="Manual",$M242=1),$M242&gt;(ROW(PLE.lastrow)-ROW(PLE.firstrow))),0,IF(OFFSET(PLE!$G$14,$M242,BG$13)="",10^12,OFFSET(PLE!$G$14,$M242,BG$13))))</f>
        <v>1000000000000</v>
      </c>
    </row>
    <row r="243" spans="1:59" ht="13.2">
      <c r="A243" s="9" t="str">
        <f t="shared" ca="1" si="12"/>
        <v>15</v>
      </c>
      <c r="B243" s="9" t="str">
        <f ca="1">OFFSET(ORÇAMENTO!C$15,ROW(B243)-ROW(B$15),0)</f>
        <v>S</v>
      </c>
      <c r="C243" s="9" t="str">
        <f ca="1">OFFSET(ORÇAMENTO!L$15,ROW(C243)-ROW(C$15),0)</f>
        <v/>
      </c>
      <c r="D243" s="141" t="str">
        <f ca="1">OFFSET(ORÇAMENTO!N$15,ROW(D243)-ROW(D$15),0)</f>
        <v>Serviço</v>
      </c>
      <c r="E243" s="201" t="str">
        <f ca="1">OFFSET(ORÇAMENTO!O$15,ROW(E243)-ROW(E$15),0)</f>
        <v>-</v>
      </c>
      <c r="F243" s="202" t="str">
        <f ca="1">OFFSET(ORÇAMENTO!R$15,ROW(F243)-ROW(F$15),0)</f>
        <v>(abra o arquivo 'Referência 11-2024.xlsm)</v>
      </c>
      <c r="G243" s="203" t="str">
        <f ca="1">IF($D243&lt;&gt;"Serviço","",OFFSET(ORÇAMENTO!S$15,ROW(G243)-ROW(G$15),0))</f>
        <v>-</v>
      </c>
      <c r="H243" s="147">
        <f ca="1">IF($D243&lt;&gt;"Serviço",0,IF(ACOMPANHAMENTO="BM",ROUND(OFFSET(ORÇAMENTO!AJ$15,ROW(H243)-ROW(H$15),0),15-13*ORÇAMENTO!$AF$7),SUMPRODUCT(($Q$12:$AA$12&lt;&gt;"")*ROUND($Q243:$AA243,15-13*ORÇAMENTO!$AF$7))))</f>
        <v>0</v>
      </c>
      <c r="I243" s="645"/>
      <c r="K243" s="204"/>
      <c r="L243" s="205" t="s">
        <v>255</v>
      </c>
      <c r="M243" s="206">
        <f ca="1">IF($D243&lt;&gt;"Serviço","",IF(AUTOEVENTO="manual",$A243,IF(ISERROR(MATCH($A243,$A$15:OFFSET($A243,-1,0),0)),MAX($M$15:OFFSET(M243,-1,0))+1,INDEX($M$15:OFFSET(M243,-1,0),MATCH($A243,$A$15:OFFSET($A243,-1,0),0)))))</f>
        <v>6</v>
      </c>
      <c r="N243" s="207" t="str">
        <f ca="1">IF($D243&lt;&gt;"Serviço","",IF(AUTOEVENTO="Manual",IF($A243=0,"&lt;-- defina o número do agrupador",OFFSET(EVENTOS!$D$14,$A243,0)),OFFSET($F$15,$A243,0)))</f>
        <v>DRENAGEM</v>
      </c>
      <c r="O243" s="208"/>
      <c r="Q243" s="208"/>
      <c r="R243" s="209"/>
      <c r="S243" s="209"/>
      <c r="T243" s="209"/>
      <c r="U243" s="209"/>
      <c r="V243" s="209"/>
      <c r="W243" s="209"/>
      <c r="X243" s="209"/>
      <c r="Y243" s="209"/>
      <c r="Z243" s="210"/>
      <c r="AB243" s="626">
        <f ca="1">IF(AND($D243="Serviço",AB$12&lt;&gt;0,$H243&gt;0,OR(AUTOEVENTO&lt;&gt;"manual",$M243&lt;&gt;1)),
IF(Import.TipoArredondamento&lt;&gt;"TransfereGOV",
ROUND(OFFSET($P243,0,AB$13),15-13*ORÇAMENTO!$AF$7)/$H243*OFFSET(ORÇAMENTO!$X$15,ROW(AB243)-ROW(AB$15),0),
ROUND(ROUND(OFFSET($P243,0,AB$13),15-13*ORÇAMENTO!$AF$7)*OFFSET(ORÇAMENTO!$W$15,ROW(AB243)-ROW(AB$15),0),15-13*ORÇAMENTO!$AF$11)),0)</f>
        <v>0</v>
      </c>
      <c r="AC243" s="627">
        <f ca="1">IF(AND($D243="Serviço",AC$12&lt;&gt;0,$H243&gt;0,OR(AUTOEVENTO&lt;&gt;"manual",$M243&lt;&gt;1)),
IF(Import.TipoArredondamento&lt;&gt;"TransfereGOV",
ROUND(OFFSET($P243,0,AC$13),15-13*ORÇAMENTO!$AF$7)/$H243*OFFSET(ORÇAMENTO!$X$15,ROW(AC243)-ROW(AC$15),0),
ROUND(ROUND(OFFSET($P243,0,AC$13),15-13*ORÇAMENTO!$AF$7)*OFFSET(ORÇAMENTO!$W$15,ROW(AC243)-ROW(AC$15),0),15-13*ORÇAMENTO!$AF$11)),0)</f>
        <v>0</v>
      </c>
      <c r="AD243" s="627">
        <f ca="1">IF(AND($D243="Serviço",AD$12&lt;&gt;0,$H243&gt;0,OR(AUTOEVENTO&lt;&gt;"manual",$M243&lt;&gt;1)),
IF(Import.TipoArredondamento&lt;&gt;"TransfereGOV",
ROUND(OFFSET($P243,0,AD$13),15-13*ORÇAMENTO!$AF$7)/$H243*OFFSET(ORÇAMENTO!$X$15,ROW(AD243)-ROW(AD$15),0),
ROUND(ROUND(OFFSET($P243,0,AD$13),15-13*ORÇAMENTO!$AF$7)*OFFSET(ORÇAMENTO!$W$15,ROW(AD243)-ROW(AD$15),0),15-13*ORÇAMENTO!$AF$11)),0)</f>
        <v>0</v>
      </c>
      <c r="AE243" s="627">
        <f ca="1">IF(AND($D243="Serviço",AE$12&lt;&gt;0,$H243&gt;0,OR(AUTOEVENTO&lt;&gt;"manual",$M243&lt;&gt;1)),
IF(Import.TipoArredondamento&lt;&gt;"TransfereGOV",
ROUND(OFFSET($P243,0,AE$13),15-13*ORÇAMENTO!$AF$7)/$H243*OFFSET(ORÇAMENTO!$X$15,ROW(AE243)-ROW(AE$15),0),
ROUND(ROUND(OFFSET($P243,0,AE$13),15-13*ORÇAMENTO!$AF$7)*OFFSET(ORÇAMENTO!$W$15,ROW(AE243)-ROW(AE$15),0),15-13*ORÇAMENTO!$AF$11)),0)</f>
        <v>0</v>
      </c>
      <c r="AF243" s="627">
        <f ca="1">IF(AND($D243="Serviço",AF$12&lt;&gt;0,$H243&gt;0,OR(AUTOEVENTO&lt;&gt;"manual",$M243&lt;&gt;1)),
IF(Import.TipoArredondamento&lt;&gt;"TransfereGOV",
ROUND(OFFSET($P243,0,AF$13),15-13*ORÇAMENTO!$AF$7)/$H243*OFFSET(ORÇAMENTO!$X$15,ROW(AF243)-ROW(AF$15),0),
ROUND(ROUND(OFFSET($P243,0,AF$13),15-13*ORÇAMENTO!$AF$7)*OFFSET(ORÇAMENTO!$W$15,ROW(AF243)-ROW(AF$15),0),15-13*ORÇAMENTO!$AF$11)),0)</f>
        <v>0</v>
      </c>
      <c r="AG243" s="627">
        <f ca="1">IF(AND($D243="Serviço",AG$12&lt;&gt;0,$H243&gt;0,OR(AUTOEVENTO&lt;&gt;"manual",$M243&lt;&gt;1)),
IF(Import.TipoArredondamento&lt;&gt;"TransfereGOV",
ROUND(OFFSET($P243,0,AG$13),15-13*ORÇAMENTO!$AF$7)/$H243*OFFSET(ORÇAMENTO!$X$15,ROW(AG243)-ROW(AG$15),0),
ROUND(ROUND(OFFSET($P243,0,AG$13),15-13*ORÇAMENTO!$AF$7)*OFFSET(ORÇAMENTO!$W$15,ROW(AG243)-ROW(AG$15),0),15-13*ORÇAMENTO!$AF$11)),0)</f>
        <v>0</v>
      </c>
      <c r="AH243" s="627">
        <f ca="1">IF(AND($D243="Serviço",AH$12&lt;&gt;0,$H243&gt;0,OR(AUTOEVENTO&lt;&gt;"manual",$M243&lt;&gt;1)),
IF(Import.TipoArredondamento&lt;&gt;"TransfereGOV",
ROUND(OFFSET($P243,0,AH$13),15-13*ORÇAMENTO!$AF$7)/$H243*OFFSET(ORÇAMENTO!$X$15,ROW(AH243)-ROW(AH$15),0),
ROUND(ROUND(OFFSET($P243,0,AH$13),15-13*ORÇAMENTO!$AF$7)*OFFSET(ORÇAMENTO!$W$15,ROW(AH243)-ROW(AH$15),0),15-13*ORÇAMENTO!$AF$11)),0)</f>
        <v>0</v>
      </c>
      <c r="AI243" s="627">
        <f ca="1">IF(AND($D243="Serviço",AI$12&lt;&gt;0,$H243&gt;0,OR(AUTOEVENTO&lt;&gt;"manual",$M243&lt;&gt;1)),
IF(Import.TipoArredondamento&lt;&gt;"TransfereGOV",
ROUND(OFFSET($P243,0,AI$13),15-13*ORÇAMENTO!$AF$7)/$H243*OFFSET(ORÇAMENTO!$X$15,ROW(AI243)-ROW(AI$15),0),
ROUND(ROUND(OFFSET($P243,0,AI$13),15-13*ORÇAMENTO!$AF$7)*OFFSET(ORÇAMENTO!$W$15,ROW(AI243)-ROW(AI$15),0),15-13*ORÇAMENTO!$AF$11)),0)</f>
        <v>0</v>
      </c>
      <c r="AJ243" s="627">
        <f ca="1">IF(AND($D243="Serviço",AJ$12&lt;&gt;0,$H243&gt;0,OR(AUTOEVENTO&lt;&gt;"manual",$M243&lt;&gt;1)),
IF(Import.TipoArredondamento&lt;&gt;"TransfereGOV",
ROUND(OFFSET($P243,0,AJ$13),15-13*ORÇAMENTO!$AF$7)/$H243*OFFSET(ORÇAMENTO!$X$15,ROW(AJ243)-ROW(AJ$15),0),
ROUND(ROUND(OFFSET($P243,0,AJ$13),15-13*ORÇAMENTO!$AF$7)*OFFSET(ORÇAMENTO!$W$15,ROW(AJ243)-ROW(AJ$15),0),15-13*ORÇAMENTO!$AF$11)),0)</f>
        <v>0</v>
      </c>
      <c r="AK243" s="628">
        <f ca="1">IF(AND($D243="Serviço",AK$12&lt;&gt;0,$H243&gt;0,OR(AUTOEVENTO&lt;&gt;"manual",$M243&lt;&gt;1)),
IF(Import.TipoArredondamento&lt;&gt;"TransfereGOV",
ROUND(OFFSET($P243,0,AK$13),15-13*ORÇAMENTO!$AF$7)/$H243*OFFSET(ORÇAMENTO!$X$15,ROW(AK243)-ROW(AK$15),0),
ROUND(ROUND(OFFSET($P243,0,AK$13),15-13*ORÇAMENTO!$AF$7)*OFFSET(ORÇAMENTO!$W$15,ROW(AK243)-ROW(AK$15),0),15-13*ORÇAMENTO!$AF$11)),0)</f>
        <v>0</v>
      </c>
      <c r="AM243" s="211">
        <f ca="1">IF($D243&lt;&gt;"Serviço",0,IF(AND(AUTOEVENTO="Manual",$M243=1),0,IF(OFFSET(CRONOPLE!$F$14,$M243,AM$13)="",10^12,OFFSET(CRONOPLE!$F$14,$M243,AM$13))))</f>
        <v>2</v>
      </c>
      <c r="AN243" s="211">
        <f ca="1">IF($D243&lt;&gt;"Serviço",0,IF(AND(AUTOEVENTO="Manual",$M243=1),0,IF(OFFSET(CRONOPLE!$F$14,$M243,AN$13)="",10^12,OFFSET(CRONOPLE!$F$14,$M243,AN$13))))</f>
        <v>1</v>
      </c>
      <c r="AO243" s="211">
        <f ca="1">IF($D243&lt;&gt;"Serviço",0,IF(AND(AUTOEVENTO="Manual",$M243=1),0,IF(OFFSET(CRONOPLE!$F$14,$M243,AO$13)="",10^12,OFFSET(CRONOPLE!$F$14,$M243,AO$13))))</f>
        <v>2</v>
      </c>
      <c r="AP243" s="211">
        <f ca="1">IF($D243&lt;&gt;"Serviço",0,IF(AND(AUTOEVENTO="Manual",$M243=1),0,IF(OFFSET(CRONOPLE!$F$14,$M243,AP$13)="",10^12,OFFSET(CRONOPLE!$F$14,$M243,AP$13))))</f>
        <v>2</v>
      </c>
      <c r="AQ243" s="211">
        <f ca="1">IF($D243&lt;&gt;"Serviço",0,IF(AND(AUTOEVENTO="Manual",$M243=1),0,IF(OFFSET(CRONOPLE!$F$14,$M243,AQ$13)="",10^12,OFFSET(CRONOPLE!$F$14,$M243,AQ$13))))</f>
        <v>1000000000000</v>
      </c>
      <c r="AR243" s="211">
        <f ca="1">IF($D243&lt;&gt;"Serviço",0,IF(AND(AUTOEVENTO="Manual",$M243=1),0,IF(OFFSET(CRONOPLE!$F$14,$M243,AR$13)="",10^12,OFFSET(CRONOPLE!$F$14,$M243,AR$13))))</f>
        <v>1000000000000</v>
      </c>
      <c r="AS243" s="211">
        <f ca="1">IF($D243&lt;&gt;"Serviço",0,IF(AND(AUTOEVENTO="Manual",$M243=1),0,IF(OFFSET(CRONOPLE!$F$14,$M243,AS$13)="",10^12,OFFSET(CRONOPLE!$F$14,$M243,AS$13))))</f>
        <v>1000000000000</v>
      </c>
      <c r="AT243" s="211">
        <f ca="1">IF($D243&lt;&gt;"Serviço",0,IF(AND(AUTOEVENTO="Manual",$M243=1),0,IF(OFFSET(CRONOPLE!$F$14,$M243,AT$13)="",10^12,OFFSET(CRONOPLE!$F$14,$M243,AT$13))))</f>
        <v>1000000000000</v>
      </c>
      <c r="AU243" s="211">
        <f ca="1">IF($D243&lt;&gt;"Serviço",0,IF(AND(AUTOEVENTO="Manual",$M243=1),0,IF(OFFSET(CRONOPLE!$F$14,$M243,AU$13)="",10^12,OFFSET(CRONOPLE!$F$14,$M243,AU$13))))</f>
        <v>1000000000000</v>
      </c>
      <c r="AV243" s="211">
        <f ca="1">IF($D243&lt;&gt;"Serviço",0,IF(AND(AUTOEVENTO="Manual",$M243=1),0,IF(OFFSET(CRONOPLE!$F$14,$M243,AV$13)="",10^12,OFFSET(CRONOPLE!$F$14,$M243,AV$13))))</f>
        <v>1000000000000</v>
      </c>
      <c r="AX243" s="212">
        <f ca="1">IF($D243&lt;&gt;"Serviço",0,IF(OR(AND(AUTOEVENTO="Manual",$M243=1),$M243&gt;(ROW(PLE.lastrow)-ROW(PLE.firstrow))),0,IF(OFFSET(PLE!$G$14,$M243,AX$13)="",10^12,OFFSET(PLE!$G$14,$M243,AX$13))))</f>
        <v>1000000000000</v>
      </c>
      <c r="AY243" s="212">
        <f ca="1">IF($D243&lt;&gt;"Serviço",0,IF(OR(AND(AUTOEVENTO="Manual",$M243=1),$M243&gt;(ROW(PLE.lastrow)-ROW(PLE.firstrow))),0,IF(OFFSET(PLE!$G$14,$M243,AY$13)="",10^12,OFFSET(PLE!$G$14,$M243,AY$13))))</f>
        <v>1000000000000</v>
      </c>
      <c r="AZ243" s="212">
        <f ca="1">IF($D243&lt;&gt;"Serviço",0,IF(OR(AND(AUTOEVENTO="Manual",$M243=1),$M243&gt;(ROW(PLE.lastrow)-ROW(PLE.firstrow))),0,IF(OFFSET(PLE!$G$14,$M243,AZ$13)="",10^12,OFFSET(PLE!$G$14,$M243,AZ$13))))</f>
        <v>1000000000000</v>
      </c>
      <c r="BA243" s="212">
        <f ca="1">IF($D243&lt;&gt;"Serviço",0,IF(OR(AND(AUTOEVENTO="Manual",$M243=1),$M243&gt;(ROW(PLE.lastrow)-ROW(PLE.firstrow))),0,IF(OFFSET(PLE!$G$14,$M243,BA$13)="",10^12,OFFSET(PLE!$G$14,$M243,BA$13))))</f>
        <v>1000000000000</v>
      </c>
      <c r="BB243" s="212">
        <f ca="1">IF($D243&lt;&gt;"Serviço",0,IF(OR(AND(AUTOEVENTO="Manual",$M243=1),$M243&gt;(ROW(PLE.lastrow)-ROW(PLE.firstrow))),0,IF(OFFSET(PLE!$G$14,$M243,BB$13)="",10^12,OFFSET(PLE!$G$14,$M243,BB$13))))</f>
        <v>1000000000000</v>
      </c>
      <c r="BC243" s="212">
        <f ca="1">IF($D243&lt;&gt;"Serviço",0,IF(OR(AND(AUTOEVENTO="Manual",$M243=1),$M243&gt;(ROW(PLE.lastrow)-ROW(PLE.firstrow))),0,IF(OFFSET(PLE!$G$14,$M243,BC$13)="",10^12,OFFSET(PLE!$G$14,$M243,BC$13))))</f>
        <v>1000000000000</v>
      </c>
      <c r="BD243" s="212">
        <f ca="1">IF($D243&lt;&gt;"Serviço",0,IF(OR(AND(AUTOEVENTO="Manual",$M243=1),$M243&gt;(ROW(PLE.lastrow)-ROW(PLE.firstrow))),0,IF(OFFSET(PLE!$G$14,$M243,BD$13)="",10^12,OFFSET(PLE!$G$14,$M243,BD$13))))</f>
        <v>1000000000000</v>
      </c>
      <c r="BE243" s="212">
        <f ca="1">IF($D243&lt;&gt;"Serviço",0,IF(OR(AND(AUTOEVENTO="Manual",$M243=1),$M243&gt;(ROW(PLE.lastrow)-ROW(PLE.firstrow))),0,IF(OFFSET(PLE!$G$14,$M243,BE$13)="",10^12,OFFSET(PLE!$G$14,$M243,BE$13))))</f>
        <v>1000000000000</v>
      </c>
      <c r="BF243" s="212">
        <f ca="1">IF($D243&lt;&gt;"Serviço",0,IF(OR(AND(AUTOEVENTO="Manual",$M243=1),$M243&gt;(ROW(PLE.lastrow)-ROW(PLE.firstrow))),0,IF(OFFSET(PLE!$G$14,$M243,BF$13)="",10^12,OFFSET(PLE!$G$14,$M243,BF$13))))</f>
        <v>1000000000000</v>
      </c>
      <c r="BG243" s="212">
        <f ca="1">IF($D243&lt;&gt;"Serviço",0,IF(OR(AND(AUTOEVENTO="Manual",$M243=1),$M243&gt;(ROW(PLE.lastrow)-ROW(PLE.firstrow))),0,IF(OFFSET(PLE!$G$14,$M243,BG$13)="",10^12,OFFSET(PLE!$G$14,$M243,BG$13))))</f>
        <v>1000000000000</v>
      </c>
    </row>
    <row r="244" spans="1:59" ht="13.2">
      <c r="A244" s="9" t="str">
        <f t="shared" ca="1" si="12"/>
        <v>15</v>
      </c>
      <c r="B244" s="9" t="str">
        <f ca="1">OFFSET(ORÇAMENTO!C$15,ROW(B244)-ROW(B$15),0)</f>
        <v>S</v>
      </c>
      <c r="C244" s="9" t="str">
        <f ca="1">OFFSET(ORÇAMENTO!L$15,ROW(C244)-ROW(C$15),0)</f>
        <v/>
      </c>
      <c r="D244" s="141" t="str">
        <f ca="1">OFFSET(ORÇAMENTO!N$15,ROW(D244)-ROW(D$15),0)</f>
        <v>Serviço</v>
      </c>
      <c r="E244" s="201" t="str">
        <f ca="1">OFFSET(ORÇAMENTO!O$15,ROW(E244)-ROW(E$15),0)</f>
        <v>-</v>
      </c>
      <c r="F244" s="202" t="str">
        <f ca="1">OFFSET(ORÇAMENTO!R$15,ROW(F244)-ROW(F$15),0)</f>
        <v>(abra o arquivo 'Referência 11-2024.xlsm)</v>
      </c>
      <c r="G244" s="203" t="str">
        <f ca="1">IF($D244&lt;&gt;"Serviço","",OFFSET(ORÇAMENTO!S$15,ROW(G244)-ROW(G$15),0))</f>
        <v>-</v>
      </c>
      <c r="H244" s="147">
        <f ca="1">IF($D244&lt;&gt;"Serviço",0,IF(ACOMPANHAMENTO="BM",ROUND(OFFSET(ORÇAMENTO!AJ$15,ROW(H244)-ROW(H$15),0),15-13*ORÇAMENTO!$AF$7),SUMPRODUCT(($Q$12:$AA$12&lt;&gt;"")*ROUND($Q244:$AA244,15-13*ORÇAMENTO!$AF$7))))</f>
        <v>0</v>
      </c>
      <c r="I244" s="645"/>
      <c r="K244" s="204"/>
      <c r="L244" s="205" t="s">
        <v>255</v>
      </c>
      <c r="M244" s="206">
        <f ca="1">IF($D244&lt;&gt;"Serviço","",IF(AUTOEVENTO="manual",$A244,IF(ISERROR(MATCH($A244,$A$15:OFFSET($A244,-1,0),0)),MAX($M$15:OFFSET(M244,-1,0))+1,INDEX($M$15:OFFSET(M244,-1,0),MATCH($A244,$A$15:OFFSET($A244,-1,0),0)))))</f>
        <v>6</v>
      </c>
      <c r="N244" s="207" t="str">
        <f ca="1">IF($D244&lt;&gt;"Serviço","",IF(AUTOEVENTO="Manual",IF($A244=0,"&lt;-- defina o número do agrupador",OFFSET(EVENTOS!$D$14,$A244,0)),OFFSET($F$15,$A244,0)))</f>
        <v>DRENAGEM</v>
      </c>
      <c r="O244" s="208"/>
      <c r="Q244" s="208"/>
      <c r="R244" s="209"/>
      <c r="S244" s="209"/>
      <c r="T244" s="209"/>
      <c r="U244" s="209"/>
      <c r="V244" s="209"/>
      <c r="W244" s="209"/>
      <c r="X244" s="209"/>
      <c r="Y244" s="209"/>
      <c r="Z244" s="210"/>
      <c r="AB244" s="626">
        <f ca="1">IF(AND($D244="Serviço",AB$12&lt;&gt;0,$H244&gt;0,OR(AUTOEVENTO&lt;&gt;"manual",$M244&lt;&gt;1)),
IF(Import.TipoArredondamento&lt;&gt;"TransfereGOV",
ROUND(OFFSET($P244,0,AB$13),15-13*ORÇAMENTO!$AF$7)/$H244*OFFSET(ORÇAMENTO!$X$15,ROW(AB244)-ROW(AB$15),0),
ROUND(ROUND(OFFSET($P244,0,AB$13),15-13*ORÇAMENTO!$AF$7)*OFFSET(ORÇAMENTO!$W$15,ROW(AB244)-ROW(AB$15),0),15-13*ORÇAMENTO!$AF$11)),0)</f>
        <v>0</v>
      </c>
      <c r="AC244" s="627">
        <f ca="1">IF(AND($D244="Serviço",AC$12&lt;&gt;0,$H244&gt;0,OR(AUTOEVENTO&lt;&gt;"manual",$M244&lt;&gt;1)),
IF(Import.TipoArredondamento&lt;&gt;"TransfereGOV",
ROUND(OFFSET($P244,0,AC$13),15-13*ORÇAMENTO!$AF$7)/$H244*OFFSET(ORÇAMENTO!$X$15,ROW(AC244)-ROW(AC$15),0),
ROUND(ROUND(OFFSET($P244,0,AC$13),15-13*ORÇAMENTO!$AF$7)*OFFSET(ORÇAMENTO!$W$15,ROW(AC244)-ROW(AC$15),0),15-13*ORÇAMENTO!$AF$11)),0)</f>
        <v>0</v>
      </c>
      <c r="AD244" s="627">
        <f ca="1">IF(AND($D244="Serviço",AD$12&lt;&gt;0,$H244&gt;0,OR(AUTOEVENTO&lt;&gt;"manual",$M244&lt;&gt;1)),
IF(Import.TipoArredondamento&lt;&gt;"TransfereGOV",
ROUND(OFFSET($P244,0,AD$13),15-13*ORÇAMENTO!$AF$7)/$H244*OFFSET(ORÇAMENTO!$X$15,ROW(AD244)-ROW(AD$15),0),
ROUND(ROUND(OFFSET($P244,0,AD$13),15-13*ORÇAMENTO!$AF$7)*OFFSET(ORÇAMENTO!$W$15,ROW(AD244)-ROW(AD$15),0),15-13*ORÇAMENTO!$AF$11)),0)</f>
        <v>0</v>
      </c>
      <c r="AE244" s="627">
        <f ca="1">IF(AND($D244="Serviço",AE$12&lt;&gt;0,$H244&gt;0,OR(AUTOEVENTO&lt;&gt;"manual",$M244&lt;&gt;1)),
IF(Import.TipoArredondamento&lt;&gt;"TransfereGOV",
ROUND(OFFSET($P244,0,AE$13),15-13*ORÇAMENTO!$AF$7)/$H244*OFFSET(ORÇAMENTO!$X$15,ROW(AE244)-ROW(AE$15),0),
ROUND(ROUND(OFFSET($P244,0,AE$13),15-13*ORÇAMENTO!$AF$7)*OFFSET(ORÇAMENTO!$W$15,ROW(AE244)-ROW(AE$15),0),15-13*ORÇAMENTO!$AF$11)),0)</f>
        <v>0</v>
      </c>
      <c r="AF244" s="627">
        <f ca="1">IF(AND($D244="Serviço",AF$12&lt;&gt;0,$H244&gt;0,OR(AUTOEVENTO&lt;&gt;"manual",$M244&lt;&gt;1)),
IF(Import.TipoArredondamento&lt;&gt;"TransfereGOV",
ROUND(OFFSET($P244,0,AF$13),15-13*ORÇAMENTO!$AF$7)/$H244*OFFSET(ORÇAMENTO!$X$15,ROW(AF244)-ROW(AF$15),0),
ROUND(ROUND(OFFSET($P244,0,AF$13),15-13*ORÇAMENTO!$AF$7)*OFFSET(ORÇAMENTO!$W$15,ROW(AF244)-ROW(AF$15),0),15-13*ORÇAMENTO!$AF$11)),0)</f>
        <v>0</v>
      </c>
      <c r="AG244" s="627">
        <f ca="1">IF(AND($D244="Serviço",AG$12&lt;&gt;0,$H244&gt;0,OR(AUTOEVENTO&lt;&gt;"manual",$M244&lt;&gt;1)),
IF(Import.TipoArredondamento&lt;&gt;"TransfereGOV",
ROUND(OFFSET($P244,0,AG$13),15-13*ORÇAMENTO!$AF$7)/$H244*OFFSET(ORÇAMENTO!$X$15,ROW(AG244)-ROW(AG$15),0),
ROUND(ROUND(OFFSET($P244,0,AG$13),15-13*ORÇAMENTO!$AF$7)*OFFSET(ORÇAMENTO!$W$15,ROW(AG244)-ROW(AG$15),0),15-13*ORÇAMENTO!$AF$11)),0)</f>
        <v>0</v>
      </c>
      <c r="AH244" s="627">
        <f ca="1">IF(AND($D244="Serviço",AH$12&lt;&gt;0,$H244&gt;0,OR(AUTOEVENTO&lt;&gt;"manual",$M244&lt;&gt;1)),
IF(Import.TipoArredondamento&lt;&gt;"TransfereGOV",
ROUND(OFFSET($P244,0,AH$13),15-13*ORÇAMENTO!$AF$7)/$H244*OFFSET(ORÇAMENTO!$X$15,ROW(AH244)-ROW(AH$15),0),
ROUND(ROUND(OFFSET($P244,0,AH$13),15-13*ORÇAMENTO!$AF$7)*OFFSET(ORÇAMENTO!$W$15,ROW(AH244)-ROW(AH$15),0),15-13*ORÇAMENTO!$AF$11)),0)</f>
        <v>0</v>
      </c>
      <c r="AI244" s="627">
        <f ca="1">IF(AND($D244="Serviço",AI$12&lt;&gt;0,$H244&gt;0,OR(AUTOEVENTO&lt;&gt;"manual",$M244&lt;&gt;1)),
IF(Import.TipoArredondamento&lt;&gt;"TransfereGOV",
ROUND(OFFSET($P244,0,AI$13),15-13*ORÇAMENTO!$AF$7)/$H244*OFFSET(ORÇAMENTO!$X$15,ROW(AI244)-ROW(AI$15),0),
ROUND(ROUND(OFFSET($P244,0,AI$13),15-13*ORÇAMENTO!$AF$7)*OFFSET(ORÇAMENTO!$W$15,ROW(AI244)-ROW(AI$15),0),15-13*ORÇAMENTO!$AF$11)),0)</f>
        <v>0</v>
      </c>
      <c r="AJ244" s="627">
        <f ca="1">IF(AND($D244="Serviço",AJ$12&lt;&gt;0,$H244&gt;0,OR(AUTOEVENTO&lt;&gt;"manual",$M244&lt;&gt;1)),
IF(Import.TipoArredondamento&lt;&gt;"TransfereGOV",
ROUND(OFFSET($P244,0,AJ$13),15-13*ORÇAMENTO!$AF$7)/$H244*OFFSET(ORÇAMENTO!$X$15,ROW(AJ244)-ROW(AJ$15),0),
ROUND(ROUND(OFFSET($P244,0,AJ$13),15-13*ORÇAMENTO!$AF$7)*OFFSET(ORÇAMENTO!$W$15,ROW(AJ244)-ROW(AJ$15),0),15-13*ORÇAMENTO!$AF$11)),0)</f>
        <v>0</v>
      </c>
      <c r="AK244" s="628">
        <f ca="1">IF(AND($D244="Serviço",AK$12&lt;&gt;0,$H244&gt;0,OR(AUTOEVENTO&lt;&gt;"manual",$M244&lt;&gt;1)),
IF(Import.TipoArredondamento&lt;&gt;"TransfereGOV",
ROUND(OFFSET($P244,0,AK$13),15-13*ORÇAMENTO!$AF$7)/$H244*OFFSET(ORÇAMENTO!$X$15,ROW(AK244)-ROW(AK$15),0),
ROUND(ROUND(OFFSET($P244,0,AK$13),15-13*ORÇAMENTO!$AF$7)*OFFSET(ORÇAMENTO!$W$15,ROW(AK244)-ROW(AK$15),0),15-13*ORÇAMENTO!$AF$11)),0)</f>
        <v>0</v>
      </c>
      <c r="AM244" s="211">
        <f ca="1">IF($D244&lt;&gt;"Serviço",0,IF(AND(AUTOEVENTO="Manual",$M244=1),0,IF(OFFSET(CRONOPLE!$F$14,$M244,AM$13)="",10^12,OFFSET(CRONOPLE!$F$14,$M244,AM$13))))</f>
        <v>2</v>
      </c>
      <c r="AN244" s="211">
        <f ca="1">IF($D244&lt;&gt;"Serviço",0,IF(AND(AUTOEVENTO="Manual",$M244=1),0,IF(OFFSET(CRONOPLE!$F$14,$M244,AN$13)="",10^12,OFFSET(CRONOPLE!$F$14,$M244,AN$13))))</f>
        <v>1</v>
      </c>
      <c r="AO244" s="211">
        <f ca="1">IF($D244&lt;&gt;"Serviço",0,IF(AND(AUTOEVENTO="Manual",$M244=1),0,IF(OFFSET(CRONOPLE!$F$14,$M244,AO$13)="",10^12,OFFSET(CRONOPLE!$F$14,$M244,AO$13))))</f>
        <v>2</v>
      </c>
      <c r="AP244" s="211">
        <f ca="1">IF($D244&lt;&gt;"Serviço",0,IF(AND(AUTOEVENTO="Manual",$M244=1),0,IF(OFFSET(CRONOPLE!$F$14,$M244,AP$13)="",10^12,OFFSET(CRONOPLE!$F$14,$M244,AP$13))))</f>
        <v>2</v>
      </c>
      <c r="AQ244" s="211">
        <f ca="1">IF($D244&lt;&gt;"Serviço",0,IF(AND(AUTOEVENTO="Manual",$M244=1),0,IF(OFFSET(CRONOPLE!$F$14,$M244,AQ$13)="",10^12,OFFSET(CRONOPLE!$F$14,$M244,AQ$13))))</f>
        <v>1000000000000</v>
      </c>
      <c r="AR244" s="211">
        <f ca="1">IF($D244&lt;&gt;"Serviço",0,IF(AND(AUTOEVENTO="Manual",$M244=1),0,IF(OFFSET(CRONOPLE!$F$14,$M244,AR$13)="",10^12,OFFSET(CRONOPLE!$F$14,$M244,AR$13))))</f>
        <v>1000000000000</v>
      </c>
      <c r="AS244" s="211">
        <f ca="1">IF($D244&lt;&gt;"Serviço",0,IF(AND(AUTOEVENTO="Manual",$M244=1),0,IF(OFFSET(CRONOPLE!$F$14,$M244,AS$13)="",10^12,OFFSET(CRONOPLE!$F$14,$M244,AS$13))))</f>
        <v>1000000000000</v>
      </c>
      <c r="AT244" s="211">
        <f ca="1">IF($D244&lt;&gt;"Serviço",0,IF(AND(AUTOEVENTO="Manual",$M244=1),0,IF(OFFSET(CRONOPLE!$F$14,$M244,AT$13)="",10^12,OFFSET(CRONOPLE!$F$14,$M244,AT$13))))</f>
        <v>1000000000000</v>
      </c>
      <c r="AU244" s="211">
        <f ca="1">IF($D244&lt;&gt;"Serviço",0,IF(AND(AUTOEVENTO="Manual",$M244=1),0,IF(OFFSET(CRONOPLE!$F$14,$M244,AU$13)="",10^12,OFFSET(CRONOPLE!$F$14,$M244,AU$13))))</f>
        <v>1000000000000</v>
      </c>
      <c r="AV244" s="211">
        <f ca="1">IF($D244&lt;&gt;"Serviço",0,IF(AND(AUTOEVENTO="Manual",$M244=1),0,IF(OFFSET(CRONOPLE!$F$14,$M244,AV$13)="",10^12,OFFSET(CRONOPLE!$F$14,$M244,AV$13))))</f>
        <v>1000000000000</v>
      </c>
      <c r="AX244" s="212">
        <f ca="1">IF($D244&lt;&gt;"Serviço",0,IF(OR(AND(AUTOEVENTO="Manual",$M244=1),$M244&gt;(ROW(PLE.lastrow)-ROW(PLE.firstrow))),0,IF(OFFSET(PLE!$G$14,$M244,AX$13)="",10^12,OFFSET(PLE!$G$14,$M244,AX$13))))</f>
        <v>1000000000000</v>
      </c>
      <c r="AY244" s="212">
        <f ca="1">IF($D244&lt;&gt;"Serviço",0,IF(OR(AND(AUTOEVENTO="Manual",$M244=1),$M244&gt;(ROW(PLE.lastrow)-ROW(PLE.firstrow))),0,IF(OFFSET(PLE!$G$14,$M244,AY$13)="",10^12,OFFSET(PLE!$G$14,$M244,AY$13))))</f>
        <v>1000000000000</v>
      </c>
      <c r="AZ244" s="212">
        <f ca="1">IF($D244&lt;&gt;"Serviço",0,IF(OR(AND(AUTOEVENTO="Manual",$M244=1),$M244&gt;(ROW(PLE.lastrow)-ROW(PLE.firstrow))),0,IF(OFFSET(PLE!$G$14,$M244,AZ$13)="",10^12,OFFSET(PLE!$G$14,$M244,AZ$13))))</f>
        <v>1000000000000</v>
      </c>
      <c r="BA244" s="212">
        <f ca="1">IF($D244&lt;&gt;"Serviço",0,IF(OR(AND(AUTOEVENTO="Manual",$M244=1),$M244&gt;(ROW(PLE.lastrow)-ROW(PLE.firstrow))),0,IF(OFFSET(PLE!$G$14,$M244,BA$13)="",10^12,OFFSET(PLE!$G$14,$M244,BA$13))))</f>
        <v>1000000000000</v>
      </c>
      <c r="BB244" s="212">
        <f ca="1">IF($D244&lt;&gt;"Serviço",0,IF(OR(AND(AUTOEVENTO="Manual",$M244=1),$M244&gt;(ROW(PLE.lastrow)-ROW(PLE.firstrow))),0,IF(OFFSET(PLE!$G$14,$M244,BB$13)="",10^12,OFFSET(PLE!$G$14,$M244,BB$13))))</f>
        <v>1000000000000</v>
      </c>
      <c r="BC244" s="212">
        <f ca="1">IF($D244&lt;&gt;"Serviço",0,IF(OR(AND(AUTOEVENTO="Manual",$M244=1),$M244&gt;(ROW(PLE.lastrow)-ROW(PLE.firstrow))),0,IF(OFFSET(PLE!$G$14,$M244,BC$13)="",10^12,OFFSET(PLE!$G$14,$M244,BC$13))))</f>
        <v>1000000000000</v>
      </c>
      <c r="BD244" s="212">
        <f ca="1">IF($D244&lt;&gt;"Serviço",0,IF(OR(AND(AUTOEVENTO="Manual",$M244=1),$M244&gt;(ROW(PLE.lastrow)-ROW(PLE.firstrow))),0,IF(OFFSET(PLE!$G$14,$M244,BD$13)="",10^12,OFFSET(PLE!$G$14,$M244,BD$13))))</f>
        <v>1000000000000</v>
      </c>
      <c r="BE244" s="212">
        <f ca="1">IF($D244&lt;&gt;"Serviço",0,IF(OR(AND(AUTOEVENTO="Manual",$M244=1),$M244&gt;(ROW(PLE.lastrow)-ROW(PLE.firstrow))),0,IF(OFFSET(PLE!$G$14,$M244,BE$13)="",10^12,OFFSET(PLE!$G$14,$M244,BE$13))))</f>
        <v>1000000000000</v>
      </c>
      <c r="BF244" s="212">
        <f ca="1">IF($D244&lt;&gt;"Serviço",0,IF(OR(AND(AUTOEVENTO="Manual",$M244=1),$M244&gt;(ROW(PLE.lastrow)-ROW(PLE.firstrow))),0,IF(OFFSET(PLE!$G$14,$M244,BF$13)="",10^12,OFFSET(PLE!$G$14,$M244,BF$13))))</f>
        <v>1000000000000</v>
      </c>
      <c r="BG244" s="212">
        <f ca="1">IF($D244&lt;&gt;"Serviço",0,IF(OR(AND(AUTOEVENTO="Manual",$M244=1),$M244&gt;(ROW(PLE.lastrow)-ROW(PLE.firstrow))),0,IF(OFFSET(PLE!$G$14,$M244,BG$13)="",10^12,OFFSET(PLE!$G$14,$M244,BG$13))))</f>
        <v>1000000000000</v>
      </c>
    </row>
    <row r="245" spans="1:59" ht="13.2">
      <c r="A245" s="9" t="str">
        <f t="shared" ca="1" si="12"/>
        <v>15</v>
      </c>
      <c r="B245" s="9" t="str">
        <f ca="1">OFFSET(ORÇAMENTO!C$15,ROW(B245)-ROW(B$15),0)</f>
        <v>S</v>
      </c>
      <c r="C245" s="9" t="str">
        <f ca="1">OFFSET(ORÇAMENTO!L$15,ROW(C245)-ROW(C$15),0)</f>
        <v/>
      </c>
      <c r="D245" s="141" t="str">
        <f ca="1">OFFSET(ORÇAMENTO!N$15,ROW(D245)-ROW(D$15),0)</f>
        <v>Serviço</v>
      </c>
      <c r="E245" s="201" t="str">
        <f ca="1">OFFSET(ORÇAMENTO!O$15,ROW(E245)-ROW(E$15),0)</f>
        <v>-</v>
      </c>
      <c r="F245" s="202" t="str">
        <f ca="1">OFFSET(ORÇAMENTO!R$15,ROW(F245)-ROW(F$15),0)</f>
        <v>(abra o arquivo 'Referência 11-2024.xlsm)</v>
      </c>
      <c r="G245" s="203" t="str">
        <f ca="1">IF($D245&lt;&gt;"Serviço","",OFFSET(ORÇAMENTO!S$15,ROW(G245)-ROW(G$15),0))</f>
        <v>-</v>
      </c>
      <c r="H245" s="147">
        <f ca="1">IF($D245&lt;&gt;"Serviço",0,IF(ACOMPANHAMENTO="BM",ROUND(OFFSET(ORÇAMENTO!AJ$15,ROW(H245)-ROW(H$15),0),15-13*ORÇAMENTO!$AF$7),SUMPRODUCT(($Q$12:$AA$12&lt;&gt;"")*ROUND($Q245:$AA245,15-13*ORÇAMENTO!$AF$7))))</f>
        <v>0</v>
      </c>
      <c r="I245" s="645"/>
      <c r="K245" s="204"/>
      <c r="L245" s="205" t="s">
        <v>255</v>
      </c>
      <c r="M245" s="206">
        <f ca="1">IF($D245&lt;&gt;"Serviço","",IF(AUTOEVENTO="manual",$A245,IF(ISERROR(MATCH($A245,$A$15:OFFSET($A245,-1,0),0)),MAX($M$15:OFFSET(M245,-1,0))+1,INDEX($M$15:OFFSET(M245,-1,0),MATCH($A245,$A$15:OFFSET($A245,-1,0),0)))))</f>
        <v>6</v>
      </c>
      <c r="N245" s="207" t="str">
        <f ca="1">IF($D245&lt;&gt;"Serviço","",IF(AUTOEVENTO="Manual",IF($A245=0,"&lt;-- defina o número do agrupador",OFFSET(EVENTOS!$D$14,$A245,0)),OFFSET($F$15,$A245,0)))</f>
        <v>DRENAGEM</v>
      </c>
      <c r="O245" s="208"/>
      <c r="Q245" s="208"/>
      <c r="R245" s="209"/>
      <c r="S245" s="209"/>
      <c r="T245" s="209"/>
      <c r="U245" s="209"/>
      <c r="V245" s="209"/>
      <c r="W245" s="209"/>
      <c r="X245" s="209"/>
      <c r="Y245" s="209"/>
      <c r="Z245" s="210"/>
      <c r="AB245" s="626">
        <f ca="1">IF(AND($D245="Serviço",AB$12&lt;&gt;0,$H245&gt;0,OR(AUTOEVENTO&lt;&gt;"manual",$M245&lt;&gt;1)),
IF(Import.TipoArredondamento&lt;&gt;"TransfereGOV",
ROUND(OFFSET($P245,0,AB$13),15-13*ORÇAMENTO!$AF$7)/$H245*OFFSET(ORÇAMENTO!$X$15,ROW(AB245)-ROW(AB$15),0),
ROUND(ROUND(OFFSET($P245,0,AB$13),15-13*ORÇAMENTO!$AF$7)*OFFSET(ORÇAMENTO!$W$15,ROW(AB245)-ROW(AB$15),0),15-13*ORÇAMENTO!$AF$11)),0)</f>
        <v>0</v>
      </c>
      <c r="AC245" s="627">
        <f ca="1">IF(AND($D245="Serviço",AC$12&lt;&gt;0,$H245&gt;0,OR(AUTOEVENTO&lt;&gt;"manual",$M245&lt;&gt;1)),
IF(Import.TipoArredondamento&lt;&gt;"TransfereGOV",
ROUND(OFFSET($P245,0,AC$13),15-13*ORÇAMENTO!$AF$7)/$H245*OFFSET(ORÇAMENTO!$X$15,ROW(AC245)-ROW(AC$15),0),
ROUND(ROUND(OFFSET($P245,0,AC$13),15-13*ORÇAMENTO!$AF$7)*OFFSET(ORÇAMENTO!$W$15,ROW(AC245)-ROW(AC$15),0),15-13*ORÇAMENTO!$AF$11)),0)</f>
        <v>0</v>
      </c>
      <c r="AD245" s="627">
        <f ca="1">IF(AND($D245="Serviço",AD$12&lt;&gt;0,$H245&gt;0,OR(AUTOEVENTO&lt;&gt;"manual",$M245&lt;&gt;1)),
IF(Import.TipoArredondamento&lt;&gt;"TransfereGOV",
ROUND(OFFSET($P245,0,AD$13),15-13*ORÇAMENTO!$AF$7)/$H245*OFFSET(ORÇAMENTO!$X$15,ROW(AD245)-ROW(AD$15),0),
ROUND(ROUND(OFFSET($P245,0,AD$13),15-13*ORÇAMENTO!$AF$7)*OFFSET(ORÇAMENTO!$W$15,ROW(AD245)-ROW(AD$15),0),15-13*ORÇAMENTO!$AF$11)),0)</f>
        <v>0</v>
      </c>
      <c r="AE245" s="627">
        <f ca="1">IF(AND($D245="Serviço",AE$12&lt;&gt;0,$H245&gt;0,OR(AUTOEVENTO&lt;&gt;"manual",$M245&lt;&gt;1)),
IF(Import.TipoArredondamento&lt;&gt;"TransfereGOV",
ROUND(OFFSET($P245,0,AE$13),15-13*ORÇAMENTO!$AF$7)/$H245*OFFSET(ORÇAMENTO!$X$15,ROW(AE245)-ROW(AE$15),0),
ROUND(ROUND(OFFSET($P245,0,AE$13),15-13*ORÇAMENTO!$AF$7)*OFFSET(ORÇAMENTO!$W$15,ROW(AE245)-ROW(AE$15),0),15-13*ORÇAMENTO!$AF$11)),0)</f>
        <v>0</v>
      </c>
      <c r="AF245" s="627">
        <f ca="1">IF(AND($D245="Serviço",AF$12&lt;&gt;0,$H245&gt;0,OR(AUTOEVENTO&lt;&gt;"manual",$M245&lt;&gt;1)),
IF(Import.TipoArredondamento&lt;&gt;"TransfereGOV",
ROUND(OFFSET($P245,0,AF$13),15-13*ORÇAMENTO!$AF$7)/$H245*OFFSET(ORÇAMENTO!$X$15,ROW(AF245)-ROW(AF$15),0),
ROUND(ROUND(OFFSET($P245,0,AF$13),15-13*ORÇAMENTO!$AF$7)*OFFSET(ORÇAMENTO!$W$15,ROW(AF245)-ROW(AF$15),0),15-13*ORÇAMENTO!$AF$11)),0)</f>
        <v>0</v>
      </c>
      <c r="AG245" s="627">
        <f ca="1">IF(AND($D245="Serviço",AG$12&lt;&gt;0,$H245&gt;0,OR(AUTOEVENTO&lt;&gt;"manual",$M245&lt;&gt;1)),
IF(Import.TipoArredondamento&lt;&gt;"TransfereGOV",
ROUND(OFFSET($P245,0,AG$13),15-13*ORÇAMENTO!$AF$7)/$H245*OFFSET(ORÇAMENTO!$X$15,ROW(AG245)-ROW(AG$15),0),
ROUND(ROUND(OFFSET($P245,0,AG$13),15-13*ORÇAMENTO!$AF$7)*OFFSET(ORÇAMENTO!$W$15,ROW(AG245)-ROW(AG$15),0),15-13*ORÇAMENTO!$AF$11)),0)</f>
        <v>0</v>
      </c>
      <c r="AH245" s="627">
        <f ca="1">IF(AND($D245="Serviço",AH$12&lt;&gt;0,$H245&gt;0,OR(AUTOEVENTO&lt;&gt;"manual",$M245&lt;&gt;1)),
IF(Import.TipoArredondamento&lt;&gt;"TransfereGOV",
ROUND(OFFSET($P245,0,AH$13),15-13*ORÇAMENTO!$AF$7)/$H245*OFFSET(ORÇAMENTO!$X$15,ROW(AH245)-ROW(AH$15),0),
ROUND(ROUND(OFFSET($P245,0,AH$13),15-13*ORÇAMENTO!$AF$7)*OFFSET(ORÇAMENTO!$W$15,ROW(AH245)-ROW(AH$15),0),15-13*ORÇAMENTO!$AF$11)),0)</f>
        <v>0</v>
      </c>
      <c r="AI245" s="627">
        <f ca="1">IF(AND($D245="Serviço",AI$12&lt;&gt;0,$H245&gt;0,OR(AUTOEVENTO&lt;&gt;"manual",$M245&lt;&gt;1)),
IF(Import.TipoArredondamento&lt;&gt;"TransfereGOV",
ROUND(OFFSET($P245,0,AI$13),15-13*ORÇAMENTO!$AF$7)/$H245*OFFSET(ORÇAMENTO!$X$15,ROW(AI245)-ROW(AI$15),0),
ROUND(ROUND(OFFSET($P245,0,AI$13),15-13*ORÇAMENTO!$AF$7)*OFFSET(ORÇAMENTO!$W$15,ROW(AI245)-ROW(AI$15),0),15-13*ORÇAMENTO!$AF$11)),0)</f>
        <v>0</v>
      </c>
      <c r="AJ245" s="627">
        <f ca="1">IF(AND($D245="Serviço",AJ$12&lt;&gt;0,$H245&gt;0,OR(AUTOEVENTO&lt;&gt;"manual",$M245&lt;&gt;1)),
IF(Import.TipoArredondamento&lt;&gt;"TransfereGOV",
ROUND(OFFSET($P245,0,AJ$13),15-13*ORÇAMENTO!$AF$7)/$H245*OFFSET(ORÇAMENTO!$X$15,ROW(AJ245)-ROW(AJ$15),0),
ROUND(ROUND(OFFSET($P245,0,AJ$13),15-13*ORÇAMENTO!$AF$7)*OFFSET(ORÇAMENTO!$W$15,ROW(AJ245)-ROW(AJ$15),0),15-13*ORÇAMENTO!$AF$11)),0)</f>
        <v>0</v>
      </c>
      <c r="AK245" s="628">
        <f ca="1">IF(AND($D245="Serviço",AK$12&lt;&gt;0,$H245&gt;0,OR(AUTOEVENTO&lt;&gt;"manual",$M245&lt;&gt;1)),
IF(Import.TipoArredondamento&lt;&gt;"TransfereGOV",
ROUND(OFFSET($P245,0,AK$13),15-13*ORÇAMENTO!$AF$7)/$H245*OFFSET(ORÇAMENTO!$X$15,ROW(AK245)-ROW(AK$15),0),
ROUND(ROUND(OFFSET($P245,0,AK$13),15-13*ORÇAMENTO!$AF$7)*OFFSET(ORÇAMENTO!$W$15,ROW(AK245)-ROW(AK$15),0),15-13*ORÇAMENTO!$AF$11)),0)</f>
        <v>0</v>
      </c>
      <c r="AM245" s="211">
        <f ca="1">IF($D245&lt;&gt;"Serviço",0,IF(AND(AUTOEVENTO="Manual",$M245=1),0,IF(OFFSET(CRONOPLE!$F$14,$M245,AM$13)="",10^12,OFFSET(CRONOPLE!$F$14,$M245,AM$13))))</f>
        <v>2</v>
      </c>
      <c r="AN245" s="211">
        <f ca="1">IF($D245&lt;&gt;"Serviço",0,IF(AND(AUTOEVENTO="Manual",$M245=1),0,IF(OFFSET(CRONOPLE!$F$14,$M245,AN$13)="",10^12,OFFSET(CRONOPLE!$F$14,$M245,AN$13))))</f>
        <v>1</v>
      </c>
      <c r="AO245" s="211">
        <f ca="1">IF($D245&lt;&gt;"Serviço",0,IF(AND(AUTOEVENTO="Manual",$M245=1),0,IF(OFFSET(CRONOPLE!$F$14,$M245,AO$13)="",10^12,OFFSET(CRONOPLE!$F$14,$M245,AO$13))))</f>
        <v>2</v>
      </c>
      <c r="AP245" s="211">
        <f ca="1">IF($D245&lt;&gt;"Serviço",0,IF(AND(AUTOEVENTO="Manual",$M245=1),0,IF(OFFSET(CRONOPLE!$F$14,$M245,AP$13)="",10^12,OFFSET(CRONOPLE!$F$14,$M245,AP$13))))</f>
        <v>2</v>
      </c>
      <c r="AQ245" s="211">
        <f ca="1">IF($D245&lt;&gt;"Serviço",0,IF(AND(AUTOEVENTO="Manual",$M245=1),0,IF(OFFSET(CRONOPLE!$F$14,$M245,AQ$13)="",10^12,OFFSET(CRONOPLE!$F$14,$M245,AQ$13))))</f>
        <v>1000000000000</v>
      </c>
      <c r="AR245" s="211">
        <f ca="1">IF($D245&lt;&gt;"Serviço",0,IF(AND(AUTOEVENTO="Manual",$M245=1),0,IF(OFFSET(CRONOPLE!$F$14,$M245,AR$13)="",10^12,OFFSET(CRONOPLE!$F$14,$M245,AR$13))))</f>
        <v>1000000000000</v>
      </c>
      <c r="AS245" s="211">
        <f ca="1">IF($D245&lt;&gt;"Serviço",0,IF(AND(AUTOEVENTO="Manual",$M245=1),0,IF(OFFSET(CRONOPLE!$F$14,$M245,AS$13)="",10^12,OFFSET(CRONOPLE!$F$14,$M245,AS$13))))</f>
        <v>1000000000000</v>
      </c>
      <c r="AT245" s="211">
        <f ca="1">IF($D245&lt;&gt;"Serviço",0,IF(AND(AUTOEVENTO="Manual",$M245=1),0,IF(OFFSET(CRONOPLE!$F$14,$M245,AT$13)="",10^12,OFFSET(CRONOPLE!$F$14,$M245,AT$13))))</f>
        <v>1000000000000</v>
      </c>
      <c r="AU245" s="211">
        <f ca="1">IF($D245&lt;&gt;"Serviço",0,IF(AND(AUTOEVENTO="Manual",$M245=1),0,IF(OFFSET(CRONOPLE!$F$14,$M245,AU$13)="",10^12,OFFSET(CRONOPLE!$F$14,$M245,AU$13))))</f>
        <v>1000000000000</v>
      </c>
      <c r="AV245" s="211">
        <f ca="1">IF($D245&lt;&gt;"Serviço",0,IF(AND(AUTOEVENTO="Manual",$M245=1),0,IF(OFFSET(CRONOPLE!$F$14,$M245,AV$13)="",10^12,OFFSET(CRONOPLE!$F$14,$M245,AV$13))))</f>
        <v>1000000000000</v>
      </c>
      <c r="AX245" s="212">
        <f ca="1">IF($D245&lt;&gt;"Serviço",0,IF(OR(AND(AUTOEVENTO="Manual",$M245=1),$M245&gt;(ROW(PLE.lastrow)-ROW(PLE.firstrow))),0,IF(OFFSET(PLE!$G$14,$M245,AX$13)="",10^12,OFFSET(PLE!$G$14,$M245,AX$13))))</f>
        <v>1000000000000</v>
      </c>
      <c r="AY245" s="212">
        <f ca="1">IF($D245&lt;&gt;"Serviço",0,IF(OR(AND(AUTOEVENTO="Manual",$M245=1),$M245&gt;(ROW(PLE.lastrow)-ROW(PLE.firstrow))),0,IF(OFFSET(PLE!$G$14,$M245,AY$13)="",10^12,OFFSET(PLE!$G$14,$M245,AY$13))))</f>
        <v>1000000000000</v>
      </c>
      <c r="AZ245" s="212">
        <f ca="1">IF($D245&lt;&gt;"Serviço",0,IF(OR(AND(AUTOEVENTO="Manual",$M245=1),$M245&gt;(ROW(PLE.lastrow)-ROW(PLE.firstrow))),0,IF(OFFSET(PLE!$G$14,$M245,AZ$13)="",10^12,OFFSET(PLE!$G$14,$M245,AZ$13))))</f>
        <v>1000000000000</v>
      </c>
      <c r="BA245" s="212">
        <f ca="1">IF($D245&lt;&gt;"Serviço",0,IF(OR(AND(AUTOEVENTO="Manual",$M245=1),$M245&gt;(ROW(PLE.lastrow)-ROW(PLE.firstrow))),0,IF(OFFSET(PLE!$G$14,$M245,BA$13)="",10^12,OFFSET(PLE!$G$14,$M245,BA$13))))</f>
        <v>1000000000000</v>
      </c>
      <c r="BB245" s="212">
        <f ca="1">IF($D245&lt;&gt;"Serviço",0,IF(OR(AND(AUTOEVENTO="Manual",$M245=1),$M245&gt;(ROW(PLE.lastrow)-ROW(PLE.firstrow))),0,IF(OFFSET(PLE!$G$14,$M245,BB$13)="",10^12,OFFSET(PLE!$G$14,$M245,BB$13))))</f>
        <v>1000000000000</v>
      </c>
      <c r="BC245" s="212">
        <f ca="1">IF($D245&lt;&gt;"Serviço",0,IF(OR(AND(AUTOEVENTO="Manual",$M245=1),$M245&gt;(ROW(PLE.lastrow)-ROW(PLE.firstrow))),0,IF(OFFSET(PLE!$G$14,$M245,BC$13)="",10^12,OFFSET(PLE!$G$14,$M245,BC$13))))</f>
        <v>1000000000000</v>
      </c>
      <c r="BD245" s="212">
        <f ca="1">IF($D245&lt;&gt;"Serviço",0,IF(OR(AND(AUTOEVENTO="Manual",$M245=1),$M245&gt;(ROW(PLE.lastrow)-ROW(PLE.firstrow))),0,IF(OFFSET(PLE!$G$14,$M245,BD$13)="",10^12,OFFSET(PLE!$G$14,$M245,BD$13))))</f>
        <v>1000000000000</v>
      </c>
      <c r="BE245" s="212">
        <f ca="1">IF($D245&lt;&gt;"Serviço",0,IF(OR(AND(AUTOEVENTO="Manual",$M245=1),$M245&gt;(ROW(PLE.lastrow)-ROW(PLE.firstrow))),0,IF(OFFSET(PLE!$G$14,$M245,BE$13)="",10^12,OFFSET(PLE!$G$14,$M245,BE$13))))</f>
        <v>1000000000000</v>
      </c>
      <c r="BF245" s="212">
        <f ca="1">IF($D245&lt;&gt;"Serviço",0,IF(OR(AND(AUTOEVENTO="Manual",$M245=1),$M245&gt;(ROW(PLE.lastrow)-ROW(PLE.firstrow))),0,IF(OFFSET(PLE!$G$14,$M245,BF$13)="",10^12,OFFSET(PLE!$G$14,$M245,BF$13))))</f>
        <v>1000000000000</v>
      </c>
      <c r="BG245" s="212">
        <f ca="1">IF($D245&lt;&gt;"Serviço",0,IF(OR(AND(AUTOEVENTO="Manual",$M245=1),$M245&gt;(ROW(PLE.lastrow)-ROW(PLE.firstrow))),0,IF(OFFSET(PLE!$G$14,$M245,BG$13)="",10^12,OFFSET(PLE!$G$14,$M245,BG$13))))</f>
        <v>1000000000000</v>
      </c>
    </row>
    <row r="246" spans="1:59" ht="13.2">
      <c r="A246" s="9" t="str">
        <f t="shared" ca="1" si="12"/>
        <v>15</v>
      </c>
      <c r="B246" s="9" t="str">
        <f ca="1">OFFSET(ORÇAMENTO!C$15,ROW(B246)-ROW(B$15),0)</f>
        <v>S</v>
      </c>
      <c r="C246" s="9" t="str">
        <f ca="1">OFFSET(ORÇAMENTO!L$15,ROW(C246)-ROW(C$15),0)</f>
        <v/>
      </c>
      <c r="D246" s="141" t="str">
        <f ca="1">OFFSET(ORÇAMENTO!N$15,ROW(D246)-ROW(D$15),0)</f>
        <v>Serviço</v>
      </c>
      <c r="E246" s="201" t="str">
        <f ca="1">OFFSET(ORÇAMENTO!O$15,ROW(E246)-ROW(E$15),0)</f>
        <v>-</v>
      </c>
      <c r="F246" s="202" t="str">
        <f ca="1">OFFSET(ORÇAMENTO!R$15,ROW(F246)-ROW(F$15),0)</f>
        <v>(abra o arquivo 'Referência 11-2024.xlsm)</v>
      </c>
      <c r="G246" s="203" t="str">
        <f ca="1">IF($D246&lt;&gt;"Serviço","",OFFSET(ORÇAMENTO!S$15,ROW(G246)-ROW(G$15),0))</f>
        <v>-</v>
      </c>
      <c r="H246" s="147">
        <f ca="1">IF($D246&lt;&gt;"Serviço",0,IF(ACOMPANHAMENTO="BM",ROUND(OFFSET(ORÇAMENTO!AJ$15,ROW(H246)-ROW(H$15),0),15-13*ORÇAMENTO!$AF$7),SUMPRODUCT(($Q$12:$AA$12&lt;&gt;"")*ROUND($Q246:$AA246,15-13*ORÇAMENTO!$AF$7))))</f>
        <v>0</v>
      </c>
      <c r="I246" s="645"/>
      <c r="K246" s="204"/>
      <c r="L246" s="205" t="s">
        <v>255</v>
      </c>
      <c r="M246" s="206">
        <f ca="1">IF($D246&lt;&gt;"Serviço","",IF(AUTOEVENTO="manual",$A246,IF(ISERROR(MATCH($A246,$A$15:OFFSET($A246,-1,0),0)),MAX($M$15:OFFSET(M246,-1,0))+1,INDEX($M$15:OFFSET(M246,-1,0),MATCH($A246,$A$15:OFFSET($A246,-1,0),0)))))</f>
        <v>6</v>
      </c>
      <c r="N246" s="207" t="str">
        <f ca="1">IF($D246&lt;&gt;"Serviço","",IF(AUTOEVENTO="Manual",IF($A246=0,"&lt;-- defina o número do agrupador",OFFSET(EVENTOS!$D$14,$A246,0)),OFFSET($F$15,$A246,0)))</f>
        <v>DRENAGEM</v>
      </c>
      <c r="O246" s="208"/>
      <c r="Q246" s="208"/>
      <c r="R246" s="209"/>
      <c r="S246" s="209"/>
      <c r="T246" s="209"/>
      <c r="U246" s="209"/>
      <c r="V246" s="209"/>
      <c r="W246" s="209"/>
      <c r="X246" s="209"/>
      <c r="Y246" s="209"/>
      <c r="Z246" s="210"/>
      <c r="AB246" s="626">
        <f ca="1">IF(AND($D246="Serviço",AB$12&lt;&gt;0,$H246&gt;0,OR(AUTOEVENTO&lt;&gt;"manual",$M246&lt;&gt;1)),
IF(Import.TipoArredondamento&lt;&gt;"TransfereGOV",
ROUND(OFFSET($P246,0,AB$13),15-13*ORÇAMENTO!$AF$7)/$H246*OFFSET(ORÇAMENTO!$X$15,ROW(AB246)-ROW(AB$15),0),
ROUND(ROUND(OFFSET($P246,0,AB$13),15-13*ORÇAMENTO!$AF$7)*OFFSET(ORÇAMENTO!$W$15,ROW(AB246)-ROW(AB$15),0),15-13*ORÇAMENTO!$AF$11)),0)</f>
        <v>0</v>
      </c>
      <c r="AC246" s="627">
        <f ca="1">IF(AND($D246="Serviço",AC$12&lt;&gt;0,$H246&gt;0,OR(AUTOEVENTO&lt;&gt;"manual",$M246&lt;&gt;1)),
IF(Import.TipoArredondamento&lt;&gt;"TransfereGOV",
ROUND(OFFSET($P246,0,AC$13),15-13*ORÇAMENTO!$AF$7)/$H246*OFFSET(ORÇAMENTO!$X$15,ROW(AC246)-ROW(AC$15),0),
ROUND(ROUND(OFFSET($P246,0,AC$13),15-13*ORÇAMENTO!$AF$7)*OFFSET(ORÇAMENTO!$W$15,ROW(AC246)-ROW(AC$15),0),15-13*ORÇAMENTO!$AF$11)),0)</f>
        <v>0</v>
      </c>
      <c r="AD246" s="627">
        <f ca="1">IF(AND($D246="Serviço",AD$12&lt;&gt;0,$H246&gt;0,OR(AUTOEVENTO&lt;&gt;"manual",$M246&lt;&gt;1)),
IF(Import.TipoArredondamento&lt;&gt;"TransfereGOV",
ROUND(OFFSET($P246,0,AD$13),15-13*ORÇAMENTO!$AF$7)/$H246*OFFSET(ORÇAMENTO!$X$15,ROW(AD246)-ROW(AD$15),0),
ROUND(ROUND(OFFSET($P246,0,AD$13),15-13*ORÇAMENTO!$AF$7)*OFFSET(ORÇAMENTO!$W$15,ROW(AD246)-ROW(AD$15),0),15-13*ORÇAMENTO!$AF$11)),0)</f>
        <v>0</v>
      </c>
      <c r="AE246" s="627">
        <f ca="1">IF(AND($D246="Serviço",AE$12&lt;&gt;0,$H246&gt;0,OR(AUTOEVENTO&lt;&gt;"manual",$M246&lt;&gt;1)),
IF(Import.TipoArredondamento&lt;&gt;"TransfereGOV",
ROUND(OFFSET($P246,0,AE$13),15-13*ORÇAMENTO!$AF$7)/$H246*OFFSET(ORÇAMENTO!$X$15,ROW(AE246)-ROW(AE$15),0),
ROUND(ROUND(OFFSET($P246,0,AE$13),15-13*ORÇAMENTO!$AF$7)*OFFSET(ORÇAMENTO!$W$15,ROW(AE246)-ROW(AE$15),0),15-13*ORÇAMENTO!$AF$11)),0)</f>
        <v>0</v>
      </c>
      <c r="AF246" s="627">
        <f ca="1">IF(AND($D246="Serviço",AF$12&lt;&gt;0,$H246&gt;0,OR(AUTOEVENTO&lt;&gt;"manual",$M246&lt;&gt;1)),
IF(Import.TipoArredondamento&lt;&gt;"TransfereGOV",
ROUND(OFFSET($P246,0,AF$13),15-13*ORÇAMENTO!$AF$7)/$H246*OFFSET(ORÇAMENTO!$X$15,ROW(AF246)-ROW(AF$15),0),
ROUND(ROUND(OFFSET($P246,0,AF$13),15-13*ORÇAMENTO!$AF$7)*OFFSET(ORÇAMENTO!$W$15,ROW(AF246)-ROW(AF$15),0),15-13*ORÇAMENTO!$AF$11)),0)</f>
        <v>0</v>
      </c>
      <c r="AG246" s="627">
        <f ca="1">IF(AND($D246="Serviço",AG$12&lt;&gt;0,$H246&gt;0,OR(AUTOEVENTO&lt;&gt;"manual",$M246&lt;&gt;1)),
IF(Import.TipoArredondamento&lt;&gt;"TransfereGOV",
ROUND(OFFSET($P246,0,AG$13),15-13*ORÇAMENTO!$AF$7)/$H246*OFFSET(ORÇAMENTO!$X$15,ROW(AG246)-ROW(AG$15),0),
ROUND(ROUND(OFFSET($P246,0,AG$13),15-13*ORÇAMENTO!$AF$7)*OFFSET(ORÇAMENTO!$W$15,ROW(AG246)-ROW(AG$15),0),15-13*ORÇAMENTO!$AF$11)),0)</f>
        <v>0</v>
      </c>
      <c r="AH246" s="627">
        <f ca="1">IF(AND($D246="Serviço",AH$12&lt;&gt;0,$H246&gt;0,OR(AUTOEVENTO&lt;&gt;"manual",$M246&lt;&gt;1)),
IF(Import.TipoArredondamento&lt;&gt;"TransfereGOV",
ROUND(OFFSET($P246,0,AH$13),15-13*ORÇAMENTO!$AF$7)/$H246*OFFSET(ORÇAMENTO!$X$15,ROW(AH246)-ROW(AH$15),0),
ROUND(ROUND(OFFSET($P246,0,AH$13),15-13*ORÇAMENTO!$AF$7)*OFFSET(ORÇAMENTO!$W$15,ROW(AH246)-ROW(AH$15),0),15-13*ORÇAMENTO!$AF$11)),0)</f>
        <v>0</v>
      </c>
      <c r="AI246" s="627">
        <f ca="1">IF(AND($D246="Serviço",AI$12&lt;&gt;0,$H246&gt;0,OR(AUTOEVENTO&lt;&gt;"manual",$M246&lt;&gt;1)),
IF(Import.TipoArredondamento&lt;&gt;"TransfereGOV",
ROUND(OFFSET($P246,0,AI$13),15-13*ORÇAMENTO!$AF$7)/$H246*OFFSET(ORÇAMENTO!$X$15,ROW(AI246)-ROW(AI$15),0),
ROUND(ROUND(OFFSET($P246,0,AI$13),15-13*ORÇAMENTO!$AF$7)*OFFSET(ORÇAMENTO!$W$15,ROW(AI246)-ROW(AI$15),0),15-13*ORÇAMENTO!$AF$11)),0)</f>
        <v>0</v>
      </c>
      <c r="AJ246" s="627">
        <f ca="1">IF(AND($D246="Serviço",AJ$12&lt;&gt;0,$H246&gt;0,OR(AUTOEVENTO&lt;&gt;"manual",$M246&lt;&gt;1)),
IF(Import.TipoArredondamento&lt;&gt;"TransfereGOV",
ROUND(OFFSET($P246,0,AJ$13),15-13*ORÇAMENTO!$AF$7)/$H246*OFFSET(ORÇAMENTO!$X$15,ROW(AJ246)-ROW(AJ$15),0),
ROUND(ROUND(OFFSET($P246,0,AJ$13),15-13*ORÇAMENTO!$AF$7)*OFFSET(ORÇAMENTO!$W$15,ROW(AJ246)-ROW(AJ$15),0),15-13*ORÇAMENTO!$AF$11)),0)</f>
        <v>0</v>
      </c>
      <c r="AK246" s="628">
        <f ca="1">IF(AND($D246="Serviço",AK$12&lt;&gt;0,$H246&gt;0,OR(AUTOEVENTO&lt;&gt;"manual",$M246&lt;&gt;1)),
IF(Import.TipoArredondamento&lt;&gt;"TransfereGOV",
ROUND(OFFSET($P246,0,AK$13),15-13*ORÇAMENTO!$AF$7)/$H246*OFFSET(ORÇAMENTO!$X$15,ROW(AK246)-ROW(AK$15),0),
ROUND(ROUND(OFFSET($P246,0,AK$13),15-13*ORÇAMENTO!$AF$7)*OFFSET(ORÇAMENTO!$W$15,ROW(AK246)-ROW(AK$15),0),15-13*ORÇAMENTO!$AF$11)),0)</f>
        <v>0</v>
      </c>
      <c r="AM246" s="211">
        <f ca="1">IF($D246&lt;&gt;"Serviço",0,IF(AND(AUTOEVENTO="Manual",$M246=1),0,IF(OFFSET(CRONOPLE!$F$14,$M246,AM$13)="",10^12,OFFSET(CRONOPLE!$F$14,$M246,AM$13))))</f>
        <v>2</v>
      </c>
      <c r="AN246" s="211">
        <f ca="1">IF($D246&lt;&gt;"Serviço",0,IF(AND(AUTOEVENTO="Manual",$M246=1),0,IF(OFFSET(CRONOPLE!$F$14,$M246,AN$13)="",10^12,OFFSET(CRONOPLE!$F$14,$M246,AN$13))))</f>
        <v>1</v>
      </c>
      <c r="AO246" s="211">
        <f ca="1">IF($D246&lt;&gt;"Serviço",0,IF(AND(AUTOEVENTO="Manual",$M246=1),0,IF(OFFSET(CRONOPLE!$F$14,$M246,AO$13)="",10^12,OFFSET(CRONOPLE!$F$14,$M246,AO$13))))</f>
        <v>2</v>
      </c>
      <c r="AP246" s="211">
        <f ca="1">IF($D246&lt;&gt;"Serviço",0,IF(AND(AUTOEVENTO="Manual",$M246=1),0,IF(OFFSET(CRONOPLE!$F$14,$M246,AP$13)="",10^12,OFFSET(CRONOPLE!$F$14,$M246,AP$13))))</f>
        <v>2</v>
      </c>
      <c r="AQ246" s="211">
        <f ca="1">IF($D246&lt;&gt;"Serviço",0,IF(AND(AUTOEVENTO="Manual",$M246=1),0,IF(OFFSET(CRONOPLE!$F$14,$M246,AQ$13)="",10^12,OFFSET(CRONOPLE!$F$14,$M246,AQ$13))))</f>
        <v>1000000000000</v>
      </c>
      <c r="AR246" s="211">
        <f ca="1">IF($D246&lt;&gt;"Serviço",0,IF(AND(AUTOEVENTO="Manual",$M246=1),0,IF(OFFSET(CRONOPLE!$F$14,$M246,AR$13)="",10^12,OFFSET(CRONOPLE!$F$14,$M246,AR$13))))</f>
        <v>1000000000000</v>
      </c>
      <c r="AS246" s="211">
        <f ca="1">IF($D246&lt;&gt;"Serviço",0,IF(AND(AUTOEVENTO="Manual",$M246=1),0,IF(OFFSET(CRONOPLE!$F$14,$M246,AS$13)="",10^12,OFFSET(CRONOPLE!$F$14,$M246,AS$13))))</f>
        <v>1000000000000</v>
      </c>
      <c r="AT246" s="211">
        <f ca="1">IF($D246&lt;&gt;"Serviço",0,IF(AND(AUTOEVENTO="Manual",$M246=1),0,IF(OFFSET(CRONOPLE!$F$14,$M246,AT$13)="",10^12,OFFSET(CRONOPLE!$F$14,$M246,AT$13))))</f>
        <v>1000000000000</v>
      </c>
      <c r="AU246" s="211">
        <f ca="1">IF($D246&lt;&gt;"Serviço",0,IF(AND(AUTOEVENTO="Manual",$M246=1),0,IF(OFFSET(CRONOPLE!$F$14,$M246,AU$13)="",10^12,OFFSET(CRONOPLE!$F$14,$M246,AU$13))))</f>
        <v>1000000000000</v>
      </c>
      <c r="AV246" s="211">
        <f ca="1">IF($D246&lt;&gt;"Serviço",0,IF(AND(AUTOEVENTO="Manual",$M246=1),0,IF(OFFSET(CRONOPLE!$F$14,$M246,AV$13)="",10^12,OFFSET(CRONOPLE!$F$14,$M246,AV$13))))</f>
        <v>1000000000000</v>
      </c>
      <c r="AX246" s="212">
        <f ca="1">IF($D246&lt;&gt;"Serviço",0,IF(OR(AND(AUTOEVENTO="Manual",$M246=1),$M246&gt;(ROW(PLE.lastrow)-ROW(PLE.firstrow))),0,IF(OFFSET(PLE!$G$14,$M246,AX$13)="",10^12,OFFSET(PLE!$G$14,$M246,AX$13))))</f>
        <v>1000000000000</v>
      </c>
      <c r="AY246" s="212">
        <f ca="1">IF($D246&lt;&gt;"Serviço",0,IF(OR(AND(AUTOEVENTO="Manual",$M246=1),$M246&gt;(ROW(PLE.lastrow)-ROW(PLE.firstrow))),0,IF(OFFSET(PLE!$G$14,$M246,AY$13)="",10^12,OFFSET(PLE!$G$14,$M246,AY$13))))</f>
        <v>1000000000000</v>
      </c>
      <c r="AZ246" s="212">
        <f ca="1">IF($D246&lt;&gt;"Serviço",0,IF(OR(AND(AUTOEVENTO="Manual",$M246=1),$M246&gt;(ROW(PLE.lastrow)-ROW(PLE.firstrow))),0,IF(OFFSET(PLE!$G$14,$M246,AZ$13)="",10^12,OFFSET(PLE!$G$14,$M246,AZ$13))))</f>
        <v>1000000000000</v>
      </c>
      <c r="BA246" s="212">
        <f ca="1">IF($D246&lt;&gt;"Serviço",0,IF(OR(AND(AUTOEVENTO="Manual",$M246=1),$M246&gt;(ROW(PLE.lastrow)-ROW(PLE.firstrow))),0,IF(OFFSET(PLE!$G$14,$M246,BA$13)="",10^12,OFFSET(PLE!$G$14,$M246,BA$13))))</f>
        <v>1000000000000</v>
      </c>
      <c r="BB246" s="212">
        <f ca="1">IF($D246&lt;&gt;"Serviço",0,IF(OR(AND(AUTOEVENTO="Manual",$M246=1),$M246&gt;(ROW(PLE.lastrow)-ROW(PLE.firstrow))),0,IF(OFFSET(PLE!$G$14,$M246,BB$13)="",10^12,OFFSET(PLE!$G$14,$M246,BB$13))))</f>
        <v>1000000000000</v>
      </c>
      <c r="BC246" s="212">
        <f ca="1">IF($D246&lt;&gt;"Serviço",0,IF(OR(AND(AUTOEVENTO="Manual",$M246=1),$M246&gt;(ROW(PLE.lastrow)-ROW(PLE.firstrow))),0,IF(OFFSET(PLE!$G$14,$M246,BC$13)="",10^12,OFFSET(PLE!$G$14,$M246,BC$13))))</f>
        <v>1000000000000</v>
      </c>
      <c r="BD246" s="212">
        <f ca="1">IF($D246&lt;&gt;"Serviço",0,IF(OR(AND(AUTOEVENTO="Manual",$M246=1),$M246&gt;(ROW(PLE.lastrow)-ROW(PLE.firstrow))),0,IF(OFFSET(PLE!$G$14,$M246,BD$13)="",10^12,OFFSET(PLE!$G$14,$M246,BD$13))))</f>
        <v>1000000000000</v>
      </c>
      <c r="BE246" s="212">
        <f ca="1">IF($D246&lt;&gt;"Serviço",0,IF(OR(AND(AUTOEVENTO="Manual",$M246=1),$M246&gt;(ROW(PLE.lastrow)-ROW(PLE.firstrow))),0,IF(OFFSET(PLE!$G$14,$M246,BE$13)="",10^12,OFFSET(PLE!$G$14,$M246,BE$13))))</f>
        <v>1000000000000</v>
      </c>
      <c r="BF246" s="212">
        <f ca="1">IF($D246&lt;&gt;"Serviço",0,IF(OR(AND(AUTOEVENTO="Manual",$M246=1),$M246&gt;(ROW(PLE.lastrow)-ROW(PLE.firstrow))),0,IF(OFFSET(PLE!$G$14,$M246,BF$13)="",10^12,OFFSET(PLE!$G$14,$M246,BF$13))))</f>
        <v>1000000000000</v>
      </c>
      <c r="BG246" s="212">
        <f ca="1">IF($D246&lt;&gt;"Serviço",0,IF(OR(AND(AUTOEVENTO="Manual",$M246=1),$M246&gt;(ROW(PLE.lastrow)-ROW(PLE.firstrow))),0,IF(OFFSET(PLE!$G$14,$M246,BG$13)="",10^12,OFFSET(PLE!$G$14,$M246,BG$13))))</f>
        <v>1000000000000</v>
      </c>
    </row>
    <row r="247" spans="1:59" ht="13.2">
      <c r="A247" s="9" t="str">
        <f t="shared" ca="1" si="12"/>
        <v>15</v>
      </c>
      <c r="B247" s="9" t="str">
        <f ca="1">OFFSET(ORÇAMENTO!C$15,ROW(B247)-ROW(B$15),0)</f>
        <v>S</v>
      </c>
      <c r="C247" s="9" t="str">
        <f ca="1">OFFSET(ORÇAMENTO!L$15,ROW(C247)-ROW(C$15),0)</f>
        <v/>
      </c>
      <c r="D247" s="141" t="str">
        <f ca="1">OFFSET(ORÇAMENTO!N$15,ROW(D247)-ROW(D$15),0)</f>
        <v>Serviço</v>
      </c>
      <c r="E247" s="201" t="str">
        <f ca="1">OFFSET(ORÇAMENTO!O$15,ROW(E247)-ROW(E$15),0)</f>
        <v>-</v>
      </c>
      <c r="F247" s="202" t="str">
        <f ca="1">OFFSET(ORÇAMENTO!R$15,ROW(F247)-ROW(F$15),0)</f>
        <v>(abra o arquivo 'Referência 11-2024.xlsm)</v>
      </c>
      <c r="G247" s="203" t="str">
        <f ca="1">IF($D247&lt;&gt;"Serviço","",OFFSET(ORÇAMENTO!S$15,ROW(G247)-ROW(G$15),0))</f>
        <v>-</v>
      </c>
      <c r="H247" s="147">
        <f ca="1">IF($D247&lt;&gt;"Serviço",0,IF(ACOMPANHAMENTO="BM",ROUND(OFFSET(ORÇAMENTO!AJ$15,ROW(H247)-ROW(H$15),0),15-13*ORÇAMENTO!$AF$7),SUMPRODUCT(($Q$12:$AA$12&lt;&gt;"")*ROUND($Q247:$AA247,15-13*ORÇAMENTO!$AF$7))))</f>
        <v>0</v>
      </c>
      <c r="I247" s="645"/>
      <c r="K247" s="204"/>
      <c r="L247" s="205" t="s">
        <v>255</v>
      </c>
      <c r="M247" s="206">
        <f ca="1">IF($D247&lt;&gt;"Serviço","",IF(AUTOEVENTO="manual",$A247,IF(ISERROR(MATCH($A247,$A$15:OFFSET($A247,-1,0),0)),MAX($M$15:OFFSET(M247,-1,0))+1,INDEX($M$15:OFFSET(M247,-1,0),MATCH($A247,$A$15:OFFSET($A247,-1,0),0)))))</f>
        <v>6</v>
      </c>
      <c r="N247" s="207" t="str">
        <f ca="1">IF($D247&lt;&gt;"Serviço","",IF(AUTOEVENTO="Manual",IF($A247=0,"&lt;-- defina o número do agrupador",OFFSET(EVENTOS!$D$14,$A247,0)),OFFSET($F$15,$A247,0)))</f>
        <v>DRENAGEM</v>
      </c>
      <c r="O247" s="208"/>
      <c r="Q247" s="208"/>
      <c r="R247" s="209"/>
      <c r="S247" s="209"/>
      <c r="T247" s="209"/>
      <c r="U247" s="209"/>
      <c r="V247" s="209"/>
      <c r="W247" s="209"/>
      <c r="X247" s="209"/>
      <c r="Y247" s="209"/>
      <c r="Z247" s="210"/>
      <c r="AB247" s="626">
        <f ca="1">IF(AND($D247="Serviço",AB$12&lt;&gt;0,$H247&gt;0,OR(AUTOEVENTO&lt;&gt;"manual",$M247&lt;&gt;1)),
IF(Import.TipoArredondamento&lt;&gt;"TransfereGOV",
ROUND(OFFSET($P247,0,AB$13),15-13*ORÇAMENTO!$AF$7)/$H247*OFFSET(ORÇAMENTO!$X$15,ROW(AB247)-ROW(AB$15),0),
ROUND(ROUND(OFFSET($P247,0,AB$13),15-13*ORÇAMENTO!$AF$7)*OFFSET(ORÇAMENTO!$W$15,ROW(AB247)-ROW(AB$15),0),15-13*ORÇAMENTO!$AF$11)),0)</f>
        <v>0</v>
      </c>
      <c r="AC247" s="627">
        <f ca="1">IF(AND($D247="Serviço",AC$12&lt;&gt;0,$H247&gt;0,OR(AUTOEVENTO&lt;&gt;"manual",$M247&lt;&gt;1)),
IF(Import.TipoArredondamento&lt;&gt;"TransfereGOV",
ROUND(OFFSET($P247,0,AC$13),15-13*ORÇAMENTO!$AF$7)/$H247*OFFSET(ORÇAMENTO!$X$15,ROW(AC247)-ROW(AC$15),0),
ROUND(ROUND(OFFSET($P247,0,AC$13),15-13*ORÇAMENTO!$AF$7)*OFFSET(ORÇAMENTO!$W$15,ROW(AC247)-ROW(AC$15),0),15-13*ORÇAMENTO!$AF$11)),0)</f>
        <v>0</v>
      </c>
      <c r="AD247" s="627">
        <f ca="1">IF(AND($D247="Serviço",AD$12&lt;&gt;0,$H247&gt;0,OR(AUTOEVENTO&lt;&gt;"manual",$M247&lt;&gt;1)),
IF(Import.TipoArredondamento&lt;&gt;"TransfereGOV",
ROUND(OFFSET($P247,0,AD$13),15-13*ORÇAMENTO!$AF$7)/$H247*OFFSET(ORÇAMENTO!$X$15,ROW(AD247)-ROW(AD$15),0),
ROUND(ROUND(OFFSET($P247,0,AD$13),15-13*ORÇAMENTO!$AF$7)*OFFSET(ORÇAMENTO!$W$15,ROW(AD247)-ROW(AD$15),0),15-13*ORÇAMENTO!$AF$11)),0)</f>
        <v>0</v>
      </c>
      <c r="AE247" s="627">
        <f ca="1">IF(AND($D247="Serviço",AE$12&lt;&gt;0,$H247&gt;0,OR(AUTOEVENTO&lt;&gt;"manual",$M247&lt;&gt;1)),
IF(Import.TipoArredondamento&lt;&gt;"TransfereGOV",
ROUND(OFFSET($P247,0,AE$13),15-13*ORÇAMENTO!$AF$7)/$H247*OFFSET(ORÇAMENTO!$X$15,ROW(AE247)-ROW(AE$15),0),
ROUND(ROUND(OFFSET($P247,0,AE$13),15-13*ORÇAMENTO!$AF$7)*OFFSET(ORÇAMENTO!$W$15,ROW(AE247)-ROW(AE$15),0),15-13*ORÇAMENTO!$AF$11)),0)</f>
        <v>0</v>
      </c>
      <c r="AF247" s="627">
        <f ca="1">IF(AND($D247="Serviço",AF$12&lt;&gt;0,$H247&gt;0,OR(AUTOEVENTO&lt;&gt;"manual",$M247&lt;&gt;1)),
IF(Import.TipoArredondamento&lt;&gt;"TransfereGOV",
ROUND(OFFSET($P247,0,AF$13),15-13*ORÇAMENTO!$AF$7)/$H247*OFFSET(ORÇAMENTO!$X$15,ROW(AF247)-ROW(AF$15),0),
ROUND(ROUND(OFFSET($P247,0,AF$13),15-13*ORÇAMENTO!$AF$7)*OFFSET(ORÇAMENTO!$W$15,ROW(AF247)-ROW(AF$15),0),15-13*ORÇAMENTO!$AF$11)),0)</f>
        <v>0</v>
      </c>
      <c r="AG247" s="627">
        <f ca="1">IF(AND($D247="Serviço",AG$12&lt;&gt;0,$H247&gt;0,OR(AUTOEVENTO&lt;&gt;"manual",$M247&lt;&gt;1)),
IF(Import.TipoArredondamento&lt;&gt;"TransfereGOV",
ROUND(OFFSET($P247,0,AG$13),15-13*ORÇAMENTO!$AF$7)/$H247*OFFSET(ORÇAMENTO!$X$15,ROW(AG247)-ROW(AG$15),0),
ROUND(ROUND(OFFSET($P247,0,AG$13),15-13*ORÇAMENTO!$AF$7)*OFFSET(ORÇAMENTO!$W$15,ROW(AG247)-ROW(AG$15),0),15-13*ORÇAMENTO!$AF$11)),0)</f>
        <v>0</v>
      </c>
      <c r="AH247" s="627">
        <f ca="1">IF(AND($D247="Serviço",AH$12&lt;&gt;0,$H247&gt;0,OR(AUTOEVENTO&lt;&gt;"manual",$M247&lt;&gt;1)),
IF(Import.TipoArredondamento&lt;&gt;"TransfereGOV",
ROUND(OFFSET($P247,0,AH$13),15-13*ORÇAMENTO!$AF$7)/$H247*OFFSET(ORÇAMENTO!$X$15,ROW(AH247)-ROW(AH$15),0),
ROUND(ROUND(OFFSET($P247,0,AH$13),15-13*ORÇAMENTO!$AF$7)*OFFSET(ORÇAMENTO!$W$15,ROW(AH247)-ROW(AH$15),0),15-13*ORÇAMENTO!$AF$11)),0)</f>
        <v>0</v>
      </c>
      <c r="AI247" s="627">
        <f ca="1">IF(AND($D247="Serviço",AI$12&lt;&gt;0,$H247&gt;0,OR(AUTOEVENTO&lt;&gt;"manual",$M247&lt;&gt;1)),
IF(Import.TipoArredondamento&lt;&gt;"TransfereGOV",
ROUND(OFFSET($P247,0,AI$13),15-13*ORÇAMENTO!$AF$7)/$H247*OFFSET(ORÇAMENTO!$X$15,ROW(AI247)-ROW(AI$15),0),
ROUND(ROUND(OFFSET($P247,0,AI$13),15-13*ORÇAMENTO!$AF$7)*OFFSET(ORÇAMENTO!$W$15,ROW(AI247)-ROW(AI$15),0),15-13*ORÇAMENTO!$AF$11)),0)</f>
        <v>0</v>
      </c>
      <c r="AJ247" s="627">
        <f ca="1">IF(AND($D247="Serviço",AJ$12&lt;&gt;0,$H247&gt;0,OR(AUTOEVENTO&lt;&gt;"manual",$M247&lt;&gt;1)),
IF(Import.TipoArredondamento&lt;&gt;"TransfereGOV",
ROUND(OFFSET($P247,0,AJ$13),15-13*ORÇAMENTO!$AF$7)/$H247*OFFSET(ORÇAMENTO!$X$15,ROW(AJ247)-ROW(AJ$15),0),
ROUND(ROUND(OFFSET($P247,0,AJ$13),15-13*ORÇAMENTO!$AF$7)*OFFSET(ORÇAMENTO!$W$15,ROW(AJ247)-ROW(AJ$15),0),15-13*ORÇAMENTO!$AF$11)),0)</f>
        <v>0</v>
      </c>
      <c r="AK247" s="628">
        <f ca="1">IF(AND($D247="Serviço",AK$12&lt;&gt;0,$H247&gt;0,OR(AUTOEVENTO&lt;&gt;"manual",$M247&lt;&gt;1)),
IF(Import.TipoArredondamento&lt;&gt;"TransfereGOV",
ROUND(OFFSET($P247,0,AK$13),15-13*ORÇAMENTO!$AF$7)/$H247*OFFSET(ORÇAMENTO!$X$15,ROW(AK247)-ROW(AK$15),0),
ROUND(ROUND(OFFSET($P247,0,AK$13),15-13*ORÇAMENTO!$AF$7)*OFFSET(ORÇAMENTO!$W$15,ROW(AK247)-ROW(AK$15),0),15-13*ORÇAMENTO!$AF$11)),0)</f>
        <v>0</v>
      </c>
      <c r="AM247" s="211">
        <f ca="1">IF($D247&lt;&gt;"Serviço",0,IF(AND(AUTOEVENTO="Manual",$M247=1),0,IF(OFFSET(CRONOPLE!$F$14,$M247,AM$13)="",10^12,OFFSET(CRONOPLE!$F$14,$M247,AM$13))))</f>
        <v>2</v>
      </c>
      <c r="AN247" s="211">
        <f ca="1">IF($D247&lt;&gt;"Serviço",0,IF(AND(AUTOEVENTO="Manual",$M247=1),0,IF(OFFSET(CRONOPLE!$F$14,$M247,AN$13)="",10^12,OFFSET(CRONOPLE!$F$14,$M247,AN$13))))</f>
        <v>1</v>
      </c>
      <c r="AO247" s="211">
        <f ca="1">IF($D247&lt;&gt;"Serviço",0,IF(AND(AUTOEVENTO="Manual",$M247=1),0,IF(OFFSET(CRONOPLE!$F$14,$M247,AO$13)="",10^12,OFFSET(CRONOPLE!$F$14,$M247,AO$13))))</f>
        <v>2</v>
      </c>
      <c r="AP247" s="211">
        <f ca="1">IF($D247&lt;&gt;"Serviço",0,IF(AND(AUTOEVENTO="Manual",$M247=1),0,IF(OFFSET(CRONOPLE!$F$14,$M247,AP$13)="",10^12,OFFSET(CRONOPLE!$F$14,$M247,AP$13))))</f>
        <v>2</v>
      </c>
      <c r="AQ247" s="211">
        <f ca="1">IF($D247&lt;&gt;"Serviço",0,IF(AND(AUTOEVENTO="Manual",$M247=1),0,IF(OFFSET(CRONOPLE!$F$14,$M247,AQ$13)="",10^12,OFFSET(CRONOPLE!$F$14,$M247,AQ$13))))</f>
        <v>1000000000000</v>
      </c>
      <c r="AR247" s="211">
        <f ca="1">IF($D247&lt;&gt;"Serviço",0,IF(AND(AUTOEVENTO="Manual",$M247=1),0,IF(OFFSET(CRONOPLE!$F$14,$M247,AR$13)="",10^12,OFFSET(CRONOPLE!$F$14,$M247,AR$13))))</f>
        <v>1000000000000</v>
      </c>
      <c r="AS247" s="211">
        <f ca="1">IF($D247&lt;&gt;"Serviço",0,IF(AND(AUTOEVENTO="Manual",$M247=1),0,IF(OFFSET(CRONOPLE!$F$14,$M247,AS$13)="",10^12,OFFSET(CRONOPLE!$F$14,$M247,AS$13))))</f>
        <v>1000000000000</v>
      </c>
      <c r="AT247" s="211">
        <f ca="1">IF($D247&lt;&gt;"Serviço",0,IF(AND(AUTOEVENTO="Manual",$M247=1),0,IF(OFFSET(CRONOPLE!$F$14,$M247,AT$13)="",10^12,OFFSET(CRONOPLE!$F$14,$M247,AT$13))))</f>
        <v>1000000000000</v>
      </c>
      <c r="AU247" s="211">
        <f ca="1">IF($D247&lt;&gt;"Serviço",0,IF(AND(AUTOEVENTO="Manual",$M247=1),0,IF(OFFSET(CRONOPLE!$F$14,$M247,AU$13)="",10^12,OFFSET(CRONOPLE!$F$14,$M247,AU$13))))</f>
        <v>1000000000000</v>
      </c>
      <c r="AV247" s="211">
        <f ca="1">IF($D247&lt;&gt;"Serviço",0,IF(AND(AUTOEVENTO="Manual",$M247=1),0,IF(OFFSET(CRONOPLE!$F$14,$M247,AV$13)="",10^12,OFFSET(CRONOPLE!$F$14,$M247,AV$13))))</f>
        <v>1000000000000</v>
      </c>
      <c r="AX247" s="212">
        <f ca="1">IF($D247&lt;&gt;"Serviço",0,IF(OR(AND(AUTOEVENTO="Manual",$M247=1),$M247&gt;(ROW(PLE.lastrow)-ROW(PLE.firstrow))),0,IF(OFFSET(PLE!$G$14,$M247,AX$13)="",10^12,OFFSET(PLE!$G$14,$M247,AX$13))))</f>
        <v>1000000000000</v>
      </c>
      <c r="AY247" s="212">
        <f ca="1">IF($D247&lt;&gt;"Serviço",0,IF(OR(AND(AUTOEVENTO="Manual",$M247=1),$M247&gt;(ROW(PLE.lastrow)-ROW(PLE.firstrow))),0,IF(OFFSET(PLE!$G$14,$M247,AY$13)="",10^12,OFFSET(PLE!$G$14,$M247,AY$13))))</f>
        <v>1000000000000</v>
      </c>
      <c r="AZ247" s="212">
        <f ca="1">IF($D247&lt;&gt;"Serviço",0,IF(OR(AND(AUTOEVENTO="Manual",$M247=1),$M247&gt;(ROW(PLE.lastrow)-ROW(PLE.firstrow))),0,IF(OFFSET(PLE!$G$14,$M247,AZ$13)="",10^12,OFFSET(PLE!$G$14,$M247,AZ$13))))</f>
        <v>1000000000000</v>
      </c>
      <c r="BA247" s="212">
        <f ca="1">IF($D247&lt;&gt;"Serviço",0,IF(OR(AND(AUTOEVENTO="Manual",$M247=1),$M247&gt;(ROW(PLE.lastrow)-ROW(PLE.firstrow))),0,IF(OFFSET(PLE!$G$14,$M247,BA$13)="",10^12,OFFSET(PLE!$G$14,$M247,BA$13))))</f>
        <v>1000000000000</v>
      </c>
      <c r="BB247" s="212">
        <f ca="1">IF($D247&lt;&gt;"Serviço",0,IF(OR(AND(AUTOEVENTO="Manual",$M247=1),$M247&gt;(ROW(PLE.lastrow)-ROW(PLE.firstrow))),0,IF(OFFSET(PLE!$G$14,$M247,BB$13)="",10^12,OFFSET(PLE!$G$14,$M247,BB$13))))</f>
        <v>1000000000000</v>
      </c>
      <c r="BC247" s="212">
        <f ca="1">IF($D247&lt;&gt;"Serviço",0,IF(OR(AND(AUTOEVENTO="Manual",$M247=1),$M247&gt;(ROW(PLE.lastrow)-ROW(PLE.firstrow))),0,IF(OFFSET(PLE!$G$14,$M247,BC$13)="",10^12,OFFSET(PLE!$G$14,$M247,BC$13))))</f>
        <v>1000000000000</v>
      </c>
      <c r="BD247" s="212">
        <f ca="1">IF($D247&lt;&gt;"Serviço",0,IF(OR(AND(AUTOEVENTO="Manual",$M247=1),$M247&gt;(ROW(PLE.lastrow)-ROW(PLE.firstrow))),0,IF(OFFSET(PLE!$G$14,$M247,BD$13)="",10^12,OFFSET(PLE!$G$14,$M247,BD$13))))</f>
        <v>1000000000000</v>
      </c>
      <c r="BE247" s="212">
        <f ca="1">IF($D247&lt;&gt;"Serviço",0,IF(OR(AND(AUTOEVENTO="Manual",$M247=1),$M247&gt;(ROW(PLE.lastrow)-ROW(PLE.firstrow))),0,IF(OFFSET(PLE!$G$14,$M247,BE$13)="",10^12,OFFSET(PLE!$G$14,$M247,BE$13))))</f>
        <v>1000000000000</v>
      </c>
      <c r="BF247" s="212">
        <f ca="1">IF($D247&lt;&gt;"Serviço",0,IF(OR(AND(AUTOEVENTO="Manual",$M247=1),$M247&gt;(ROW(PLE.lastrow)-ROW(PLE.firstrow))),0,IF(OFFSET(PLE!$G$14,$M247,BF$13)="",10^12,OFFSET(PLE!$G$14,$M247,BF$13))))</f>
        <v>1000000000000</v>
      </c>
      <c r="BG247" s="212">
        <f ca="1">IF($D247&lt;&gt;"Serviço",0,IF(OR(AND(AUTOEVENTO="Manual",$M247=1),$M247&gt;(ROW(PLE.lastrow)-ROW(PLE.firstrow))),0,IF(OFFSET(PLE!$G$14,$M247,BG$13)="",10^12,OFFSET(PLE!$G$14,$M247,BG$13))))</f>
        <v>1000000000000</v>
      </c>
    </row>
    <row r="248" spans="1:59" ht="13.2">
      <c r="A248" s="9" t="str">
        <f t="shared" ca="1" si="12"/>
        <v>15</v>
      </c>
      <c r="B248" s="9" t="str">
        <f ca="1">OFFSET(ORÇAMENTO!C$15,ROW(B248)-ROW(B$15),0)</f>
        <v>S</v>
      </c>
      <c r="C248" s="9" t="str">
        <f ca="1">OFFSET(ORÇAMENTO!L$15,ROW(C248)-ROW(C$15),0)</f>
        <v/>
      </c>
      <c r="D248" s="141" t="str">
        <f ca="1">OFFSET(ORÇAMENTO!N$15,ROW(D248)-ROW(D$15),0)</f>
        <v>Serviço</v>
      </c>
      <c r="E248" s="201" t="str">
        <f ca="1">OFFSET(ORÇAMENTO!O$15,ROW(E248)-ROW(E$15),0)</f>
        <v>-</v>
      </c>
      <c r="F248" s="202" t="str">
        <f ca="1">OFFSET(ORÇAMENTO!R$15,ROW(F248)-ROW(F$15),0)</f>
        <v>(abra o arquivo 'Referência 11-2024.xlsm)</v>
      </c>
      <c r="G248" s="203" t="str">
        <f ca="1">IF($D248&lt;&gt;"Serviço","",OFFSET(ORÇAMENTO!S$15,ROW(G248)-ROW(G$15),0))</f>
        <v>-</v>
      </c>
      <c r="H248" s="147">
        <f ca="1">IF($D248&lt;&gt;"Serviço",0,IF(ACOMPANHAMENTO="BM",ROUND(OFFSET(ORÇAMENTO!AJ$15,ROW(H248)-ROW(H$15),0),15-13*ORÇAMENTO!$AF$7),SUMPRODUCT(($Q$12:$AA$12&lt;&gt;"")*ROUND($Q248:$AA248,15-13*ORÇAMENTO!$AF$7))))</f>
        <v>0</v>
      </c>
      <c r="I248" s="645"/>
      <c r="K248" s="204"/>
      <c r="L248" s="205" t="s">
        <v>255</v>
      </c>
      <c r="M248" s="206">
        <f ca="1">IF($D248&lt;&gt;"Serviço","",IF(AUTOEVENTO="manual",$A248,IF(ISERROR(MATCH($A248,$A$15:OFFSET($A248,-1,0),0)),MAX($M$15:OFFSET(M248,-1,0))+1,INDEX($M$15:OFFSET(M248,-1,0),MATCH($A248,$A$15:OFFSET($A248,-1,0),0)))))</f>
        <v>6</v>
      </c>
      <c r="N248" s="207" t="str">
        <f ca="1">IF($D248&lt;&gt;"Serviço","",IF(AUTOEVENTO="Manual",IF($A248=0,"&lt;-- defina o número do agrupador",OFFSET(EVENTOS!$D$14,$A248,0)),OFFSET($F$15,$A248,0)))</f>
        <v>DRENAGEM</v>
      </c>
      <c r="O248" s="208"/>
      <c r="Q248" s="208"/>
      <c r="R248" s="209"/>
      <c r="S248" s="209"/>
      <c r="T248" s="209"/>
      <c r="U248" s="209"/>
      <c r="V248" s="209"/>
      <c r="W248" s="209"/>
      <c r="X248" s="209"/>
      <c r="Y248" s="209"/>
      <c r="Z248" s="210"/>
      <c r="AB248" s="626">
        <f ca="1">IF(AND($D248="Serviço",AB$12&lt;&gt;0,$H248&gt;0,OR(AUTOEVENTO&lt;&gt;"manual",$M248&lt;&gt;1)),
IF(Import.TipoArredondamento&lt;&gt;"TransfereGOV",
ROUND(OFFSET($P248,0,AB$13),15-13*ORÇAMENTO!$AF$7)/$H248*OFFSET(ORÇAMENTO!$X$15,ROW(AB248)-ROW(AB$15),0),
ROUND(ROUND(OFFSET($P248,0,AB$13),15-13*ORÇAMENTO!$AF$7)*OFFSET(ORÇAMENTO!$W$15,ROW(AB248)-ROW(AB$15),0),15-13*ORÇAMENTO!$AF$11)),0)</f>
        <v>0</v>
      </c>
      <c r="AC248" s="627">
        <f ca="1">IF(AND($D248="Serviço",AC$12&lt;&gt;0,$H248&gt;0,OR(AUTOEVENTO&lt;&gt;"manual",$M248&lt;&gt;1)),
IF(Import.TipoArredondamento&lt;&gt;"TransfereGOV",
ROUND(OFFSET($P248,0,AC$13),15-13*ORÇAMENTO!$AF$7)/$H248*OFFSET(ORÇAMENTO!$X$15,ROW(AC248)-ROW(AC$15),0),
ROUND(ROUND(OFFSET($P248,0,AC$13),15-13*ORÇAMENTO!$AF$7)*OFFSET(ORÇAMENTO!$W$15,ROW(AC248)-ROW(AC$15),0),15-13*ORÇAMENTO!$AF$11)),0)</f>
        <v>0</v>
      </c>
      <c r="AD248" s="627">
        <f ca="1">IF(AND($D248="Serviço",AD$12&lt;&gt;0,$H248&gt;0,OR(AUTOEVENTO&lt;&gt;"manual",$M248&lt;&gt;1)),
IF(Import.TipoArredondamento&lt;&gt;"TransfereGOV",
ROUND(OFFSET($P248,0,AD$13),15-13*ORÇAMENTO!$AF$7)/$H248*OFFSET(ORÇAMENTO!$X$15,ROW(AD248)-ROW(AD$15),0),
ROUND(ROUND(OFFSET($P248,0,AD$13),15-13*ORÇAMENTO!$AF$7)*OFFSET(ORÇAMENTO!$W$15,ROW(AD248)-ROW(AD$15),0),15-13*ORÇAMENTO!$AF$11)),0)</f>
        <v>0</v>
      </c>
      <c r="AE248" s="627">
        <f ca="1">IF(AND($D248="Serviço",AE$12&lt;&gt;0,$H248&gt;0,OR(AUTOEVENTO&lt;&gt;"manual",$M248&lt;&gt;1)),
IF(Import.TipoArredondamento&lt;&gt;"TransfereGOV",
ROUND(OFFSET($P248,0,AE$13),15-13*ORÇAMENTO!$AF$7)/$H248*OFFSET(ORÇAMENTO!$X$15,ROW(AE248)-ROW(AE$15),0),
ROUND(ROUND(OFFSET($P248,0,AE$13),15-13*ORÇAMENTO!$AF$7)*OFFSET(ORÇAMENTO!$W$15,ROW(AE248)-ROW(AE$15),0),15-13*ORÇAMENTO!$AF$11)),0)</f>
        <v>0</v>
      </c>
      <c r="AF248" s="627">
        <f ca="1">IF(AND($D248="Serviço",AF$12&lt;&gt;0,$H248&gt;0,OR(AUTOEVENTO&lt;&gt;"manual",$M248&lt;&gt;1)),
IF(Import.TipoArredondamento&lt;&gt;"TransfereGOV",
ROUND(OFFSET($P248,0,AF$13),15-13*ORÇAMENTO!$AF$7)/$H248*OFFSET(ORÇAMENTO!$X$15,ROW(AF248)-ROW(AF$15),0),
ROUND(ROUND(OFFSET($P248,0,AF$13),15-13*ORÇAMENTO!$AF$7)*OFFSET(ORÇAMENTO!$W$15,ROW(AF248)-ROW(AF$15),0),15-13*ORÇAMENTO!$AF$11)),0)</f>
        <v>0</v>
      </c>
      <c r="AG248" s="627">
        <f ca="1">IF(AND($D248="Serviço",AG$12&lt;&gt;0,$H248&gt;0,OR(AUTOEVENTO&lt;&gt;"manual",$M248&lt;&gt;1)),
IF(Import.TipoArredondamento&lt;&gt;"TransfereGOV",
ROUND(OFFSET($P248,0,AG$13),15-13*ORÇAMENTO!$AF$7)/$H248*OFFSET(ORÇAMENTO!$X$15,ROW(AG248)-ROW(AG$15),0),
ROUND(ROUND(OFFSET($P248,0,AG$13),15-13*ORÇAMENTO!$AF$7)*OFFSET(ORÇAMENTO!$W$15,ROW(AG248)-ROW(AG$15),0),15-13*ORÇAMENTO!$AF$11)),0)</f>
        <v>0</v>
      </c>
      <c r="AH248" s="627">
        <f ca="1">IF(AND($D248="Serviço",AH$12&lt;&gt;0,$H248&gt;0,OR(AUTOEVENTO&lt;&gt;"manual",$M248&lt;&gt;1)),
IF(Import.TipoArredondamento&lt;&gt;"TransfereGOV",
ROUND(OFFSET($P248,0,AH$13),15-13*ORÇAMENTO!$AF$7)/$H248*OFFSET(ORÇAMENTO!$X$15,ROW(AH248)-ROW(AH$15),0),
ROUND(ROUND(OFFSET($P248,0,AH$13),15-13*ORÇAMENTO!$AF$7)*OFFSET(ORÇAMENTO!$W$15,ROW(AH248)-ROW(AH$15),0),15-13*ORÇAMENTO!$AF$11)),0)</f>
        <v>0</v>
      </c>
      <c r="AI248" s="627">
        <f ca="1">IF(AND($D248="Serviço",AI$12&lt;&gt;0,$H248&gt;0,OR(AUTOEVENTO&lt;&gt;"manual",$M248&lt;&gt;1)),
IF(Import.TipoArredondamento&lt;&gt;"TransfereGOV",
ROUND(OFFSET($P248,0,AI$13),15-13*ORÇAMENTO!$AF$7)/$H248*OFFSET(ORÇAMENTO!$X$15,ROW(AI248)-ROW(AI$15),0),
ROUND(ROUND(OFFSET($P248,0,AI$13),15-13*ORÇAMENTO!$AF$7)*OFFSET(ORÇAMENTO!$W$15,ROW(AI248)-ROW(AI$15),0),15-13*ORÇAMENTO!$AF$11)),0)</f>
        <v>0</v>
      </c>
      <c r="AJ248" s="627">
        <f ca="1">IF(AND($D248="Serviço",AJ$12&lt;&gt;0,$H248&gt;0,OR(AUTOEVENTO&lt;&gt;"manual",$M248&lt;&gt;1)),
IF(Import.TipoArredondamento&lt;&gt;"TransfereGOV",
ROUND(OFFSET($P248,0,AJ$13),15-13*ORÇAMENTO!$AF$7)/$H248*OFFSET(ORÇAMENTO!$X$15,ROW(AJ248)-ROW(AJ$15),0),
ROUND(ROUND(OFFSET($P248,0,AJ$13),15-13*ORÇAMENTO!$AF$7)*OFFSET(ORÇAMENTO!$W$15,ROW(AJ248)-ROW(AJ$15),0),15-13*ORÇAMENTO!$AF$11)),0)</f>
        <v>0</v>
      </c>
      <c r="AK248" s="628">
        <f ca="1">IF(AND($D248="Serviço",AK$12&lt;&gt;0,$H248&gt;0,OR(AUTOEVENTO&lt;&gt;"manual",$M248&lt;&gt;1)),
IF(Import.TipoArredondamento&lt;&gt;"TransfereGOV",
ROUND(OFFSET($P248,0,AK$13),15-13*ORÇAMENTO!$AF$7)/$H248*OFFSET(ORÇAMENTO!$X$15,ROW(AK248)-ROW(AK$15),0),
ROUND(ROUND(OFFSET($P248,0,AK$13),15-13*ORÇAMENTO!$AF$7)*OFFSET(ORÇAMENTO!$W$15,ROW(AK248)-ROW(AK$15),0),15-13*ORÇAMENTO!$AF$11)),0)</f>
        <v>0</v>
      </c>
      <c r="AM248" s="211">
        <f ca="1">IF($D248&lt;&gt;"Serviço",0,IF(AND(AUTOEVENTO="Manual",$M248=1),0,IF(OFFSET(CRONOPLE!$F$14,$M248,AM$13)="",10^12,OFFSET(CRONOPLE!$F$14,$M248,AM$13))))</f>
        <v>2</v>
      </c>
      <c r="AN248" s="211">
        <f ca="1">IF($D248&lt;&gt;"Serviço",0,IF(AND(AUTOEVENTO="Manual",$M248=1),0,IF(OFFSET(CRONOPLE!$F$14,$M248,AN$13)="",10^12,OFFSET(CRONOPLE!$F$14,$M248,AN$13))))</f>
        <v>1</v>
      </c>
      <c r="AO248" s="211">
        <f ca="1">IF($D248&lt;&gt;"Serviço",0,IF(AND(AUTOEVENTO="Manual",$M248=1),0,IF(OFFSET(CRONOPLE!$F$14,$M248,AO$13)="",10^12,OFFSET(CRONOPLE!$F$14,$M248,AO$13))))</f>
        <v>2</v>
      </c>
      <c r="AP248" s="211">
        <f ca="1">IF($D248&lt;&gt;"Serviço",0,IF(AND(AUTOEVENTO="Manual",$M248=1),0,IF(OFFSET(CRONOPLE!$F$14,$M248,AP$13)="",10^12,OFFSET(CRONOPLE!$F$14,$M248,AP$13))))</f>
        <v>2</v>
      </c>
      <c r="AQ248" s="211">
        <f ca="1">IF($D248&lt;&gt;"Serviço",0,IF(AND(AUTOEVENTO="Manual",$M248=1),0,IF(OFFSET(CRONOPLE!$F$14,$M248,AQ$13)="",10^12,OFFSET(CRONOPLE!$F$14,$M248,AQ$13))))</f>
        <v>1000000000000</v>
      </c>
      <c r="AR248" s="211">
        <f ca="1">IF($D248&lt;&gt;"Serviço",0,IF(AND(AUTOEVENTO="Manual",$M248=1),0,IF(OFFSET(CRONOPLE!$F$14,$M248,AR$13)="",10^12,OFFSET(CRONOPLE!$F$14,$M248,AR$13))))</f>
        <v>1000000000000</v>
      </c>
      <c r="AS248" s="211">
        <f ca="1">IF($D248&lt;&gt;"Serviço",0,IF(AND(AUTOEVENTO="Manual",$M248=1),0,IF(OFFSET(CRONOPLE!$F$14,$M248,AS$13)="",10^12,OFFSET(CRONOPLE!$F$14,$M248,AS$13))))</f>
        <v>1000000000000</v>
      </c>
      <c r="AT248" s="211">
        <f ca="1">IF($D248&lt;&gt;"Serviço",0,IF(AND(AUTOEVENTO="Manual",$M248=1),0,IF(OFFSET(CRONOPLE!$F$14,$M248,AT$13)="",10^12,OFFSET(CRONOPLE!$F$14,$M248,AT$13))))</f>
        <v>1000000000000</v>
      </c>
      <c r="AU248" s="211">
        <f ca="1">IF($D248&lt;&gt;"Serviço",0,IF(AND(AUTOEVENTO="Manual",$M248=1),0,IF(OFFSET(CRONOPLE!$F$14,$M248,AU$13)="",10^12,OFFSET(CRONOPLE!$F$14,$M248,AU$13))))</f>
        <v>1000000000000</v>
      </c>
      <c r="AV248" s="211">
        <f ca="1">IF($D248&lt;&gt;"Serviço",0,IF(AND(AUTOEVENTO="Manual",$M248=1),0,IF(OFFSET(CRONOPLE!$F$14,$M248,AV$13)="",10^12,OFFSET(CRONOPLE!$F$14,$M248,AV$13))))</f>
        <v>1000000000000</v>
      </c>
      <c r="AX248" s="212">
        <f ca="1">IF($D248&lt;&gt;"Serviço",0,IF(OR(AND(AUTOEVENTO="Manual",$M248=1),$M248&gt;(ROW(PLE.lastrow)-ROW(PLE.firstrow))),0,IF(OFFSET(PLE!$G$14,$M248,AX$13)="",10^12,OFFSET(PLE!$G$14,$M248,AX$13))))</f>
        <v>1000000000000</v>
      </c>
      <c r="AY248" s="212">
        <f ca="1">IF($D248&lt;&gt;"Serviço",0,IF(OR(AND(AUTOEVENTO="Manual",$M248=1),$M248&gt;(ROW(PLE.lastrow)-ROW(PLE.firstrow))),0,IF(OFFSET(PLE!$G$14,$M248,AY$13)="",10^12,OFFSET(PLE!$G$14,$M248,AY$13))))</f>
        <v>1000000000000</v>
      </c>
      <c r="AZ248" s="212">
        <f ca="1">IF($D248&lt;&gt;"Serviço",0,IF(OR(AND(AUTOEVENTO="Manual",$M248=1),$M248&gt;(ROW(PLE.lastrow)-ROW(PLE.firstrow))),0,IF(OFFSET(PLE!$G$14,$M248,AZ$13)="",10^12,OFFSET(PLE!$G$14,$M248,AZ$13))))</f>
        <v>1000000000000</v>
      </c>
      <c r="BA248" s="212">
        <f ca="1">IF($D248&lt;&gt;"Serviço",0,IF(OR(AND(AUTOEVENTO="Manual",$M248=1),$M248&gt;(ROW(PLE.lastrow)-ROW(PLE.firstrow))),0,IF(OFFSET(PLE!$G$14,$M248,BA$13)="",10^12,OFFSET(PLE!$G$14,$M248,BA$13))))</f>
        <v>1000000000000</v>
      </c>
      <c r="BB248" s="212">
        <f ca="1">IF($D248&lt;&gt;"Serviço",0,IF(OR(AND(AUTOEVENTO="Manual",$M248=1),$M248&gt;(ROW(PLE.lastrow)-ROW(PLE.firstrow))),0,IF(OFFSET(PLE!$G$14,$M248,BB$13)="",10^12,OFFSET(PLE!$G$14,$M248,BB$13))))</f>
        <v>1000000000000</v>
      </c>
      <c r="BC248" s="212">
        <f ca="1">IF($D248&lt;&gt;"Serviço",0,IF(OR(AND(AUTOEVENTO="Manual",$M248=1),$M248&gt;(ROW(PLE.lastrow)-ROW(PLE.firstrow))),0,IF(OFFSET(PLE!$G$14,$M248,BC$13)="",10^12,OFFSET(PLE!$G$14,$M248,BC$13))))</f>
        <v>1000000000000</v>
      </c>
      <c r="BD248" s="212">
        <f ca="1">IF($D248&lt;&gt;"Serviço",0,IF(OR(AND(AUTOEVENTO="Manual",$M248=1),$M248&gt;(ROW(PLE.lastrow)-ROW(PLE.firstrow))),0,IF(OFFSET(PLE!$G$14,$M248,BD$13)="",10^12,OFFSET(PLE!$G$14,$M248,BD$13))))</f>
        <v>1000000000000</v>
      </c>
      <c r="BE248" s="212">
        <f ca="1">IF($D248&lt;&gt;"Serviço",0,IF(OR(AND(AUTOEVENTO="Manual",$M248=1),$M248&gt;(ROW(PLE.lastrow)-ROW(PLE.firstrow))),0,IF(OFFSET(PLE!$G$14,$M248,BE$13)="",10^12,OFFSET(PLE!$G$14,$M248,BE$13))))</f>
        <v>1000000000000</v>
      </c>
      <c r="BF248" s="212">
        <f ca="1">IF($D248&lt;&gt;"Serviço",0,IF(OR(AND(AUTOEVENTO="Manual",$M248=1),$M248&gt;(ROW(PLE.lastrow)-ROW(PLE.firstrow))),0,IF(OFFSET(PLE!$G$14,$M248,BF$13)="",10^12,OFFSET(PLE!$G$14,$M248,BF$13))))</f>
        <v>1000000000000</v>
      </c>
      <c r="BG248" s="212">
        <f ca="1">IF($D248&lt;&gt;"Serviço",0,IF(OR(AND(AUTOEVENTO="Manual",$M248=1),$M248&gt;(ROW(PLE.lastrow)-ROW(PLE.firstrow))),0,IF(OFFSET(PLE!$G$14,$M248,BG$13)="",10^12,OFFSET(PLE!$G$14,$M248,BG$13))))</f>
        <v>1000000000000</v>
      </c>
    </row>
    <row r="249" spans="1:59" ht="13.2">
      <c r="A249" s="9" t="str">
        <f t="shared" ca="1" si="12"/>
        <v>15</v>
      </c>
      <c r="B249" s="9" t="str">
        <f ca="1">OFFSET(ORÇAMENTO!C$15,ROW(B249)-ROW(B$15),0)</f>
        <v>S</v>
      </c>
      <c r="C249" s="9" t="str">
        <f ca="1">OFFSET(ORÇAMENTO!L$15,ROW(C249)-ROW(C$15),0)</f>
        <v/>
      </c>
      <c r="D249" s="141" t="str">
        <f ca="1">OFFSET(ORÇAMENTO!N$15,ROW(D249)-ROW(D$15),0)</f>
        <v>Serviço</v>
      </c>
      <c r="E249" s="201" t="str">
        <f ca="1">OFFSET(ORÇAMENTO!O$15,ROW(E249)-ROW(E$15),0)</f>
        <v>-</v>
      </c>
      <c r="F249" s="202" t="str">
        <f ca="1">OFFSET(ORÇAMENTO!R$15,ROW(F249)-ROW(F$15),0)</f>
        <v>(abra o arquivo 'Referência 11-2024.xlsm)</v>
      </c>
      <c r="G249" s="203" t="str">
        <f ca="1">IF($D249&lt;&gt;"Serviço","",OFFSET(ORÇAMENTO!S$15,ROW(G249)-ROW(G$15),0))</f>
        <v>-</v>
      </c>
      <c r="H249" s="147">
        <f ca="1">IF($D249&lt;&gt;"Serviço",0,IF(ACOMPANHAMENTO="BM",ROUND(OFFSET(ORÇAMENTO!AJ$15,ROW(H249)-ROW(H$15),0),15-13*ORÇAMENTO!$AF$7),SUMPRODUCT(($Q$12:$AA$12&lt;&gt;"")*ROUND($Q249:$AA249,15-13*ORÇAMENTO!$AF$7))))</f>
        <v>0</v>
      </c>
      <c r="I249" s="645"/>
      <c r="K249" s="204"/>
      <c r="L249" s="205" t="s">
        <v>255</v>
      </c>
      <c r="M249" s="206">
        <f ca="1">IF($D249&lt;&gt;"Serviço","",IF(AUTOEVENTO="manual",$A249,IF(ISERROR(MATCH($A249,$A$15:OFFSET($A249,-1,0),0)),MAX($M$15:OFFSET(M249,-1,0))+1,INDEX($M$15:OFFSET(M249,-1,0),MATCH($A249,$A$15:OFFSET($A249,-1,0),0)))))</f>
        <v>6</v>
      </c>
      <c r="N249" s="207" t="str">
        <f ca="1">IF($D249&lt;&gt;"Serviço","",IF(AUTOEVENTO="Manual",IF($A249=0,"&lt;-- defina o número do agrupador",OFFSET(EVENTOS!$D$14,$A249,0)),OFFSET($F$15,$A249,0)))</f>
        <v>DRENAGEM</v>
      </c>
      <c r="O249" s="208"/>
      <c r="Q249" s="208"/>
      <c r="R249" s="209"/>
      <c r="S249" s="209"/>
      <c r="T249" s="209"/>
      <c r="U249" s="209"/>
      <c r="V249" s="209"/>
      <c r="W249" s="209"/>
      <c r="X249" s="209"/>
      <c r="Y249" s="209"/>
      <c r="Z249" s="210"/>
      <c r="AB249" s="626">
        <f ca="1">IF(AND($D249="Serviço",AB$12&lt;&gt;0,$H249&gt;0,OR(AUTOEVENTO&lt;&gt;"manual",$M249&lt;&gt;1)),
IF(Import.TipoArredondamento&lt;&gt;"TransfereGOV",
ROUND(OFFSET($P249,0,AB$13),15-13*ORÇAMENTO!$AF$7)/$H249*OFFSET(ORÇAMENTO!$X$15,ROW(AB249)-ROW(AB$15),0),
ROUND(ROUND(OFFSET($P249,0,AB$13),15-13*ORÇAMENTO!$AF$7)*OFFSET(ORÇAMENTO!$W$15,ROW(AB249)-ROW(AB$15),0),15-13*ORÇAMENTO!$AF$11)),0)</f>
        <v>0</v>
      </c>
      <c r="AC249" s="627">
        <f ca="1">IF(AND($D249="Serviço",AC$12&lt;&gt;0,$H249&gt;0,OR(AUTOEVENTO&lt;&gt;"manual",$M249&lt;&gt;1)),
IF(Import.TipoArredondamento&lt;&gt;"TransfereGOV",
ROUND(OFFSET($P249,0,AC$13),15-13*ORÇAMENTO!$AF$7)/$H249*OFFSET(ORÇAMENTO!$X$15,ROW(AC249)-ROW(AC$15),0),
ROUND(ROUND(OFFSET($P249,0,AC$13),15-13*ORÇAMENTO!$AF$7)*OFFSET(ORÇAMENTO!$W$15,ROW(AC249)-ROW(AC$15),0),15-13*ORÇAMENTO!$AF$11)),0)</f>
        <v>0</v>
      </c>
      <c r="AD249" s="627">
        <f ca="1">IF(AND($D249="Serviço",AD$12&lt;&gt;0,$H249&gt;0,OR(AUTOEVENTO&lt;&gt;"manual",$M249&lt;&gt;1)),
IF(Import.TipoArredondamento&lt;&gt;"TransfereGOV",
ROUND(OFFSET($P249,0,AD$13),15-13*ORÇAMENTO!$AF$7)/$H249*OFFSET(ORÇAMENTO!$X$15,ROW(AD249)-ROW(AD$15),0),
ROUND(ROUND(OFFSET($P249,0,AD$13),15-13*ORÇAMENTO!$AF$7)*OFFSET(ORÇAMENTO!$W$15,ROW(AD249)-ROW(AD$15),0),15-13*ORÇAMENTO!$AF$11)),0)</f>
        <v>0</v>
      </c>
      <c r="AE249" s="627">
        <f ca="1">IF(AND($D249="Serviço",AE$12&lt;&gt;0,$H249&gt;0,OR(AUTOEVENTO&lt;&gt;"manual",$M249&lt;&gt;1)),
IF(Import.TipoArredondamento&lt;&gt;"TransfereGOV",
ROUND(OFFSET($P249,0,AE$13),15-13*ORÇAMENTO!$AF$7)/$H249*OFFSET(ORÇAMENTO!$X$15,ROW(AE249)-ROW(AE$15),0),
ROUND(ROUND(OFFSET($P249,0,AE$13),15-13*ORÇAMENTO!$AF$7)*OFFSET(ORÇAMENTO!$W$15,ROW(AE249)-ROW(AE$15),0),15-13*ORÇAMENTO!$AF$11)),0)</f>
        <v>0</v>
      </c>
      <c r="AF249" s="627">
        <f ca="1">IF(AND($D249="Serviço",AF$12&lt;&gt;0,$H249&gt;0,OR(AUTOEVENTO&lt;&gt;"manual",$M249&lt;&gt;1)),
IF(Import.TipoArredondamento&lt;&gt;"TransfereGOV",
ROUND(OFFSET($P249,0,AF$13),15-13*ORÇAMENTO!$AF$7)/$H249*OFFSET(ORÇAMENTO!$X$15,ROW(AF249)-ROW(AF$15),0),
ROUND(ROUND(OFFSET($P249,0,AF$13),15-13*ORÇAMENTO!$AF$7)*OFFSET(ORÇAMENTO!$W$15,ROW(AF249)-ROW(AF$15),0),15-13*ORÇAMENTO!$AF$11)),0)</f>
        <v>0</v>
      </c>
      <c r="AG249" s="627">
        <f ca="1">IF(AND($D249="Serviço",AG$12&lt;&gt;0,$H249&gt;0,OR(AUTOEVENTO&lt;&gt;"manual",$M249&lt;&gt;1)),
IF(Import.TipoArredondamento&lt;&gt;"TransfereGOV",
ROUND(OFFSET($P249,0,AG$13),15-13*ORÇAMENTO!$AF$7)/$H249*OFFSET(ORÇAMENTO!$X$15,ROW(AG249)-ROW(AG$15),0),
ROUND(ROUND(OFFSET($P249,0,AG$13),15-13*ORÇAMENTO!$AF$7)*OFFSET(ORÇAMENTO!$W$15,ROW(AG249)-ROW(AG$15),0),15-13*ORÇAMENTO!$AF$11)),0)</f>
        <v>0</v>
      </c>
      <c r="AH249" s="627">
        <f ca="1">IF(AND($D249="Serviço",AH$12&lt;&gt;0,$H249&gt;0,OR(AUTOEVENTO&lt;&gt;"manual",$M249&lt;&gt;1)),
IF(Import.TipoArredondamento&lt;&gt;"TransfereGOV",
ROUND(OFFSET($P249,0,AH$13),15-13*ORÇAMENTO!$AF$7)/$H249*OFFSET(ORÇAMENTO!$X$15,ROW(AH249)-ROW(AH$15),0),
ROUND(ROUND(OFFSET($P249,0,AH$13),15-13*ORÇAMENTO!$AF$7)*OFFSET(ORÇAMENTO!$W$15,ROW(AH249)-ROW(AH$15),0),15-13*ORÇAMENTO!$AF$11)),0)</f>
        <v>0</v>
      </c>
      <c r="AI249" s="627">
        <f ca="1">IF(AND($D249="Serviço",AI$12&lt;&gt;0,$H249&gt;0,OR(AUTOEVENTO&lt;&gt;"manual",$M249&lt;&gt;1)),
IF(Import.TipoArredondamento&lt;&gt;"TransfereGOV",
ROUND(OFFSET($P249,0,AI$13),15-13*ORÇAMENTO!$AF$7)/$H249*OFFSET(ORÇAMENTO!$X$15,ROW(AI249)-ROW(AI$15),0),
ROUND(ROUND(OFFSET($P249,0,AI$13),15-13*ORÇAMENTO!$AF$7)*OFFSET(ORÇAMENTO!$W$15,ROW(AI249)-ROW(AI$15),0),15-13*ORÇAMENTO!$AF$11)),0)</f>
        <v>0</v>
      </c>
      <c r="AJ249" s="627">
        <f ca="1">IF(AND($D249="Serviço",AJ$12&lt;&gt;0,$H249&gt;0,OR(AUTOEVENTO&lt;&gt;"manual",$M249&lt;&gt;1)),
IF(Import.TipoArredondamento&lt;&gt;"TransfereGOV",
ROUND(OFFSET($P249,0,AJ$13),15-13*ORÇAMENTO!$AF$7)/$H249*OFFSET(ORÇAMENTO!$X$15,ROW(AJ249)-ROW(AJ$15),0),
ROUND(ROUND(OFFSET($P249,0,AJ$13),15-13*ORÇAMENTO!$AF$7)*OFFSET(ORÇAMENTO!$W$15,ROW(AJ249)-ROW(AJ$15),0),15-13*ORÇAMENTO!$AF$11)),0)</f>
        <v>0</v>
      </c>
      <c r="AK249" s="628">
        <f ca="1">IF(AND($D249="Serviço",AK$12&lt;&gt;0,$H249&gt;0,OR(AUTOEVENTO&lt;&gt;"manual",$M249&lt;&gt;1)),
IF(Import.TipoArredondamento&lt;&gt;"TransfereGOV",
ROUND(OFFSET($P249,0,AK$13),15-13*ORÇAMENTO!$AF$7)/$H249*OFFSET(ORÇAMENTO!$X$15,ROW(AK249)-ROW(AK$15),0),
ROUND(ROUND(OFFSET($P249,0,AK$13),15-13*ORÇAMENTO!$AF$7)*OFFSET(ORÇAMENTO!$W$15,ROW(AK249)-ROW(AK$15),0),15-13*ORÇAMENTO!$AF$11)),0)</f>
        <v>0</v>
      </c>
      <c r="AM249" s="211">
        <f ca="1">IF($D249&lt;&gt;"Serviço",0,IF(AND(AUTOEVENTO="Manual",$M249=1),0,IF(OFFSET(CRONOPLE!$F$14,$M249,AM$13)="",10^12,OFFSET(CRONOPLE!$F$14,$M249,AM$13))))</f>
        <v>2</v>
      </c>
      <c r="AN249" s="211">
        <f ca="1">IF($D249&lt;&gt;"Serviço",0,IF(AND(AUTOEVENTO="Manual",$M249=1),0,IF(OFFSET(CRONOPLE!$F$14,$M249,AN$13)="",10^12,OFFSET(CRONOPLE!$F$14,$M249,AN$13))))</f>
        <v>1</v>
      </c>
      <c r="AO249" s="211">
        <f ca="1">IF($D249&lt;&gt;"Serviço",0,IF(AND(AUTOEVENTO="Manual",$M249=1),0,IF(OFFSET(CRONOPLE!$F$14,$M249,AO$13)="",10^12,OFFSET(CRONOPLE!$F$14,$M249,AO$13))))</f>
        <v>2</v>
      </c>
      <c r="AP249" s="211">
        <f ca="1">IF($D249&lt;&gt;"Serviço",0,IF(AND(AUTOEVENTO="Manual",$M249=1),0,IF(OFFSET(CRONOPLE!$F$14,$M249,AP$13)="",10^12,OFFSET(CRONOPLE!$F$14,$M249,AP$13))))</f>
        <v>2</v>
      </c>
      <c r="AQ249" s="211">
        <f ca="1">IF($D249&lt;&gt;"Serviço",0,IF(AND(AUTOEVENTO="Manual",$M249=1),0,IF(OFFSET(CRONOPLE!$F$14,$M249,AQ$13)="",10^12,OFFSET(CRONOPLE!$F$14,$M249,AQ$13))))</f>
        <v>1000000000000</v>
      </c>
      <c r="AR249" s="211">
        <f ca="1">IF($D249&lt;&gt;"Serviço",0,IF(AND(AUTOEVENTO="Manual",$M249=1),0,IF(OFFSET(CRONOPLE!$F$14,$M249,AR$13)="",10^12,OFFSET(CRONOPLE!$F$14,$M249,AR$13))))</f>
        <v>1000000000000</v>
      </c>
      <c r="AS249" s="211">
        <f ca="1">IF($D249&lt;&gt;"Serviço",0,IF(AND(AUTOEVENTO="Manual",$M249=1),0,IF(OFFSET(CRONOPLE!$F$14,$M249,AS$13)="",10^12,OFFSET(CRONOPLE!$F$14,$M249,AS$13))))</f>
        <v>1000000000000</v>
      </c>
      <c r="AT249" s="211">
        <f ca="1">IF($D249&lt;&gt;"Serviço",0,IF(AND(AUTOEVENTO="Manual",$M249=1),0,IF(OFFSET(CRONOPLE!$F$14,$M249,AT$13)="",10^12,OFFSET(CRONOPLE!$F$14,$M249,AT$13))))</f>
        <v>1000000000000</v>
      </c>
      <c r="AU249" s="211">
        <f ca="1">IF($D249&lt;&gt;"Serviço",0,IF(AND(AUTOEVENTO="Manual",$M249=1),0,IF(OFFSET(CRONOPLE!$F$14,$M249,AU$13)="",10^12,OFFSET(CRONOPLE!$F$14,$M249,AU$13))))</f>
        <v>1000000000000</v>
      </c>
      <c r="AV249" s="211">
        <f ca="1">IF($D249&lt;&gt;"Serviço",0,IF(AND(AUTOEVENTO="Manual",$M249=1),0,IF(OFFSET(CRONOPLE!$F$14,$M249,AV$13)="",10^12,OFFSET(CRONOPLE!$F$14,$M249,AV$13))))</f>
        <v>1000000000000</v>
      </c>
      <c r="AX249" s="212">
        <f ca="1">IF($D249&lt;&gt;"Serviço",0,IF(OR(AND(AUTOEVENTO="Manual",$M249=1),$M249&gt;(ROW(PLE.lastrow)-ROW(PLE.firstrow))),0,IF(OFFSET(PLE!$G$14,$M249,AX$13)="",10^12,OFFSET(PLE!$G$14,$M249,AX$13))))</f>
        <v>1000000000000</v>
      </c>
      <c r="AY249" s="212">
        <f ca="1">IF($D249&lt;&gt;"Serviço",0,IF(OR(AND(AUTOEVENTO="Manual",$M249=1),$M249&gt;(ROW(PLE.lastrow)-ROW(PLE.firstrow))),0,IF(OFFSET(PLE!$G$14,$M249,AY$13)="",10^12,OFFSET(PLE!$G$14,$M249,AY$13))))</f>
        <v>1000000000000</v>
      </c>
      <c r="AZ249" s="212">
        <f ca="1">IF($D249&lt;&gt;"Serviço",0,IF(OR(AND(AUTOEVENTO="Manual",$M249=1),$M249&gt;(ROW(PLE.lastrow)-ROW(PLE.firstrow))),0,IF(OFFSET(PLE!$G$14,$M249,AZ$13)="",10^12,OFFSET(PLE!$G$14,$M249,AZ$13))))</f>
        <v>1000000000000</v>
      </c>
      <c r="BA249" s="212">
        <f ca="1">IF($D249&lt;&gt;"Serviço",0,IF(OR(AND(AUTOEVENTO="Manual",$M249=1),$M249&gt;(ROW(PLE.lastrow)-ROW(PLE.firstrow))),0,IF(OFFSET(PLE!$G$14,$M249,BA$13)="",10^12,OFFSET(PLE!$G$14,$M249,BA$13))))</f>
        <v>1000000000000</v>
      </c>
      <c r="BB249" s="212">
        <f ca="1">IF($D249&lt;&gt;"Serviço",0,IF(OR(AND(AUTOEVENTO="Manual",$M249=1),$M249&gt;(ROW(PLE.lastrow)-ROW(PLE.firstrow))),0,IF(OFFSET(PLE!$G$14,$M249,BB$13)="",10^12,OFFSET(PLE!$G$14,$M249,BB$13))))</f>
        <v>1000000000000</v>
      </c>
      <c r="BC249" s="212">
        <f ca="1">IF($D249&lt;&gt;"Serviço",0,IF(OR(AND(AUTOEVENTO="Manual",$M249=1),$M249&gt;(ROW(PLE.lastrow)-ROW(PLE.firstrow))),0,IF(OFFSET(PLE!$G$14,$M249,BC$13)="",10^12,OFFSET(PLE!$G$14,$M249,BC$13))))</f>
        <v>1000000000000</v>
      </c>
      <c r="BD249" s="212">
        <f ca="1">IF($D249&lt;&gt;"Serviço",0,IF(OR(AND(AUTOEVENTO="Manual",$M249=1),$M249&gt;(ROW(PLE.lastrow)-ROW(PLE.firstrow))),0,IF(OFFSET(PLE!$G$14,$M249,BD$13)="",10^12,OFFSET(PLE!$G$14,$M249,BD$13))))</f>
        <v>1000000000000</v>
      </c>
      <c r="BE249" s="212">
        <f ca="1">IF($D249&lt;&gt;"Serviço",0,IF(OR(AND(AUTOEVENTO="Manual",$M249=1),$M249&gt;(ROW(PLE.lastrow)-ROW(PLE.firstrow))),0,IF(OFFSET(PLE!$G$14,$M249,BE$13)="",10^12,OFFSET(PLE!$G$14,$M249,BE$13))))</f>
        <v>1000000000000</v>
      </c>
      <c r="BF249" s="212">
        <f ca="1">IF($D249&lt;&gt;"Serviço",0,IF(OR(AND(AUTOEVENTO="Manual",$M249=1),$M249&gt;(ROW(PLE.lastrow)-ROW(PLE.firstrow))),0,IF(OFFSET(PLE!$G$14,$M249,BF$13)="",10^12,OFFSET(PLE!$G$14,$M249,BF$13))))</f>
        <v>1000000000000</v>
      </c>
      <c r="BG249" s="212">
        <f ca="1">IF($D249&lt;&gt;"Serviço",0,IF(OR(AND(AUTOEVENTO="Manual",$M249=1),$M249&gt;(ROW(PLE.lastrow)-ROW(PLE.firstrow))),0,IF(OFFSET(PLE!$G$14,$M249,BG$13)="",10^12,OFFSET(PLE!$G$14,$M249,BG$13))))</f>
        <v>1000000000000</v>
      </c>
    </row>
    <row r="250" spans="1:59" ht="13.2">
      <c r="A250" s="9" t="str">
        <f t="shared" ca="1" si="12"/>
        <v>15</v>
      </c>
      <c r="B250" s="9" t="str">
        <f ca="1">OFFSET(ORÇAMENTO!C$15,ROW(B250)-ROW(B$15),0)</f>
        <v>S</v>
      </c>
      <c r="C250" s="9" t="str">
        <f ca="1">OFFSET(ORÇAMENTO!L$15,ROW(C250)-ROW(C$15),0)</f>
        <v/>
      </c>
      <c r="D250" s="141" t="str">
        <f ca="1">OFFSET(ORÇAMENTO!N$15,ROW(D250)-ROW(D$15),0)</f>
        <v>Serviço</v>
      </c>
      <c r="E250" s="201" t="str">
        <f ca="1">OFFSET(ORÇAMENTO!O$15,ROW(E250)-ROW(E$15),0)</f>
        <v>-</v>
      </c>
      <c r="F250" s="202" t="str">
        <f ca="1">OFFSET(ORÇAMENTO!R$15,ROW(F250)-ROW(F$15),0)</f>
        <v>(abra o arquivo 'Referência 11-2024.xlsm)</v>
      </c>
      <c r="G250" s="203" t="str">
        <f ca="1">IF($D250&lt;&gt;"Serviço","",OFFSET(ORÇAMENTO!S$15,ROW(G250)-ROW(G$15),0))</f>
        <v>-</v>
      </c>
      <c r="H250" s="147">
        <f ca="1">IF($D250&lt;&gt;"Serviço",0,IF(ACOMPANHAMENTO="BM",ROUND(OFFSET(ORÇAMENTO!AJ$15,ROW(H250)-ROW(H$15),0),15-13*ORÇAMENTO!$AF$7),SUMPRODUCT(($Q$12:$AA$12&lt;&gt;"")*ROUND($Q250:$AA250,15-13*ORÇAMENTO!$AF$7))))</f>
        <v>0</v>
      </c>
      <c r="I250" s="645"/>
      <c r="K250" s="204"/>
      <c r="L250" s="205" t="s">
        <v>255</v>
      </c>
      <c r="M250" s="206">
        <f ca="1">IF($D250&lt;&gt;"Serviço","",IF(AUTOEVENTO="manual",$A250,IF(ISERROR(MATCH($A250,$A$15:OFFSET($A250,-1,0),0)),MAX($M$15:OFFSET(M250,-1,0))+1,INDEX($M$15:OFFSET(M250,-1,0),MATCH($A250,$A$15:OFFSET($A250,-1,0),0)))))</f>
        <v>6</v>
      </c>
      <c r="N250" s="207" t="str">
        <f ca="1">IF($D250&lt;&gt;"Serviço","",IF(AUTOEVENTO="Manual",IF($A250=0,"&lt;-- defina o número do agrupador",OFFSET(EVENTOS!$D$14,$A250,0)),OFFSET($F$15,$A250,0)))</f>
        <v>DRENAGEM</v>
      </c>
      <c r="O250" s="208"/>
      <c r="Q250" s="208"/>
      <c r="R250" s="209"/>
      <c r="S250" s="209"/>
      <c r="T250" s="209"/>
      <c r="U250" s="209"/>
      <c r="V250" s="209"/>
      <c r="W250" s="209"/>
      <c r="X250" s="209"/>
      <c r="Y250" s="209"/>
      <c r="Z250" s="210"/>
      <c r="AB250" s="626">
        <f ca="1">IF(AND($D250="Serviço",AB$12&lt;&gt;0,$H250&gt;0,OR(AUTOEVENTO&lt;&gt;"manual",$M250&lt;&gt;1)),
IF(Import.TipoArredondamento&lt;&gt;"TransfereGOV",
ROUND(OFFSET($P250,0,AB$13),15-13*ORÇAMENTO!$AF$7)/$H250*OFFSET(ORÇAMENTO!$X$15,ROW(AB250)-ROW(AB$15),0),
ROUND(ROUND(OFFSET($P250,0,AB$13),15-13*ORÇAMENTO!$AF$7)*OFFSET(ORÇAMENTO!$W$15,ROW(AB250)-ROW(AB$15),0),15-13*ORÇAMENTO!$AF$11)),0)</f>
        <v>0</v>
      </c>
      <c r="AC250" s="627">
        <f ca="1">IF(AND($D250="Serviço",AC$12&lt;&gt;0,$H250&gt;0,OR(AUTOEVENTO&lt;&gt;"manual",$M250&lt;&gt;1)),
IF(Import.TipoArredondamento&lt;&gt;"TransfereGOV",
ROUND(OFFSET($P250,0,AC$13),15-13*ORÇAMENTO!$AF$7)/$H250*OFFSET(ORÇAMENTO!$X$15,ROW(AC250)-ROW(AC$15),0),
ROUND(ROUND(OFFSET($P250,0,AC$13),15-13*ORÇAMENTO!$AF$7)*OFFSET(ORÇAMENTO!$W$15,ROW(AC250)-ROW(AC$15),0),15-13*ORÇAMENTO!$AF$11)),0)</f>
        <v>0</v>
      </c>
      <c r="AD250" s="627">
        <f ca="1">IF(AND($D250="Serviço",AD$12&lt;&gt;0,$H250&gt;0,OR(AUTOEVENTO&lt;&gt;"manual",$M250&lt;&gt;1)),
IF(Import.TipoArredondamento&lt;&gt;"TransfereGOV",
ROUND(OFFSET($P250,0,AD$13),15-13*ORÇAMENTO!$AF$7)/$H250*OFFSET(ORÇAMENTO!$X$15,ROW(AD250)-ROW(AD$15),0),
ROUND(ROUND(OFFSET($P250,0,AD$13),15-13*ORÇAMENTO!$AF$7)*OFFSET(ORÇAMENTO!$W$15,ROW(AD250)-ROW(AD$15),0),15-13*ORÇAMENTO!$AF$11)),0)</f>
        <v>0</v>
      </c>
      <c r="AE250" s="627">
        <f ca="1">IF(AND($D250="Serviço",AE$12&lt;&gt;0,$H250&gt;0,OR(AUTOEVENTO&lt;&gt;"manual",$M250&lt;&gt;1)),
IF(Import.TipoArredondamento&lt;&gt;"TransfereGOV",
ROUND(OFFSET($P250,0,AE$13),15-13*ORÇAMENTO!$AF$7)/$H250*OFFSET(ORÇAMENTO!$X$15,ROW(AE250)-ROW(AE$15),0),
ROUND(ROUND(OFFSET($P250,0,AE$13),15-13*ORÇAMENTO!$AF$7)*OFFSET(ORÇAMENTO!$W$15,ROW(AE250)-ROW(AE$15),0),15-13*ORÇAMENTO!$AF$11)),0)</f>
        <v>0</v>
      </c>
      <c r="AF250" s="627">
        <f ca="1">IF(AND($D250="Serviço",AF$12&lt;&gt;0,$H250&gt;0,OR(AUTOEVENTO&lt;&gt;"manual",$M250&lt;&gt;1)),
IF(Import.TipoArredondamento&lt;&gt;"TransfereGOV",
ROUND(OFFSET($P250,0,AF$13),15-13*ORÇAMENTO!$AF$7)/$H250*OFFSET(ORÇAMENTO!$X$15,ROW(AF250)-ROW(AF$15),0),
ROUND(ROUND(OFFSET($P250,0,AF$13),15-13*ORÇAMENTO!$AF$7)*OFFSET(ORÇAMENTO!$W$15,ROW(AF250)-ROW(AF$15),0),15-13*ORÇAMENTO!$AF$11)),0)</f>
        <v>0</v>
      </c>
      <c r="AG250" s="627">
        <f ca="1">IF(AND($D250="Serviço",AG$12&lt;&gt;0,$H250&gt;0,OR(AUTOEVENTO&lt;&gt;"manual",$M250&lt;&gt;1)),
IF(Import.TipoArredondamento&lt;&gt;"TransfereGOV",
ROUND(OFFSET($P250,0,AG$13),15-13*ORÇAMENTO!$AF$7)/$H250*OFFSET(ORÇAMENTO!$X$15,ROW(AG250)-ROW(AG$15),0),
ROUND(ROUND(OFFSET($P250,0,AG$13),15-13*ORÇAMENTO!$AF$7)*OFFSET(ORÇAMENTO!$W$15,ROW(AG250)-ROW(AG$15),0),15-13*ORÇAMENTO!$AF$11)),0)</f>
        <v>0</v>
      </c>
      <c r="AH250" s="627">
        <f ca="1">IF(AND($D250="Serviço",AH$12&lt;&gt;0,$H250&gt;0,OR(AUTOEVENTO&lt;&gt;"manual",$M250&lt;&gt;1)),
IF(Import.TipoArredondamento&lt;&gt;"TransfereGOV",
ROUND(OFFSET($P250,0,AH$13),15-13*ORÇAMENTO!$AF$7)/$H250*OFFSET(ORÇAMENTO!$X$15,ROW(AH250)-ROW(AH$15),0),
ROUND(ROUND(OFFSET($P250,0,AH$13),15-13*ORÇAMENTO!$AF$7)*OFFSET(ORÇAMENTO!$W$15,ROW(AH250)-ROW(AH$15),0),15-13*ORÇAMENTO!$AF$11)),0)</f>
        <v>0</v>
      </c>
      <c r="AI250" s="627">
        <f ca="1">IF(AND($D250="Serviço",AI$12&lt;&gt;0,$H250&gt;0,OR(AUTOEVENTO&lt;&gt;"manual",$M250&lt;&gt;1)),
IF(Import.TipoArredondamento&lt;&gt;"TransfereGOV",
ROUND(OFFSET($P250,0,AI$13),15-13*ORÇAMENTO!$AF$7)/$H250*OFFSET(ORÇAMENTO!$X$15,ROW(AI250)-ROW(AI$15),0),
ROUND(ROUND(OFFSET($P250,0,AI$13),15-13*ORÇAMENTO!$AF$7)*OFFSET(ORÇAMENTO!$W$15,ROW(AI250)-ROW(AI$15),0),15-13*ORÇAMENTO!$AF$11)),0)</f>
        <v>0</v>
      </c>
      <c r="AJ250" s="627">
        <f ca="1">IF(AND($D250="Serviço",AJ$12&lt;&gt;0,$H250&gt;0,OR(AUTOEVENTO&lt;&gt;"manual",$M250&lt;&gt;1)),
IF(Import.TipoArredondamento&lt;&gt;"TransfereGOV",
ROUND(OFFSET($P250,0,AJ$13),15-13*ORÇAMENTO!$AF$7)/$H250*OFFSET(ORÇAMENTO!$X$15,ROW(AJ250)-ROW(AJ$15),0),
ROUND(ROUND(OFFSET($P250,0,AJ$13),15-13*ORÇAMENTO!$AF$7)*OFFSET(ORÇAMENTO!$W$15,ROW(AJ250)-ROW(AJ$15),0),15-13*ORÇAMENTO!$AF$11)),0)</f>
        <v>0</v>
      </c>
      <c r="AK250" s="628">
        <f ca="1">IF(AND($D250="Serviço",AK$12&lt;&gt;0,$H250&gt;0,OR(AUTOEVENTO&lt;&gt;"manual",$M250&lt;&gt;1)),
IF(Import.TipoArredondamento&lt;&gt;"TransfereGOV",
ROUND(OFFSET($P250,0,AK$13),15-13*ORÇAMENTO!$AF$7)/$H250*OFFSET(ORÇAMENTO!$X$15,ROW(AK250)-ROW(AK$15),0),
ROUND(ROUND(OFFSET($P250,0,AK$13),15-13*ORÇAMENTO!$AF$7)*OFFSET(ORÇAMENTO!$W$15,ROW(AK250)-ROW(AK$15),0),15-13*ORÇAMENTO!$AF$11)),0)</f>
        <v>0</v>
      </c>
      <c r="AM250" s="211">
        <f ca="1">IF($D250&lt;&gt;"Serviço",0,IF(AND(AUTOEVENTO="Manual",$M250=1),0,IF(OFFSET(CRONOPLE!$F$14,$M250,AM$13)="",10^12,OFFSET(CRONOPLE!$F$14,$M250,AM$13))))</f>
        <v>2</v>
      </c>
      <c r="AN250" s="211">
        <f ca="1">IF($D250&lt;&gt;"Serviço",0,IF(AND(AUTOEVENTO="Manual",$M250=1),0,IF(OFFSET(CRONOPLE!$F$14,$M250,AN$13)="",10^12,OFFSET(CRONOPLE!$F$14,$M250,AN$13))))</f>
        <v>1</v>
      </c>
      <c r="AO250" s="211">
        <f ca="1">IF($D250&lt;&gt;"Serviço",0,IF(AND(AUTOEVENTO="Manual",$M250=1),0,IF(OFFSET(CRONOPLE!$F$14,$M250,AO$13)="",10^12,OFFSET(CRONOPLE!$F$14,$M250,AO$13))))</f>
        <v>2</v>
      </c>
      <c r="AP250" s="211">
        <f ca="1">IF($D250&lt;&gt;"Serviço",0,IF(AND(AUTOEVENTO="Manual",$M250=1),0,IF(OFFSET(CRONOPLE!$F$14,$M250,AP$13)="",10^12,OFFSET(CRONOPLE!$F$14,$M250,AP$13))))</f>
        <v>2</v>
      </c>
      <c r="AQ250" s="211">
        <f ca="1">IF($D250&lt;&gt;"Serviço",0,IF(AND(AUTOEVENTO="Manual",$M250=1),0,IF(OFFSET(CRONOPLE!$F$14,$M250,AQ$13)="",10^12,OFFSET(CRONOPLE!$F$14,$M250,AQ$13))))</f>
        <v>1000000000000</v>
      </c>
      <c r="AR250" s="211">
        <f ca="1">IF($D250&lt;&gt;"Serviço",0,IF(AND(AUTOEVENTO="Manual",$M250=1),0,IF(OFFSET(CRONOPLE!$F$14,$M250,AR$13)="",10^12,OFFSET(CRONOPLE!$F$14,$M250,AR$13))))</f>
        <v>1000000000000</v>
      </c>
      <c r="AS250" s="211">
        <f ca="1">IF($D250&lt;&gt;"Serviço",0,IF(AND(AUTOEVENTO="Manual",$M250=1),0,IF(OFFSET(CRONOPLE!$F$14,$M250,AS$13)="",10^12,OFFSET(CRONOPLE!$F$14,$M250,AS$13))))</f>
        <v>1000000000000</v>
      </c>
      <c r="AT250" s="211">
        <f ca="1">IF($D250&lt;&gt;"Serviço",0,IF(AND(AUTOEVENTO="Manual",$M250=1),0,IF(OFFSET(CRONOPLE!$F$14,$M250,AT$13)="",10^12,OFFSET(CRONOPLE!$F$14,$M250,AT$13))))</f>
        <v>1000000000000</v>
      </c>
      <c r="AU250" s="211">
        <f ca="1">IF($D250&lt;&gt;"Serviço",0,IF(AND(AUTOEVENTO="Manual",$M250=1),0,IF(OFFSET(CRONOPLE!$F$14,$M250,AU$13)="",10^12,OFFSET(CRONOPLE!$F$14,$M250,AU$13))))</f>
        <v>1000000000000</v>
      </c>
      <c r="AV250" s="211">
        <f ca="1">IF($D250&lt;&gt;"Serviço",0,IF(AND(AUTOEVENTO="Manual",$M250=1),0,IF(OFFSET(CRONOPLE!$F$14,$M250,AV$13)="",10^12,OFFSET(CRONOPLE!$F$14,$M250,AV$13))))</f>
        <v>1000000000000</v>
      </c>
      <c r="AX250" s="212">
        <f ca="1">IF($D250&lt;&gt;"Serviço",0,IF(OR(AND(AUTOEVENTO="Manual",$M250=1),$M250&gt;(ROW(PLE.lastrow)-ROW(PLE.firstrow))),0,IF(OFFSET(PLE!$G$14,$M250,AX$13)="",10^12,OFFSET(PLE!$G$14,$M250,AX$13))))</f>
        <v>1000000000000</v>
      </c>
      <c r="AY250" s="212">
        <f ca="1">IF($D250&lt;&gt;"Serviço",0,IF(OR(AND(AUTOEVENTO="Manual",$M250=1),$M250&gt;(ROW(PLE.lastrow)-ROW(PLE.firstrow))),0,IF(OFFSET(PLE!$G$14,$M250,AY$13)="",10^12,OFFSET(PLE!$G$14,$M250,AY$13))))</f>
        <v>1000000000000</v>
      </c>
      <c r="AZ250" s="212">
        <f ca="1">IF($D250&lt;&gt;"Serviço",0,IF(OR(AND(AUTOEVENTO="Manual",$M250=1),$M250&gt;(ROW(PLE.lastrow)-ROW(PLE.firstrow))),0,IF(OFFSET(PLE!$G$14,$M250,AZ$13)="",10^12,OFFSET(PLE!$G$14,$M250,AZ$13))))</f>
        <v>1000000000000</v>
      </c>
      <c r="BA250" s="212">
        <f ca="1">IF($D250&lt;&gt;"Serviço",0,IF(OR(AND(AUTOEVENTO="Manual",$M250=1),$M250&gt;(ROW(PLE.lastrow)-ROW(PLE.firstrow))),0,IF(OFFSET(PLE!$G$14,$M250,BA$13)="",10^12,OFFSET(PLE!$G$14,$M250,BA$13))))</f>
        <v>1000000000000</v>
      </c>
      <c r="BB250" s="212">
        <f ca="1">IF($D250&lt;&gt;"Serviço",0,IF(OR(AND(AUTOEVENTO="Manual",$M250=1),$M250&gt;(ROW(PLE.lastrow)-ROW(PLE.firstrow))),0,IF(OFFSET(PLE!$G$14,$M250,BB$13)="",10^12,OFFSET(PLE!$G$14,$M250,BB$13))))</f>
        <v>1000000000000</v>
      </c>
      <c r="BC250" s="212">
        <f ca="1">IF($D250&lt;&gt;"Serviço",0,IF(OR(AND(AUTOEVENTO="Manual",$M250=1),$M250&gt;(ROW(PLE.lastrow)-ROW(PLE.firstrow))),0,IF(OFFSET(PLE!$G$14,$M250,BC$13)="",10^12,OFFSET(PLE!$G$14,$M250,BC$13))))</f>
        <v>1000000000000</v>
      </c>
      <c r="BD250" s="212">
        <f ca="1">IF($D250&lt;&gt;"Serviço",0,IF(OR(AND(AUTOEVENTO="Manual",$M250=1),$M250&gt;(ROW(PLE.lastrow)-ROW(PLE.firstrow))),0,IF(OFFSET(PLE!$G$14,$M250,BD$13)="",10^12,OFFSET(PLE!$G$14,$M250,BD$13))))</f>
        <v>1000000000000</v>
      </c>
      <c r="BE250" s="212">
        <f ca="1">IF($D250&lt;&gt;"Serviço",0,IF(OR(AND(AUTOEVENTO="Manual",$M250=1),$M250&gt;(ROW(PLE.lastrow)-ROW(PLE.firstrow))),0,IF(OFFSET(PLE!$G$14,$M250,BE$13)="",10^12,OFFSET(PLE!$G$14,$M250,BE$13))))</f>
        <v>1000000000000</v>
      </c>
      <c r="BF250" s="212">
        <f ca="1">IF($D250&lt;&gt;"Serviço",0,IF(OR(AND(AUTOEVENTO="Manual",$M250=1),$M250&gt;(ROW(PLE.lastrow)-ROW(PLE.firstrow))),0,IF(OFFSET(PLE!$G$14,$M250,BF$13)="",10^12,OFFSET(PLE!$G$14,$M250,BF$13))))</f>
        <v>1000000000000</v>
      </c>
      <c r="BG250" s="212">
        <f ca="1">IF($D250&lt;&gt;"Serviço",0,IF(OR(AND(AUTOEVENTO="Manual",$M250=1),$M250&gt;(ROW(PLE.lastrow)-ROW(PLE.firstrow))),0,IF(OFFSET(PLE!$G$14,$M250,BG$13)="",10^12,OFFSET(PLE!$G$14,$M250,BG$13))))</f>
        <v>1000000000000</v>
      </c>
    </row>
    <row r="251" spans="1:59" ht="13.2">
      <c r="A251" s="9" t="str">
        <f t="shared" ca="1" si="12"/>
        <v>15</v>
      </c>
      <c r="B251" s="9" t="str">
        <f ca="1">OFFSET(ORÇAMENTO!C$15,ROW(B251)-ROW(B$15),0)</f>
        <v>S</v>
      </c>
      <c r="C251" s="9" t="str">
        <f ca="1">OFFSET(ORÇAMENTO!L$15,ROW(C251)-ROW(C$15),0)</f>
        <v/>
      </c>
      <c r="D251" s="141" t="str">
        <f ca="1">OFFSET(ORÇAMENTO!N$15,ROW(D251)-ROW(D$15),0)</f>
        <v>Serviço</v>
      </c>
      <c r="E251" s="201" t="str">
        <f ca="1">OFFSET(ORÇAMENTO!O$15,ROW(E251)-ROW(E$15),0)</f>
        <v>-</v>
      </c>
      <c r="F251" s="202" t="str">
        <f ca="1">OFFSET(ORÇAMENTO!R$15,ROW(F251)-ROW(F$15),0)</f>
        <v>(abra o arquivo 'Referência 11-2024.xlsm)</v>
      </c>
      <c r="G251" s="203" t="str">
        <f ca="1">IF($D251&lt;&gt;"Serviço","",OFFSET(ORÇAMENTO!S$15,ROW(G251)-ROW(G$15),0))</f>
        <v>-</v>
      </c>
      <c r="H251" s="147">
        <f ca="1">IF($D251&lt;&gt;"Serviço",0,IF(ACOMPANHAMENTO="BM",ROUND(OFFSET(ORÇAMENTO!AJ$15,ROW(H251)-ROW(H$15),0),15-13*ORÇAMENTO!$AF$7),SUMPRODUCT(($Q$12:$AA$12&lt;&gt;"")*ROUND($Q251:$AA251,15-13*ORÇAMENTO!$AF$7))))</f>
        <v>0</v>
      </c>
      <c r="I251" s="645"/>
      <c r="K251" s="204"/>
      <c r="L251" s="205" t="s">
        <v>255</v>
      </c>
      <c r="M251" s="206">
        <f ca="1">IF($D251&lt;&gt;"Serviço","",IF(AUTOEVENTO="manual",$A251,IF(ISERROR(MATCH($A251,$A$15:OFFSET($A251,-1,0),0)),MAX($M$15:OFFSET(M251,-1,0))+1,INDEX($M$15:OFFSET(M251,-1,0),MATCH($A251,$A$15:OFFSET($A251,-1,0),0)))))</f>
        <v>6</v>
      </c>
      <c r="N251" s="207" t="str">
        <f ca="1">IF($D251&lt;&gt;"Serviço","",IF(AUTOEVENTO="Manual",IF($A251=0,"&lt;-- defina o número do agrupador",OFFSET(EVENTOS!$D$14,$A251,0)),OFFSET($F$15,$A251,0)))</f>
        <v>DRENAGEM</v>
      </c>
      <c r="O251" s="208"/>
      <c r="Q251" s="208"/>
      <c r="R251" s="209"/>
      <c r="S251" s="209"/>
      <c r="T251" s="209"/>
      <c r="U251" s="209"/>
      <c r="V251" s="209"/>
      <c r="W251" s="209"/>
      <c r="X251" s="209"/>
      <c r="Y251" s="209"/>
      <c r="Z251" s="210"/>
      <c r="AB251" s="626">
        <f ca="1">IF(AND($D251="Serviço",AB$12&lt;&gt;0,$H251&gt;0,OR(AUTOEVENTO&lt;&gt;"manual",$M251&lt;&gt;1)),
IF(Import.TipoArredondamento&lt;&gt;"TransfereGOV",
ROUND(OFFSET($P251,0,AB$13),15-13*ORÇAMENTO!$AF$7)/$H251*OFFSET(ORÇAMENTO!$X$15,ROW(AB251)-ROW(AB$15),0),
ROUND(ROUND(OFFSET($P251,0,AB$13),15-13*ORÇAMENTO!$AF$7)*OFFSET(ORÇAMENTO!$W$15,ROW(AB251)-ROW(AB$15),0),15-13*ORÇAMENTO!$AF$11)),0)</f>
        <v>0</v>
      </c>
      <c r="AC251" s="627">
        <f ca="1">IF(AND($D251="Serviço",AC$12&lt;&gt;0,$H251&gt;0,OR(AUTOEVENTO&lt;&gt;"manual",$M251&lt;&gt;1)),
IF(Import.TipoArredondamento&lt;&gt;"TransfereGOV",
ROUND(OFFSET($P251,0,AC$13),15-13*ORÇAMENTO!$AF$7)/$H251*OFFSET(ORÇAMENTO!$X$15,ROW(AC251)-ROW(AC$15),0),
ROUND(ROUND(OFFSET($P251,0,AC$13),15-13*ORÇAMENTO!$AF$7)*OFFSET(ORÇAMENTO!$W$15,ROW(AC251)-ROW(AC$15),0),15-13*ORÇAMENTO!$AF$11)),0)</f>
        <v>0</v>
      </c>
      <c r="AD251" s="627">
        <f ca="1">IF(AND($D251="Serviço",AD$12&lt;&gt;0,$H251&gt;0,OR(AUTOEVENTO&lt;&gt;"manual",$M251&lt;&gt;1)),
IF(Import.TipoArredondamento&lt;&gt;"TransfereGOV",
ROUND(OFFSET($P251,0,AD$13),15-13*ORÇAMENTO!$AF$7)/$H251*OFFSET(ORÇAMENTO!$X$15,ROW(AD251)-ROW(AD$15),0),
ROUND(ROUND(OFFSET($P251,0,AD$13),15-13*ORÇAMENTO!$AF$7)*OFFSET(ORÇAMENTO!$W$15,ROW(AD251)-ROW(AD$15),0),15-13*ORÇAMENTO!$AF$11)),0)</f>
        <v>0</v>
      </c>
      <c r="AE251" s="627">
        <f ca="1">IF(AND($D251="Serviço",AE$12&lt;&gt;0,$H251&gt;0,OR(AUTOEVENTO&lt;&gt;"manual",$M251&lt;&gt;1)),
IF(Import.TipoArredondamento&lt;&gt;"TransfereGOV",
ROUND(OFFSET($P251,0,AE$13),15-13*ORÇAMENTO!$AF$7)/$H251*OFFSET(ORÇAMENTO!$X$15,ROW(AE251)-ROW(AE$15),0),
ROUND(ROUND(OFFSET($P251,0,AE$13),15-13*ORÇAMENTO!$AF$7)*OFFSET(ORÇAMENTO!$W$15,ROW(AE251)-ROW(AE$15),0),15-13*ORÇAMENTO!$AF$11)),0)</f>
        <v>0</v>
      </c>
      <c r="AF251" s="627">
        <f ca="1">IF(AND($D251="Serviço",AF$12&lt;&gt;0,$H251&gt;0,OR(AUTOEVENTO&lt;&gt;"manual",$M251&lt;&gt;1)),
IF(Import.TipoArredondamento&lt;&gt;"TransfereGOV",
ROUND(OFFSET($P251,0,AF$13),15-13*ORÇAMENTO!$AF$7)/$H251*OFFSET(ORÇAMENTO!$X$15,ROW(AF251)-ROW(AF$15),0),
ROUND(ROUND(OFFSET($P251,0,AF$13),15-13*ORÇAMENTO!$AF$7)*OFFSET(ORÇAMENTO!$W$15,ROW(AF251)-ROW(AF$15),0),15-13*ORÇAMENTO!$AF$11)),0)</f>
        <v>0</v>
      </c>
      <c r="AG251" s="627">
        <f ca="1">IF(AND($D251="Serviço",AG$12&lt;&gt;0,$H251&gt;0,OR(AUTOEVENTO&lt;&gt;"manual",$M251&lt;&gt;1)),
IF(Import.TipoArredondamento&lt;&gt;"TransfereGOV",
ROUND(OFFSET($P251,0,AG$13),15-13*ORÇAMENTO!$AF$7)/$H251*OFFSET(ORÇAMENTO!$X$15,ROW(AG251)-ROW(AG$15),0),
ROUND(ROUND(OFFSET($P251,0,AG$13),15-13*ORÇAMENTO!$AF$7)*OFFSET(ORÇAMENTO!$W$15,ROW(AG251)-ROW(AG$15),0),15-13*ORÇAMENTO!$AF$11)),0)</f>
        <v>0</v>
      </c>
      <c r="AH251" s="627">
        <f ca="1">IF(AND($D251="Serviço",AH$12&lt;&gt;0,$H251&gt;0,OR(AUTOEVENTO&lt;&gt;"manual",$M251&lt;&gt;1)),
IF(Import.TipoArredondamento&lt;&gt;"TransfereGOV",
ROUND(OFFSET($P251,0,AH$13),15-13*ORÇAMENTO!$AF$7)/$H251*OFFSET(ORÇAMENTO!$X$15,ROW(AH251)-ROW(AH$15),0),
ROUND(ROUND(OFFSET($P251,0,AH$13),15-13*ORÇAMENTO!$AF$7)*OFFSET(ORÇAMENTO!$W$15,ROW(AH251)-ROW(AH$15),0),15-13*ORÇAMENTO!$AF$11)),0)</f>
        <v>0</v>
      </c>
      <c r="AI251" s="627">
        <f ca="1">IF(AND($D251="Serviço",AI$12&lt;&gt;0,$H251&gt;0,OR(AUTOEVENTO&lt;&gt;"manual",$M251&lt;&gt;1)),
IF(Import.TipoArredondamento&lt;&gt;"TransfereGOV",
ROUND(OFFSET($P251,0,AI$13),15-13*ORÇAMENTO!$AF$7)/$H251*OFFSET(ORÇAMENTO!$X$15,ROW(AI251)-ROW(AI$15),0),
ROUND(ROUND(OFFSET($P251,0,AI$13),15-13*ORÇAMENTO!$AF$7)*OFFSET(ORÇAMENTO!$W$15,ROW(AI251)-ROW(AI$15),0),15-13*ORÇAMENTO!$AF$11)),0)</f>
        <v>0</v>
      </c>
      <c r="AJ251" s="627">
        <f ca="1">IF(AND($D251="Serviço",AJ$12&lt;&gt;0,$H251&gt;0,OR(AUTOEVENTO&lt;&gt;"manual",$M251&lt;&gt;1)),
IF(Import.TipoArredondamento&lt;&gt;"TransfereGOV",
ROUND(OFFSET($P251,0,AJ$13),15-13*ORÇAMENTO!$AF$7)/$H251*OFFSET(ORÇAMENTO!$X$15,ROW(AJ251)-ROW(AJ$15),0),
ROUND(ROUND(OFFSET($P251,0,AJ$13),15-13*ORÇAMENTO!$AF$7)*OFFSET(ORÇAMENTO!$W$15,ROW(AJ251)-ROW(AJ$15),0),15-13*ORÇAMENTO!$AF$11)),0)</f>
        <v>0</v>
      </c>
      <c r="AK251" s="628">
        <f ca="1">IF(AND($D251="Serviço",AK$12&lt;&gt;0,$H251&gt;0,OR(AUTOEVENTO&lt;&gt;"manual",$M251&lt;&gt;1)),
IF(Import.TipoArredondamento&lt;&gt;"TransfereGOV",
ROUND(OFFSET($P251,0,AK$13),15-13*ORÇAMENTO!$AF$7)/$H251*OFFSET(ORÇAMENTO!$X$15,ROW(AK251)-ROW(AK$15),0),
ROUND(ROUND(OFFSET($P251,0,AK$13),15-13*ORÇAMENTO!$AF$7)*OFFSET(ORÇAMENTO!$W$15,ROW(AK251)-ROW(AK$15),0),15-13*ORÇAMENTO!$AF$11)),0)</f>
        <v>0</v>
      </c>
      <c r="AM251" s="211">
        <f ca="1">IF($D251&lt;&gt;"Serviço",0,IF(AND(AUTOEVENTO="Manual",$M251=1),0,IF(OFFSET(CRONOPLE!$F$14,$M251,AM$13)="",10^12,OFFSET(CRONOPLE!$F$14,$M251,AM$13))))</f>
        <v>2</v>
      </c>
      <c r="AN251" s="211">
        <f ca="1">IF($D251&lt;&gt;"Serviço",0,IF(AND(AUTOEVENTO="Manual",$M251=1),0,IF(OFFSET(CRONOPLE!$F$14,$M251,AN$13)="",10^12,OFFSET(CRONOPLE!$F$14,$M251,AN$13))))</f>
        <v>1</v>
      </c>
      <c r="AO251" s="211">
        <f ca="1">IF($D251&lt;&gt;"Serviço",0,IF(AND(AUTOEVENTO="Manual",$M251=1),0,IF(OFFSET(CRONOPLE!$F$14,$M251,AO$13)="",10^12,OFFSET(CRONOPLE!$F$14,$M251,AO$13))))</f>
        <v>2</v>
      </c>
      <c r="AP251" s="211">
        <f ca="1">IF($D251&lt;&gt;"Serviço",0,IF(AND(AUTOEVENTO="Manual",$M251=1),0,IF(OFFSET(CRONOPLE!$F$14,$M251,AP$13)="",10^12,OFFSET(CRONOPLE!$F$14,$M251,AP$13))))</f>
        <v>2</v>
      </c>
      <c r="AQ251" s="211">
        <f ca="1">IF($D251&lt;&gt;"Serviço",0,IF(AND(AUTOEVENTO="Manual",$M251=1),0,IF(OFFSET(CRONOPLE!$F$14,$M251,AQ$13)="",10^12,OFFSET(CRONOPLE!$F$14,$M251,AQ$13))))</f>
        <v>1000000000000</v>
      </c>
      <c r="AR251" s="211">
        <f ca="1">IF($D251&lt;&gt;"Serviço",0,IF(AND(AUTOEVENTO="Manual",$M251=1),0,IF(OFFSET(CRONOPLE!$F$14,$M251,AR$13)="",10^12,OFFSET(CRONOPLE!$F$14,$M251,AR$13))))</f>
        <v>1000000000000</v>
      </c>
      <c r="AS251" s="211">
        <f ca="1">IF($D251&lt;&gt;"Serviço",0,IF(AND(AUTOEVENTO="Manual",$M251=1),0,IF(OFFSET(CRONOPLE!$F$14,$M251,AS$13)="",10^12,OFFSET(CRONOPLE!$F$14,$M251,AS$13))))</f>
        <v>1000000000000</v>
      </c>
      <c r="AT251" s="211">
        <f ca="1">IF($D251&lt;&gt;"Serviço",0,IF(AND(AUTOEVENTO="Manual",$M251=1),0,IF(OFFSET(CRONOPLE!$F$14,$M251,AT$13)="",10^12,OFFSET(CRONOPLE!$F$14,$M251,AT$13))))</f>
        <v>1000000000000</v>
      </c>
      <c r="AU251" s="211">
        <f ca="1">IF($D251&lt;&gt;"Serviço",0,IF(AND(AUTOEVENTO="Manual",$M251=1),0,IF(OFFSET(CRONOPLE!$F$14,$M251,AU$13)="",10^12,OFFSET(CRONOPLE!$F$14,$M251,AU$13))))</f>
        <v>1000000000000</v>
      </c>
      <c r="AV251" s="211">
        <f ca="1">IF($D251&lt;&gt;"Serviço",0,IF(AND(AUTOEVENTO="Manual",$M251=1),0,IF(OFFSET(CRONOPLE!$F$14,$M251,AV$13)="",10^12,OFFSET(CRONOPLE!$F$14,$M251,AV$13))))</f>
        <v>1000000000000</v>
      </c>
      <c r="AX251" s="212">
        <f ca="1">IF($D251&lt;&gt;"Serviço",0,IF(OR(AND(AUTOEVENTO="Manual",$M251=1),$M251&gt;(ROW(PLE.lastrow)-ROW(PLE.firstrow))),0,IF(OFFSET(PLE!$G$14,$M251,AX$13)="",10^12,OFFSET(PLE!$G$14,$M251,AX$13))))</f>
        <v>1000000000000</v>
      </c>
      <c r="AY251" s="212">
        <f ca="1">IF($D251&lt;&gt;"Serviço",0,IF(OR(AND(AUTOEVENTO="Manual",$M251=1),$M251&gt;(ROW(PLE.lastrow)-ROW(PLE.firstrow))),0,IF(OFFSET(PLE!$G$14,$M251,AY$13)="",10^12,OFFSET(PLE!$G$14,$M251,AY$13))))</f>
        <v>1000000000000</v>
      </c>
      <c r="AZ251" s="212">
        <f ca="1">IF($D251&lt;&gt;"Serviço",0,IF(OR(AND(AUTOEVENTO="Manual",$M251=1),$M251&gt;(ROW(PLE.lastrow)-ROW(PLE.firstrow))),0,IF(OFFSET(PLE!$G$14,$M251,AZ$13)="",10^12,OFFSET(PLE!$G$14,$M251,AZ$13))))</f>
        <v>1000000000000</v>
      </c>
      <c r="BA251" s="212">
        <f ca="1">IF($D251&lt;&gt;"Serviço",0,IF(OR(AND(AUTOEVENTO="Manual",$M251=1),$M251&gt;(ROW(PLE.lastrow)-ROW(PLE.firstrow))),0,IF(OFFSET(PLE!$G$14,$M251,BA$13)="",10^12,OFFSET(PLE!$G$14,$M251,BA$13))))</f>
        <v>1000000000000</v>
      </c>
      <c r="BB251" s="212">
        <f ca="1">IF($D251&lt;&gt;"Serviço",0,IF(OR(AND(AUTOEVENTO="Manual",$M251=1),$M251&gt;(ROW(PLE.lastrow)-ROW(PLE.firstrow))),0,IF(OFFSET(PLE!$G$14,$M251,BB$13)="",10^12,OFFSET(PLE!$G$14,$M251,BB$13))))</f>
        <v>1000000000000</v>
      </c>
      <c r="BC251" s="212">
        <f ca="1">IF($D251&lt;&gt;"Serviço",0,IF(OR(AND(AUTOEVENTO="Manual",$M251=1),$M251&gt;(ROW(PLE.lastrow)-ROW(PLE.firstrow))),0,IF(OFFSET(PLE!$G$14,$M251,BC$13)="",10^12,OFFSET(PLE!$G$14,$M251,BC$13))))</f>
        <v>1000000000000</v>
      </c>
      <c r="BD251" s="212">
        <f ca="1">IF($D251&lt;&gt;"Serviço",0,IF(OR(AND(AUTOEVENTO="Manual",$M251=1),$M251&gt;(ROW(PLE.lastrow)-ROW(PLE.firstrow))),0,IF(OFFSET(PLE!$G$14,$M251,BD$13)="",10^12,OFFSET(PLE!$G$14,$M251,BD$13))))</f>
        <v>1000000000000</v>
      </c>
      <c r="BE251" s="212">
        <f ca="1">IF($D251&lt;&gt;"Serviço",0,IF(OR(AND(AUTOEVENTO="Manual",$M251=1),$M251&gt;(ROW(PLE.lastrow)-ROW(PLE.firstrow))),0,IF(OFFSET(PLE!$G$14,$M251,BE$13)="",10^12,OFFSET(PLE!$G$14,$M251,BE$13))))</f>
        <v>1000000000000</v>
      </c>
      <c r="BF251" s="212">
        <f ca="1">IF($D251&lt;&gt;"Serviço",0,IF(OR(AND(AUTOEVENTO="Manual",$M251=1),$M251&gt;(ROW(PLE.lastrow)-ROW(PLE.firstrow))),0,IF(OFFSET(PLE!$G$14,$M251,BF$13)="",10^12,OFFSET(PLE!$G$14,$M251,BF$13))))</f>
        <v>1000000000000</v>
      </c>
      <c r="BG251" s="212">
        <f ca="1">IF($D251&lt;&gt;"Serviço",0,IF(OR(AND(AUTOEVENTO="Manual",$M251=1),$M251&gt;(ROW(PLE.lastrow)-ROW(PLE.firstrow))),0,IF(OFFSET(PLE!$G$14,$M251,BG$13)="",10^12,OFFSET(PLE!$G$14,$M251,BG$13))))</f>
        <v>1000000000000</v>
      </c>
    </row>
    <row r="252" spans="1:59" ht="13.2">
      <c r="A252" s="9" t="str">
        <f t="shared" ca="1" si="12"/>
        <v>15</v>
      </c>
      <c r="B252" s="9" t="str">
        <f ca="1">OFFSET(ORÇAMENTO!C$15,ROW(B252)-ROW(B$15),0)</f>
        <v>S</v>
      </c>
      <c r="C252" s="9" t="str">
        <f ca="1">OFFSET(ORÇAMENTO!L$15,ROW(C252)-ROW(C$15),0)</f>
        <v/>
      </c>
      <c r="D252" s="141" t="str">
        <f ca="1">OFFSET(ORÇAMENTO!N$15,ROW(D252)-ROW(D$15),0)</f>
        <v>Serviço</v>
      </c>
      <c r="E252" s="201" t="str">
        <f ca="1">OFFSET(ORÇAMENTO!O$15,ROW(E252)-ROW(E$15),0)</f>
        <v>-</v>
      </c>
      <c r="F252" s="202" t="str">
        <f ca="1">OFFSET(ORÇAMENTO!R$15,ROW(F252)-ROW(F$15),0)</f>
        <v>(abra o arquivo 'Referência 11-2024.xlsm)</v>
      </c>
      <c r="G252" s="203" t="str">
        <f ca="1">IF($D252&lt;&gt;"Serviço","",OFFSET(ORÇAMENTO!S$15,ROW(G252)-ROW(G$15),0))</f>
        <v>-</v>
      </c>
      <c r="H252" s="147">
        <f ca="1">IF($D252&lt;&gt;"Serviço",0,IF(ACOMPANHAMENTO="BM",ROUND(OFFSET(ORÇAMENTO!AJ$15,ROW(H252)-ROW(H$15),0),15-13*ORÇAMENTO!$AF$7),SUMPRODUCT(($Q$12:$AA$12&lt;&gt;"")*ROUND($Q252:$AA252,15-13*ORÇAMENTO!$AF$7))))</f>
        <v>0</v>
      </c>
      <c r="I252" s="645"/>
      <c r="K252" s="204"/>
      <c r="L252" s="205" t="s">
        <v>255</v>
      </c>
      <c r="M252" s="206">
        <f ca="1">IF($D252&lt;&gt;"Serviço","",IF(AUTOEVENTO="manual",$A252,IF(ISERROR(MATCH($A252,$A$15:OFFSET($A252,-1,0),0)),MAX($M$15:OFFSET(M252,-1,0))+1,INDEX($M$15:OFFSET(M252,-1,0),MATCH($A252,$A$15:OFFSET($A252,-1,0),0)))))</f>
        <v>6</v>
      </c>
      <c r="N252" s="207" t="str">
        <f ca="1">IF($D252&lt;&gt;"Serviço","",IF(AUTOEVENTO="Manual",IF($A252=0,"&lt;-- defina o número do agrupador",OFFSET(EVENTOS!$D$14,$A252,0)),OFFSET($F$15,$A252,0)))</f>
        <v>DRENAGEM</v>
      </c>
      <c r="O252" s="208"/>
      <c r="Q252" s="208"/>
      <c r="R252" s="209"/>
      <c r="S252" s="209"/>
      <c r="T252" s="209"/>
      <c r="U252" s="209"/>
      <c r="V252" s="209"/>
      <c r="W252" s="209"/>
      <c r="X252" s="209"/>
      <c r="Y252" s="209"/>
      <c r="Z252" s="210"/>
      <c r="AB252" s="626">
        <f ca="1">IF(AND($D252="Serviço",AB$12&lt;&gt;0,$H252&gt;0,OR(AUTOEVENTO&lt;&gt;"manual",$M252&lt;&gt;1)),
IF(Import.TipoArredondamento&lt;&gt;"TransfereGOV",
ROUND(OFFSET($P252,0,AB$13),15-13*ORÇAMENTO!$AF$7)/$H252*OFFSET(ORÇAMENTO!$X$15,ROW(AB252)-ROW(AB$15),0),
ROUND(ROUND(OFFSET($P252,0,AB$13),15-13*ORÇAMENTO!$AF$7)*OFFSET(ORÇAMENTO!$W$15,ROW(AB252)-ROW(AB$15),0),15-13*ORÇAMENTO!$AF$11)),0)</f>
        <v>0</v>
      </c>
      <c r="AC252" s="627">
        <f ca="1">IF(AND($D252="Serviço",AC$12&lt;&gt;0,$H252&gt;0,OR(AUTOEVENTO&lt;&gt;"manual",$M252&lt;&gt;1)),
IF(Import.TipoArredondamento&lt;&gt;"TransfereGOV",
ROUND(OFFSET($P252,0,AC$13),15-13*ORÇAMENTO!$AF$7)/$H252*OFFSET(ORÇAMENTO!$X$15,ROW(AC252)-ROW(AC$15),0),
ROUND(ROUND(OFFSET($P252,0,AC$13),15-13*ORÇAMENTO!$AF$7)*OFFSET(ORÇAMENTO!$W$15,ROW(AC252)-ROW(AC$15),0),15-13*ORÇAMENTO!$AF$11)),0)</f>
        <v>0</v>
      </c>
      <c r="AD252" s="627">
        <f ca="1">IF(AND($D252="Serviço",AD$12&lt;&gt;0,$H252&gt;0,OR(AUTOEVENTO&lt;&gt;"manual",$M252&lt;&gt;1)),
IF(Import.TipoArredondamento&lt;&gt;"TransfereGOV",
ROUND(OFFSET($P252,0,AD$13),15-13*ORÇAMENTO!$AF$7)/$H252*OFFSET(ORÇAMENTO!$X$15,ROW(AD252)-ROW(AD$15),0),
ROUND(ROUND(OFFSET($P252,0,AD$13),15-13*ORÇAMENTO!$AF$7)*OFFSET(ORÇAMENTO!$W$15,ROW(AD252)-ROW(AD$15),0),15-13*ORÇAMENTO!$AF$11)),0)</f>
        <v>0</v>
      </c>
      <c r="AE252" s="627">
        <f ca="1">IF(AND($D252="Serviço",AE$12&lt;&gt;0,$H252&gt;0,OR(AUTOEVENTO&lt;&gt;"manual",$M252&lt;&gt;1)),
IF(Import.TipoArredondamento&lt;&gt;"TransfereGOV",
ROUND(OFFSET($P252,0,AE$13),15-13*ORÇAMENTO!$AF$7)/$H252*OFFSET(ORÇAMENTO!$X$15,ROW(AE252)-ROW(AE$15),0),
ROUND(ROUND(OFFSET($P252,0,AE$13),15-13*ORÇAMENTO!$AF$7)*OFFSET(ORÇAMENTO!$W$15,ROW(AE252)-ROW(AE$15),0),15-13*ORÇAMENTO!$AF$11)),0)</f>
        <v>0</v>
      </c>
      <c r="AF252" s="627">
        <f ca="1">IF(AND($D252="Serviço",AF$12&lt;&gt;0,$H252&gt;0,OR(AUTOEVENTO&lt;&gt;"manual",$M252&lt;&gt;1)),
IF(Import.TipoArredondamento&lt;&gt;"TransfereGOV",
ROUND(OFFSET($P252,0,AF$13),15-13*ORÇAMENTO!$AF$7)/$H252*OFFSET(ORÇAMENTO!$X$15,ROW(AF252)-ROW(AF$15),0),
ROUND(ROUND(OFFSET($P252,0,AF$13),15-13*ORÇAMENTO!$AF$7)*OFFSET(ORÇAMENTO!$W$15,ROW(AF252)-ROW(AF$15),0),15-13*ORÇAMENTO!$AF$11)),0)</f>
        <v>0</v>
      </c>
      <c r="AG252" s="627">
        <f ca="1">IF(AND($D252="Serviço",AG$12&lt;&gt;0,$H252&gt;0,OR(AUTOEVENTO&lt;&gt;"manual",$M252&lt;&gt;1)),
IF(Import.TipoArredondamento&lt;&gt;"TransfereGOV",
ROUND(OFFSET($P252,0,AG$13),15-13*ORÇAMENTO!$AF$7)/$H252*OFFSET(ORÇAMENTO!$X$15,ROW(AG252)-ROW(AG$15),0),
ROUND(ROUND(OFFSET($P252,0,AG$13),15-13*ORÇAMENTO!$AF$7)*OFFSET(ORÇAMENTO!$W$15,ROW(AG252)-ROW(AG$15),0),15-13*ORÇAMENTO!$AF$11)),0)</f>
        <v>0</v>
      </c>
      <c r="AH252" s="627">
        <f ca="1">IF(AND($D252="Serviço",AH$12&lt;&gt;0,$H252&gt;0,OR(AUTOEVENTO&lt;&gt;"manual",$M252&lt;&gt;1)),
IF(Import.TipoArredondamento&lt;&gt;"TransfereGOV",
ROUND(OFFSET($P252,0,AH$13),15-13*ORÇAMENTO!$AF$7)/$H252*OFFSET(ORÇAMENTO!$X$15,ROW(AH252)-ROW(AH$15),0),
ROUND(ROUND(OFFSET($P252,0,AH$13),15-13*ORÇAMENTO!$AF$7)*OFFSET(ORÇAMENTO!$W$15,ROW(AH252)-ROW(AH$15),0),15-13*ORÇAMENTO!$AF$11)),0)</f>
        <v>0</v>
      </c>
      <c r="AI252" s="627">
        <f ca="1">IF(AND($D252="Serviço",AI$12&lt;&gt;0,$H252&gt;0,OR(AUTOEVENTO&lt;&gt;"manual",$M252&lt;&gt;1)),
IF(Import.TipoArredondamento&lt;&gt;"TransfereGOV",
ROUND(OFFSET($P252,0,AI$13),15-13*ORÇAMENTO!$AF$7)/$H252*OFFSET(ORÇAMENTO!$X$15,ROW(AI252)-ROW(AI$15),0),
ROUND(ROUND(OFFSET($P252,0,AI$13),15-13*ORÇAMENTO!$AF$7)*OFFSET(ORÇAMENTO!$W$15,ROW(AI252)-ROW(AI$15),0),15-13*ORÇAMENTO!$AF$11)),0)</f>
        <v>0</v>
      </c>
      <c r="AJ252" s="627">
        <f ca="1">IF(AND($D252="Serviço",AJ$12&lt;&gt;0,$H252&gt;0,OR(AUTOEVENTO&lt;&gt;"manual",$M252&lt;&gt;1)),
IF(Import.TipoArredondamento&lt;&gt;"TransfereGOV",
ROUND(OFFSET($P252,0,AJ$13),15-13*ORÇAMENTO!$AF$7)/$H252*OFFSET(ORÇAMENTO!$X$15,ROW(AJ252)-ROW(AJ$15),0),
ROUND(ROUND(OFFSET($P252,0,AJ$13),15-13*ORÇAMENTO!$AF$7)*OFFSET(ORÇAMENTO!$W$15,ROW(AJ252)-ROW(AJ$15),0),15-13*ORÇAMENTO!$AF$11)),0)</f>
        <v>0</v>
      </c>
      <c r="AK252" s="628">
        <f ca="1">IF(AND($D252="Serviço",AK$12&lt;&gt;0,$H252&gt;0,OR(AUTOEVENTO&lt;&gt;"manual",$M252&lt;&gt;1)),
IF(Import.TipoArredondamento&lt;&gt;"TransfereGOV",
ROUND(OFFSET($P252,0,AK$13),15-13*ORÇAMENTO!$AF$7)/$H252*OFFSET(ORÇAMENTO!$X$15,ROW(AK252)-ROW(AK$15),0),
ROUND(ROUND(OFFSET($P252,0,AK$13),15-13*ORÇAMENTO!$AF$7)*OFFSET(ORÇAMENTO!$W$15,ROW(AK252)-ROW(AK$15),0),15-13*ORÇAMENTO!$AF$11)),0)</f>
        <v>0</v>
      </c>
      <c r="AM252" s="211">
        <f ca="1">IF($D252&lt;&gt;"Serviço",0,IF(AND(AUTOEVENTO="Manual",$M252=1),0,IF(OFFSET(CRONOPLE!$F$14,$M252,AM$13)="",10^12,OFFSET(CRONOPLE!$F$14,$M252,AM$13))))</f>
        <v>2</v>
      </c>
      <c r="AN252" s="211">
        <f ca="1">IF($D252&lt;&gt;"Serviço",0,IF(AND(AUTOEVENTO="Manual",$M252=1),0,IF(OFFSET(CRONOPLE!$F$14,$M252,AN$13)="",10^12,OFFSET(CRONOPLE!$F$14,$M252,AN$13))))</f>
        <v>1</v>
      </c>
      <c r="AO252" s="211">
        <f ca="1">IF($D252&lt;&gt;"Serviço",0,IF(AND(AUTOEVENTO="Manual",$M252=1),0,IF(OFFSET(CRONOPLE!$F$14,$M252,AO$13)="",10^12,OFFSET(CRONOPLE!$F$14,$M252,AO$13))))</f>
        <v>2</v>
      </c>
      <c r="AP252" s="211">
        <f ca="1">IF($D252&lt;&gt;"Serviço",0,IF(AND(AUTOEVENTO="Manual",$M252=1),0,IF(OFFSET(CRONOPLE!$F$14,$M252,AP$13)="",10^12,OFFSET(CRONOPLE!$F$14,$M252,AP$13))))</f>
        <v>2</v>
      </c>
      <c r="AQ252" s="211">
        <f ca="1">IF($D252&lt;&gt;"Serviço",0,IF(AND(AUTOEVENTO="Manual",$M252=1),0,IF(OFFSET(CRONOPLE!$F$14,$M252,AQ$13)="",10^12,OFFSET(CRONOPLE!$F$14,$M252,AQ$13))))</f>
        <v>1000000000000</v>
      </c>
      <c r="AR252" s="211">
        <f ca="1">IF($D252&lt;&gt;"Serviço",0,IF(AND(AUTOEVENTO="Manual",$M252=1),0,IF(OFFSET(CRONOPLE!$F$14,$M252,AR$13)="",10^12,OFFSET(CRONOPLE!$F$14,$M252,AR$13))))</f>
        <v>1000000000000</v>
      </c>
      <c r="AS252" s="211">
        <f ca="1">IF($D252&lt;&gt;"Serviço",0,IF(AND(AUTOEVENTO="Manual",$M252=1),0,IF(OFFSET(CRONOPLE!$F$14,$M252,AS$13)="",10^12,OFFSET(CRONOPLE!$F$14,$M252,AS$13))))</f>
        <v>1000000000000</v>
      </c>
      <c r="AT252" s="211">
        <f ca="1">IF($D252&lt;&gt;"Serviço",0,IF(AND(AUTOEVENTO="Manual",$M252=1),0,IF(OFFSET(CRONOPLE!$F$14,$M252,AT$13)="",10^12,OFFSET(CRONOPLE!$F$14,$M252,AT$13))))</f>
        <v>1000000000000</v>
      </c>
      <c r="AU252" s="211">
        <f ca="1">IF($D252&lt;&gt;"Serviço",0,IF(AND(AUTOEVENTO="Manual",$M252=1),0,IF(OFFSET(CRONOPLE!$F$14,$M252,AU$13)="",10^12,OFFSET(CRONOPLE!$F$14,$M252,AU$13))))</f>
        <v>1000000000000</v>
      </c>
      <c r="AV252" s="211">
        <f ca="1">IF($D252&lt;&gt;"Serviço",0,IF(AND(AUTOEVENTO="Manual",$M252=1),0,IF(OFFSET(CRONOPLE!$F$14,$M252,AV$13)="",10^12,OFFSET(CRONOPLE!$F$14,$M252,AV$13))))</f>
        <v>1000000000000</v>
      </c>
      <c r="AX252" s="212">
        <f ca="1">IF($D252&lt;&gt;"Serviço",0,IF(OR(AND(AUTOEVENTO="Manual",$M252=1),$M252&gt;(ROW(PLE.lastrow)-ROW(PLE.firstrow))),0,IF(OFFSET(PLE!$G$14,$M252,AX$13)="",10^12,OFFSET(PLE!$G$14,$M252,AX$13))))</f>
        <v>1000000000000</v>
      </c>
      <c r="AY252" s="212">
        <f ca="1">IF($D252&lt;&gt;"Serviço",0,IF(OR(AND(AUTOEVENTO="Manual",$M252=1),$M252&gt;(ROW(PLE.lastrow)-ROW(PLE.firstrow))),0,IF(OFFSET(PLE!$G$14,$M252,AY$13)="",10^12,OFFSET(PLE!$G$14,$M252,AY$13))))</f>
        <v>1000000000000</v>
      </c>
      <c r="AZ252" s="212">
        <f ca="1">IF($D252&lt;&gt;"Serviço",0,IF(OR(AND(AUTOEVENTO="Manual",$M252=1),$M252&gt;(ROW(PLE.lastrow)-ROW(PLE.firstrow))),0,IF(OFFSET(PLE!$G$14,$M252,AZ$13)="",10^12,OFFSET(PLE!$G$14,$M252,AZ$13))))</f>
        <v>1000000000000</v>
      </c>
      <c r="BA252" s="212">
        <f ca="1">IF($D252&lt;&gt;"Serviço",0,IF(OR(AND(AUTOEVENTO="Manual",$M252=1),$M252&gt;(ROW(PLE.lastrow)-ROW(PLE.firstrow))),0,IF(OFFSET(PLE!$G$14,$M252,BA$13)="",10^12,OFFSET(PLE!$G$14,$M252,BA$13))))</f>
        <v>1000000000000</v>
      </c>
      <c r="BB252" s="212">
        <f ca="1">IF($D252&lt;&gt;"Serviço",0,IF(OR(AND(AUTOEVENTO="Manual",$M252=1),$M252&gt;(ROW(PLE.lastrow)-ROW(PLE.firstrow))),0,IF(OFFSET(PLE!$G$14,$M252,BB$13)="",10^12,OFFSET(PLE!$G$14,$M252,BB$13))))</f>
        <v>1000000000000</v>
      </c>
      <c r="BC252" s="212">
        <f ca="1">IF($D252&lt;&gt;"Serviço",0,IF(OR(AND(AUTOEVENTO="Manual",$M252=1),$M252&gt;(ROW(PLE.lastrow)-ROW(PLE.firstrow))),0,IF(OFFSET(PLE!$G$14,$M252,BC$13)="",10^12,OFFSET(PLE!$G$14,$M252,BC$13))))</f>
        <v>1000000000000</v>
      </c>
      <c r="BD252" s="212">
        <f ca="1">IF($D252&lt;&gt;"Serviço",0,IF(OR(AND(AUTOEVENTO="Manual",$M252=1),$M252&gt;(ROW(PLE.lastrow)-ROW(PLE.firstrow))),0,IF(OFFSET(PLE!$G$14,$M252,BD$13)="",10^12,OFFSET(PLE!$G$14,$M252,BD$13))))</f>
        <v>1000000000000</v>
      </c>
      <c r="BE252" s="212">
        <f ca="1">IF($D252&lt;&gt;"Serviço",0,IF(OR(AND(AUTOEVENTO="Manual",$M252=1),$M252&gt;(ROW(PLE.lastrow)-ROW(PLE.firstrow))),0,IF(OFFSET(PLE!$G$14,$M252,BE$13)="",10^12,OFFSET(PLE!$G$14,$M252,BE$13))))</f>
        <v>1000000000000</v>
      </c>
      <c r="BF252" s="212">
        <f ca="1">IF($D252&lt;&gt;"Serviço",0,IF(OR(AND(AUTOEVENTO="Manual",$M252=1),$M252&gt;(ROW(PLE.lastrow)-ROW(PLE.firstrow))),0,IF(OFFSET(PLE!$G$14,$M252,BF$13)="",10^12,OFFSET(PLE!$G$14,$M252,BF$13))))</f>
        <v>1000000000000</v>
      </c>
      <c r="BG252" s="212">
        <f ca="1">IF($D252&lt;&gt;"Serviço",0,IF(OR(AND(AUTOEVENTO="Manual",$M252=1),$M252&gt;(ROW(PLE.lastrow)-ROW(PLE.firstrow))),0,IF(OFFSET(PLE!$G$14,$M252,BG$13)="",10^12,OFFSET(PLE!$G$14,$M252,BG$13))))</f>
        <v>1000000000000</v>
      </c>
    </row>
    <row r="253" spans="1:59" ht="13.2">
      <c r="A253" s="9" t="str">
        <f t="shared" ca="1" si="12"/>
        <v>15</v>
      </c>
      <c r="B253" s="9" t="str">
        <f ca="1">OFFSET(ORÇAMENTO!C$15,ROW(B253)-ROW(B$15),0)</f>
        <v>S</v>
      </c>
      <c r="C253" s="9" t="str">
        <f ca="1">OFFSET(ORÇAMENTO!L$15,ROW(C253)-ROW(C$15),0)</f>
        <v/>
      </c>
      <c r="D253" s="141" t="str">
        <f ca="1">OFFSET(ORÇAMENTO!N$15,ROW(D253)-ROW(D$15),0)</f>
        <v>Serviço</v>
      </c>
      <c r="E253" s="201" t="str">
        <f ca="1">OFFSET(ORÇAMENTO!O$15,ROW(E253)-ROW(E$15),0)</f>
        <v>-</v>
      </c>
      <c r="F253" s="202" t="str">
        <f ca="1">OFFSET(ORÇAMENTO!R$15,ROW(F253)-ROW(F$15),0)</f>
        <v>(abra o arquivo 'Referência 11-2024.xlsm)</v>
      </c>
      <c r="G253" s="203" t="str">
        <f ca="1">IF($D253&lt;&gt;"Serviço","",OFFSET(ORÇAMENTO!S$15,ROW(G253)-ROW(G$15),0))</f>
        <v>-</v>
      </c>
      <c r="H253" s="147">
        <f ca="1">IF($D253&lt;&gt;"Serviço",0,IF(ACOMPANHAMENTO="BM",ROUND(OFFSET(ORÇAMENTO!AJ$15,ROW(H253)-ROW(H$15),0),15-13*ORÇAMENTO!$AF$7),SUMPRODUCT(($Q$12:$AA$12&lt;&gt;"")*ROUND($Q253:$AA253,15-13*ORÇAMENTO!$AF$7))))</f>
        <v>0</v>
      </c>
      <c r="I253" s="645"/>
      <c r="K253" s="204"/>
      <c r="L253" s="205" t="s">
        <v>255</v>
      </c>
      <c r="M253" s="206">
        <f ca="1">IF($D253&lt;&gt;"Serviço","",IF(AUTOEVENTO="manual",$A253,IF(ISERROR(MATCH($A253,$A$15:OFFSET($A253,-1,0),0)),MAX($M$15:OFFSET(M253,-1,0))+1,INDEX($M$15:OFFSET(M253,-1,0),MATCH($A253,$A$15:OFFSET($A253,-1,0),0)))))</f>
        <v>6</v>
      </c>
      <c r="N253" s="207" t="str">
        <f ca="1">IF($D253&lt;&gt;"Serviço","",IF(AUTOEVENTO="Manual",IF($A253=0,"&lt;-- defina o número do agrupador",OFFSET(EVENTOS!$D$14,$A253,0)),OFFSET($F$15,$A253,0)))</f>
        <v>DRENAGEM</v>
      </c>
      <c r="O253" s="208"/>
      <c r="Q253" s="208"/>
      <c r="R253" s="209"/>
      <c r="S253" s="209"/>
      <c r="T253" s="209"/>
      <c r="U253" s="209"/>
      <c r="V253" s="209"/>
      <c r="W253" s="209"/>
      <c r="X253" s="209"/>
      <c r="Y253" s="209"/>
      <c r="Z253" s="210"/>
      <c r="AB253" s="626">
        <f ca="1">IF(AND($D253="Serviço",AB$12&lt;&gt;0,$H253&gt;0,OR(AUTOEVENTO&lt;&gt;"manual",$M253&lt;&gt;1)),
IF(Import.TipoArredondamento&lt;&gt;"TransfereGOV",
ROUND(OFFSET($P253,0,AB$13),15-13*ORÇAMENTO!$AF$7)/$H253*OFFSET(ORÇAMENTO!$X$15,ROW(AB253)-ROW(AB$15),0),
ROUND(ROUND(OFFSET($P253,0,AB$13),15-13*ORÇAMENTO!$AF$7)*OFFSET(ORÇAMENTO!$W$15,ROW(AB253)-ROW(AB$15),0),15-13*ORÇAMENTO!$AF$11)),0)</f>
        <v>0</v>
      </c>
      <c r="AC253" s="627">
        <f ca="1">IF(AND($D253="Serviço",AC$12&lt;&gt;0,$H253&gt;0,OR(AUTOEVENTO&lt;&gt;"manual",$M253&lt;&gt;1)),
IF(Import.TipoArredondamento&lt;&gt;"TransfereGOV",
ROUND(OFFSET($P253,0,AC$13),15-13*ORÇAMENTO!$AF$7)/$H253*OFFSET(ORÇAMENTO!$X$15,ROW(AC253)-ROW(AC$15),0),
ROUND(ROUND(OFFSET($P253,0,AC$13),15-13*ORÇAMENTO!$AF$7)*OFFSET(ORÇAMENTO!$W$15,ROW(AC253)-ROW(AC$15),0),15-13*ORÇAMENTO!$AF$11)),0)</f>
        <v>0</v>
      </c>
      <c r="AD253" s="627">
        <f ca="1">IF(AND($D253="Serviço",AD$12&lt;&gt;0,$H253&gt;0,OR(AUTOEVENTO&lt;&gt;"manual",$M253&lt;&gt;1)),
IF(Import.TipoArredondamento&lt;&gt;"TransfereGOV",
ROUND(OFFSET($P253,0,AD$13),15-13*ORÇAMENTO!$AF$7)/$H253*OFFSET(ORÇAMENTO!$X$15,ROW(AD253)-ROW(AD$15),0),
ROUND(ROUND(OFFSET($P253,0,AD$13),15-13*ORÇAMENTO!$AF$7)*OFFSET(ORÇAMENTO!$W$15,ROW(AD253)-ROW(AD$15),0),15-13*ORÇAMENTO!$AF$11)),0)</f>
        <v>0</v>
      </c>
      <c r="AE253" s="627">
        <f ca="1">IF(AND($D253="Serviço",AE$12&lt;&gt;0,$H253&gt;0,OR(AUTOEVENTO&lt;&gt;"manual",$M253&lt;&gt;1)),
IF(Import.TipoArredondamento&lt;&gt;"TransfereGOV",
ROUND(OFFSET($P253,0,AE$13),15-13*ORÇAMENTO!$AF$7)/$H253*OFFSET(ORÇAMENTO!$X$15,ROW(AE253)-ROW(AE$15),0),
ROUND(ROUND(OFFSET($P253,0,AE$13),15-13*ORÇAMENTO!$AF$7)*OFFSET(ORÇAMENTO!$W$15,ROW(AE253)-ROW(AE$15),0),15-13*ORÇAMENTO!$AF$11)),0)</f>
        <v>0</v>
      </c>
      <c r="AF253" s="627">
        <f ca="1">IF(AND($D253="Serviço",AF$12&lt;&gt;0,$H253&gt;0,OR(AUTOEVENTO&lt;&gt;"manual",$M253&lt;&gt;1)),
IF(Import.TipoArredondamento&lt;&gt;"TransfereGOV",
ROUND(OFFSET($P253,0,AF$13),15-13*ORÇAMENTO!$AF$7)/$H253*OFFSET(ORÇAMENTO!$X$15,ROW(AF253)-ROW(AF$15),0),
ROUND(ROUND(OFFSET($P253,0,AF$13),15-13*ORÇAMENTO!$AF$7)*OFFSET(ORÇAMENTO!$W$15,ROW(AF253)-ROW(AF$15),0),15-13*ORÇAMENTO!$AF$11)),0)</f>
        <v>0</v>
      </c>
      <c r="AG253" s="627">
        <f ca="1">IF(AND($D253="Serviço",AG$12&lt;&gt;0,$H253&gt;0,OR(AUTOEVENTO&lt;&gt;"manual",$M253&lt;&gt;1)),
IF(Import.TipoArredondamento&lt;&gt;"TransfereGOV",
ROUND(OFFSET($P253,0,AG$13),15-13*ORÇAMENTO!$AF$7)/$H253*OFFSET(ORÇAMENTO!$X$15,ROW(AG253)-ROW(AG$15),0),
ROUND(ROUND(OFFSET($P253,0,AG$13),15-13*ORÇAMENTO!$AF$7)*OFFSET(ORÇAMENTO!$W$15,ROW(AG253)-ROW(AG$15),0),15-13*ORÇAMENTO!$AF$11)),0)</f>
        <v>0</v>
      </c>
      <c r="AH253" s="627">
        <f ca="1">IF(AND($D253="Serviço",AH$12&lt;&gt;0,$H253&gt;0,OR(AUTOEVENTO&lt;&gt;"manual",$M253&lt;&gt;1)),
IF(Import.TipoArredondamento&lt;&gt;"TransfereGOV",
ROUND(OFFSET($P253,0,AH$13),15-13*ORÇAMENTO!$AF$7)/$H253*OFFSET(ORÇAMENTO!$X$15,ROW(AH253)-ROW(AH$15),0),
ROUND(ROUND(OFFSET($P253,0,AH$13),15-13*ORÇAMENTO!$AF$7)*OFFSET(ORÇAMENTO!$W$15,ROW(AH253)-ROW(AH$15),0),15-13*ORÇAMENTO!$AF$11)),0)</f>
        <v>0</v>
      </c>
      <c r="AI253" s="627">
        <f ca="1">IF(AND($D253="Serviço",AI$12&lt;&gt;0,$H253&gt;0,OR(AUTOEVENTO&lt;&gt;"manual",$M253&lt;&gt;1)),
IF(Import.TipoArredondamento&lt;&gt;"TransfereGOV",
ROUND(OFFSET($P253,0,AI$13),15-13*ORÇAMENTO!$AF$7)/$H253*OFFSET(ORÇAMENTO!$X$15,ROW(AI253)-ROW(AI$15),0),
ROUND(ROUND(OFFSET($P253,0,AI$13),15-13*ORÇAMENTO!$AF$7)*OFFSET(ORÇAMENTO!$W$15,ROW(AI253)-ROW(AI$15),0),15-13*ORÇAMENTO!$AF$11)),0)</f>
        <v>0</v>
      </c>
      <c r="AJ253" s="627">
        <f ca="1">IF(AND($D253="Serviço",AJ$12&lt;&gt;0,$H253&gt;0,OR(AUTOEVENTO&lt;&gt;"manual",$M253&lt;&gt;1)),
IF(Import.TipoArredondamento&lt;&gt;"TransfereGOV",
ROUND(OFFSET($P253,0,AJ$13),15-13*ORÇAMENTO!$AF$7)/$H253*OFFSET(ORÇAMENTO!$X$15,ROW(AJ253)-ROW(AJ$15),0),
ROUND(ROUND(OFFSET($P253,0,AJ$13),15-13*ORÇAMENTO!$AF$7)*OFFSET(ORÇAMENTO!$W$15,ROW(AJ253)-ROW(AJ$15),0),15-13*ORÇAMENTO!$AF$11)),0)</f>
        <v>0</v>
      </c>
      <c r="AK253" s="628">
        <f ca="1">IF(AND($D253="Serviço",AK$12&lt;&gt;0,$H253&gt;0,OR(AUTOEVENTO&lt;&gt;"manual",$M253&lt;&gt;1)),
IF(Import.TipoArredondamento&lt;&gt;"TransfereGOV",
ROUND(OFFSET($P253,0,AK$13),15-13*ORÇAMENTO!$AF$7)/$H253*OFFSET(ORÇAMENTO!$X$15,ROW(AK253)-ROW(AK$15),0),
ROUND(ROUND(OFFSET($P253,0,AK$13),15-13*ORÇAMENTO!$AF$7)*OFFSET(ORÇAMENTO!$W$15,ROW(AK253)-ROW(AK$15),0),15-13*ORÇAMENTO!$AF$11)),0)</f>
        <v>0</v>
      </c>
      <c r="AM253" s="211">
        <f ca="1">IF($D253&lt;&gt;"Serviço",0,IF(AND(AUTOEVENTO="Manual",$M253=1),0,IF(OFFSET(CRONOPLE!$F$14,$M253,AM$13)="",10^12,OFFSET(CRONOPLE!$F$14,$M253,AM$13))))</f>
        <v>2</v>
      </c>
      <c r="AN253" s="211">
        <f ca="1">IF($D253&lt;&gt;"Serviço",0,IF(AND(AUTOEVENTO="Manual",$M253=1),0,IF(OFFSET(CRONOPLE!$F$14,$M253,AN$13)="",10^12,OFFSET(CRONOPLE!$F$14,$M253,AN$13))))</f>
        <v>1</v>
      </c>
      <c r="AO253" s="211">
        <f ca="1">IF($D253&lt;&gt;"Serviço",0,IF(AND(AUTOEVENTO="Manual",$M253=1),0,IF(OFFSET(CRONOPLE!$F$14,$M253,AO$13)="",10^12,OFFSET(CRONOPLE!$F$14,$M253,AO$13))))</f>
        <v>2</v>
      </c>
      <c r="AP253" s="211">
        <f ca="1">IF($D253&lt;&gt;"Serviço",0,IF(AND(AUTOEVENTO="Manual",$M253=1),0,IF(OFFSET(CRONOPLE!$F$14,$M253,AP$13)="",10^12,OFFSET(CRONOPLE!$F$14,$M253,AP$13))))</f>
        <v>2</v>
      </c>
      <c r="AQ253" s="211">
        <f ca="1">IF($D253&lt;&gt;"Serviço",0,IF(AND(AUTOEVENTO="Manual",$M253=1),0,IF(OFFSET(CRONOPLE!$F$14,$M253,AQ$13)="",10^12,OFFSET(CRONOPLE!$F$14,$M253,AQ$13))))</f>
        <v>1000000000000</v>
      </c>
      <c r="AR253" s="211">
        <f ca="1">IF($D253&lt;&gt;"Serviço",0,IF(AND(AUTOEVENTO="Manual",$M253=1),0,IF(OFFSET(CRONOPLE!$F$14,$M253,AR$13)="",10^12,OFFSET(CRONOPLE!$F$14,$M253,AR$13))))</f>
        <v>1000000000000</v>
      </c>
      <c r="AS253" s="211">
        <f ca="1">IF($D253&lt;&gt;"Serviço",0,IF(AND(AUTOEVENTO="Manual",$M253=1),0,IF(OFFSET(CRONOPLE!$F$14,$M253,AS$13)="",10^12,OFFSET(CRONOPLE!$F$14,$M253,AS$13))))</f>
        <v>1000000000000</v>
      </c>
      <c r="AT253" s="211">
        <f ca="1">IF($D253&lt;&gt;"Serviço",0,IF(AND(AUTOEVENTO="Manual",$M253=1),0,IF(OFFSET(CRONOPLE!$F$14,$M253,AT$13)="",10^12,OFFSET(CRONOPLE!$F$14,$M253,AT$13))))</f>
        <v>1000000000000</v>
      </c>
      <c r="AU253" s="211">
        <f ca="1">IF($D253&lt;&gt;"Serviço",0,IF(AND(AUTOEVENTO="Manual",$M253=1),0,IF(OFFSET(CRONOPLE!$F$14,$M253,AU$13)="",10^12,OFFSET(CRONOPLE!$F$14,$M253,AU$13))))</f>
        <v>1000000000000</v>
      </c>
      <c r="AV253" s="211">
        <f ca="1">IF($D253&lt;&gt;"Serviço",0,IF(AND(AUTOEVENTO="Manual",$M253=1),0,IF(OFFSET(CRONOPLE!$F$14,$M253,AV$13)="",10^12,OFFSET(CRONOPLE!$F$14,$M253,AV$13))))</f>
        <v>1000000000000</v>
      </c>
      <c r="AX253" s="212">
        <f ca="1">IF($D253&lt;&gt;"Serviço",0,IF(OR(AND(AUTOEVENTO="Manual",$M253=1),$M253&gt;(ROW(PLE.lastrow)-ROW(PLE.firstrow))),0,IF(OFFSET(PLE!$G$14,$M253,AX$13)="",10^12,OFFSET(PLE!$G$14,$M253,AX$13))))</f>
        <v>1000000000000</v>
      </c>
      <c r="AY253" s="212">
        <f ca="1">IF($D253&lt;&gt;"Serviço",0,IF(OR(AND(AUTOEVENTO="Manual",$M253=1),$M253&gt;(ROW(PLE.lastrow)-ROW(PLE.firstrow))),0,IF(OFFSET(PLE!$G$14,$M253,AY$13)="",10^12,OFFSET(PLE!$G$14,$M253,AY$13))))</f>
        <v>1000000000000</v>
      </c>
      <c r="AZ253" s="212">
        <f ca="1">IF($D253&lt;&gt;"Serviço",0,IF(OR(AND(AUTOEVENTO="Manual",$M253=1),$M253&gt;(ROW(PLE.lastrow)-ROW(PLE.firstrow))),0,IF(OFFSET(PLE!$G$14,$M253,AZ$13)="",10^12,OFFSET(PLE!$G$14,$M253,AZ$13))))</f>
        <v>1000000000000</v>
      </c>
      <c r="BA253" s="212">
        <f ca="1">IF($D253&lt;&gt;"Serviço",0,IF(OR(AND(AUTOEVENTO="Manual",$M253=1),$M253&gt;(ROW(PLE.lastrow)-ROW(PLE.firstrow))),0,IF(OFFSET(PLE!$G$14,$M253,BA$13)="",10^12,OFFSET(PLE!$G$14,$M253,BA$13))))</f>
        <v>1000000000000</v>
      </c>
      <c r="BB253" s="212">
        <f ca="1">IF($D253&lt;&gt;"Serviço",0,IF(OR(AND(AUTOEVENTO="Manual",$M253=1),$M253&gt;(ROW(PLE.lastrow)-ROW(PLE.firstrow))),0,IF(OFFSET(PLE!$G$14,$M253,BB$13)="",10^12,OFFSET(PLE!$G$14,$M253,BB$13))))</f>
        <v>1000000000000</v>
      </c>
      <c r="BC253" s="212">
        <f ca="1">IF($D253&lt;&gt;"Serviço",0,IF(OR(AND(AUTOEVENTO="Manual",$M253=1),$M253&gt;(ROW(PLE.lastrow)-ROW(PLE.firstrow))),0,IF(OFFSET(PLE!$G$14,$M253,BC$13)="",10^12,OFFSET(PLE!$G$14,$M253,BC$13))))</f>
        <v>1000000000000</v>
      </c>
      <c r="BD253" s="212">
        <f ca="1">IF($D253&lt;&gt;"Serviço",0,IF(OR(AND(AUTOEVENTO="Manual",$M253=1),$M253&gt;(ROW(PLE.lastrow)-ROW(PLE.firstrow))),0,IF(OFFSET(PLE!$G$14,$M253,BD$13)="",10^12,OFFSET(PLE!$G$14,$M253,BD$13))))</f>
        <v>1000000000000</v>
      </c>
      <c r="BE253" s="212">
        <f ca="1">IF($D253&lt;&gt;"Serviço",0,IF(OR(AND(AUTOEVENTO="Manual",$M253=1),$M253&gt;(ROW(PLE.lastrow)-ROW(PLE.firstrow))),0,IF(OFFSET(PLE!$G$14,$M253,BE$13)="",10^12,OFFSET(PLE!$G$14,$M253,BE$13))))</f>
        <v>1000000000000</v>
      </c>
      <c r="BF253" s="212">
        <f ca="1">IF($D253&lt;&gt;"Serviço",0,IF(OR(AND(AUTOEVENTO="Manual",$M253=1),$M253&gt;(ROW(PLE.lastrow)-ROW(PLE.firstrow))),0,IF(OFFSET(PLE!$G$14,$M253,BF$13)="",10^12,OFFSET(PLE!$G$14,$M253,BF$13))))</f>
        <v>1000000000000</v>
      </c>
      <c r="BG253" s="212">
        <f ca="1">IF($D253&lt;&gt;"Serviço",0,IF(OR(AND(AUTOEVENTO="Manual",$M253=1),$M253&gt;(ROW(PLE.lastrow)-ROW(PLE.firstrow))),0,IF(OFFSET(PLE!$G$14,$M253,BG$13)="",10^12,OFFSET(PLE!$G$14,$M253,BG$13))))</f>
        <v>1000000000000</v>
      </c>
    </row>
    <row r="254" spans="1:59" ht="13.2">
      <c r="A254" s="9" t="str">
        <f t="shared" ca="1" si="12"/>
        <v>15</v>
      </c>
      <c r="B254" s="9" t="str">
        <f ca="1">OFFSET(ORÇAMENTO!C$15,ROW(B254)-ROW(B$15),0)</f>
        <v>S</v>
      </c>
      <c r="C254" s="9" t="str">
        <f ca="1">OFFSET(ORÇAMENTO!L$15,ROW(C254)-ROW(C$15),0)</f>
        <v/>
      </c>
      <c r="D254" s="141" t="str">
        <f ca="1">OFFSET(ORÇAMENTO!N$15,ROW(D254)-ROW(D$15),0)</f>
        <v>Serviço</v>
      </c>
      <c r="E254" s="201" t="str">
        <f ca="1">OFFSET(ORÇAMENTO!O$15,ROW(E254)-ROW(E$15),0)</f>
        <v>-</v>
      </c>
      <c r="F254" s="202" t="str">
        <f ca="1">OFFSET(ORÇAMENTO!R$15,ROW(F254)-ROW(F$15),0)</f>
        <v>(abra o arquivo 'Referência 11-2024.xlsm)</v>
      </c>
      <c r="G254" s="203" t="str">
        <f ca="1">IF($D254&lt;&gt;"Serviço","",OFFSET(ORÇAMENTO!S$15,ROW(G254)-ROW(G$15),0))</f>
        <v>-</v>
      </c>
      <c r="H254" s="147">
        <f ca="1">IF($D254&lt;&gt;"Serviço",0,IF(ACOMPANHAMENTO="BM",ROUND(OFFSET(ORÇAMENTO!AJ$15,ROW(H254)-ROW(H$15),0),15-13*ORÇAMENTO!$AF$7),SUMPRODUCT(($Q$12:$AA$12&lt;&gt;"")*ROUND($Q254:$AA254,15-13*ORÇAMENTO!$AF$7))))</f>
        <v>0</v>
      </c>
      <c r="I254" s="645"/>
      <c r="K254" s="204"/>
      <c r="L254" s="205" t="s">
        <v>255</v>
      </c>
      <c r="M254" s="206">
        <f ca="1">IF($D254&lt;&gt;"Serviço","",IF(AUTOEVENTO="manual",$A254,IF(ISERROR(MATCH($A254,$A$15:OFFSET($A254,-1,0),0)),MAX($M$15:OFFSET(M254,-1,0))+1,INDEX($M$15:OFFSET(M254,-1,0),MATCH($A254,$A$15:OFFSET($A254,-1,0),0)))))</f>
        <v>6</v>
      </c>
      <c r="N254" s="207" t="str">
        <f ca="1">IF($D254&lt;&gt;"Serviço","",IF(AUTOEVENTO="Manual",IF($A254=0,"&lt;-- defina o número do agrupador",OFFSET(EVENTOS!$D$14,$A254,0)),OFFSET($F$15,$A254,0)))</f>
        <v>DRENAGEM</v>
      </c>
      <c r="O254" s="208"/>
      <c r="Q254" s="208"/>
      <c r="R254" s="209"/>
      <c r="S254" s="209"/>
      <c r="T254" s="209"/>
      <c r="U254" s="209"/>
      <c r="V254" s="209"/>
      <c r="W254" s="209"/>
      <c r="X254" s="209"/>
      <c r="Y254" s="209"/>
      <c r="Z254" s="210"/>
      <c r="AB254" s="626">
        <f ca="1">IF(AND($D254="Serviço",AB$12&lt;&gt;0,$H254&gt;0,OR(AUTOEVENTO&lt;&gt;"manual",$M254&lt;&gt;1)),
IF(Import.TipoArredondamento&lt;&gt;"TransfereGOV",
ROUND(OFFSET($P254,0,AB$13),15-13*ORÇAMENTO!$AF$7)/$H254*OFFSET(ORÇAMENTO!$X$15,ROW(AB254)-ROW(AB$15),0),
ROUND(ROUND(OFFSET($P254,0,AB$13),15-13*ORÇAMENTO!$AF$7)*OFFSET(ORÇAMENTO!$W$15,ROW(AB254)-ROW(AB$15),0),15-13*ORÇAMENTO!$AF$11)),0)</f>
        <v>0</v>
      </c>
      <c r="AC254" s="627">
        <f ca="1">IF(AND($D254="Serviço",AC$12&lt;&gt;0,$H254&gt;0,OR(AUTOEVENTO&lt;&gt;"manual",$M254&lt;&gt;1)),
IF(Import.TipoArredondamento&lt;&gt;"TransfereGOV",
ROUND(OFFSET($P254,0,AC$13),15-13*ORÇAMENTO!$AF$7)/$H254*OFFSET(ORÇAMENTO!$X$15,ROW(AC254)-ROW(AC$15),0),
ROUND(ROUND(OFFSET($P254,0,AC$13),15-13*ORÇAMENTO!$AF$7)*OFFSET(ORÇAMENTO!$W$15,ROW(AC254)-ROW(AC$15),0),15-13*ORÇAMENTO!$AF$11)),0)</f>
        <v>0</v>
      </c>
      <c r="AD254" s="627">
        <f ca="1">IF(AND($D254="Serviço",AD$12&lt;&gt;0,$H254&gt;0,OR(AUTOEVENTO&lt;&gt;"manual",$M254&lt;&gt;1)),
IF(Import.TipoArredondamento&lt;&gt;"TransfereGOV",
ROUND(OFFSET($P254,0,AD$13),15-13*ORÇAMENTO!$AF$7)/$H254*OFFSET(ORÇAMENTO!$X$15,ROW(AD254)-ROW(AD$15),0),
ROUND(ROUND(OFFSET($P254,0,AD$13),15-13*ORÇAMENTO!$AF$7)*OFFSET(ORÇAMENTO!$W$15,ROW(AD254)-ROW(AD$15),0),15-13*ORÇAMENTO!$AF$11)),0)</f>
        <v>0</v>
      </c>
      <c r="AE254" s="627">
        <f ca="1">IF(AND($D254="Serviço",AE$12&lt;&gt;0,$H254&gt;0,OR(AUTOEVENTO&lt;&gt;"manual",$M254&lt;&gt;1)),
IF(Import.TipoArredondamento&lt;&gt;"TransfereGOV",
ROUND(OFFSET($P254,0,AE$13),15-13*ORÇAMENTO!$AF$7)/$H254*OFFSET(ORÇAMENTO!$X$15,ROW(AE254)-ROW(AE$15),0),
ROUND(ROUND(OFFSET($P254,0,AE$13),15-13*ORÇAMENTO!$AF$7)*OFFSET(ORÇAMENTO!$W$15,ROW(AE254)-ROW(AE$15),0),15-13*ORÇAMENTO!$AF$11)),0)</f>
        <v>0</v>
      </c>
      <c r="AF254" s="627">
        <f ca="1">IF(AND($D254="Serviço",AF$12&lt;&gt;0,$H254&gt;0,OR(AUTOEVENTO&lt;&gt;"manual",$M254&lt;&gt;1)),
IF(Import.TipoArredondamento&lt;&gt;"TransfereGOV",
ROUND(OFFSET($P254,0,AF$13),15-13*ORÇAMENTO!$AF$7)/$H254*OFFSET(ORÇAMENTO!$X$15,ROW(AF254)-ROW(AF$15),0),
ROUND(ROUND(OFFSET($P254,0,AF$13),15-13*ORÇAMENTO!$AF$7)*OFFSET(ORÇAMENTO!$W$15,ROW(AF254)-ROW(AF$15),0),15-13*ORÇAMENTO!$AF$11)),0)</f>
        <v>0</v>
      </c>
      <c r="AG254" s="627">
        <f ca="1">IF(AND($D254="Serviço",AG$12&lt;&gt;0,$H254&gt;0,OR(AUTOEVENTO&lt;&gt;"manual",$M254&lt;&gt;1)),
IF(Import.TipoArredondamento&lt;&gt;"TransfereGOV",
ROUND(OFFSET($P254,0,AG$13),15-13*ORÇAMENTO!$AF$7)/$H254*OFFSET(ORÇAMENTO!$X$15,ROW(AG254)-ROW(AG$15),0),
ROUND(ROUND(OFFSET($P254,0,AG$13),15-13*ORÇAMENTO!$AF$7)*OFFSET(ORÇAMENTO!$W$15,ROW(AG254)-ROW(AG$15),0),15-13*ORÇAMENTO!$AF$11)),0)</f>
        <v>0</v>
      </c>
      <c r="AH254" s="627">
        <f ca="1">IF(AND($D254="Serviço",AH$12&lt;&gt;0,$H254&gt;0,OR(AUTOEVENTO&lt;&gt;"manual",$M254&lt;&gt;1)),
IF(Import.TipoArredondamento&lt;&gt;"TransfereGOV",
ROUND(OFFSET($P254,0,AH$13),15-13*ORÇAMENTO!$AF$7)/$H254*OFFSET(ORÇAMENTO!$X$15,ROW(AH254)-ROW(AH$15),0),
ROUND(ROUND(OFFSET($P254,0,AH$13),15-13*ORÇAMENTO!$AF$7)*OFFSET(ORÇAMENTO!$W$15,ROW(AH254)-ROW(AH$15),0),15-13*ORÇAMENTO!$AF$11)),0)</f>
        <v>0</v>
      </c>
      <c r="AI254" s="627">
        <f ca="1">IF(AND($D254="Serviço",AI$12&lt;&gt;0,$H254&gt;0,OR(AUTOEVENTO&lt;&gt;"manual",$M254&lt;&gt;1)),
IF(Import.TipoArredondamento&lt;&gt;"TransfereGOV",
ROUND(OFFSET($P254,0,AI$13),15-13*ORÇAMENTO!$AF$7)/$H254*OFFSET(ORÇAMENTO!$X$15,ROW(AI254)-ROW(AI$15),0),
ROUND(ROUND(OFFSET($P254,0,AI$13),15-13*ORÇAMENTO!$AF$7)*OFFSET(ORÇAMENTO!$W$15,ROW(AI254)-ROW(AI$15),0),15-13*ORÇAMENTO!$AF$11)),0)</f>
        <v>0</v>
      </c>
      <c r="AJ254" s="627">
        <f ca="1">IF(AND($D254="Serviço",AJ$12&lt;&gt;0,$H254&gt;0,OR(AUTOEVENTO&lt;&gt;"manual",$M254&lt;&gt;1)),
IF(Import.TipoArredondamento&lt;&gt;"TransfereGOV",
ROUND(OFFSET($P254,0,AJ$13),15-13*ORÇAMENTO!$AF$7)/$H254*OFFSET(ORÇAMENTO!$X$15,ROW(AJ254)-ROW(AJ$15),0),
ROUND(ROUND(OFFSET($P254,0,AJ$13),15-13*ORÇAMENTO!$AF$7)*OFFSET(ORÇAMENTO!$W$15,ROW(AJ254)-ROW(AJ$15),0),15-13*ORÇAMENTO!$AF$11)),0)</f>
        <v>0</v>
      </c>
      <c r="AK254" s="628">
        <f ca="1">IF(AND($D254="Serviço",AK$12&lt;&gt;0,$H254&gt;0,OR(AUTOEVENTO&lt;&gt;"manual",$M254&lt;&gt;1)),
IF(Import.TipoArredondamento&lt;&gt;"TransfereGOV",
ROUND(OFFSET($P254,0,AK$13),15-13*ORÇAMENTO!$AF$7)/$H254*OFFSET(ORÇAMENTO!$X$15,ROW(AK254)-ROW(AK$15),0),
ROUND(ROUND(OFFSET($P254,0,AK$13),15-13*ORÇAMENTO!$AF$7)*OFFSET(ORÇAMENTO!$W$15,ROW(AK254)-ROW(AK$15),0),15-13*ORÇAMENTO!$AF$11)),0)</f>
        <v>0</v>
      </c>
      <c r="AM254" s="211">
        <f ca="1">IF($D254&lt;&gt;"Serviço",0,IF(AND(AUTOEVENTO="Manual",$M254=1),0,IF(OFFSET(CRONOPLE!$F$14,$M254,AM$13)="",10^12,OFFSET(CRONOPLE!$F$14,$M254,AM$13))))</f>
        <v>2</v>
      </c>
      <c r="AN254" s="211">
        <f ca="1">IF($D254&lt;&gt;"Serviço",0,IF(AND(AUTOEVENTO="Manual",$M254=1),0,IF(OFFSET(CRONOPLE!$F$14,$M254,AN$13)="",10^12,OFFSET(CRONOPLE!$F$14,$M254,AN$13))))</f>
        <v>1</v>
      </c>
      <c r="AO254" s="211">
        <f ca="1">IF($D254&lt;&gt;"Serviço",0,IF(AND(AUTOEVENTO="Manual",$M254=1),0,IF(OFFSET(CRONOPLE!$F$14,$M254,AO$13)="",10^12,OFFSET(CRONOPLE!$F$14,$M254,AO$13))))</f>
        <v>2</v>
      </c>
      <c r="AP254" s="211">
        <f ca="1">IF($D254&lt;&gt;"Serviço",0,IF(AND(AUTOEVENTO="Manual",$M254=1),0,IF(OFFSET(CRONOPLE!$F$14,$M254,AP$13)="",10^12,OFFSET(CRONOPLE!$F$14,$M254,AP$13))))</f>
        <v>2</v>
      </c>
      <c r="AQ254" s="211">
        <f ca="1">IF($D254&lt;&gt;"Serviço",0,IF(AND(AUTOEVENTO="Manual",$M254=1),0,IF(OFFSET(CRONOPLE!$F$14,$M254,AQ$13)="",10^12,OFFSET(CRONOPLE!$F$14,$M254,AQ$13))))</f>
        <v>1000000000000</v>
      </c>
      <c r="AR254" s="211">
        <f ca="1">IF($D254&lt;&gt;"Serviço",0,IF(AND(AUTOEVENTO="Manual",$M254=1),0,IF(OFFSET(CRONOPLE!$F$14,$M254,AR$13)="",10^12,OFFSET(CRONOPLE!$F$14,$M254,AR$13))))</f>
        <v>1000000000000</v>
      </c>
      <c r="AS254" s="211">
        <f ca="1">IF($D254&lt;&gt;"Serviço",0,IF(AND(AUTOEVENTO="Manual",$M254=1),0,IF(OFFSET(CRONOPLE!$F$14,$M254,AS$13)="",10^12,OFFSET(CRONOPLE!$F$14,$M254,AS$13))))</f>
        <v>1000000000000</v>
      </c>
      <c r="AT254" s="211">
        <f ca="1">IF($D254&lt;&gt;"Serviço",0,IF(AND(AUTOEVENTO="Manual",$M254=1),0,IF(OFFSET(CRONOPLE!$F$14,$M254,AT$13)="",10^12,OFFSET(CRONOPLE!$F$14,$M254,AT$13))))</f>
        <v>1000000000000</v>
      </c>
      <c r="AU254" s="211">
        <f ca="1">IF($D254&lt;&gt;"Serviço",0,IF(AND(AUTOEVENTO="Manual",$M254=1),0,IF(OFFSET(CRONOPLE!$F$14,$M254,AU$13)="",10^12,OFFSET(CRONOPLE!$F$14,$M254,AU$13))))</f>
        <v>1000000000000</v>
      </c>
      <c r="AV254" s="211">
        <f ca="1">IF($D254&lt;&gt;"Serviço",0,IF(AND(AUTOEVENTO="Manual",$M254=1),0,IF(OFFSET(CRONOPLE!$F$14,$M254,AV$13)="",10^12,OFFSET(CRONOPLE!$F$14,$M254,AV$13))))</f>
        <v>1000000000000</v>
      </c>
      <c r="AX254" s="212">
        <f ca="1">IF($D254&lt;&gt;"Serviço",0,IF(OR(AND(AUTOEVENTO="Manual",$M254=1),$M254&gt;(ROW(PLE.lastrow)-ROW(PLE.firstrow))),0,IF(OFFSET(PLE!$G$14,$M254,AX$13)="",10^12,OFFSET(PLE!$G$14,$M254,AX$13))))</f>
        <v>1000000000000</v>
      </c>
      <c r="AY254" s="212">
        <f ca="1">IF($D254&lt;&gt;"Serviço",0,IF(OR(AND(AUTOEVENTO="Manual",$M254=1),$M254&gt;(ROW(PLE.lastrow)-ROW(PLE.firstrow))),0,IF(OFFSET(PLE!$G$14,$M254,AY$13)="",10^12,OFFSET(PLE!$G$14,$M254,AY$13))))</f>
        <v>1000000000000</v>
      </c>
      <c r="AZ254" s="212">
        <f ca="1">IF($D254&lt;&gt;"Serviço",0,IF(OR(AND(AUTOEVENTO="Manual",$M254=1),$M254&gt;(ROW(PLE.lastrow)-ROW(PLE.firstrow))),0,IF(OFFSET(PLE!$G$14,$M254,AZ$13)="",10^12,OFFSET(PLE!$G$14,$M254,AZ$13))))</f>
        <v>1000000000000</v>
      </c>
      <c r="BA254" s="212">
        <f ca="1">IF($D254&lt;&gt;"Serviço",0,IF(OR(AND(AUTOEVENTO="Manual",$M254=1),$M254&gt;(ROW(PLE.lastrow)-ROW(PLE.firstrow))),0,IF(OFFSET(PLE!$G$14,$M254,BA$13)="",10^12,OFFSET(PLE!$G$14,$M254,BA$13))))</f>
        <v>1000000000000</v>
      </c>
      <c r="BB254" s="212">
        <f ca="1">IF($D254&lt;&gt;"Serviço",0,IF(OR(AND(AUTOEVENTO="Manual",$M254=1),$M254&gt;(ROW(PLE.lastrow)-ROW(PLE.firstrow))),0,IF(OFFSET(PLE!$G$14,$M254,BB$13)="",10^12,OFFSET(PLE!$G$14,$M254,BB$13))))</f>
        <v>1000000000000</v>
      </c>
      <c r="BC254" s="212">
        <f ca="1">IF($D254&lt;&gt;"Serviço",0,IF(OR(AND(AUTOEVENTO="Manual",$M254=1),$M254&gt;(ROW(PLE.lastrow)-ROW(PLE.firstrow))),0,IF(OFFSET(PLE!$G$14,$M254,BC$13)="",10^12,OFFSET(PLE!$G$14,$M254,BC$13))))</f>
        <v>1000000000000</v>
      </c>
      <c r="BD254" s="212">
        <f ca="1">IF($D254&lt;&gt;"Serviço",0,IF(OR(AND(AUTOEVENTO="Manual",$M254=1),$M254&gt;(ROW(PLE.lastrow)-ROW(PLE.firstrow))),0,IF(OFFSET(PLE!$G$14,$M254,BD$13)="",10^12,OFFSET(PLE!$G$14,$M254,BD$13))))</f>
        <v>1000000000000</v>
      </c>
      <c r="BE254" s="212">
        <f ca="1">IF($D254&lt;&gt;"Serviço",0,IF(OR(AND(AUTOEVENTO="Manual",$M254=1),$M254&gt;(ROW(PLE.lastrow)-ROW(PLE.firstrow))),0,IF(OFFSET(PLE!$G$14,$M254,BE$13)="",10^12,OFFSET(PLE!$G$14,$M254,BE$13))))</f>
        <v>1000000000000</v>
      </c>
      <c r="BF254" s="212">
        <f ca="1">IF($D254&lt;&gt;"Serviço",0,IF(OR(AND(AUTOEVENTO="Manual",$M254=1),$M254&gt;(ROW(PLE.lastrow)-ROW(PLE.firstrow))),0,IF(OFFSET(PLE!$G$14,$M254,BF$13)="",10^12,OFFSET(PLE!$G$14,$M254,BF$13))))</f>
        <v>1000000000000</v>
      </c>
      <c r="BG254" s="212">
        <f ca="1">IF($D254&lt;&gt;"Serviço",0,IF(OR(AND(AUTOEVENTO="Manual",$M254=1),$M254&gt;(ROW(PLE.lastrow)-ROW(PLE.firstrow))),0,IF(OFFSET(PLE!$G$14,$M254,BG$13)="",10^12,OFFSET(PLE!$G$14,$M254,BG$13))))</f>
        <v>1000000000000</v>
      </c>
    </row>
    <row r="255" spans="1:59" ht="13.2">
      <c r="A255" s="9" t="str">
        <f t="shared" ca="1" si="12"/>
        <v>15</v>
      </c>
      <c r="B255" s="9" t="str">
        <f ca="1">OFFSET(ORÇAMENTO!C$15,ROW(B255)-ROW(B$15),0)</f>
        <v>S</v>
      </c>
      <c r="C255" s="9" t="str">
        <f ca="1">OFFSET(ORÇAMENTO!L$15,ROW(C255)-ROW(C$15),0)</f>
        <v/>
      </c>
      <c r="D255" s="141" t="str">
        <f ca="1">OFFSET(ORÇAMENTO!N$15,ROW(D255)-ROW(D$15),0)</f>
        <v>Serviço</v>
      </c>
      <c r="E255" s="201" t="str">
        <f ca="1">OFFSET(ORÇAMENTO!O$15,ROW(E255)-ROW(E$15),0)</f>
        <v>-</v>
      </c>
      <c r="F255" s="202" t="str">
        <f ca="1">OFFSET(ORÇAMENTO!R$15,ROW(F255)-ROW(F$15),0)</f>
        <v>(abra o arquivo 'Referência 11-2024.xlsm)</v>
      </c>
      <c r="G255" s="203" t="str">
        <f ca="1">IF($D255&lt;&gt;"Serviço","",OFFSET(ORÇAMENTO!S$15,ROW(G255)-ROW(G$15),0))</f>
        <v>-</v>
      </c>
      <c r="H255" s="147">
        <f ca="1">IF($D255&lt;&gt;"Serviço",0,IF(ACOMPANHAMENTO="BM",ROUND(OFFSET(ORÇAMENTO!AJ$15,ROW(H255)-ROW(H$15),0),15-13*ORÇAMENTO!$AF$7),SUMPRODUCT(($Q$12:$AA$12&lt;&gt;"")*ROUND($Q255:$AA255,15-13*ORÇAMENTO!$AF$7))))</f>
        <v>0</v>
      </c>
      <c r="I255" s="645"/>
      <c r="K255" s="204"/>
      <c r="L255" s="205" t="s">
        <v>255</v>
      </c>
      <c r="M255" s="206">
        <f ca="1">IF($D255&lt;&gt;"Serviço","",IF(AUTOEVENTO="manual",$A255,IF(ISERROR(MATCH($A255,$A$15:OFFSET($A255,-1,0),0)),MAX($M$15:OFFSET(M255,-1,0))+1,INDEX($M$15:OFFSET(M255,-1,0),MATCH($A255,$A$15:OFFSET($A255,-1,0),0)))))</f>
        <v>6</v>
      </c>
      <c r="N255" s="207" t="str">
        <f ca="1">IF($D255&lt;&gt;"Serviço","",IF(AUTOEVENTO="Manual",IF($A255=0,"&lt;-- defina o número do agrupador",OFFSET(EVENTOS!$D$14,$A255,0)),OFFSET($F$15,$A255,0)))</f>
        <v>DRENAGEM</v>
      </c>
      <c r="O255" s="208"/>
      <c r="Q255" s="208"/>
      <c r="R255" s="209"/>
      <c r="S255" s="209"/>
      <c r="T255" s="209"/>
      <c r="U255" s="209"/>
      <c r="V255" s="209"/>
      <c r="W255" s="209"/>
      <c r="X255" s="209"/>
      <c r="Y255" s="209"/>
      <c r="Z255" s="210"/>
      <c r="AB255" s="626">
        <f ca="1">IF(AND($D255="Serviço",AB$12&lt;&gt;0,$H255&gt;0,OR(AUTOEVENTO&lt;&gt;"manual",$M255&lt;&gt;1)),
IF(Import.TipoArredondamento&lt;&gt;"TransfereGOV",
ROUND(OFFSET($P255,0,AB$13),15-13*ORÇAMENTO!$AF$7)/$H255*OFFSET(ORÇAMENTO!$X$15,ROW(AB255)-ROW(AB$15),0),
ROUND(ROUND(OFFSET($P255,0,AB$13),15-13*ORÇAMENTO!$AF$7)*OFFSET(ORÇAMENTO!$W$15,ROW(AB255)-ROW(AB$15),0),15-13*ORÇAMENTO!$AF$11)),0)</f>
        <v>0</v>
      </c>
      <c r="AC255" s="627">
        <f ca="1">IF(AND($D255="Serviço",AC$12&lt;&gt;0,$H255&gt;0,OR(AUTOEVENTO&lt;&gt;"manual",$M255&lt;&gt;1)),
IF(Import.TipoArredondamento&lt;&gt;"TransfereGOV",
ROUND(OFFSET($P255,0,AC$13),15-13*ORÇAMENTO!$AF$7)/$H255*OFFSET(ORÇAMENTO!$X$15,ROW(AC255)-ROW(AC$15),0),
ROUND(ROUND(OFFSET($P255,0,AC$13),15-13*ORÇAMENTO!$AF$7)*OFFSET(ORÇAMENTO!$W$15,ROW(AC255)-ROW(AC$15),0),15-13*ORÇAMENTO!$AF$11)),0)</f>
        <v>0</v>
      </c>
      <c r="AD255" s="627">
        <f ca="1">IF(AND($D255="Serviço",AD$12&lt;&gt;0,$H255&gt;0,OR(AUTOEVENTO&lt;&gt;"manual",$M255&lt;&gt;1)),
IF(Import.TipoArredondamento&lt;&gt;"TransfereGOV",
ROUND(OFFSET($P255,0,AD$13),15-13*ORÇAMENTO!$AF$7)/$H255*OFFSET(ORÇAMENTO!$X$15,ROW(AD255)-ROW(AD$15),0),
ROUND(ROUND(OFFSET($P255,0,AD$13),15-13*ORÇAMENTO!$AF$7)*OFFSET(ORÇAMENTO!$W$15,ROW(AD255)-ROW(AD$15),0),15-13*ORÇAMENTO!$AF$11)),0)</f>
        <v>0</v>
      </c>
      <c r="AE255" s="627">
        <f ca="1">IF(AND($D255="Serviço",AE$12&lt;&gt;0,$H255&gt;0,OR(AUTOEVENTO&lt;&gt;"manual",$M255&lt;&gt;1)),
IF(Import.TipoArredondamento&lt;&gt;"TransfereGOV",
ROUND(OFFSET($P255,0,AE$13),15-13*ORÇAMENTO!$AF$7)/$H255*OFFSET(ORÇAMENTO!$X$15,ROW(AE255)-ROW(AE$15),0),
ROUND(ROUND(OFFSET($P255,0,AE$13),15-13*ORÇAMENTO!$AF$7)*OFFSET(ORÇAMENTO!$W$15,ROW(AE255)-ROW(AE$15),0),15-13*ORÇAMENTO!$AF$11)),0)</f>
        <v>0</v>
      </c>
      <c r="AF255" s="627">
        <f ca="1">IF(AND($D255="Serviço",AF$12&lt;&gt;0,$H255&gt;0,OR(AUTOEVENTO&lt;&gt;"manual",$M255&lt;&gt;1)),
IF(Import.TipoArredondamento&lt;&gt;"TransfereGOV",
ROUND(OFFSET($P255,0,AF$13),15-13*ORÇAMENTO!$AF$7)/$H255*OFFSET(ORÇAMENTO!$X$15,ROW(AF255)-ROW(AF$15),0),
ROUND(ROUND(OFFSET($P255,0,AF$13),15-13*ORÇAMENTO!$AF$7)*OFFSET(ORÇAMENTO!$W$15,ROW(AF255)-ROW(AF$15),0),15-13*ORÇAMENTO!$AF$11)),0)</f>
        <v>0</v>
      </c>
      <c r="AG255" s="627">
        <f ca="1">IF(AND($D255="Serviço",AG$12&lt;&gt;0,$H255&gt;0,OR(AUTOEVENTO&lt;&gt;"manual",$M255&lt;&gt;1)),
IF(Import.TipoArredondamento&lt;&gt;"TransfereGOV",
ROUND(OFFSET($P255,0,AG$13),15-13*ORÇAMENTO!$AF$7)/$H255*OFFSET(ORÇAMENTO!$X$15,ROW(AG255)-ROW(AG$15),0),
ROUND(ROUND(OFFSET($P255,0,AG$13),15-13*ORÇAMENTO!$AF$7)*OFFSET(ORÇAMENTO!$W$15,ROW(AG255)-ROW(AG$15),0),15-13*ORÇAMENTO!$AF$11)),0)</f>
        <v>0</v>
      </c>
      <c r="AH255" s="627">
        <f ca="1">IF(AND($D255="Serviço",AH$12&lt;&gt;0,$H255&gt;0,OR(AUTOEVENTO&lt;&gt;"manual",$M255&lt;&gt;1)),
IF(Import.TipoArredondamento&lt;&gt;"TransfereGOV",
ROUND(OFFSET($P255,0,AH$13),15-13*ORÇAMENTO!$AF$7)/$H255*OFFSET(ORÇAMENTO!$X$15,ROW(AH255)-ROW(AH$15),0),
ROUND(ROUND(OFFSET($P255,0,AH$13),15-13*ORÇAMENTO!$AF$7)*OFFSET(ORÇAMENTO!$W$15,ROW(AH255)-ROW(AH$15),0),15-13*ORÇAMENTO!$AF$11)),0)</f>
        <v>0</v>
      </c>
      <c r="AI255" s="627">
        <f ca="1">IF(AND($D255="Serviço",AI$12&lt;&gt;0,$H255&gt;0,OR(AUTOEVENTO&lt;&gt;"manual",$M255&lt;&gt;1)),
IF(Import.TipoArredondamento&lt;&gt;"TransfereGOV",
ROUND(OFFSET($P255,0,AI$13),15-13*ORÇAMENTO!$AF$7)/$H255*OFFSET(ORÇAMENTO!$X$15,ROW(AI255)-ROW(AI$15),0),
ROUND(ROUND(OFFSET($P255,0,AI$13),15-13*ORÇAMENTO!$AF$7)*OFFSET(ORÇAMENTO!$W$15,ROW(AI255)-ROW(AI$15),0),15-13*ORÇAMENTO!$AF$11)),0)</f>
        <v>0</v>
      </c>
      <c r="AJ255" s="627">
        <f ca="1">IF(AND($D255="Serviço",AJ$12&lt;&gt;0,$H255&gt;0,OR(AUTOEVENTO&lt;&gt;"manual",$M255&lt;&gt;1)),
IF(Import.TipoArredondamento&lt;&gt;"TransfereGOV",
ROUND(OFFSET($P255,0,AJ$13),15-13*ORÇAMENTO!$AF$7)/$H255*OFFSET(ORÇAMENTO!$X$15,ROW(AJ255)-ROW(AJ$15),0),
ROUND(ROUND(OFFSET($P255,0,AJ$13),15-13*ORÇAMENTO!$AF$7)*OFFSET(ORÇAMENTO!$W$15,ROW(AJ255)-ROW(AJ$15),0),15-13*ORÇAMENTO!$AF$11)),0)</f>
        <v>0</v>
      </c>
      <c r="AK255" s="628">
        <f ca="1">IF(AND($D255="Serviço",AK$12&lt;&gt;0,$H255&gt;0,OR(AUTOEVENTO&lt;&gt;"manual",$M255&lt;&gt;1)),
IF(Import.TipoArredondamento&lt;&gt;"TransfereGOV",
ROUND(OFFSET($P255,0,AK$13),15-13*ORÇAMENTO!$AF$7)/$H255*OFFSET(ORÇAMENTO!$X$15,ROW(AK255)-ROW(AK$15),0),
ROUND(ROUND(OFFSET($P255,0,AK$13),15-13*ORÇAMENTO!$AF$7)*OFFSET(ORÇAMENTO!$W$15,ROW(AK255)-ROW(AK$15),0),15-13*ORÇAMENTO!$AF$11)),0)</f>
        <v>0</v>
      </c>
      <c r="AM255" s="211">
        <f ca="1">IF($D255&lt;&gt;"Serviço",0,IF(AND(AUTOEVENTO="Manual",$M255=1),0,IF(OFFSET(CRONOPLE!$F$14,$M255,AM$13)="",10^12,OFFSET(CRONOPLE!$F$14,$M255,AM$13))))</f>
        <v>2</v>
      </c>
      <c r="AN255" s="211">
        <f ca="1">IF($D255&lt;&gt;"Serviço",0,IF(AND(AUTOEVENTO="Manual",$M255=1),0,IF(OFFSET(CRONOPLE!$F$14,$M255,AN$13)="",10^12,OFFSET(CRONOPLE!$F$14,$M255,AN$13))))</f>
        <v>1</v>
      </c>
      <c r="AO255" s="211">
        <f ca="1">IF($D255&lt;&gt;"Serviço",0,IF(AND(AUTOEVENTO="Manual",$M255=1),0,IF(OFFSET(CRONOPLE!$F$14,$M255,AO$13)="",10^12,OFFSET(CRONOPLE!$F$14,$M255,AO$13))))</f>
        <v>2</v>
      </c>
      <c r="AP255" s="211">
        <f ca="1">IF($D255&lt;&gt;"Serviço",0,IF(AND(AUTOEVENTO="Manual",$M255=1),0,IF(OFFSET(CRONOPLE!$F$14,$M255,AP$13)="",10^12,OFFSET(CRONOPLE!$F$14,$M255,AP$13))))</f>
        <v>2</v>
      </c>
      <c r="AQ255" s="211">
        <f ca="1">IF($D255&lt;&gt;"Serviço",0,IF(AND(AUTOEVENTO="Manual",$M255=1),0,IF(OFFSET(CRONOPLE!$F$14,$M255,AQ$13)="",10^12,OFFSET(CRONOPLE!$F$14,$M255,AQ$13))))</f>
        <v>1000000000000</v>
      </c>
      <c r="AR255" s="211">
        <f ca="1">IF($D255&lt;&gt;"Serviço",0,IF(AND(AUTOEVENTO="Manual",$M255=1),0,IF(OFFSET(CRONOPLE!$F$14,$M255,AR$13)="",10^12,OFFSET(CRONOPLE!$F$14,$M255,AR$13))))</f>
        <v>1000000000000</v>
      </c>
      <c r="AS255" s="211">
        <f ca="1">IF($D255&lt;&gt;"Serviço",0,IF(AND(AUTOEVENTO="Manual",$M255=1),0,IF(OFFSET(CRONOPLE!$F$14,$M255,AS$13)="",10^12,OFFSET(CRONOPLE!$F$14,$M255,AS$13))))</f>
        <v>1000000000000</v>
      </c>
      <c r="AT255" s="211">
        <f ca="1">IF($D255&lt;&gt;"Serviço",0,IF(AND(AUTOEVENTO="Manual",$M255=1),0,IF(OFFSET(CRONOPLE!$F$14,$M255,AT$13)="",10^12,OFFSET(CRONOPLE!$F$14,$M255,AT$13))))</f>
        <v>1000000000000</v>
      </c>
      <c r="AU255" s="211">
        <f ca="1">IF($D255&lt;&gt;"Serviço",0,IF(AND(AUTOEVENTO="Manual",$M255=1),0,IF(OFFSET(CRONOPLE!$F$14,$M255,AU$13)="",10^12,OFFSET(CRONOPLE!$F$14,$M255,AU$13))))</f>
        <v>1000000000000</v>
      </c>
      <c r="AV255" s="211">
        <f ca="1">IF($D255&lt;&gt;"Serviço",0,IF(AND(AUTOEVENTO="Manual",$M255=1),0,IF(OFFSET(CRONOPLE!$F$14,$M255,AV$13)="",10^12,OFFSET(CRONOPLE!$F$14,$M255,AV$13))))</f>
        <v>1000000000000</v>
      </c>
      <c r="AX255" s="212">
        <f ca="1">IF($D255&lt;&gt;"Serviço",0,IF(OR(AND(AUTOEVENTO="Manual",$M255=1),$M255&gt;(ROW(PLE.lastrow)-ROW(PLE.firstrow))),0,IF(OFFSET(PLE!$G$14,$M255,AX$13)="",10^12,OFFSET(PLE!$G$14,$M255,AX$13))))</f>
        <v>1000000000000</v>
      </c>
      <c r="AY255" s="212">
        <f ca="1">IF($D255&lt;&gt;"Serviço",0,IF(OR(AND(AUTOEVENTO="Manual",$M255=1),$M255&gt;(ROW(PLE.lastrow)-ROW(PLE.firstrow))),0,IF(OFFSET(PLE!$G$14,$M255,AY$13)="",10^12,OFFSET(PLE!$G$14,$M255,AY$13))))</f>
        <v>1000000000000</v>
      </c>
      <c r="AZ255" s="212">
        <f ca="1">IF($D255&lt;&gt;"Serviço",0,IF(OR(AND(AUTOEVENTO="Manual",$M255=1),$M255&gt;(ROW(PLE.lastrow)-ROW(PLE.firstrow))),0,IF(OFFSET(PLE!$G$14,$M255,AZ$13)="",10^12,OFFSET(PLE!$G$14,$M255,AZ$13))))</f>
        <v>1000000000000</v>
      </c>
      <c r="BA255" s="212">
        <f ca="1">IF($D255&lt;&gt;"Serviço",0,IF(OR(AND(AUTOEVENTO="Manual",$M255=1),$M255&gt;(ROW(PLE.lastrow)-ROW(PLE.firstrow))),0,IF(OFFSET(PLE!$G$14,$M255,BA$13)="",10^12,OFFSET(PLE!$G$14,$M255,BA$13))))</f>
        <v>1000000000000</v>
      </c>
      <c r="BB255" s="212">
        <f ca="1">IF($D255&lt;&gt;"Serviço",0,IF(OR(AND(AUTOEVENTO="Manual",$M255=1),$M255&gt;(ROW(PLE.lastrow)-ROW(PLE.firstrow))),0,IF(OFFSET(PLE!$G$14,$M255,BB$13)="",10^12,OFFSET(PLE!$G$14,$M255,BB$13))))</f>
        <v>1000000000000</v>
      </c>
      <c r="BC255" s="212">
        <f ca="1">IF($D255&lt;&gt;"Serviço",0,IF(OR(AND(AUTOEVENTO="Manual",$M255=1),$M255&gt;(ROW(PLE.lastrow)-ROW(PLE.firstrow))),0,IF(OFFSET(PLE!$G$14,$M255,BC$13)="",10^12,OFFSET(PLE!$G$14,$M255,BC$13))))</f>
        <v>1000000000000</v>
      </c>
      <c r="BD255" s="212">
        <f ca="1">IF($D255&lt;&gt;"Serviço",0,IF(OR(AND(AUTOEVENTO="Manual",$M255=1),$M255&gt;(ROW(PLE.lastrow)-ROW(PLE.firstrow))),0,IF(OFFSET(PLE!$G$14,$M255,BD$13)="",10^12,OFFSET(PLE!$G$14,$M255,BD$13))))</f>
        <v>1000000000000</v>
      </c>
      <c r="BE255" s="212">
        <f ca="1">IF($D255&lt;&gt;"Serviço",0,IF(OR(AND(AUTOEVENTO="Manual",$M255=1),$M255&gt;(ROW(PLE.lastrow)-ROW(PLE.firstrow))),0,IF(OFFSET(PLE!$G$14,$M255,BE$13)="",10^12,OFFSET(PLE!$G$14,$M255,BE$13))))</f>
        <v>1000000000000</v>
      </c>
      <c r="BF255" s="212">
        <f ca="1">IF($D255&lt;&gt;"Serviço",0,IF(OR(AND(AUTOEVENTO="Manual",$M255=1),$M255&gt;(ROW(PLE.lastrow)-ROW(PLE.firstrow))),0,IF(OFFSET(PLE!$G$14,$M255,BF$13)="",10^12,OFFSET(PLE!$G$14,$M255,BF$13))))</f>
        <v>1000000000000</v>
      </c>
      <c r="BG255" s="212">
        <f ca="1">IF($D255&lt;&gt;"Serviço",0,IF(OR(AND(AUTOEVENTO="Manual",$M255=1),$M255&gt;(ROW(PLE.lastrow)-ROW(PLE.firstrow))),0,IF(OFFSET(PLE!$G$14,$M255,BG$13)="",10^12,OFFSET(PLE!$G$14,$M255,BG$13))))</f>
        <v>1000000000000</v>
      </c>
    </row>
    <row r="256" spans="1:59" ht="13.2">
      <c r="A256" s="9" t="str">
        <f t="shared" ca="1" si="12"/>
        <v>15</v>
      </c>
      <c r="B256" s="9" t="str">
        <f ca="1">OFFSET(ORÇAMENTO!C$15,ROW(B256)-ROW(B$15),0)</f>
        <v>S</v>
      </c>
      <c r="C256" s="9" t="str">
        <f ca="1">OFFSET(ORÇAMENTO!L$15,ROW(C256)-ROW(C$15),0)</f>
        <v/>
      </c>
      <c r="D256" s="141" t="str">
        <f ca="1">OFFSET(ORÇAMENTO!N$15,ROW(D256)-ROW(D$15),0)</f>
        <v>Serviço</v>
      </c>
      <c r="E256" s="201" t="str">
        <f ca="1">OFFSET(ORÇAMENTO!O$15,ROW(E256)-ROW(E$15),0)</f>
        <v>-</v>
      </c>
      <c r="F256" s="202" t="str">
        <f ca="1">OFFSET(ORÇAMENTO!R$15,ROW(F256)-ROW(F$15),0)</f>
        <v>(abra o arquivo 'Referência 11-2024.xlsm)</v>
      </c>
      <c r="G256" s="203" t="str">
        <f ca="1">IF($D256&lt;&gt;"Serviço","",OFFSET(ORÇAMENTO!S$15,ROW(G256)-ROW(G$15),0))</f>
        <v>-</v>
      </c>
      <c r="H256" s="147">
        <f ca="1">IF($D256&lt;&gt;"Serviço",0,IF(ACOMPANHAMENTO="BM",ROUND(OFFSET(ORÇAMENTO!AJ$15,ROW(H256)-ROW(H$15),0),15-13*ORÇAMENTO!$AF$7),SUMPRODUCT(($Q$12:$AA$12&lt;&gt;"")*ROUND($Q256:$AA256,15-13*ORÇAMENTO!$AF$7))))</f>
        <v>0</v>
      </c>
      <c r="I256" s="645"/>
      <c r="K256" s="204"/>
      <c r="L256" s="205" t="s">
        <v>255</v>
      </c>
      <c r="M256" s="206">
        <f ca="1">IF($D256&lt;&gt;"Serviço","",IF(AUTOEVENTO="manual",$A256,IF(ISERROR(MATCH($A256,$A$15:OFFSET($A256,-1,0),0)),MAX($M$15:OFFSET(M256,-1,0))+1,INDEX($M$15:OFFSET(M256,-1,0),MATCH($A256,$A$15:OFFSET($A256,-1,0),0)))))</f>
        <v>6</v>
      </c>
      <c r="N256" s="207" t="str">
        <f ca="1">IF($D256&lt;&gt;"Serviço","",IF(AUTOEVENTO="Manual",IF($A256=0,"&lt;-- defina o número do agrupador",OFFSET(EVENTOS!$D$14,$A256,0)),OFFSET($F$15,$A256,0)))</f>
        <v>DRENAGEM</v>
      </c>
      <c r="O256" s="208"/>
      <c r="Q256" s="208"/>
      <c r="R256" s="209"/>
      <c r="S256" s="209"/>
      <c r="T256" s="209"/>
      <c r="U256" s="209"/>
      <c r="V256" s="209"/>
      <c r="W256" s="209"/>
      <c r="X256" s="209"/>
      <c r="Y256" s="209"/>
      <c r="Z256" s="210"/>
      <c r="AB256" s="626">
        <f ca="1">IF(AND($D256="Serviço",AB$12&lt;&gt;0,$H256&gt;0,OR(AUTOEVENTO&lt;&gt;"manual",$M256&lt;&gt;1)),
IF(Import.TipoArredondamento&lt;&gt;"TransfereGOV",
ROUND(OFFSET($P256,0,AB$13),15-13*ORÇAMENTO!$AF$7)/$H256*OFFSET(ORÇAMENTO!$X$15,ROW(AB256)-ROW(AB$15),0),
ROUND(ROUND(OFFSET($P256,0,AB$13),15-13*ORÇAMENTO!$AF$7)*OFFSET(ORÇAMENTO!$W$15,ROW(AB256)-ROW(AB$15),0),15-13*ORÇAMENTO!$AF$11)),0)</f>
        <v>0</v>
      </c>
      <c r="AC256" s="627">
        <f ca="1">IF(AND($D256="Serviço",AC$12&lt;&gt;0,$H256&gt;0,OR(AUTOEVENTO&lt;&gt;"manual",$M256&lt;&gt;1)),
IF(Import.TipoArredondamento&lt;&gt;"TransfereGOV",
ROUND(OFFSET($P256,0,AC$13),15-13*ORÇAMENTO!$AF$7)/$H256*OFFSET(ORÇAMENTO!$X$15,ROW(AC256)-ROW(AC$15),0),
ROUND(ROUND(OFFSET($P256,0,AC$13),15-13*ORÇAMENTO!$AF$7)*OFFSET(ORÇAMENTO!$W$15,ROW(AC256)-ROW(AC$15),0),15-13*ORÇAMENTO!$AF$11)),0)</f>
        <v>0</v>
      </c>
      <c r="AD256" s="627">
        <f ca="1">IF(AND($D256="Serviço",AD$12&lt;&gt;0,$H256&gt;0,OR(AUTOEVENTO&lt;&gt;"manual",$M256&lt;&gt;1)),
IF(Import.TipoArredondamento&lt;&gt;"TransfereGOV",
ROUND(OFFSET($P256,0,AD$13),15-13*ORÇAMENTO!$AF$7)/$H256*OFFSET(ORÇAMENTO!$X$15,ROW(AD256)-ROW(AD$15),0),
ROUND(ROUND(OFFSET($P256,0,AD$13),15-13*ORÇAMENTO!$AF$7)*OFFSET(ORÇAMENTO!$W$15,ROW(AD256)-ROW(AD$15),0),15-13*ORÇAMENTO!$AF$11)),0)</f>
        <v>0</v>
      </c>
      <c r="AE256" s="627">
        <f ca="1">IF(AND($D256="Serviço",AE$12&lt;&gt;0,$H256&gt;0,OR(AUTOEVENTO&lt;&gt;"manual",$M256&lt;&gt;1)),
IF(Import.TipoArredondamento&lt;&gt;"TransfereGOV",
ROUND(OFFSET($P256,0,AE$13),15-13*ORÇAMENTO!$AF$7)/$H256*OFFSET(ORÇAMENTO!$X$15,ROW(AE256)-ROW(AE$15),0),
ROUND(ROUND(OFFSET($P256,0,AE$13),15-13*ORÇAMENTO!$AF$7)*OFFSET(ORÇAMENTO!$W$15,ROW(AE256)-ROW(AE$15),0),15-13*ORÇAMENTO!$AF$11)),0)</f>
        <v>0</v>
      </c>
      <c r="AF256" s="627">
        <f ca="1">IF(AND($D256="Serviço",AF$12&lt;&gt;0,$H256&gt;0,OR(AUTOEVENTO&lt;&gt;"manual",$M256&lt;&gt;1)),
IF(Import.TipoArredondamento&lt;&gt;"TransfereGOV",
ROUND(OFFSET($P256,0,AF$13),15-13*ORÇAMENTO!$AF$7)/$H256*OFFSET(ORÇAMENTO!$X$15,ROW(AF256)-ROW(AF$15),0),
ROUND(ROUND(OFFSET($P256,0,AF$13),15-13*ORÇAMENTO!$AF$7)*OFFSET(ORÇAMENTO!$W$15,ROW(AF256)-ROW(AF$15),0),15-13*ORÇAMENTO!$AF$11)),0)</f>
        <v>0</v>
      </c>
      <c r="AG256" s="627">
        <f ca="1">IF(AND($D256="Serviço",AG$12&lt;&gt;0,$H256&gt;0,OR(AUTOEVENTO&lt;&gt;"manual",$M256&lt;&gt;1)),
IF(Import.TipoArredondamento&lt;&gt;"TransfereGOV",
ROUND(OFFSET($P256,0,AG$13),15-13*ORÇAMENTO!$AF$7)/$H256*OFFSET(ORÇAMENTO!$X$15,ROW(AG256)-ROW(AG$15),0),
ROUND(ROUND(OFFSET($P256,0,AG$13),15-13*ORÇAMENTO!$AF$7)*OFFSET(ORÇAMENTO!$W$15,ROW(AG256)-ROW(AG$15),0),15-13*ORÇAMENTO!$AF$11)),0)</f>
        <v>0</v>
      </c>
      <c r="AH256" s="627">
        <f ca="1">IF(AND($D256="Serviço",AH$12&lt;&gt;0,$H256&gt;0,OR(AUTOEVENTO&lt;&gt;"manual",$M256&lt;&gt;1)),
IF(Import.TipoArredondamento&lt;&gt;"TransfereGOV",
ROUND(OFFSET($P256,0,AH$13),15-13*ORÇAMENTO!$AF$7)/$H256*OFFSET(ORÇAMENTO!$X$15,ROW(AH256)-ROW(AH$15),0),
ROUND(ROUND(OFFSET($P256,0,AH$13),15-13*ORÇAMENTO!$AF$7)*OFFSET(ORÇAMENTO!$W$15,ROW(AH256)-ROW(AH$15),0),15-13*ORÇAMENTO!$AF$11)),0)</f>
        <v>0</v>
      </c>
      <c r="AI256" s="627">
        <f ca="1">IF(AND($D256="Serviço",AI$12&lt;&gt;0,$H256&gt;0,OR(AUTOEVENTO&lt;&gt;"manual",$M256&lt;&gt;1)),
IF(Import.TipoArredondamento&lt;&gt;"TransfereGOV",
ROUND(OFFSET($P256,0,AI$13),15-13*ORÇAMENTO!$AF$7)/$H256*OFFSET(ORÇAMENTO!$X$15,ROW(AI256)-ROW(AI$15),0),
ROUND(ROUND(OFFSET($P256,0,AI$13),15-13*ORÇAMENTO!$AF$7)*OFFSET(ORÇAMENTO!$W$15,ROW(AI256)-ROW(AI$15),0),15-13*ORÇAMENTO!$AF$11)),0)</f>
        <v>0</v>
      </c>
      <c r="AJ256" s="627">
        <f ca="1">IF(AND($D256="Serviço",AJ$12&lt;&gt;0,$H256&gt;0,OR(AUTOEVENTO&lt;&gt;"manual",$M256&lt;&gt;1)),
IF(Import.TipoArredondamento&lt;&gt;"TransfereGOV",
ROUND(OFFSET($P256,0,AJ$13),15-13*ORÇAMENTO!$AF$7)/$H256*OFFSET(ORÇAMENTO!$X$15,ROW(AJ256)-ROW(AJ$15),0),
ROUND(ROUND(OFFSET($P256,0,AJ$13),15-13*ORÇAMENTO!$AF$7)*OFFSET(ORÇAMENTO!$W$15,ROW(AJ256)-ROW(AJ$15),0),15-13*ORÇAMENTO!$AF$11)),0)</f>
        <v>0</v>
      </c>
      <c r="AK256" s="628">
        <f ca="1">IF(AND($D256="Serviço",AK$12&lt;&gt;0,$H256&gt;0,OR(AUTOEVENTO&lt;&gt;"manual",$M256&lt;&gt;1)),
IF(Import.TipoArredondamento&lt;&gt;"TransfereGOV",
ROUND(OFFSET($P256,0,AK$13),15-13*ORÇAMENTO!$AF$7)/$H256*OFFSET(ORÇAMENTO!$X$15,ROW(AK256)-ROW(AK$15),0),
ROUND(ROUND(OFFSET($P256,0,AK$13),15-13*ORÇAMENTO!$AF$7)*OFFSET(ORÇAMENTO!$W$15,ROW(AK256)-ROW(AK$15),0),15-13*ORÇAMENTO!$AF$11)),0)</f>
        <v>0</v>
      </c>
      <c r="AM256" s="211">
        <f ca="1">IF($D256&lt;&gt;"Serviço",0,IF(AND(AUTOEVENTO="Manual",$M256=1),0,IF(OFFSET(CRONOPLE!$F$14,$M256,AM$13)="",10^12,OFFSET(CRONOPLE!$F$14,$M256,AM$13))))</f>
        <v>2</v>
      </c>
      <c r="AN256" s="211">
        <f ca="1">IF($D256&lt;&gt;"Serviço",0,IF(AND(AUTOEVENTO="Manual",$M256=1),0,IF(OFFSET(CRONOPLE!$F$14,$M256,AN$13)="",10^12,OFFSET(CRONOPLE!$F$14,$M256,AN$13))))</f>
        <v>1</v>
      </c>
      <c r="AO256" s="211">
        <f ca="1">IF($D256&lt;&gt;"Serviço",0,IF(AND(AUTOEVENTO="Manual",$M256=1),0,IF(OFFSET(CRONOPLE!$F$14,$M256,AO$13)="",10^12,OFFSET(CRONOPLE!$F$14,$M256,AO$13))))</f>
        <v>2</v>
      </c>
      <c r="AP256" s="211">
        <f ca="1">IF($D256&lt;&gt;"Serviço",0,IF(AND(AUTOEVENTO="Manual",$M256=1),0,IF(OFFSET(CRONOPLE!$F$14,$M256,AP$13)="",10^12,OFFSET(CRONOPLE!$F$14,$M256,AP$13))))</f>
        <v>2</v>
      </c>
      <c r="AQ256" s="211">
        <f ca="1">IF($D256&lt;&gt;"Serviço",0,IF(AND(AUTOEVENTO="Manual",$M256=1),0,IF(OFFSET(CRONOPLE!$F$14,$M256,AQ$13)="",10^12,OFFSET(CRONOPLE!$F$14,$M256,AQ$13))))</f>
        <v>1000000000000</v>
      </c>
      <c r="AR256" s="211">
        <f ca="1">IF($D256&lt;&gt;"Serviço",0,IF(AND(AUTOEVENTO="Manual",$M256=1),0,IF(OFFSET(CRONOPLE!$F$14,$M256,AR$13)="",10^12,OFFSET(CRONOPLE!$F$14,$M256,AR$13))))</f>
        <v>1000000000000</v>
      </c>
      <c r="AS256" s="211">
        <f ca="1">IF($D256&lt;&gt;"Serviço",0,IF(AND(AUTOEVENTO="Manual",$M256=1),0,IF(OFFSET(CRONOPLE!$F$14,$M256,AS$13)="",10^12,OFFSET(CRONOPLE!$F$14,$M256,AS$13))))</f>
        <v>1000000000000</v>
      </c>
      <c r="AT256" s="211">
        <f ca="1">IF($D256&lt;&gt;"Serviço",0,IF(AND(AUTOEVENTO="Manual",$M256=1),0,IF(OFFSET(CRONOPLE!$F$14,$M256,AT$13)="",10^12,OFFSET(CRONOPLE!$F$14,$M256,AT$13))))</f>
        <v>1000000000000</v>
      </c>
      <c r="AU256" s="211">
        <f ca="1">IF($D256&lt;&gt;"Serviço",0,IF(AND(AUTOEVENTO="Manual",$M256=1),0,IF(OFFSET(CRONOPLE!$F$14,$M256,AU$13)="",10^12,OFFSET(CRONOPLE!$F$14,$M256,AU$13))))</f>
        <v>1000000000000</v>
      </c>
      <c r="AV256" s="211">
        <f ca="1">IF($D256&lt;&gt;"Serviço",0,IF(AND(AUTOEVENTO="Manual",$M256=1),0,IF(OFFSET(CRONOPLE!$F$14,$M256,AV$13)="",10^12,OFFSET(CRONOPLE!$F$14,$M256,AV$13))))</f>
        <v>1000000000000</v>
      </c>
      <c r="AX256" s="212">
        <f ca="1">IF($D256&lt;&gt;"Serviço",0,IF(OR(AND(AUTOEVENTO="Manual",$M256=1),$M256&gt;(ROW(PLE.lastrow)-ROW(PLE.firstrow))),0,IF(OFFSET(PLE!$G$14,$M256,AX$13)="",10^12,OFFSET(PLE!$G$14,$M256,AX$13))))</f>
        <v>1000000000000</v>
      </c>
      <c r="AY256" s="212">
        <f ca="1">IF($D256&lt;&gt;"Serviço",0,IF(OR(AND(AUTOEVENTO="Manual",$M256=1),$M256&gt;(ROW(PLE.lastrow)-ROW(PLE.firstrow))),0,IF(OFFSET(PLE!$G$14,$M256,AY$13)="",10^12,OFFSET(PLE!$G$14,$M256,AY$13))))</f>
        <v>1000000000000</v>
      </c>
      <c r="AZ256" s="212">
        <f ca="1">IF($D256&lt;&gt;"Serviço",0,IF(OR(AND(AUTOEVENTO="Manual",$M256=1),$M256&gt;(ROW(PLE.lastrow)-ROW(PLE.firstrow))),0,IF(OFFSET(PLE!$G$14,$M256,AZ$13)="",10^12,OFFSET(PLE!$G$14,$M256,AZ$13))))</f>
        <v>1000000000000</v>
      </c>
      <c r="BA256" s="212">
        <f ca="1">IF($D256&lt;&gt;"Serviço",0,IF(OR(AND(AUTOEVENTO="Manual",$M256=1),$M256&gt;(ROW(PLE.lastrow)-ROW(PLE.firstrow))),0,IF(OFFSET(PLE!$G$14,$M256,BA$13)="",10^12,OFFSET(PLE!$G$14,$M256,BA$13))))</f>
        <v>1000000000000</v>
      </c>
      <c r="BB256" s="212">
        <f ca="1">IF($D256&lt;&gt;"Serviço",0,IF(OR(AND(AUTOEVENTO="Manual",$M256=1),$M256&gt;(ROW(PLE.lastrow)-ROW(PLE.firstrow))),0,IF(OFFSET(PLE!$G$14,$M256,BB$13)="",10^12,OFFSET(PLE!$G$14,$M256,BB$13))))</f>
        <v>1000000000000</v>
      </c>
      <c r="BC256" s="212">
        <f ca="1">IF($D256&lt;&gt;"Serviço",0,IF(OR(AND(AUTOEVENTO="Manual",$M256=1),$M256&gt;(ROW(PLE.lastrow)-ROW(PLE.firstrow))),0,IF(OFFSET(PLE!$G$14,$M256,BC$13)="",10^12,OFFSET(PLE!$G$14,$M256,BC$13))))</f>
        <v>1000000000000</v>
      </c>
      <c r="BD256" s="212">
        <f ca="1">IF($D256&lt;&gt;"Serviço",0,IF(OR(AND(AUTOEVENTO="Manual",$M256=1),$M256&gt;(ROW(PLE.lastrow)-ROW(PLE.firstrow))),0,IF(OFFSET(PLE!$G$14,$M256,BD$13)="",10^12,OFFSET(PLE!$G$14,$M256,BD$13))))</f>
        <v>1000000000000</v>
      </c>
      <c r="BE256" s="212">
        <f ca="1">IF($D256&lt;&gt;"Serviço",0,IF(OR(AND(AUTOEVENTO="Manual",$M256=1),$M256&gt;(ROW(PLE.lastrow)-ROW(PLE.firstrow))),0,IF(OFFSET(PLE!$G$14,$M256,BE$13)="",10^12,OFFSET(PLE!$G$14,$M256,BE$13))))</f>
        <v>1000000000000</v>
      </c>
      <c r="BF256" s="212">
        <f ca="1">IF($D256&lt;&gt;"Serviço",0,IF(OR(AND(AUTOEVENTO="Manual",$M256=1),$M256&gt;(ROW(PLE.lastrow)-ROW(PLE.firstrow))),0,IF(OFFSET(PLE!$G$14,$M256,BF$13)="",10^12,OFFSET(PLE!$G$14,$M256,BF$13))))</f>
        <v>1000000000000</v>
      </c>
      <c r="BG256" s="212">
        <f ca="1">IF($D256&lt;&gt;"Serviço",0,IF(OR(AND(AUTOEVENTO="Manual",$M256=1),$M256&gt;(ROW(PLE.lastrow)-ROW(PLE.firstrow))),0,IF(OFFSET(PLE!$G$14,$M256,BG$13)="",10^12,OFFSET(PLE!$G$14,$M256,BG$13))))</f>
        <v>1000000000000</v>
      </c>
    </row>
    <row r="257" spans="1:59" ht="13.2">
      <c r="A257" s="9" t="str">
        <f t="shared" ca="1" si="12"/>
        <v>15</v>
      </c>
      <c r="B257" s="9" t="str">
        <f ca="1">OFFSET(ORÇAMENTO!C$15,ROW(B257)-ROW(B$15),0)</f>
        <v>S</v>
      </c>
      <c r="C257" s="9" t="str">
        <f ca="1">OFFSET(ORÇAMENTO!L$15,ROW(C257)-ROW(C$15),0)</f>
        <v/>
      </c>
      <c r="D257" s="141" t="str">
        <f ca="1">OFFSET(ORÇAMENTO!N$15,ROW(D257)-ROW(D$15),0)</f>
        <v>Serviço</v>
      </c>
      <c r="E257" s="201" t="str">
        <f ca="1">OFFSET(ORÇAMENTO!O$15,ROW(E257)-ROW(E$15),0)</f>
        <v>-</v>
      </c>
      <c r="F257" s="202" t="str">
        <f ca="1">OFFSET(ORÇAMENTO!R$15,ROW(F257)-ROW(F$15),0)</f>
        <v>(abra o arquivo 'Referência 11-2024.xlsm)</v>
      </c>
      <c r="G257" s="203" t="str">
        <f ca="1">IF($D257&lt;&gt;"Serviço","",OFFSET(ORÇAMENTO!S$15,ROW(G257)-ROW(G$15),0))</f>
        <v>-</v>
      </c>
      <c r="H257" s="147">
        <f ca="1">IF($D257&lt;&gt;"Serviço",0,IF(ACOMPANHAMENTO="BM",ROUND(OFFSET(ORÇAMENTO!AJ$15,ROW(H257)-ROW(H$15),0),15-13*ORÇAMENTO!$AF$7),SUMPRODUCT(($Q$12:$AA$12&lt;&gt;"")*ROUND($Q257:$AA257,15-13*ORÇAMENTO!$AF$7))))</f>
        <v>0</v>
      </c>
      <c r="I257" s="645"/>
      <c r="K257" s="204"/>
      <c r="L257" s="205" t="s">
        <v>255</v>
      </c>
      <c r="M257" s="206">
        <f ca="1">IF($D257&lt;&gt;"Serviço","",IF(AUTOEVENTO="manual",$A257,IF(ISERROR(MATCH($A257,$A$15:OFFSET($A257,-1,0),0)),MAX($M$15:OFFSET(M257,-1,0))+1,INDEX($M$15:OFFSET(M257,-1,0),MATCH($A257,$A$15:OFFSET($A257,-1,0),0)))))</f>
        <v>6</v>
      </c>
      <c r="N257" s="207" t="str">
        <f ca="1">IF($D257&lt;&gt;"Serviço","",IF(AUTOEVENTO="Manual",IF($A257=0,"&lt;-- defina o número do agrupador",OFFSET(EVENTOS!$D$14,$A257,0)),OFFSET($F$15,$A257,0)))</f>
        <v>DRENAGEM</v>
      </c>
      <c r="O257" s="208"/>
      <c r="Q257" s="208"/>
      <c r="R257" s="209"/>
      <c r="S257" s="209"/>
      <c r="T257" s="209"/>
      <c r="U257" s="209"/>
      <c r="V257" s="209"/>
      <c r="W257" s="209"/>
      <c r="X257" s="209"/>
      <c r="Y257" s="209"/>
      <c r="Z257" s="210"/>
      <c r="AB257" s="626">
        <f ca="1">IF(AND($D257="Serviço",AB$12&lt;&gt;0,$H257&gt;0,OR(AUTOEVENTO&lt;&gt;"manual",$M257&lt;&gt;1)),
IF(Import.TipoArredondamento&lt;&gt;"TransfereGOV",
ROUND(OFFSET($P257,0,AB$13),15-13*ORÇAMENTO!$AF$7)/$H257*OFFSET(ORÇAMENTO!$X$15,ROW(AB257)-ROW(AB$15),0),
ROUND(ROUND(OFFSET($P257,0,AB$13),15-13*ORÇAMENTO!$AF$7)*OFFSET(ORÇAMENTO!$W$15,ROW(AB257)-ROW(AB$15),0),15-13*ORÇAMENTO!$AF$11)),0)</f>
        <v>0</v>
      </c>
      <c r="AC257" s="627">
        <f ca="1">IF(AND($D257="Serviço",AC$12&lt;&gt;0,$H257&gt;0,OR(AUTOEVENTO&lt;&gt;"manual",$M257&lt;&gt;1)),
IF(Import.TipoArredondamento&lt;&gt;"TransfereGOV",
ROUND(OFFSET($P257,0,AC$13),15-13*ORÇAMENTO!$AF$7)/$H257*OFFSET(ORÇAMENTO!$X$15,ROW(AC257)-ROW(AC$15),0),
ROUND(ROUND(OFFSET($P257,0,AC$13),15-13*ORÇAMENTO!$AF$7)*OFFSET(ORÇAMENTO!$W$15,ROW(AC257)-ROW(AC$15),0),15-13*ORÇAMENTO!$AF$11)),0)</f>
        <v>0</v>
      </c>
      <c r="AD257" s="627">
        <f ca="1">IF(AND($D257="Serviço",AD$12&lt;&gt;0,$H257&gt;0,OR(AUTOEVENTO&lt;&gt;"manual",$M257&lt;&gt;1)),
IF(Import.TipoArredondamento&lt;&gt;"TransfereGOV",
ROUND(OFFSET($P257,0,AD$13),15-13*ORÇAMENTO!$AF$7)/$H257*OFFSET(ORÇAMENTO!$X$15,ROW(AD257)-ROW(AD$15),0),
ROUND(ROUND(OFFSET($P257,0,AD$13),15-13*ORÇAMENTO!$AF$7)*OFFSET(ORÇAMENTO!$W$15,ROW(AD257)-ROW(AD$15),0),15-13*ORÇAMENTO!$AF$11)),0)</f>
        <v>0</v>
      </c>
      <c r="AE257" s="627">
        <f ca="1">IF(AND($D257="Serviço",AE$12&lt;&gt;0,$H257&gt;0,OR(AUTOEVENTO&lt;&gt;"manual",$M257&lt;&gt;1)),
IF(Import.TipoArredondamento&lt;&gt;"TransfereGOV",
ROUND(OFFSET($P257,0,AE$13),15-13*ORÇAMENTO!$AF$7)/$H257*OFFSET(ORÇAMENTO!$X$15,ROW(AE257)-ROW(AE$15),0),
ROUND(ROUND(OFFSET($P257,0,AE$13),15-13*ORÇAMENTO!$AF$7)*OFFSET(ORÇAMENTO!$W$15,ROW(AE257)-ROW(AE$15),0),15-13*ORÇAMENTO!$AF$11)),0)</f>
        <v>0</v>
      </c>
      <c r="AF257" s="627">
        <f ca="1">IF(AND($D257="Serviço",AF$12&lt;&gt;0,$H257&gt;0,OR(AUTOEVENTO&lt;&gt;"manual",$M257&lt;&gt;1)),
IF(Import.TipoArredondamento&lt;&gt;"TransfereGOV",
ROUND(OFFSET($P257,0,AF$13),15-13*ORÇAMENTO!$AF$7)/$H257*OFFSET(ORÇAMENTO!$X$15,ROW(AF257)-ROW(AF$15),0),
ROUND(ROUND(OFFSET($P257,0,AF$13),15-13*ORÇAMENTO!$AF$7)*OFFSET(ORÇAMENTO!$W$15,ROW(AF257)-ROW(AF$15),0),15-13*ORÇAMENTO!$AF$11)),0)</f>
        <v>0</v>
      </c>
      <c r="AG257" s="627">
        <f ca="1">IF(AND($D257="Serviço",AG$12&lt;&gt;0,$H257&gt;0,OR(AUTOEVENTO&lt;&gt;"manual",$M257&lt;&gt;1)),
IF(Import.TipoArredondamento&lt;&gt;"TransfereGOV",
ROUND(OFFSET($P257,0,AG$13),15-13*ORÇAMENTO!$AF$7)/$H257*OFFSET(ORÇAMENTO!$X$15,ROW(AG257)-ROW(AG$15),0),
ROUND(ROUND(OFFSET($P257,0,AG$13),15-13*ORÇAMENTO!$AF$7)*OFFSET(ORÇAMENTO!$W$15,ROW(AG257)-ROW(AG$15),0),15-13*ORÇAMENTO!$AF$11)),0)</f>
        <v>0</v>
      </c>
      <c r="AH257" s="627">
        <f ca="1">IF(AND($D257="Serviço",AH$12&lt;&gt;0,$H257&gt;0,OR(AUTOEVENTO&lt;&gt;"manual",$M257&lt;&gt;1)),
IF(Import.TipoArredondamento&lt;&gt;"TransfereGOV",
ROUND(OFFSET($P257,0,AH$13),15-13*ORÇAMENTO!$AF$7)/$H257*OFFSET(ORÇAMENTO!$X$15,ROW(AH257)-ROW(AH$15),0),
ROUND(ROUND(OFFSET($P257,0,AH$13),15-13*ORÇAMENTO!$AF$7)*OFFSET(ORÇAMENTO!$W$15,ROW(AH257)-ROW(AH$15),0),15-13*ORÇAMENTO!$AF$11)),0)</f>
        <v>0</v>
      </c>
      <c r="AI257" s="627">
        <f ca="1">IF(AND($D257="Serviço",AI$12&lt;&gt;0,$H257&gt;0,OR(AUTOEVENTO&lt;&gt;"manual",$M257&lt;&gt;1)),
IF(Import.TipoArredondamento&lt;&gt;"TransfereGOV",
ROUND(OFFSET($P257,0,AI$13),15-13*ORÇAMENTO!$AF$7)/$H257*OFFSET(ORÇAMENTO!$X$15,ROW(AI257)-ROW(AI$15),0),
ROUND(ROUND(OFFSET($P257,0,AI$13),15-13*ORÇAMENTO!$AF$7)*OFFSET(ORÇAMENTO!$W$15,ROW(AI257)-ROW(AI$15),0),15-13*ORÇAMENTO!$AF$11)),0)</f>
        <v>0</v>
      </c>
      <c r="AJ257" s="627">
        <f ca="1">IF(AND($D257="Serviço",AJ$12&lt;&gt;0,$H257&gt;0,OR(AUTOEVENTO&lt;&gt;"manual",$M257&lt;&gt;1)),
IF(Import.TipoArredondamento&lt;&gt;"TransfereGOV",
ROUND(OFFSET($P257,0,AJ$13),15-13*ORÇAMENTO!$AF$7)/$H257*OFFSET(ORÇAMENTO!$X$15,ROW(AJ257)-ROW(AJ$15),0),
ROUND(ROUND(OFFSET($P257,0,AJ$13),15-13*ORÇAMENTO!$AF$7)*OFFSET(ORÇAMENTO!$W$15,ROW(AJ257)-ROW(AJ$15),0),15-13*ORÇAMENTO!$AF$11)),0)</f>
        <v>0</v>
      </c>
      <c r="AK257" s="628">
        <f ca="1">IF(AND($D257="Serviço",AK$12&lt;&gt;0,$H257&gt;0,OR(AUTOEVENTO&lt;&gt;"manual",$M257&lt;&gt;1)),
IF(Import.TipoArredondamento&lt;&gt;"TransfereGOV",
ROUND(OFFSET($P257,0,AK$13),15-13*ORÇAMENTO!$AF$7)/$H257*OFFSET(ORÇAMENTO!$X$15,ROW(AK257)-ROW(AK$15),0),
ROUND(ROUND(OFFSET($P257,0,AK$13),15-13*ORÇAMENTO!$AF$7)*OFFSET(ORÇAMENTO!$W$15,ROW(AK257)-ROW(AK$15),0),15-13*ORÇAMENTO!$AF$11)),0)</f>
        <v>0</v>
      </c>
      <c r="AM257" s="211">
        <f ca="1">IF($D257&lt;&gt;"Serviço",0,IF(AND(AUTOEVENTO="Manual",$M257=1),0,IF(OFFSET(CRONOPLE!$F$14,$M257,AM$13)="",10^12,OFFSET(CRONOPLE!$F$14,$M257,AM$13))))</f>
        <v>2</v>
      </c>
      <c r="AN257" s="211">
        <f ca="1">IF($D257&lt;&gt;"Serviço",0,IF(AND(AUTOEVENTO="Manual",$M257=1),0,IF(OFFSET(CRONOPLE!$F$14,$M257,AN$13)="",10^12,OFFSET(CRONOPLE!$F$14,$M257,AN$13))))</f>
        <v>1</v>
      </c>
      <c r="AO257" s="211">
        <f ca="1">IF($D257&lt;&gt;"Serviço",0,IF(AND(AUTOEVENTO="Manual",$M257=1),0,IF(OFFSET(CRONOPLE!$F$14,$M257,AO$13)="",10^12,OFFSET(CRONOPLE!$F$14,$M257,AO$13))))</f>
        <v>2</v>
      </c>
      <c r="AP257" s="211">
        <f ca="1">IF($D257&lt;&gt;"Serviço",0,IF(AND(AUTOEVENTO="Manual",$M257=1),0,IF(OFFSET(CRONOPLE!$F$14,$M257,AP$13)="",10^12,OFFSET(CRONOPLE!$F$14,$M257,AP$13))))</f>
        <v>2</v>
      </c>
      <c r="AQ257" s="211">
        <f ca="1">IF($D257&lt;&gt;"Serviço",0,IF(AND(AUTOEVENTO="Manual",$M257=1),0,IF(OFFSET(CRONOPLE!$F$14,$M257,AQ$13)="",10^12,OFFSET(CRONOPLE!$F$14,$M257,AQ$13))))</f>
        <v>1000000000000</v>
      </c>
      <c r="AR257" s="211">
        <f ca="1">IF($D257&lt;&gt;"Serviço",0,IF(AND(AUTOEVENTO="Manual",$M257=1),0,IF(OFFSET(CRONOPLE!$F$14,$M257,AR$13)="",10^12,OFFSET(CRONOPLE!$F$14,$M257,AR$13))))</f>
        <v>1000000000000</v>
      </c>
      <c r="AS257" s="211">
        <f ca="1">IF($D257&lt;&gt;"Serviço",0,IF(AND(AUTOEVENTO="Manual",$M257=1),0,IF(OFFSET(CRONOPLE!$F$14,$M257,AS$13)="",10^12,OFFSET(CRONOPLE!$F$14,$M257,AS$13))))</f>
        <v>1000000000000</v>
      </c>
      <c r="AT257" s="211">
        <f ca="1">IF($D257&lt;&gt;"Serviço",0,IF(AND(AUTOEVENTO="Manual",$M257=1),0,IF(OFFSET(CRONOPLE!$F$14,$M257,AT$13)="",10^12,OFFSET(CRONOPLE!$F$14,$M257,AT$13))))</f>
        <v>1000000000000</v>
      </c>
      <c r="AU257" s="211">
        <f ca="1">IF($D257&lt;&gt;"Serviço",0,IF(AND(AUTOEVENTO="Manual",$M257=1),0,IF(OFFSET(CRONOPLE!$F$14,$M257,AU$13)="",10^12,OFFSET(CRONOPLE!$F$14,$M257,AU$13))))</f>
        <v>1000000000000</v>
      </c>
      <c r="AV257" s="211">
        <f ca="1">IF($D257&lt;&gt;"Serviço",0,IF(AND(AUTOEVENTO="Manual",$M257=1),0,IF(OFFSET(CRONOPLE!$F$14,$M257,AV$13)="",10^12,OFFSET(CRONOPLE!$F$14,$M257,AV$13))))</f>
        <v>1000000000000</v>
      </c>
      <c r="AX257" s="212">
        <f ca="1">IF($D257&lt;&gt;"Serviço",0,IF(OR(AND(AUTOEVENTO="Manual",$M257=1),$M257&gt;(ROW(PLE.lastrow)-ROW(PLE.firstrow))),0,IF(OFFSET(PLE!$G$14,$M257,AX$13)="",10^12,OFFSET(PLE!$G$14,$M257,AX$13))))</f>
        <v>1000000000000</v>
      </c>
      <c r="AY257" s="212">
        <f ca="1">IF($D257&lt;&gt;"Serviço",0,IF(OR(AND(AUTOEVENTO="Manual",$M257=1),$M257&gt;(ROW(PLE.lastrow)-ROW(PLE.firstrow))),0,IF(OFFSET(PLE!$G$14,$M257,AY$13)="",10^12,OFFSET(PLE!$G$14,$M257,AY$13))))</f>
        <v>1000000000000</v>
      </c>
      <c r="AZ257" s="212">
        <f ca="1">IF($D257&lt;&gt;"Serviço",0,IF(OR(AND(AUTOEVENTO="Manual",$M257=1),$M257&gt;(ROW(PLE.lastrow)-ROW(PLE.firstrow))),0,IF(OFFSET(PLE!$G$14,$M257,AZ$13)="",10^12,OFFSET(PLE!$G$14,$M257,AZ$13))))</f>
        <v>1000000000000</v>
      </c>
      <c r="BA257" s="212">
        <f ca="1">IF($D257&lt;&gt;"Serviço",0,IF(OR(AND(AUTOEVENTO="Manual",$M257=1),$M257&gt;(ROW(PLE.lastrow)-ROW(PLE.firstrow))),0,IF(OFFSET(PLE!$G$14,$M257,BA$13)="",10^12,OFFSET(PLE!$G$14,$M257,BA$13))))</f>
        <v>1000000000000</v>
      </c>
      <c r="BB257" s="212">
        <f ca="1">IF($D257&lt;&gt;"Serviço",0,IF(OR(AND(AUTOEVENTO="Manual",$M257=1),$M257&gt;(ROW(PLE.lastrow)-ROW(PLE.firstrow))),0,IF(OFFSET(PLE!$G$14,$M257,BB$13)="",10^12,OFFSET(PLE!$G$14,$M257,BB$13))))</f>
        <v>1000000000000</v>
      </c>
      <c r="BC257" s="212">
        <f ca="1">IF($D257&lt;&gt;"Serviço",0,IF(OR(AND(AUTOEVENTO="Manual",$M257=1),$M257&gt;(ROW(PLE.lastrow)-ROW(PLE.firstrow))),0,IF(OFFSET(PLE!$G$14,$M257,BC$13)="",10^12,OFFSET(PLE!$G$14,$M257,BC$13))))</f>
        <v>1000000000000</v>
      </c>
      <c r="BD257" s="212">
        <f ca="1">IF($D257&lt;&gt;"Serviço",0,IF(OR(AND(AUTOEVENTO="Manual",$M257=1),$M257&gt;(ROW(PLE.lastrow)-ROW(PLE.firstrow))),0,IF(OFFSET(PLE!$G$14,$M257,BD$13)="",10^12,OFFSET(PLE!$G$14,$M257,BD$13))))</f>
        <v>1000000000000</v>
      </c>
      <c r="BE257" s="212">
        <f ca="1">IF($D257&lt;&gt;"Serviço",0,IF(OR(AND(AUTOEVENTO="Manual",$M257=1),$M257&gt;(ROW(PLE.lastrow)-ROW(PLE.firstrow))),0,IF(OFFSET(PLE!$G$14,$M257,BE$13)="",10^12,OFFSET(PLE!$G$14,$M257,BE$13))))</f>
        <v>1000000000000</v>
      </c>
      <c r="BF257" s="212">
        <f ca="1">IF($D257&lt;&gt;"Serviço",0,IF(OR(AND(AUTOEVENTO="Manual",$M257=1),$M257&gt;(ROW(PLE.lastrow)-ROW(PLE.firstrow))),0,IF(OFFSET(PLE!$G$14,$M257,BF$13)="",10^12,OFFSET(PLE!$G$14,$M257,BF$13))))</f>
        <v>1000000000000</v>
      </c>
      <c r="BG257" s="212">
        <f ca="1">IF($D257&lt;&gt;"Serviço",0,IF(OR(AND(AUTOEVENTO="Manual",$M257=1),$M257&gt;(ROW(PLE.lastrow)-ROW(PLE.firstrow))),0,IF(OFFSET(PLE!$G$14,$M257,BG$13)="",10^12,OFFSET(PLE!$G$14,$M257,BG$13))))</f>
        <v>1000000000000</v>
      </c>
    </row>
    <row r="258" spans="1:59" ht="13.2">
      <c r="A258" s="9" t="str">
        <f t="shared" ca="1" si="12"/>
        <v>15</v>
      </c>
      <c r="B258" s="9" t="str">
        <f ca="1">OFFSET(ORÇAMENTO!C$15,ROW(B258)-ROW(B$15),0)</f>
        <v>S</v>
      </c>
      <c r="C258" s="9" t="str">
        <f ca="1">OFFSET(ORÇAMENTO!L$15,ROW(C258)-ROW(C$15),0)</f>
        <v/>
      </c>
      <c r="D258" s="141" t="str">
        <f ca="1">OFFSET(ORÇAMENTO!N$15,ROW(D258)-ROW(D$15),0)</f>
        <v>Serviço</v>
      </c>
      <c r="E258" s="201" t="str">
        <f ca="1">OFFSET(ORÇAMENTO!O$15,ROW(E258)-ROW(E$15),0)</f>
        <v>-</v>
      </c>
      <c r="F258" s="202" t="str">
        <f ca="1">OFFSET(ORÇAMENTO!R$15,ROW(F258)-ROW(F$15),0)</f>
        <v>(abra o arquivo 'Referência 11-2024.xlsm)</v>
      </c>
      <c r="G258" s="203" t="str">
        <f ca="1">IF($D258&lt;&gt;"Serviço","",OFFSET(ORÇAMENTO!S$15,ROW(G258)-ROW(G$15),0))</f>
        <v>-</v>
      </c>
      <c r="H258" s="147">
        <f ca="1">IF($D258&lt;&gt;"Serviço",0,IF(ACOMPANHAMENTO="BM",ROUND(OFFSET(ORÇAMENTO!AJ$15,ROW(H258)-ROW(H$15),0),15-13*ORÇAMENTO!$AF$7),SUMPRODUCT(($Q$12:$AA$12&lt;&gt;"")*ROUND($Q258:$AA258,15-13*ORÇAMENTO!$AF$7))))</f>
        <v>0</v>
      </c>
      <c r="I258" s="645"/>
      <c r="K258" s="204"/>
      <c r="L258" s="205" t="s">
        <v>255</v>
      </c>
      <c r="M258" s="206">
        <f ca="1">IF($D258&lt;&gt;"Serviço","",IF(AUTOEVENTO="manual",$A258,IF(ISERROR(MATCH($A258,$A$15:OFFSET($A258,-1,0),0)),MAX($M$15:OFFSET(M258,-1,0))+1,INDEX($M$15:OFFSET(M258,-1,0),MATCH($A258,$A$15:OFFSET($A258,-1,0),0)))))</f>
        <v>6</v>
      </c>
      <c r="N258" s="207" t="str">
        <f ca="1">IF($D258&lt;&gt;"Serviço","",IF(AUTOEVENTO="Manual",IF($A258=0,"&lt;-- defina o número do agrupador",OFFSET(EVENTOS!$D$14,$A258,0)),OFFSET($F$15,$A258,0)))</f>
        <v>DRENAGEM</v>
      </c>
      <c r="O258" s="208"/>
      <c r="Q258" s="208"/>
      <c r="R258" s="209"/>
      <c r="S258" s="209"/>
      <c r="T258" s="209"/>
      <c r="U258" s="209"/>
      <c r="V258" s="209"/>
      <c r="W258" s="209"/>
      <c r="X258" s="209"/>
      <c r="Y258" s="209"/>
      <c r="Z258" s="210"/>
      <c r="AB258" s="626">
        <f ca="1">IF(AND($D258="Serviço",AB$12&lt;&gt;0,$H258&gt;0,OR(AUTOEVENTO&lt;&gt;"manual",$M258&lt;&gt;1)),
IF(Import.TipoArredondamento&lt;&gt;"TransfereGOV",
ROUND(OFFSET($P258,0,AB$13),15-13*ORÇAMENTO!$AF$7)/$H258*OFFSET(ORÇAMENTO!$X$15,ROW(AB258)-ROW(AB$15),0),
ROUND(ROUND(OFFSET($P258,0,AB$13),15-13*ORÇAMENTO!$AF$7)*OFFSET(ORÇAMENTO!$W$15,ROW(AB258)-ROW(AB$15),0),15-13*ORÇAMENTO!$AF$11)),0)</f>
        <v>0</v>
      </c>
      <c r="AC258" s="627">
        <f ca="1">IF(AND($D258="Serviço",AC$12&lt;&gt;0,$H258&gt;0,OR(AUTOEVENTO&lt;&gt;"manual",$M258&lt;&gt;1)),
IF(Import.TipoArredondamento&lt;&gt;"TransfereGOV",
ROUND(OFFSET($P258,0,AC$13),15-13*ORÇAMENTO!$AF$7)/$H258*OFFSET(ORÇAMENTO!$X$15,ROW(AC258)-ROW(AC$15),0),
ROUND(ROUND(OFFSET($P258,0,AC$13),15-13*ORÇAMENTO!$AF$7)*OFFSET(ORÇAMENTO!$W$15,ROW(AC258)-ROW(AC$15),0),15-13*ORÇAMENTO!$AF$11)),0)</f>
        <v>0</v>
      </c>
      <c r="AD258" s="627">
        <f ca="1">IF(AND($D258="Serviço",AD$12&lt;&gt;0,$H258&gt;0,OR(AUTOEVENTO&lt;&gt;"manual",$M258&lt;&gt;1)),
IF(Import.TipoArredondamento&lt;&gt;"TransfereGOV",
ROUND(OFFSET($P258,0,AD$13),15-13*ORÇAMENTO!$AF$7)/$H258*OFFSET(ORÇAMENTO!$X$15,ROW(AD258)-ROW(AD$15),0),
ROUND(ROUND(OFFSET($P258,0,AD$13),15-13*ORÇAMENTO!$AF$7)*OFFSET(ORÇAMENTO!$W$15,ROW(AD258)-ROW(AD$15),0),15-13*ORÇAMENTO!$AF$11)),0)</f>
        <v>0</v>
      </c>
      <c r="AE258" s="627">
        <f ca="1">IF(AND($D258="Serviço",AE$12&lt;&gt;0,$H258&gt;0,OR(AUTOEVENTO&lt;&gt;"manual",$M258&lt;&gt;1)),
IF(Import.TipoArredondamento&lt;&gt;"TransfereGOV",
ROUND(OFFSET($P258,0,AE$13),15-13*ORÇAMENTO!$AF$7)/$H258*OFFSET(ORÇAMENTO!$X$15,ROW(AE258)-ROW(AE$15),0),
ROUND(ROUND(OFFSET($P258,0,AE$13),15-13*ORÇAMENTO!$AF$7)*OFFSET(ORÇAMENTO!$W$15,ROW(AE258)-ROW(AE$15),0),15-13*ORÇAMENTO!$AF$11)),0)</f>
        <v>0</v>
      </c>
      <c r="AF258" s="627">
        <f ca="1">IF(AND($D258="Serviço",AF$12&lt;&gt;0,$H258&gt;0,OR(AUTOEVENTO&lt;&gt;"manual",$M258&lt;&gt;1)),
IF(Import.TipoArredondamento&lt;&gt;"TransfereGOV",
ROUND(OFFSET($P258,0,AF$13),15-13*ORÇAMENTO!$AF$7)/$H258*OFFSET(ORÇAMENTO!$X$15,ROW(AF258)-ROW(AF$15),0),
ROUND(ROUND(OFFSET($P258,0,AF$13),15-13*ORÇAMENTO!$AF$7)*OFFSET(ORÇAMENTO!$W$15,ROW(AF258)-ROW(AF$15),0),15-13*ORÇAMENTO!$AF$11)),0)</f>
        <v>0</v>
      </c>
      <c r="AG258" s="627">
        <f ca="1">IF(AND($D258="Serviço",AG$12&lt;&gt;0,$H258&gt;0,OR(AUTOEVENTO&lt;&gt;"manual",$M258&lt;&gt;1)),
IF(Import.TipoArredondamento&lt;&gt;"TransfereGOV",
ROUND(OFFSET($P258,0,AG$13),15-13*ORÇAMENTO!$AF$7)/$H258*OFFSET(ORÇAMENTO!$X$15,ROW(AG258)-ROW(AG$15),0),
ROUND(ROUND(OFFSET($P258,0,AG$13),15-13*ORÇAMENTO!$AF$7)*OFFSET(ORÇAMENTO!$W$15,ROW(AG258)-ROW(AG$15),0),15-13*ORÇAMENTO!$AF$11)),0)</f>
        <v>0</v>
      </c>
      <c r="AH258" s="627">
        <f ca="1">IF(AND($D258="Serviço",AH$12&lt;&gt;0,$H258&gt;0,OR(AUTOEVENTO&lt;&gt;"manual",$M258&lt;&gt;1)),
IF(Import.TipoArredondamento&lt;&gt;"TransfereGOV",
ROUND(OFFSET($P258,0,AH$13),15-13*ORÇAMENTO!$AF$7)/$H258*OFFSET(ORÇAMENTO!$X$15,ROW(AH258)-ROW(AH$15),0),
ROUND(ROUND(OFFSET($P258,0,AH$13),15-13*ORÇAMENTO!$AF$7)*OFFSET(ORÇAMENTO!$W$15,ROW(AH258)-ROW(AH$15),0),15-13*ORÇAMENTO!$AF$11)),0)</f>
        <v>0</v>
      </c>
      <c r="AI258" s="627">
        <f ca="1">IF(AND($D258="Serviço",AI$12&lt;&gt;0,$H258&gt;0,OR(AUTOEVENTO&lt;&gt;"manual",$M258&lt;&gt;1)),
IF(Import.TipoArredondamento&lt;&gt;"TransfereGOV",
ROUND(OFFSET($P258,0,AI$13),15-13*ORÇAMENTO!$AF$7)/$H258*OFFSET(ORÇAMENTO!$X$15,ROW(AI258)-ROW(AI$15),0),
ROUND(ROUND(OFFSET($P258,0,AI$13),15-13*ORÇAMENTO!$AF$7)*OFFSET(ORÇAMENTO!$W$15,ROW(AI258)-ROW(AI$15),0),15-13*ORÇAMENTO!$AF$11)),0)</f>
        <v>0</v>
      </c>
      <c r="AJ258" s="627">
        <f ca="1">IF(AND($D258="Serviço",AJ$12&lt;&gt;0,$H258&gt;0,OR(AUTOEVENTO&lt;&gt;"manual",$M258&lt;&gt;1)),
IF(Import.TipoArredondamento&lt;&gt;"TransfereGOV",
ROUND(OFFSET($P258,0,AJ$13),15-13*ORÇAMENTO!$AF$7)/$H258*OFFSET(ORÇAMENTO!$X$15,ROW(AJ258)-ROW(AJ$15),0),
ROUND(ROUND(OFFSET($P258,0,AJ$13),15-13*ORÇAMENTO!$AF$7)*OFFSET(ORÇAMENTO!$W$15,ROW(AJ258)-ROW(AJ$15),0),15-13*ORÇAMENTO!$AF$11)),0)</f>
        <v>0</v>
      </c>
      <c r="AK258" s="628">
        <f ca="1">IF(AND($D258="Serviço",AK$12&lt;&gt;0,$H258&gt;0,OR(AUTOEVENTO&lt;&gt;"manual",$M258&lt;&gt;1)),
IF(Import.TipoArredondamento&lt;&gt;"TransfereGOV",
ROUND(OFFSET($P258,0,AK$13),15-13*ORÇAMENTO!$AF$7)/$H258*OFFSET(ORÇAMENTO!$X$15,ROW(AK258)-ROW(AK$15),0),
ROUND(ROUND(OFFSET($P258,0,AK$13),15-13*ORÇAMENTO!$AF$7)*OFFSET(ORÇAMENTO!$W$15,ROW(AK258)-ROW(AK$15),0),15-13*ORÇAMENTO!$AF$11)),0)</f>
        <v>0</v>
      </c>
      <c r="AM258" s="211">
        <f ca="1">IF($D258&lt;&gt;"Serviço",0,IF(AND(AUTOEVENTO="Manual",$M258=1),0,IF(OFFSET(CRONOPLE!$F$14,$M258,AM$13)="",10^12,OFFSET(CRONOPLE!$F$14,$M258,AM$13))))</f>
        <v>2</v>
      </c>
      <c r="AN258" s="211">
        <f ca="1">IF($D258&lt;&gt;"Serviço",0,IF(AND(AUTOEVENTO="Manual",$M258=1),0,IF(OFFSET(CRONOPLE!$F$14,$M258,AN$13)="",10^12,OFFSET(CRONOPLE!$F$14,$M258,AN$13))))</f>
        <v>1</v>
      </c>
      <c r="AO258" s="211">
        <f ca="1">IF($D258&lt;&gt;"Serviço",0,IF(AND(AUTOEVENTO="Manual",$M258=1),0,IF(OFFSET(CRONOPLE!$F$14,$M258,AO$13)="",10^12,OFFSET(CRONOPLE!$F$14,$M258,AO$13))))</f>
        <v>2</v>
      </c>
      <c r="AP258" s="211">
        <f ca="1">IF($D258&lt;&gt;"Serviço",0,IF(AND(AUTOEVENTO="Manual",$M258=1),0,IF(OFFSET(CRONOPLE!$F$14,$M258,AP$13)="",10^12,OFFSET(CRONOPLE!$F$14,$M258,AP$13))))</f>
        <v>2</v>
      </c>
      <c r="AQ258" s="211">
        <f ca="1">IF($D258&lt;&gt;"Serviço",0,IF(AND(AUTOEVENTO="Manual",$M258=1),0,IF(OFFSET(CRONOPLE!$F$14,$M258,AQ$13)="",10^12,OFFSET(CRONOPLE!$F$14,$M258,AQ$13))))</f>
        <v>1000000000000</v>
      </c>
      <c r="AR258" s="211">
        <f ca="1">IF($D258&lt;&gt;"Serviço",0,IF(AND(AUTOEVENTO="Manual",$M258=1),0,IF(OFFSET(CRONOPLE!$F$14,$M258,AR$13)="",10^12,OFFSET(CRONOPLE!$F$14,$M258,AR$13))))</f>
        <v>1000000000000</v>
      </c>
      <c r="AS258" s="211">
        <f ca="1">IF($D258&lt;&gt;"Serviço",0,IF(AND(AUTOEVENTO="Manual",$M258=1),0,IF(OFFSET(CRONOPLE!$F$14,$M258,AS$13)="",10^12,OFFSET(CRONOPLE!$F$14,$M258,AS$13))))</f>
        <v>1000000000000</v>
      </c>
      <c r="AT258" s="211">
        <f ca="1">IF($D258&lt;&gt;"Serviço",0,IF(AND(AUTOEVENTO="Manual",$M258=1),0,IF(OFFSET(CRONOPLE!$F$14,$M258,AT$13)="",10^12,OFFSET(CRONOPLE!$F$14,$M258,AT$13))))</f>
        <v>1000000000000</v>
      </c>
      <c r="AU258" s="211">
        <f ca="1">IF($D258&lt;&gt;"Serviço",0,IF(AND(AUTOEVENTO="Manual",$M258=1),0,IF(OFFSET(CRONOPLE!$F$14,$M258,AU$13)="",10^12,OFFSET(CRONOPLE!$F$14,$M258,AU$13))))</f>
        <v>1000000000000</v>
      </c>
      <c r="AV258" s="211">
        <f ca="1">IF($D258&lt;&gt;"Serviço",0,IF(AND(AUTOEVENTO="Manual",$M258=1),0,IF(OFFSET(CRONOPLE!$F$14,$M258,AV$13)="",10^12,OFFSET(CRONOPLE!$F$14,$M258,AV$13))))</f>
        <v>1000000000000</v>
      </c>
      <c r="AX258" s="212">
        <f ca="1">IF($D258&lt;&gt;"Serviço",0,IF(OR(AND(AUTOEVENTO="Manual",$M258=1),$M258&gt;(ROW(PLE.lastrow)-ROW(PLE.firstrow))),0,IF(OFFSET(PLE!$G$14,$M258,AX$13)="",10^12,OFFSET(PLE!$G$14,$M258,AX$13))))</f>
        <v>1000000000000</v>
      </c>
      <c r="AY258" s="212">
        <f ca="1">IF($D258&lt;&gt;"Serviço",0,IF(OR(AND(AUTOEVENTO="Manual",$M258=1),$M258&gt;(ROW(PLE.lastrow)-ROW(PLE.firstrow))),0,IF(OFFSET(PLE!$G$14,$M258,AY$13)="",10^12,OFFSET(PLE!$G$14,$M258,AY$13))))</f>
        <v>1000000000000</v>
      </c>
      <c r="AZ258" s="212">
        <f ca="1">IF($D258&lt;&gt;"Serviço",0,IF(OR(AND(AUTOEVENTO="Manual",$M258=1),$M258&gt;(ROW(PLE.lastrow)-ROW(PLE.firstrow))),0,IF(OFFSET(PLE!$G$14,$M258,AZ$13)="",10^12,OFFSET(PLE!$G$14,$M258,AZ$13))))</f>
        <v>1000000000000</v>
      </c>
      <c r="BA258" s="212">
        <f ca="1">IF($D258&lt;&gt;"Serviço",0,IF(OR(AND(AUTOEVENTO="Manual",$M258=1),$M258&gt;(ROW(PLE.lastrow)-ROW(PLE.firstrow))),0,IF(OFFSET(PLE!$G$14,$M258,BA$13)="",10^12,OFFSET(PLE!$G$14,$M258,BA$13))))</f>
        <v>1000000000000</v>
      </c>
      <c r="BB258" s="212">
        <f ca="1">IF($D258&lt;&gt;"Serviço",0,IF(OR(AND(AUTOEVENTO="Manual",$M258=1),$M258&gt;(ROW(PLE.lastrow)-ROW(PLE.firstrow))),0,IF(OFFSET(PLE!$G$14,$M258,BB$13)="",10^12,OFFSET(PLE!$G$14,$M258,BB$13))))</f>
        <v>1000000000000</v>
      </c>
      <c r="BC258" s="212">
        <f ca="1">IF($D258&lt;&gt;"Serviço",0,IF(OR(AND(AUTOEVENTO="Manual",$M258=1),$M258&gt;(ROW(PLE.lastrow)-ROW(PLE.firstrow))),0,IF(OFFSET(PLE!$G$14,$M258,BC$13)="",10^12,OFFSET(PLE!$G$14,$M258,BC$13))))</f>
        <v>1000000000000</v>
      </c>
      <c r="BD258" s="212">
        <f ca="1">IF($D258&lt;&gt;"Serviço",0,IF(OR(AND(AUTOEVENTO="Manual",$M258=1),$M258&gt;(ROW(PLE.lastrow)-ROW(PLE.firstrow))),0,IF(OFFSET(PLE!$G$14,$M258,BD$13)="",10^12,OFFSET(PLE!$G$14,$M258,BD$13))))</f>
        <v>1000000000000</v>
      </c>
      <c r="BE258" s="212">
        <f ca="1">IF($D258&lt;&gt;"Serviço",0,IF(OR(AND(AUTOEVENTO="Manual",$M258=1),$M258&gt;(ROW(PLE.lastrow)-ROW(PLE.firstrow))),0,IF(OFFSET(PLE!$G$14,$M258,BE$13)="",10^12,OFFSET(PLE!$G$14,$M258,BE$13))))</f>
        <v>1000000000000</v>
      </c>
      <c r="BF258" s="212">
        <f ca="1">IF($D258&lt;&gt;"Serviço",0,IF(OR(AND(AUTOEVENTO="Manual",$M258=1),$M258&gt;(ROW(PLE.lastrow)-ROW(PLE.firstrow))),0,IF(OFFSET(PLE!$G$14,$M258,BF$13)="",10^12,OFFSET(PLE!$G$14,$M258,BF$13))))</f>
        <v>1000000000000</v>
      </c>
      <c r="BG258" s="212">
        <f ca="1">IF($D258&lt;&gt;"Serviço",0,IF(OR(AND(AUTOEVENTO="Manual",$M258=1),$M258&gt;(ROW(PLE.lastrow)-ROW(PLE.firstrow))),0,IF(OFFSET(PLE!$G$14,$M258,BG$13)="",10^12,OFFSET(PLE!$G$14,$M258,BG$13))))</f>
        <v>1000000000000</v>
      </c>
    </row>
    <row r="259" spans="1:59" ht="13.2">
      <c r="A259" s="9" t="str">
        <f t="shared" ca="1" si="12"/>
        <v>15</v>
      </c>
      <c r="B259" s="9" t="str">
        <f ca="1">OFFSET(ORÇAMENTO!C$15,ROW(B259)-ROW(B$15),0)</f>
        <v>S</v>
      </c>
      <c r="C259" s="9" t="str">
        <f ca="1">OFFSET(ORÇAMENTO!L$15,ROW(C259)-ROW(C$15),0)</f>
        <v/>
      </c>
      <c r="D259" s="141" t="str">
        <f ca="1">OFFSET(ORÇAMENTO!N$15,ROW(D259)-ROW(D$15),0)</f>
        <v>Serviço</v>
      </c>
      <c r="E259" s="201" t="str">
        <f ca="1">OFFSET(ORÇAMENTO!O$15,ROW(E259)-ROW(E$15),0)</f>
        <v>-</v>
      </c>
      <c r="F259" s="202" t="str">
        <f ca="1">OFFSET(ORÇAMENTO!R$15,ROW(F259)-ROW(F$15),0)</f>
        <v>(abra o arquivo 'Referência 11-2024.xlsm)</v>
      </c>
      <c r="G259" s="203" t="str">
        <f ca="1">IF($D259&lt;&gt;"Serviço","",OFFSET(ORÇAMENTO!S$15,ROW(G259)-ROW(G$15),0))</f>
        <v>-</v>
      </c>
      <c r="H259" s="147">
        <f ca="1">IF($D259&lt;&gt;"Serviço",0,IF(ACOMPANHAMENTO="BM",ROUND(OFFSET(ORÇAMENTO!AJ$15,ROW(H259)-ROW(H$15),0),15-13*ORÇAMENTO!$AF$7),SUMPRODUCT(($Q$12:$AA$12&lt;&gt;"")*ROUND($Q259:$AA259,15-13*ORÇAMENTO!$AF$7))))</f>
        <v>0</v>
      </c>
      <c r="I259" s="645"/>
      <c r="K259" s="204"/>
      <c r="L259" s="205" t="s">
        <v>255</v>
      </c>
      <c r="M259" s="206">
        <f ca="1">IF($D259&lt;&gt;"Serviço","",IF(AUTOEVENTO="manual",$A259,IF(ISERROR(MATCH($A259,$A$15:OFFSET($A259,-1,0),0)),MAX($M$15:OFFSET(M259,-1,0))+1,INDEX($M$15:OFFSET(M259,-1,0),MATCH($A259,$A$15:OFFSET($A259,-1,0),0)))))</f>
        <v>6</v>
      </c>
      <c r="N259" s="207" t="str">
        <f ca="1">IF($D259&lt;&gt;"Serviço","",IF(AUTOEVENTO="Manual",IF($A259=0,"&lt;-- defina o número do agrupador",OFFSET(EVENTOS!$D$14,$A259,0)),OFFSET($F$15,$A259,0)))</f>
        <v>DRENAGEM</v>
      </c>
      <c r="O259" s="208"/>
      <c r="Q259" s="208"/>
      <c r="R259" s="209"/>
      <c r="S259" s="209"/>
      <c r="T259" s="209"/>
      <c r="U259" s="209"/>
      <c r="V259" s="209"/>
      <c r="W259" s="209"/>
      <c r="X259" s="209"/>
      <c r="Y259" s="209"/>
      <c r="Z259" s="210"/>
      <c r="AB259" s="626">
        <f ca="1">IF(AND($D259="Serviço",AB$12&lt;&gt;0,$H259&gt;0,OR(AUTOEVENTO&lt;&gt;"manual",$M259&lt;&gt;1)),
IF(Import.TipoArredondamento&lt;&gt;"TransfereGOV",
ROUND(OFFSET($P259,0,AB$13),15-13*ORÇAMENTO!$AF$7)/$H259*OFFSET(ORÇAMENTO!$X$15,ROW(AB259)-ROW(AB$15),0),
ROUND(ROUND(OFFSET($P259,0,AB$13),15-13*ORÇAMENTO!$AF$7)*OFFSET(ORÇAMENTO!$W$15,ROW(AB259)-ROW(AB$15),0),15-13*ORÇAMENTO!$AF$11)),0)</f>
        <v>0</v>
      </c>
      <c r="AC259" s="627">
        <f ca="1">IF(AND($D259="Serviço",AC$12&lt;&gt;0,$H259&gt;0,OR(AUTOEVENTO&lt;&gt;"manual",$M259&lt;&gt;1)),
IF(Import.TipoArredondamento&lt;&gt;"TransfereGOV",
ROUND(OFFSET($P259,0,AC$13),15-13*ORÇAMENTO!$AF$7)/$H259*OFFSET(ORÇAMENTO!$X$15,ROW(AC259)-ROW(AC$15),0),
ROUND(ROUND(OFFSET($P259,0,AC$13),15-13*ORÇAMENTO!$AF$7)*OFFSET(ORÇAMENTO!$W$15,ROW(AC259)-ROW(AC$15),0),15-13*ORÇAMENTO!$AF$11)),0)</f>
        <v>0</v>
      </c>
      <c r="AD259" s="627">
        <f ca="1">IF(AND($D259="Serviço",AD$12&lt;&gt;0,$H259&gt;0,OR(AUTOEVENTO&lt;&gt;"manual",$M259&lt;&gt;1)),
IF(Import.TipoArredondamento&lt;&gt;"TransfereGOV",
ROUND(OFFSET($P259,0,AD$13),15-13*ORÇAMENTO!$AF$7)/$H259*OFFSET(ORÇAMENTO!$X$15,ROW(AD259)-ROW(AD$15),0),
ROUND(ROUND(OFFSET($P259,0,AD$13),15-13*ORÇAMENTO!$AF$7)*OFFSET(ORÇAMENTO!$W$15,ROW(AD259)-ROW(AD$15),0),15-13*ORÇAMENTO!$AF$11)),0)</f>
        <v>0</v>
      </c>
      <c r="AE259" s="627">
        <f ca="1">IF(AND($D259="Serviço",AE$12&lt;&gt;0,$H259&gt;0,OR(AUTOEVENTO&lt;&gt;"manual",$M259&lt;&gt;1)),
IF(Import.TipoArredondamento&lt;&gt;"TransfereGOV",
ROUND(OFFSET($P259,0,AE$13),15-13*ORÇAMENTO!$AF$7)/$H259*OFFSET(ORÇAMENTO!$X$15,ROW(AE259)-ROW(AE$15),0),
ROUND(ROUND(OFFSET($P259,0,AE$13),15-13*ORÇAMENTO!$AF$7)*OFFSET(ORÇAMENTO!$W$15,ROW(AE259)-ROW(AE$15),0),15-13*ORÇAMENTO!$AF$11)),0)</f>
        <v>0</v>
      </c>
      <c r="AF259" s="627">
        <f ca="1">IF(AND($D259="Serviço",AF$12&lt;&gt;0,$H259&gt;0,OR(AUTOEVENTO&lt;&gt;"manual",$M259&lt;&gt;1)),
IF(Import.TipoArredondamento&lt;&gt;"TransfereGOV",
ROUND(OFFSET($P259,0,AF$13),15-13*ORÇAMENTO!$AF$7)/$H259*OFFSET(ORÇAMENTO!$X$15,ROW(AF259)-ROW(AF$15),0),
ROUND(ROUND(OFFSET($P259,0,AF$13),15-13*ORÇAMENTO!$AF$7)*OFFSET(ORÇAMENTO!$W$15,ROW(AF259)-ROW(AF$15),0),15-13*ORÇAMENTO!$AF$11)),0)</f>
        <v>0</v>
      </c>
      <c r="AG259" s="627">
        <f ca="1">IF(AND($D259="Serviço",AG$12&lt;&gt;0,$H259&gt;0,OR(AUTOEVENTO&lt;&gt;"manual",$M259&lt;&gt;1)),
IF(Import.TipoArredondamento&lt;&gt;"TransfereGOV",
ROUND(OFFSET($P259,0,AG$13),15-13*ORÇAMENTO!$AF$7)/$H259*OFFSET(ORÇAMENTO!$X$15,ROW(AG259)-ROW(AG$15),0),
ROUND(ROUND(OFFSET($P259,0,AG$13),15-13*ORÇAMENTO!$AF$7)*OFFSET(ORÇAMENTO!$W$15,ROW(AG259)-ROW(AG$15),0),15-13*ORÇAMENTO!$AF$11)),0)</f>
        <v>0</v>
      </c>
      <c r="AH259" s="627">
        <f ca="1">IF(AND($D259="Serviço",AH$12&lt;&gt;0,$H259&gt;0,OR(AUTOEVENTO&lt;&gt;"manual",$M259&lt;&gt;1)),
IF(Import.TipoArredondamento&lt;&gt;"TransfereGOV",
ROUND(OFFSET($P259,0,AH$13),15-13*ORÇAMENTO!$AF$7)/$H259*OFFSET(ORÇAMENTO!$X$15,ROW(AH259)-ROW(AH$15),0),
ROUND(ROUND(OFFSET($P259,0,AH$13),15-13*ORÇAMENTO!$AF$7)*OFFSET(ORÇAMENTO!$W$15,ROW(AH259)-ROW(AH$15),0),15-13*ORÇAMENTO!$AF$11)),0)</f>
        <v>0</v>
      </c>
      <c r="AI259" s="627">
        <f ca="1">IF(AND($D259="Serviço",AI$12&lt;&gt;0,$H259&gt;0,OR(AUTOEVENTO&lt;&gt;"manual",$M259&lt;&gt;1)),
IF(Import.TipoArredondamento&lt;&gt;"TransfereGOV",
ROUND(OFFSET($P259,0,AI$13),15-13*ORÇAMENTO!$AF$7)/$H259*OFFSET(ORÇAMENTO!$X$15,ROW(AI259)-ROW(AI$15),0),
ROUND(ROUND(OFFSET($P259,0,AI$13),15-13*ORÇAMENTO!$AF$7)*OFFSET(ORÇAMENTO!$W$15,ROW(AI259)-ROW(AI$15),0),15-13*ORÇAMENTO!$AF$11)),0)</f>
        <v>0</v>
      </c>
      <c r="AJ259" s="627">
        <f ca="1">IF(AND($D259="Serviço",AJ$12&lt;&gt;0,$H259&gt;0,OR(AUTOEVENTO&lt;&gt;"manual",$M259&lt;&gt;1)),
IF(Import.TipoArredondamento&lt;&gt;"TransfereGOV",
ROUND(OFFSET($P259,0,AJ$13),15-13*ORÇAMENTO!$AF$7)/$H259*OFFSET(ORÇAMENTO!$X$15,ROW(AJ259)-ROW(AJ$15),0),
ROUND(ROUND(OFFSET($P259,0,AJ$13),15-13*ORÇAMENTO!$AF$7)*OFFSET(ORÇAMENTO!$W$15,ROW(AJ259)-ROW(AJ$15),0),15-13*ORÇAMENTO!$AF$11)),0)</f>
        <v>0</v>
      </c>
      <c r="AK259" s="628">
        <f ca="1">IF(AND($D259="Serviço",AK$12&lt;&gt;0,$H259&gt;0,OR(AUTOEVENTO&lt;&gt;"manual",$M259&lt;&gt;1)),
IF(Import.TipoArredondamento&lt;&gt;"TransfereGOV",
ROUND(OFFSET($P259,0,AK$13),15-13*ORÇAMENTO!$AF$7)/$H259*OFFSET(ORÇAMENTO!$X$15,ROW(AK259)-ROW(AK$15),0),
ROUND(ROUND(OFFSET($P259,0,AK$13),15-13*ORÇAMENTO!$AF$7)*OFFSET(ORÇAMENTO!$W$15,ROW(AK259)-ROW(AK$15),0),15-13*ORÇAMENTO!$AF$11)),0)</f>
        <v>0</v>
      </c>
      <c r="AM259" s="211">
        <f ca="1">IF($D259&lt;&gt;"Serviço",0,IF(AND(AUTOEVENTO="Manual",$M259=1),0,IF(OFFSET(CRONOPLE!$F$14,$M259,AM$13)="",10^12,OFFSET(CRONOPLE!$F$14,$M259,AM$13))))</f>
        <v>2</v>
      </c>
      <c r="AN259" s="211">
        <f ca="1">IF($D259&lt;&gt;"Serviço",0,IF(AND(AUTOEVENTO="Manual",$M259=1),0,IF(OFFSET(CRONOPLE!$F$14,$M259,AN$13)="",10^12,OFFSET(CRONOPLE!$F$14,$M259,AN$13))))</f>
        <v>1</v>
      </c>
      <c r="AO259" s="211">
        <f ca="1">IF($D259&lt;&gt;"Serviço",0,IF(AND(AUTOEVENTO="Manual",$M259=1),0,IF(OFFSET(CRONOPLE!$F$14,$M259,AO$13)="",10^12,OFFSET(CRONOPLE!$F$14,$M259,AO$13))))</f>
        <v>2</v>
      </c>
      <c r="AP259" s="211">
        <f ca="1">IF($D259&lt;&gt;"Serviço",0,IF(AND(AUTOEVENTO="Manual",$M259=1),0,IF(OFFSET(CRONOPLE!$F$14,$M259,AP$13)="",10^12,OFFSET(CRONOPLE!$F$14,$M259,AP$13))))</f>
        <v>2</v>
      </c>
      <c r="AQ259" s="211">
        <f ca="1">IF($D259&lt;&gt;"Serviço",0,IF(AND(AUTOEVENTO="Manual",$M259=1),0,IF(OFFSET(CRONOPLE!$F$14,$M259,AQ$13)="",10^12,OFFSET(CRONOPLE!$F$14,$M259,AQ$13))))</f>
        <v>1000000000000</v>
      </c>
      <c r="AR259" s="211">
        <f ca="1">IF($D259&lt;&gt;"Serviço",0,IF(AND(AUTOEVENTO="Manual",$M259=1),0,IF(OFFSET(CRONOPLE!$F$14,$M259,AR$13)="",10^12,OFFSET(CRONOPLE!$F$14,$M259,AR$13))))</f>
        <v>1000000000000</v>
      </c>
      <c r="AS259" s="211">
        <f ca="1">IF($D259&lt;&gt;"Serviço",0,IF(AND(AUTOEVENTO="Manual",$M259=1),0,IF(OFFSET(CRONOPLE!$F$14,$M259,AS$13)="",10^12,OFFSET(CRONOPLE!$F$14,$M259,AS$13))))</f>
        <v>1000000000000</v>
      </c>
      <c r="AT259" s="211">
        <f ca="1">IF($D259&lt;&gt;"Serviço",0,IF(AND(AUTOEVENTO="Manual",$M259=1),0,IF(OFFSET(CRONOPLE!$F$14,$M259,AT$13)="",10^12,OFFSET(CRONOPLE!$F$14,$M259,AT$13))))</f>
        <v>1000000000000</v>
      </c>
      <c r="AU259" s="211">
        <f ca="1">IF($D259&lt;&gt;"Serviço",0,IF(AND(AUTOEVENTO="Manual",$M259=1),0,IF(OFFSET(CRONOPLE!$F$14,$M259,AU$13)="",10^12,OFFSET(CRONOPLE!$F$14,$M259,AU$13))))</f>
        <v>1000000000000</v>
      </c>
      <c r="AV259" s="211">
        <f ca="1">IF($D259&lt;&gt;"Serviço",0,IF(AND(AUTOEVENTO="Manual",$M259=1),0,IF(OFFSET(CRONOPLE!$F$14,$M259,AV$13)="",10^12,OFFSET(CRONOPLE!$F$14,$M259,AV$13))))</f>
        <v>1000000000000</v>
      </c>
      <c r="AX259" s="212">
        <f ca="1">IF($D259&lt;&gt;"Serviço",0,IF(OR(AND(AUTOEVENTO="Manual",$M259=1),$M259&gt;(ROW(PLE.lastrow)-ROW(PLE.firstrow))),0,IF(OFFSET(PLE!$G$14,$M259,AX$13)="",10^12,OFFSET(PLE!$G$14,$M259,AX$13))))</f>
        <v>1000000000000</v>
      </c>
      <c r="AY259" s="212">
        <f ca="1">IF($D259&lt;&gt;"Serviço",0,IF(OR(AND(AUTOEVENTO="Manual",$M259=1),$M259&gt;(ROW(PLE.lastrow)-ROW(PLE.firstrow))),0,IF(OFFSET(PLE!$G$14,$M259,AY$13)="",10^12,OFFSET(PLE!$G$14,$M259,AY$13))))</f>
        <v>1000000000000</v>
      </c>
      <c r="AZ259" s="212">
        <f ca="1">IF($D259&lt;&gt;"Serviço",0,IF(OR(AND(AUTOEVENTO="Manual",$M259=1),$M259&gt;(ROW(PLE.lastrow)-ROW(PLE.firstrow))),0,IF(OFFSET(PLE!$G$14,$M259,AZ$13)="",10^12,OFFSET(PLE!$G$14,$M259,AZ$13))))</f>
        <v>1000000000000</v>
      </c>
      <c r="BA259" s="212">
        <f ca="1">IF($D259&lt;&gt;"Serviço",0,IF(OR(AND(AUTOEVENTO="Manual",$M259=1),$M259&gt;(ROW(PLE.lastrow)-ROW(PLE.firstrow))),0,IF(OFFSET(PLE!$G$14,$M259,BA$13)="",10^12,OFFSET(PLE!$G$14,$M259,BA$13))))</f>
        <v>1000000000000</v>
      </c>
      <c r="BB259" s="212">
        <f ca="1">IF($D259&lt;&gt;"Serviço",0,IF(OR(AND(AUTOEVENTO="Manual",$M259=1),$M259&gt;(ROW(PLE.lastrow)-ROW(PLE.firstrow))),0,IF(OFFSET(PLE!$G$14,$M259,BB$13)="",10^12,OFFSET(PLE!$G$14,$M259,BB$13))))</f>
        <v>1000000000000</v>
      </c>
      <c r="BC259" s="212">
        <f ca="1">IF($D259&lt;&gt;"Serviço",0,IF(OR(AND(AUTOEVENTO="Manual",$M259=1),$M259&gt;(ROW(PLE.lastrow)-ROW(PLE.firstrow))),0,IF(OFFSET(PLE!$G$14,$M259,BC$13)="",10^12,OFFSET(PLE!$G$14,$M259,BC$13))))</f>
        <v>1000000000000</v>
      </c>
      <c r="BD259" s="212">
        <f ca="1">IF($D259&lt;&gt;"Serviço",0,IF(OR(AND(AUTOEVENTO="Manual",$M259=1),$M259&gt;(ROW(PLE.lastrow)-ROW(PLE.firstrow))),0,IF(OFFSET(PLE!$G$14,$M259,BD$13)="",10^12,OFFSET(PLE!$G$14,$M259,BD$13))))</f>
        <v>1000000000000</v>
      </c>
      <c r="BE259" s="212">
        <f ca="1">IF($D259&lt;&gt;"Serviço",0,IF(OR(AND(AUTOEVENTO="Manual",$M259=1),$M259&gt;(ROW(PLE.lastrow)-ROW(PLE.firstrow))),0,IF(OFFSET(PLE!$G$14,$M259,BE$13)="",10^12,OFFSET(PLE!$G$14,$M259,BE$13))))</f>
        <v>1000000000000</v>
      </c>
      <c r="BF259" s="212">
        <f ca="1">IF($D259&lt;&gt;"Serviço",0,IF(OR(AND(AUTOEVENTO="Manual",$M259=1),$M259&gt;(ROW(PLE.lastrow)-ROW(PLE.firstrow))),0,IF(OFFSET(PLE!$G$14,$M259,BF$13)="",10^12,OFFSET(PLE!$G$14,$M259,BF$13))))</f>
        <v>1000000000000</v>
      </c>
      <c r="BG259" s="212">
        <f ca="1">IF($D259&lt;&gt;"Serviço",0,IF(OR(AND(AUTOEVENTO="Manual",$M259=1),$M259&gt;(ROW(PLE.lastrow)-ROW(PLE.firstrow))),0,IF(OFFSET(PLE!$G$14,$M259,BG$13)="",10^12,OFFSET(PLE!$G$14,$M259,BG$13))))</f>
        <v>1000000000000</v>
      </c>
    </row>
    <row r="260" spans="1:59" ht="13.2">
      <c r="A260" s="9" t="str">
        <f t="shared" ca="1" si="12"/>
        <v>15</v>
      </c>
      <c r="B260" s="9" t="str">
        <f ca="1">OFFSET(ORÇAMENTO!C$15,ROW(B260)-ROW(B$15),0)</f>
        <v>S</v>
      </c>
      <c r="C260" s="9" t="str">
        <f ca="1">OFFSET(ORÇAMENTO!L$15,ROW(C260)-ROW(C$15),0)</f>
        <v/>
      </c>
      <c r="D260" s="141" t="str">
        <f ca="1">OFFSET(ORÇAMENTO!N$15,ROW(D260)-ROW(D$15),0)</f>
        <v>Serviço</v>
      </c>
      <c r="E260" s="201" t="str">
        <f ca="1">OFFSET(ORÇAMENTO!O$15,ROW(E260)-ROW(E$15),0)</f>
        <v>-</v>
      </c>
      <c r="F260" s="202" t="str">
        <f ca="1">OFFSET(ORÇAMENTO!R$15,ROW(F260)-ROW(F$15),0)</f>
        <v>(abra o arquivo 'Referência 11-2024.xlsm)</v>
      </c>
      <c r="G260" s="203" t="str">
        <f ca="1">IF($D260&lt;&gt;"Serviço","",OFFSET(ORÇAMENTO!S$15,ROW(G260)-ROW(G$15),0))</f>
        <v>-</v>
      </c>
      <c r="H260" s="147">
        <f ca="1">IF($D260&lt;&gt;"Serviço",0,IF(ACOMPANHAMENTO="BM",ROUND(OFFSET(ORÇAMENTO!AJ$15,ROW(H260)-ROW(H$15),0),15-13*ORÇAMENTO!$AF$7),SUMPRODUCT(($Q$12:$AA$12&lt;&gt;"")*ROUND($Q260:$AA260,15-13*ORÇAMENTO!$AF$7))))</f>
        <v>0</v>
      </c>
      <c r="I260" s="645"/>
      <c r="K260" s="204"/>
      <c r="L260" s="205" t="s">
        <v>255</v>
      </c>
      <c r="M260" s="206">
        <f ca="1">IF($D260&lt;&gt;"Serviço","",IF(AUTOEVENTO="manual",$A260,IF(ISERROR(MATCH($A260,$A$15:OFFSET($A260,-1,0),0)),MAX($M$15:OFFSET(M260,-1,0))+1,INDEX($M$15:OFFSET(M260,-1,0),MATCH($A260,$A$15:OFFSET($A260,-1,0),0)))))</f>
        <v>6</v>
      </c>
      <c r="N260" s="207" t="str">
        <f ca="1">IF($D260&lt;&gt;"Serviço","",IF(AUTOEVENTO="Manual",IF($A260=0,"&lt;-- defina o número do agrupador",OFFSET(EVENTOS!$D$14,$A260,0)),OFFSET($F$15,$A260,0)))</f>
        <v>DRENAGEM</v>
      </c>
      <c r="O260" s="208"/>
      <c r="Q260" s="208"/>
      <c r="R260" s="209"/>
      <c r="S260" s="209"/>
      <c r="T260" s="209"/>
      <c r="U260" s="209"/>
      <c r="V260" s="209"/>
      <c r="W260" s="209"/>
      <c r="X260" s="209"/>
      <c r="Y260" s="209"/>
      <c r="Z260" s="210"/>
      <c r="AB260" s="626">
        <f ca="1">IF(AND($D260="Serviço",AB$12&lt;&gt;0,$H260&gt;0,OR(AUTOEVENTO&lt;&gt;"manual",$M260&lt;&gt;1)),
IF(Import.TipoArredondamento&lt;&gt;"TransfereGOV",
ROUND(OFFSET($P260,0,AB$13),15-13*ORÇAMENTO!$AF$7)/$H260*OFFSET(ORÇAMENTO!$X$15,ROW(AB260)-ROW(AB$15),0),
ROUND(ROUND(OFFSET($P260,0,AB$13),15-13*ORÇAMENTO!$AF$7)*OFFSET(ORÇAMENTO!$W$15,ROW(AB260)-ROW(AB$15),0),15-13*ORÇAMENTO!$AF$11)),0)</f>
        <v>0</v>
      </c>
      <c r="AC260" s="627">
        <f ca="1">IF(AND($D260="Serviço",AC$12&lt;&gt;0,$H260&gt;0,OR(AUTOEVENTO&lt;&gt;"manual",$M260&lt;&gt;1)),
IF(Import.TipoArredondamento&lt;&gt;"TransfereGOV",
ROUND(OFFSET($P260,0,AC$13),15-13*ORÇAMENTO!$AF$7)/$H260*OFFSET(ORÇAMENTO!$X$15,ROW(AC260)-ROW(AC$15),0),
ROUND(ROUND(OFFSET($P260,0,AC$13),15-13*ORÇAMENTO!$AF$7)*OFFSET(ORÇAMENTO!$W$15,ROW(AC260)-ROW(AC$15),0),15-13*ORÇAMENTO!$AF$11)),0)</f>
        <v>0</v>
      </c>
      <c r="AD260" s="627">
        <f ca="1">IF(AND($D260="Serviço",AD$12&lt;&gt;0,$H260&gt;0,OR(AUTOEVENTO&lt;&gt;"manual",$M260&lt;&gt;1)),
IF(Import.TipoArredondamento&lt;&gt;"TransfereGOV",
ROUND(OFFSET($P260,0,AD$13),15-13*ORÇAMENTO!$AF$7)/$H260*OFFSET(ORÇAMENTO!$X$15,ROW(AD260)-ROW(AD$15),0),
ROUND(ROUND(OFFSET($P260,0,AD$13),15-13*ORÇAMENTO!$AF$7)*OFFSET(ORÇAMENTO!$W$15,ROW(AD260)-ROW(AD$15),0),15-13*ORÇAMENTO!$AF$11)),0)</f>
        <v>0</v>
      </c>
      <c r="AE260" s="627">
        <f ca="1">IF(AND($D260="Serviço",AE$12&lt;&gt;0,$H260&gt;0,OR(AUTOEVENTO&lt;&gt;"manual",$M260&lt;&gt;1)),
IF(Import.TipoArredondamento&lt;&gt;"TransfereGOV",
ROUND(OFFSET($P260,0,AE$13),15-13*ORÇAMENTO!$AF$7)/$H260*OFFSET(ORÇAMENTO!$X$15,ROW(AE260)-ROW(AE$15),0),
ROUND(ROUND(OFFSET($P260,0,AE$13),15-13*ORÇAMENTO!$AF$7)*OFFSET(ORÇAMENTO!$W$15,ROW(AE260)-ROW(AE$15),0),15-13*ORÇAMENTO!$AF$11)),0)</f>
        <v>0</v>
      </c>
      <c r="AF260" s="627">
        <f ca="1">IF(AND($D260="Serviço",AF$12&lt;&gt;0,$H260&gt;0,OR(AUTOEVENTO&lt;&gt;"manual",$M260&lt;&gt;1)),
IF(Import.TipoArredondamento&lt;&gt;"TransfereGOV",
ROUND(OFFSET($P260,0,AF$13),15-13*ORÇAMENTO!$AF$7)/$H260*OFFSET(ORÇAMENTO!$X$15,ROW(AF260)-ROW(AF$15),0),
ROUND(ROUND(OFFSET($P260,0,AF$13),15-13*ORÇAMENTO!$AF$7)*OFFSET(ORÇAMENTO!$W$15,ROW(AF260)-ROW(AF$15),0),15-13*ORÇAMENTO!$AF$11)),0)</f>
        <v>0</v>
      </c>
      <c r="AG260" s="627">
        <f ca="1">IF(AND($D260="Serviço",AG$12&lt;&gt;0,$H260&gt;0,OR(AUTOEVENTO&lt;&gt;"manual",$M260&lt;&gt;1)),
IF(Import.TipoArredondamento&lt;&gt;"TransfereGOV",
ROUND(OFFSET($P260,0,AG$13),15-13*ORÇAMENTO!$AF$7)/$H260*OFFSET(ORÇAMENTO!$X$15,ROW(AG260)-ROW(AG$15),0),
ROUND(ROUND(OFFSET($P260,0,AG$13),15-13*ORÇAMENTO!$AF$7)*OFFSET(ORÇAMENTO!$W$15,ROW(AG260)-ROW(AG$15),0),15-13*ORÇAMENTO!$AF$11)),0)</f>
        <v>0</v>
      </c>
      <c r="AH260" s="627">
        <f ca="1">IF(AND($D260="Serviço",AH$12&lt;&gt;0,$H260&gt;0,OR(AUTOEVENTO&lt;&gt;"manual",$M260&lt;&gt;1)),
IF(Import.TipoArredondamento&lt;&gt;"TransfereGOV",
ROUND(OFFSET($P260,0,AH$13),15-13*ORÇAMENTO!$AF$7)/$H260*OFFSET(ORÇAMENTO!$X$15,ROW(AH260)-ROW(AH$15),0),
ROUND(ROUND(OFFSET($P260,0,AH$13),15-13*ORÇAMENTO!$AF$7)*OFFSET(ORÇAMENTO!$W$15,ROW(AH260)-ROW(AH$15),0),15-13*ORÇAMENTO!$AF$11)),0)</f>
        <v>0</v>
      </c>
      <c r="AI260" s="627">
        <f ca="1">IF(AND($D260="Serviço",AI$12&lt;&gt;0,$H260&gt;0,OR(AUTOEVENTO&lt;&gt;"manual",$M260&lt;&gt;1)),
IF(Import.TipoArredondamento&lt;&gt;"TransfereGOV",
ROUND(OFFSET($P260,0,AI$13),15-13*ORÇAMENTO!$AF$7)/$H260*OFFSET(ORÇAMENTO!$X$15,ROW(AI260)-ROW(AI$15),0),
ROUND(ROUND(OFFSET($P260,0,AI$13),15-13*ORÇAMENTO!$AF$7)*OFFSET(ORÇAMENTO!$W$15,ROW(AI260)-ROW(AI$15),0),15-13*ORÇAMENTO!$AF$11)),0)</f>
        <v>0</v>
      </c>
      <c r="AJ260" s="627">
        <f ca="1">IF(AND($D260="Serviço",AJ$12&lt;&gt;0,$H260&gt;0,OR(AUTOEVENTO&lt;&gt;"manual",$M260&lt;&gt;1)),
IF(Import.TipoArredondamento&lt;&gt;"TransfereGOV",
ROUND(OFFSET($P260,0,AJ$13),15-13*ORÇAMENTO!$AF$7)/$H260*OFFSET(ORÇAMENTO!$X$15,ROW(AJ260)-ROW(AJ$15),0),
ROUND(ROUND(OFFSET($P260,0,AJ$13),15-13*ORÇAMENTO!$AF$7)*OFFSET(ORÇAMENTO!$W$15,ROW(AJ260)-ROW(AJ$15),0),15-13*ORÇAMENTO!$AF$11)),0)</f>
        <v>0</v>
      </c>
      <c r="AK260" s="628">
        <f ca="1">IF(AND($D260="Serviço",AK$12&lt;&gt;0,$H260&gt;0,OR(AUTOEVENTO&lt;&gt;"manual",$M260&lt;&gt;1)),
IF(Import.TipoArredondamento&lt;&gt;"TransfereGOV",
ROUND(OFFSET($P260,0,AK$13),15-13*ORÇAMENTO!$AF$7)/$H260*OFFSET(ORÇAMENTO!$X$15,ROW(AK260)-ROW(AK$15),0),
ROUND(ROUND(OFFSET($P260,0,AK$13),15-13*ORÇAMENTO!$AF$7)*OFFSET(ORÇAMENTO!$W$15,ROW(AK260)-ROW(AK$15),0),15-13*ORÇAMENTO!$AF$11)),0)</f>
        <v>0</v>
      </c>
      <c r="AM260" s="211">
        <f ca="1">IF($D260&lt;&gt;"Serviço",0,IF(AND(AUTOEVENTO="Manual",$M260=1),0,IF(OFFSET(CRONOPLE!$F$14,$M260,AM$13)="",10^12,OFFSET(CRONOPLE!$F$14,$M260,AM$13))))</f>
        <v>2</v>
      </c>
      <c r="AN260" s="211">
        <f ca="1">IF($D260&lt;&gt;"Serviço",0,IF(AND(AUTOEVENTO="Manual",$M260=1),0,IF(OFFSET(CRONOPLE!$F$14,$M260,AN$13)="",10^12,OFFSET(CRONOPLE!$F$14,$M260,AN$13))))</f>
        <v>1</v>
      </c>
      <c r="AO260" s="211">
        <f ca="1">IF($D260&lt;&gt;"Serviço",0,IF(AND(AUTOEVENTO="Manual",$M260=1),0,IF(OFFSET(CRONOPLE!$F$14,$M260,AO$13)="",10^12,OFFSET(CRONOPLE!$F$14,$M260,AO$13))))</f>
        <v>2</v>
      </c>
      <c r="AP260" s="211">
        <f ca="1">IF($D260&lt;&gt;"Serviço",0,IF(AND(AUTOEVENTO="Manual",$M260=1),0,IF(OFFSET(CRONOPLE!$F$14,$M260,AP$13)="",10^12,OFFSET(CRONOPLE!$F$14,$M260,AP$13))))</f>
        <v>2</v>
      </c>
      <c r="AQ260" s="211">
        <f ca="1">IF($D260&lt;&gt;"Serviço",0,IF(AND(AUTOEVENTO="Manual",$M260=1),0,IF(OFFSET(CRONOPLE!$F$14,$M260,AQ$13)="",10^12,OFFSET(CRONOPLE!$F$14,$M260,AQ$13))))</f>
        <v>1000000000000</v>
      </c>
      <c r="AR260" s="211">
        <f ca="1">IF($D260&lt;&gt;"Serviço",0,IF(AND(AUTOEVENTO="Manual",$M260=1),0,IF(OFFSET(CRONOPLE!$F$14,$M260,AR$13)="",10^12,OFFSET(CRONOPLE!$F$14,$M260,AR$13))))</f>
        <v>1000000000000</v>
      </c>
      <c r="AS260" s="211">
        <f ca="1">IF($D260&lt;&gt;"Serviço",0,IF(AND(AUTOEVENTO="Manual",$M260=1),0,IF(OFFSET(CRONOPLE!$F$14,$M260,AS$13)="",10^12,OFFSET(CRONOPLE!$F$14,$M260,AS$13))))</f>
        <v>1000000000000</v>
      </c>
      <c r="AT260" s="211">
        <f ca="1">IF($D260&lt;&gt;"Serviço",0,IF(AND(AUTOEVENTO="Manual",$M260=1),0,IF(OFFSET(CRONOPLE!$F$14,$M260,AT$13)="",10^12,OFFSET(CRONOPLE!$F$14,$M260,AT$13))))</f>
        <v>1000000000000</v>
      </c>
      <c r="AU260" s="211">
        <f ca="1">IF($D260&lt;&gt;"Serviço",0,IF(AND(AUTOEVENTO="Manual",$M260=1),0,IF(OFFSET(CRONOPLE!$F$14,$M260,AU$13)="",10^12,OFFSET(CRONOPLE!$F$14,$M260,AU$13))))</f>
        <v>1000000000000</v>
      </c>
      <c r="AV260" s="211">
        <f ca="1">IF($D260&lt;&gt;"Serviço",0,IF(AND(AUTOEVENTO="Manual",$M260=1),0,IF(OFFSET(CRONOPLE!$F$14,$M260,AV$13)="",10^12,OFFSET(CRONOPLE!$F$14,$M260,AV$13))))</f>
        <v>1000000000000</v>
      </c>
      <c r="AX260" s="212">
        <f ca="1">IF($D260&lt;&gt;"Serviço",0,IF(OR(AND(AUTOEVENTO="Manual",$M260=1),$M260&gt;(ROW(PLE.lastrow)-ROW(PLE.firstrow))),0,IF(OFFSET(PLE!$G$14,$M260,AX$13)="",10^12,OFFSET(PLE!$G$14,$M260,AX$13))))</f>
        <v>1000000000000</v>
      </c>
      <c r="AY260" s="212">
        <f ca="1">IF($D260&lt;&gt;"Serviço",0,IF(OR(AND(AUTOEVENTO="Manual",$M260=1),$M260&gt;(ROW(PLE.lastrow)-ROW(PLE.firstrow))),0,IF(OFFSET(PLE!$G$14,$M260,AY$13)="",10^12,OFFSET(PLE!$G$14,$M260,AY$13))))</f>
        <v>1000000000000</v>
      </c>
      <c r="AZ260" s="212">
        <f ca="1">IF($D260&lt;&gt;"Serviço",0,IF(OR(AND(AUTOEVENTO="Manual",$M260=1),$M260&gt;(ROW(PLE.lastrow)-ROW(PLE.firstrow))),0,IF(OFFSET(PLE!$G$14,$M260,AZ$13)="",10^12,OFFSET(PLE!$G$14,$M260,AZ$13))))</f>
        <v>1000000000000</v>
      </c>
      <c r="BA260" s="212">
        <f ca="1">IF($D260&lt;&gt;"Serviço",0,IF(OR(AND(AUTOEVENTO="Manual",$M260=1),$M260&gt;(ROW(PLE.lastrow)-ROW(PLE.firstrow))),0,IF(OFFSET(PLE!$G$14,$M260,BA$13)="",10^12,OFFSET(PLE!$G$14,$M260,BA$13))))</f>
        <v>1000000000000</v>
      </c>
      <c r="BB260" s="212">
        <f ca="1">IF($D260&lt;&gt;"Serviço",0,IF(OR(AND(AUTOEVENTO="Manual",$M260=1),$M260&gt;(ROW(PLE.lastrow)-ROW(PLE.firstrow))),0,IF(OFFSET(PLE!$G$14,$M260,BB$13)="",10^12,OFFSET(PLE!$G$14,$M260,BB$13))))</f>
        <v>1000000000000</v>
      </c>
      <c r="BC260" s="212">
        <f ca="1">IF($D260&lt;&gt;"Serviço",0,IF(OR(AND(AUTOEVENTO="Manual",$M260=1),$M260&gt;(ROW(PLE.lastrow)-ROW(PLE.firstrow))),0,IF(OFFSET(PLE!$G$14,$M260,BC$13)="",10^12,OFFSET(PLE!$G$14,$M260,BC$13))))</f>
        <v>1000000000000</v>
      </c>
      <c r="BD260" s="212">
        <f ca="1">IF($D260&lt;&gt;"Serviço",0,IF(OR(AND(AUTOEVENTO="Manual",$M260=1),$M260&gt;(ROW(PLE.lastrow)-ROW(PLE.firstrow))),0,IF(OFFSET(PLE!$G$14,$M260,BD$13)="",10^12,OFFSET(PLE!$G$14,$M260,BD$13))))</f>
        <v>1000000000000</v>
      </c>
      <c r="BE260" s="212">
        <f ca="1">IF($D260&lt;&gt;"Serviço",0,IF(OR(AND(AUTOEVENTO="Manual",$M260=1),$M260&gt;(ROW(PLE.lastrow)-ROW(PLE.firstrow))),0,IF(OFFSET(PLE!$G$14,$M260,BE$13)="",10^12,OFFSET(PLE!$G$14,$M260,BE$13))))</f>
        <v>1000000000000</v>
      </c>
      <c r="BF260" s="212">
        <f ca="1">IF($D260&lt;&gt;"Serviço",0,IF(OR(AND(AUTOEVENTO="Manual",$M260=1),$M260&gt;(ROW(PLE.lastrow)-ROW(PLE.firstrow))),0,IF(OFFSET(PLE!$G$14,$M260,BF$13)="",10^12,OFFSET(PLE!$G$14,$M260,BF$13))))</f>
        <v>1000000000000</v>
      </c>
      <c r="BG260" s="212">
        <f ca="1">IF($D260&lt;&gt;"Serviço",0,IF(OR(AND(AUTOEVENTO="Manual",$M260=1),$M260&gt;(ROW(PLE.lastrow)-ROW(PLE.firstrow))),0,IF(OFFSET(PLE!$G$14,$M260,BG$13)="",10^12,OFFSET(PLE!$G$14,$M260,BG$13))))</f>
        <v>1000000000000</v>
      </c>
    </row>
    <row r="261" spans="1:59" ht="13.2">
      <c r="A261" s="9" t="str">
        <f t="shared" ca="1" si="12"/>
        <v>15</v>
      </c>
      <c r="B261" s="9" t="str">
        <f ca="1">OFFSET(ORÇAMENTO!C$15,ROW(B261)-ROW(B$15),0)</f>
        <v>S</v>
      </c>
      <c r="C261" s="9" t="str">
        <f ca="1">OFFSET(ORÇAMENTO!L$15,ROW(C261)-ROW(C$15),0)</f>
        <v/>
      </c>
      <c r="D261" s="141" t="str">
        <f ca="1">OFFSET(ORÇAMENTO!N$15,ROW(D261)-ROW(D$15),0)</f>
        <v>Serviço</v>
      </c>
      <c r="E261" s="201" t="str">
        <f ca="1">OFFSET(ORÇAMENTO!O$15,ROW(E261)-ROW(E$15),0)</f>
        <v>-</v>
      </c>
      <c r="F261" s="202" t="str">
        <f ca="1">OFFSET(ORÇAMENTO!R$15,ROW(F261)-ROW(F$15),0)</f>
        <v>(abra o arquivo 'Referência 11-2024.xlsm)</v>
      </c>
      <c r="G261" s="203" t="str">
        <f ca="1">IF($D261&lt;&gt;"Serviço","",OFFSET(ORÇAMENTO!S$15,ROW(G261)-ROW(G$15),0))</f>
        <v>-</v>
      </c>
      <c r="H261" s="147">
        <f ca="1">IF($D261&lt;&gt;"Serviço",0,IF(ACOMPANHAMENTO="BM",ROUND(OFFSET(ORÇAMENTO!AJ$15,ROW(H261)-ROW(H$15),0),15-13*ORÇAMENTO!$AF$7),SUMPRODUCT(($Q$12:$AA$12&lt;&gt;"")*ROUND($Q261:$AA261,15-13*ORÇAMENTO!$AF$7))))</f>
        <v>0</v>
      </c>
      <c r="I261" s="645"/>
      <c r="K261" s="204"/>
      <c r="L261" s="205" t="s">
        <v>255</v>
      </c>
      <c r="M261" s="206">
        <f ca="1">IF($D261&lt;&gt;"Serviço","",IF(AUTOEVENTO="manual",$A261,IF(ISERROR(MATCH($A261,$A$15:OFFSET($A261,-1,0),0)),MAX($M$15:OFFSET(M261,-1,0))+1,INDEX($M$15:OFFSET(M261,-1,0),MATCH($A261,$A$15:OFFSET($A261,-1,0),0)))))</f>
        <v>6</v>
      </c>
      <c r="N261" s="207" t="str">
        <f ca="1">IF($D261&lt;&gt;"Serviço","",IF(AUTOEVENTO="Manual",IF($A261=0,"&lt;-- defina o número do agrupador",OFFSET(EVENTOS!$D$14,$A261,0)),OFFSET($F$15,$A261,0)))</f>
        <v>DRENAGEM</v>
      </c>
      <c r="O261" s="208"/>
      <c r="Q261" s="208"/>
      <c r="R261" s="209"/>
      <c r="S261" s="209"/>
      <c r="T261" s="209"/>
      <c r="U261" s="209"/>
      <c r="V261" s="209"/>
      <c r="W261" s="209"/>
      <c r="X261" s="209"/>
      <c r="Y261" s="209"/>
      <c r="Z261" s="210"/>
      <c r="AB261" s="626">
        <f ca="1">IF(AND($D261="Serviço",AB$12&lt;&gt;0,$H261&gt;0,OR(AUTOEVENTO&lt;&gt;"manual",$M261&lt;&gt;1)),
IF(Import.TipoArredondamento&lt;&gt;"TransfereGOV",
ROUND(OFFSET($P261,0,AB$13),15-13*ORÇAMENTO!$AF$7)/$H261*OFFSET(ORÇAMENTO!$X$15,ROW(AB261)-ROW(AB$15),0),
ROUND(ROUND(OFFSET($P261,0,AB$13),15-13*ORÇAMENTO!$AF$7)*OFFSET(ORÇAMENTO!$W$15,ROW(AB261)-ROW(AB$15),0),15-13*ORÇAMENTO!$AF$11)),0)</f>
        <v>0</v>
      </c>
      <c r="AC261" s="627">
        <f ca="1">IF(AND($D261="Serviço",AC$12&lt;&gt;0,$H261&gt;0,OR(AUTOEVENTO&lt;&gt;"manual",$M261&lt;&gt;1)),
IF(Import.TipoArredondamento&lt;&gt;"TransfereGOV",
ROUND(OFFSET($P261,0,AC$13),15-13*ORÇAMENTO!$AF$7)/$H261*OFFSET(ORÇAMENTO!$X$15,ROW(AC261)-ROW(AC$15),0),
ROUND(ROUND(OFFSET($P261,0,AC$13),15-13*ORÇAMENTO!$AF$7)*OFFSET(ORÇAMENTO!$W$15,ROW(AC261)-ROW(AC$15),0),15-13*ORÇAMENTO!$AF$11)),0)</f>
        <v>0</v>
      </c>
      <c r="AD261" s="627">
        <f ca="1">IF(AND($D261="Serviço",AD$12&lt;&gt;0,$H261&gt;0,OR(AUTOEVENTO&lt;&gt;"manual",$M261&lt;&gt;1)),
IF(Import.TipoArredondamento&lt;&gt;"TransfereGOV",
ROUND(OFFSET($P261,0,AD$13),15-13*ORÇAMENTO!$AF$7)/$H261*OFFSET(ORÇAMENTO!$X$15,ROW(AD261)-ROW(AD$15),0),
ROUND(ROUND(OFFSET($P261,0,AD$13),15-13*ORÇAMENTO!$AF$7)*OFFSET(ORÇAMENTO!$W$15,ROW(AD261)-ROW(AD$15),0),15-13*ORÇAMENTO!$AF$11)),0)</f>
        <v>0</v>
      </c>
      <c r="AE261" s="627">
        <f ca="1">IF(AND($D261="Serviço",AE$12&lt;&gt;0,$H261&gt;0,OR(AUTOEVENTO&lt;&gt;"manual",$M261&lt;&gt;1)),
IF(Import.TipoArredondamento&lt;&gt;"TransfereGOV",
ROUND(OFFSET($P261,0,AE$13),15-13*ORÇAMENTO!$AF$7)/$H261*OFFSET(ORÇAMENTO!$X$15,ROW(AE261)-ROW(AE$15),0),
ROUND(ROUND(OFFSET($P261,0,AE$13),15-13*ORÇAMENTO!$AF$7)*OFFSET(ORÇAMENTO!$W$15,ROW(AE261)-ROW(AE$15),0),15-13*ORÇAMENTO!$AF$11)),0)</f>
        <v>0</v>
      </c>
      <c r="AF261" s="627">
        <f ca="1">IF(AND($D261="Serviço",AF$12&lt;&gt;0,$H261&gt;0,OR(AUTOEVENTO&lt;&gt;"manual",$M261&lt;&gt;1)),
IF(Import.TipoArredondamento&lt;&gt;"TransfereGOV",
ROUND(OFFSET($P261,0,AF$13),15-13*ORÇAMENTO!$AF$7)/$H261*OFFSET(ORÇAMENTO!$X$15,ROW(AF261)-ROW(AF$15),0),
ROUND(ROUND(OFFSET($P261,0,AF$13),15-13*ORÇAMENTO!$AF$7)*OFFSET(ORÇAMENTO!$W$15,ROW(AF261)-ROW(AF$15),0),15-13*ORÇAMENTO!$AF$11)),0)</f>
        <v>0</v>
      </c>
      <c r="AG261" s="627">
        <f ca="1">IF(AND($D261="Serviço",AG$12&lt;&gt;0,$H261&gt;0,OR(AUTOEVENTO&lt;&gt;"manual",$M261&lt;&gt;1)),
IF(Import.TipoArredondamento&lt;&gt;"TransfereGOV",
ROUND(OFFSET($P261,0,AG$13),15-13*ORÇAMENTO!$AF$7)/$H261*OFFSET(ORÇAMENTO!$X$15,ROW(AG261)-ROW(AG$15),0),
ROUND(ROUND(OFFSET($P261,0,AG$13),15-13*ORÇAMENTO!$AF$7)*OFFSET(ORÇAMENTO!$W$15,ROW(AG261)-ROW(AG$15),0),15-13*ORÇAMENTO!$AF$11)),0)</f>
        <v>0</v>
      </c>
      <c r="AH261" s="627">
        <f ca="1">IF(AND($D261="Serviço",AH$12&lt;&gt;0,$H261&gt;0,OR(AUTOEVENTO&lt;&gt;"manual",$M261&lt;&gt;1)),
IF(Import.TipoArredondamento&lt;&gt;"TransfereGOV",
ROUND(OFFSET($P261,0,AH$13),15-13*ORÇAMENTO!$AF$7)/$H261*OFFSET(ORÇAMENTO!$X$15,ROW(AH261)-ROW(AH$15),0),
ROUND(ROUND(OFFSET($P261,0,AH$13),15-13*ORÇAMENTO!$AF$7)*OFFSET(ORÇAMENTO!$W$15,ROW(AH261)-ROW(AH$15),0),15-13*ORÇAMENTO!$AF$11)),0)</f>
        <v>0</v>
      </c>
      <c r="AI261" s="627">
        <f ca="1">IF(AND($D261="Serviço",AI$12&lt;&gt;0,$H261&gt;0,OR(AUTOEVENTO&lt;&gt;"manual",$M261&lt;&gt;1)),
IF(Import.TipoArredondamento&lt;&gt;"TransfereGOV",
ROUND(OFFSET($P261,0,AI$13),15-13*ORÇAMENTO!$AF$7)/$H261*OFFSET(ORÇAMENTO!$X$15,ROW(AI261)-ROW(AI$15),0),
ROUND(ROUND(OFFSET($P261,0,AI$13),15-13*ORÇAMENTO!$AF$7)*OFFSET(ORÇAMENTO!$W$15,ROW(AI261)-ROW(AI$15),0),15-13*ORÇAMENTO!$AF$11)),0)</f>
        <v>0</v>
      </c>
      <c r="AJ261" s="627">
        <f ca="1">IF(AND($D261="Serviço",AJ$12&lt;&gt;0,$H261&gt;0,OR(AUTOEVENTO&lt;&gt;"manual",$M261&lt;&gt;1)),
IF(Import.TipoArredondamento&lt;&gt;"TransfereGOV",
ROUND(OFFSET($P261,0,AJ$13),15-13*ORÇAMENTO!$AF$7)/$H261*OFFSET(ORÇAMENTO!$X$15,ROW(AJ261)-ROW(AJ$15),0),
ROUND(ROUND(OFFSET($P261,0,AJ$13),15-13*ORÇAMENTO!$AF$7)*OFFSET(ORÇAMENTO!$W$15,ROW(AJ261)-ROW(AJ$15),0),15-13*ORÇAMENTO!$AF$11)),0)</f>
        <v>0</v>
      </c>
      <c r="AK261" s="628">
        <f ca="1">IF(AND($D261="Serviço",AK$12&lt;&gt;0,$H261&gt;0,OR(AUTOEVENTO&lt;&gt;"manual",$M261&lt;&gt;1)),
IF(Import.TipoArredondamento&lt;&gt;"TransfereGOV",
ROUND(OFFSET($P261,0,AK$13),15-13*ORÇAMENTO!$AF$7)/$H261*OFFSET(ORÇAMENTO!$X$15,ROW(AK261)-ROW(AK$15),0),
ROUND(ROUND(OFFSET($P261,0,AK$13),15-13*ORÇAMENTO!$AF$7)*OFFSET(ORÇAMENTO!$W$15,ROW(AK261)-ROW(AK$15),0),15-13*ORÇAMENTO!$AF$11)),0)</f>
        <v>0</v>
      </c>
      <c r="AM261" s="211">
        <f ca="1">IF($D261&lt;&gt;"Serviço",0,IF(AND(AUTOEVENTO="Manual",$M261=1),0,IF(OFFSET(CRONOPLE!$F$14,$M261,AM$13)="",10^12,OFFSET(CRONOPLE!$F$14,$M261,AM$13))))</f>
        <v>2</v>
      </c>
      <c r="AN261" s="211">
        <f ca="1">IF($D261&lt;&gt;"Serviço",0,IF(AND(AUTOEVENTO="Manual",$M261=1),0,IF(OFFSET(CRONOPLE!$F$14,$M261,AN$13)="",10^12,OFFSET(CRONOPLE!$F$14,$M261,AN$13))))</f>
        <v>1</v>
      </c>
      <c r="AO261" s="211">
        <f ca="1">IF($D261&lt;&gt;"Serviço",0,IF(AND(AUTOEVENTO="Manual",$M261=1),0,IF(OFFSET(CRONOPLE!$F$14,$M261,AO$13)="",10^12,OFFSET(CRONOPLE!$F$14,$M261,AO$13))))</f>
        <v>2</v>
      </c>
      <c r="AP261" s="211">
        <f ca="1">IF($D261&lt;&gt;"Serviço",0,IF(AND(AUTOEVENTO="Manual",$M261=1),0,IF(OFFSET(CRONOPLE!$F$14,$M261,AP$13)="",10^12,OFFSET(CRONOPLE!$F$14,$M261,AP$13))))</f>
        <v>2</v>
      </c>
      <c r="AQ261" s="211">
        <f ca="1">IF($D261&lt;&gt;"Serviço",0,IF(AND(AUTOEVENTO="Manual",$M261=1),0,IF(OFFSET(CRONOPLE!$F$14,$M261,AQ$13)="",10^12,OFFSET(CRONOPLE!$F$14,$M261,AQ$13))))</f>
        <v>1000000000000</v>
      </c>
      <c r="AR261" s="211">
        <f ca="1">IF($D261&lt;&gt;"Serviço",0,IF(AND(AUTOEVENTO="Manual",$M261=1),0,IF(OFFSET(CRONOPLE!$F$14,$M261,AR$13)="",10^12,OFFSET(CRONOPLE!$F$14,$M261,AR$13))))</f>
        <v>1000000000000</v>
      </c>
      <c r="AS261" s="211">
        <f ca="1">IF($D261&lt;&gt;"Serviço",0,IF(AND(AUTOEVENTO="Manual",$M261=1),0,IF(OFFSET(CRONOPLE!$F$14,$M261,AS$13)="",10^12,OFFSET(CRONOPLE!$F$14,$M261,AS$13))))</f>
        <v>1000000000000</v>
      </c>
      <c r="AT261" s="211">
        <f ca="1">IF($D261&lt;&gt;"Serviço",0,IF(AND(AUTOEVENTO="Manual",$M261=1),0,IF(OFFSET(CRONOPLE!$F$14,$M261,AT$13)="",10^12,OFFSET(CRONOPLE!$F$14,$M261,AT$13))))</f>
        <v>1000000000000</v>
      </c>
      <c r="AU261" s="211">
        <f ca="1">IF($D261&lt;&gt;"Serviço",0,IF(AND(AUTOEVENTO="Manual",$M261=1),0,IF(OFFSET(CRONOPLE!$F$14,$M261,AU$13)="",10^12,OFFSET(CRONOPLE!$F$14,$M261,AU$13))))</f>
        <v>1000000000000</v>
      </c>
      <c r="AV261" s="211">
        <f ca="1">IF($D261&lt;&gt;"Serviço",0,IF(AND(AUTOEVENTO="Manual",$M261=1),0,IF(OFFSET(CRONOPLE!$F$14,$M261,AV$13)="",10^12,OFFSET(CRONOPLE!$F$14,$M261,AV$13))))</f>
        <v>1000000000000</v>
      </c>
      <c r="AX261" s="212">
        <f ca="1">IF($D261&lt;&gt;"Serviço",0,IF(OR(AND(AUTOEVENTO="Manual",$M261=1),$M261&gt;(ROW(PLE.lastrow)-ROW(PLE.firstrow))),0,IF(OFFSET(PLE!$G$14,$M261,AX$13)="",10^12,OFFSET(PLE!$G$14,$M261,AX$13))))</f>
        <v>1000000000000</v>
      </c>
      <c r="AY261" s="212">
        <f ca="1">IF($D261&lt;&gt;"Serviço",0,IF(OR(AND(AUTOEVENTO="Manual",$M261=1),$M261&gt;(ROW(PLE.lastrow)-ROW(PLE.firstrow))),0,IF(OFFSET(PLE!$G$14,$M261,AY$13)="",10^12,OFFSET(PLE!$G$14,$M261,AY$13))))</f>
        <v>1000000000000</v>
      </c>
      <c r="AZ261" s="212">
        <f ca="1">IF($D261&lt;&gt;"Serviço",0,IF(OR(AND(AUTOEVENTO="Manual",$M261=1),$M261&gt;(ROW(PLE.lastrow)-ROW(PLE.firstrow))),0,IF(OFFSET(PLE!$G$14,$M261,AZ$13)="",10^12,OFFSET(PLE!$G$14,$M261,AZ$13))))</f>
        <v>1000000000000</v>
      </c>
      <c r="BA261" s="212">
        <f ca="1">IF($D261&lt;&gt;"Serviço",0,IF(OR(AND(AUTOEVENTO="Manual",$M261=1),$M261&gt;(ROW(PLE.lastrow)-ROW(PLE.firstrow))),0,IF(OFFSET(PLE!$G$14,$M261,BA$13)="",10^12,OFFSET(PLE!$G$14,$M261,BA$13))))</f>
        <v>1000000000000</v>
      </c>
      <c r="BB261" s="212">
        <f ca="1">IF($D261&lt;&gt;"Serviço",0,IF(OR(AND(AUTOEVENTO="Manual",$M261=1),$M261&gt;(ROW(PLE.lastrow)-ROW(PLE.firstrow))),0,IF(OFFSET(PLE!$G$14,$M261,BB$13)="",10^12,OFFSET(PLE!$G$14,$M261,BB$13))))</f>
        <v>1000000000000</v>
      </c>
      <c r="BC261" s="212">
        <f ca="1">IF($D261&lt;&gt;"Serviço",0,IF(OR(AND(AUTOEVENTO="Manual",$M261=1),$M261&gt;(ROW(PLE.lastrow)-ROW(PLE.firstrow))),0,IF(OFFSET(PLE!$G$14,$M261,BC$13)="",10^12,OFFSET(PLE!$G$14,$M261,BC$13))))</f>
        <v>1000000000000</v>
      </c>
      <c r="BD261" s="212">
        <f ca="1">IF($D261&lt;&gt;"Serviço",0,IF(OR(AND(AUTOEVENTO="Manual",$M261=1),$M261&gt;(ROW(PLE.lastrow)-ROW(PLE.firstrow))),0,IF(OFFSET(PLE!$G$14,$M261,BD$13)="",10^12,OFFSET(PLE!$G$14,$M261,BD$13))))</f>
        <v>1000000000000</v>
      </c>
      <c r="BE261" s="212">
        <f ca="1">IF($D261&lt;&gt;"Serviço",0,IF(OR(AND(AUTOEVENTO="Manual",$M261=1),$M261&gt;(ROW(PLE.lastrow)-ROW(PLE.firstrow))),0,IF(OFFSET(PLE!$G$14,$M261,BE$13)="",10^12,OFFSET(PLE!$G$14,$M261,BE$13))))</f>
        <v>1000000000000</v>
      </c>
      <c r="BF261" s="212">
        <f ca="1">IF($D261&lt;&gt;"Serviço",0,IF(OR(AND(AUTOEVENTO="Manual",$M261=1),$M261&gt;(ROW(PLE.lastrow)-ROW(PLE.firstrow))),0,IF(OFFSET(PLE!$G$14,$M261,BF$13)="",10^12,OFFSET(PLE!$G$14,$M261,BF$13))))</f>
        <v>1000000000000</v>
      </c>
      <c r="BG261" s="212">
        <f ca="1">IF($D261&lt;&gt;"Serviço",0,IF(OR(AND(AUTOEVENTO="Manual",$M261=1),$M261&gt;(ROW(PLE.lastrow)-ROW(PLE.firstrow))),0,IF(OFFSET(PLE!$G$14,$M261,BG$13)="",10^12,OFFSET(PLE!$G$14,$M261,BG$13))))</f>
        <v>1000000000000</v>
      </c>
    </row>
    <row r="262" spans="1:59" ht="13.2">
      <c r="A262" s="9" t="str">
        <f t="shared" ca="1" si="12"/>
        <v>15</v>
      </c>
      <c r="B262" s="9" t="str">
        <f ca="1">OFFSET(ORÇAMENTO!C$15,ROW(B262)-ROW(B$15),0)</f>
        <v>S</v>
      </c>
      <c r="C262" s="9" t="str">
        <f ca="1">OFFSET(ORÇAMENTO!L$15,ROW(C262)-ROW(C$15),0)</f>
        <v/>
      </c>
      <c r="D262" s="141" t="str">
        <f ca="1">OFFSET(ORÇAMENTO!N$15,ROW(D262)-ROW(D$15),0)</f>
        <v>Serviço</v>
      </c>
      <c r="E262" s="201" t="str">
        <f ca="1">OFFSET(ORÇAMENTO!O$15,ROW(E262)-ROW(E$15),0)</f>
        <v>-</v>
      </c>
      <c r="F262" s="202" t="str">
        <f ca="1">OFFSET(ORÇAMENTO!R$15,ROW(F262)-ROW(F$15),0)</f>
        <v>(abra o arquivo 'Referência 11-2024.xlsm)</v>
      </c>
      <c r="G262" s="203" t="str">
        <f ca="1">IF($D262&lt;&gt;"Serviço","",OFFSET(ORÇAMENTO!S$15,ROW(G262)-ROW(G$15),0))</f>
        <v>-</v>
      </c>
      <c r="H262" s="147">
        <f ca="1">IF($D262&lt;&gt;"Serviço",0,IF(ACOMPANHAMENTO="BM",ROUND(OFFSET(ORÇAMENTO!AJ$15,ROW(H262)-ROW(H$15),0),15-13*ORÇAMENTO!$AF$7),SUMPRODUCT(($Q$12:$AA$12&lt;&gt;"")*ROUND($Q262:$AA262,15-13*ORÇAMENTO!$AF$7))))</f>
        <v>0</v>
      </c>
      <c r="I262" s="645"/>
      <c r="K262" s="204"/>
      <c r="L262" s="205" t="s">
        <v>255</v>
      </c>
      <c r="M262" s="206">
        <f ca="1">IF($D262&lt;&gt;"Serviço","",IF(AUTOEVENTO="manual",$A262,IF(ISERROR(MATCH($A262,$A$15:OFFSET($A262,-1,0),0)),MAX($M$15:OFFSET(M262,-1,0))+1,INDEX($M$15:OFFSET(M262,-1,0),MATCH($A262,$A$15:OFFSET($A262,-1,0),0)))))</f>
        <v>6</v>
      </c>
      <c r="N262" s="207" t="str">
        <f ca="1">IF($D262&lt;&gt;"Serviço","",IF(AUTOEVENTO="Manual",IF($A262=0,"&lt;-- defina o número do agrupador",OFFSET(EVENTOS!$D$14,$A262,0)),OFFSET($F$15,$A262,0)))</f>
        <v>DRENAGEM</v>
      </c>
      <c r="O262" s="208"/>
      <c r="Q262" s="208"/>
      <c r="R262" s="209"/>
      <c r="S262" s="209"/>
      <c r="T262" s="209"/>
      <c r="U262" s="209"/>
      <c r="V262" s="209"/>
      <c r="W262" s="209"/>
      <c r="X262" s="209"/>
      <c r="Y262" s="209"/>
      <c r="Z262" s="210"/>
      <c r="AB262" s="626">
        <f ca="1">IF(AND($D262="Serviço",AB$12&lt;&gt;0,$H262&gt;0,OR(AUTOEVENTO&lt;&gt;"manual",$M262&lt;&gt;1)),
IF(Import.TipoArredondamento&lt;&gt;"TransfereGOV",
ROUND(OFFSET($P262,0,AB$13),15-13*ORÇAMENTO!$AF$7)/$H262*OFFSET(ORÇAMENTO!$X$15,ROW(AB262)-ROW(AB$15),0),
ROUND(ROUND(OFFSET($P262,0,AB$13),15-13*ORÇAMENTO!$AF$7)*OFFSET(ORÇAMENTO!$W$15,ROW(AB262)-ROW(AB$15),0),15-13*ORÇAMENTO!$AF$11)),0)</f>
        <v>0</v>
      </c>
      <c r="AC262" s="627">
        <f ca="1">IF(AND($D262="Serviço",AC$12&lt;&gt;0,$H262&gt;0,OR(AUTOEVENTO&lt;&gt;"manual",$M262&lt;&gt;1)),
IF(Import.TipoArredondamento&lt;&gt;"TransfereGOV",
ROUND(OFFSET($P262,0,AC$13),15-13*ORÇAMENTO!$AF$7)/$H262*OFFSET(ORÇAMENTO!$X$15,ROW(AC262)-ROW(AC$15),0),
ROUND(ROUND(OFFSET($P262,0,AC$13),15-13*ORÇAMENTO!$AF$7)*OFFSET(ORÇAMENTO!$W$15,ROW(AC262)-ROW(AC$15),0),15-13*ORÇAMENTO!$AF$11)),0)</f>
        <v>0</v>
      </c>
      <c r="AD262" s="627">
        <f ca="1">IF(AND($D262="Serviço",AD$12&lt;&gt;0,$H262&gt;0,OR(AUTOEVENTO&lt;&gt;"manual",$M262&lt;&gt;1)),
IF(Import.TipoArredondamento&lt;&gt;"TransfereGOV",
ROUND(OFFSET($P262,0,AD$13),15-13*ORÇAMENTO!$AF$7)/$H262*OFFSET(ORÇAMENTO!$X$15,ROW(AD262)-ROW(AD$15),0),
ROUND(ROUND(OFFSET($P262,0,AD$13),15-13*ORÇAMENTO!$AF$7)*OFFSET(ORÇAMENTO!$W$15,ROW(AD262)-ROW(AD$15),0),15-13*ORÇAMENTO!$AF$11)),0)</f>
        <v>0</v>
      </c>
      <c r="AE262" s="627">
        <f ca="1">IF(AND($D262="Serviço",AE$12&lt;&gt;0,$H262&gt;0,OR(AUTOEVENTO&lt;&gt;"manual",$M262&lt;&gt;1)),
IF(Import.TipoArredondamento&lt;&gt;"TransfereGOV",
ROUND(OFFSET($P262,0,AE$13),15-13*ORÇAMENTO!$AF$7)/$H262*OFFSET(ORÇAMENTO!$X$15,ROW(AE262)-ROW(AE$15),0),
ROUND(ROUND(OFFSET($P262,0,AE$13),15-13*ORÇAMENTO!$AF$7)*OFFSET(ORÇAMENTO!$W$15,ROW(AE262)-ROW(AE$15),0),15-13*ORÇAMENTO!$AF$11)),0)</f>
        <v>0</v>
      </c>
      <c r="AF262" s="627">
        <f ca="1">IF(AND($D262="Serviço",AF$12&lt;&gt;0,$H262&gt;0,OR(AUTOEVENTO&lt;&gt;"manual",$M262&lt;&gt;1)),
IF(Import.TipoArredondamento&lt;&gt;"TransfereGOV",
ROUND(OFFSET($P262,0,AF$13),15-13*ORÇAMENTO!$AF$7)/$H262*OFFSET(ORÇAMENTO!$X$15,ROW(AF262)-ROW(AF$15),0),
ROUND(ROUND(OFFSET($P262,0,AF$13),15-13*ORÇAMENTO!$AF$7)*OFFSET(ORÇAMENTO!$W$15,ROW(AF262)-ROW(AF$15),0),15-13*ORÇAMENTO!$AF$11)),0)</f>
        <v>0</v>
      </c>
      <c r="AG262" s="627">
        <f ca="1">IF(AND($D262="Serviço",AG$12&lt;&gt;0,$H262&gt;0,OR(AUTOEVENTO&lt;&gt;"manual",$M262&lt;&gt;1)),
IF(Import.TipoArredondamento&lt;&gt;"TransfereGOV",
ROUND(OFFSET($P262,0,AG$13),15-13*ORÇAMENTO!$AF$7)/$H262*OFFSET(ORÇAMENTO!$X$15,ROW(AG262)-ROW(AG$15),0),
ROUND(ROUND(OFFSET($P262,0,AG$13),15-13*ORÇAMENTO!$AF$7)*OFFSET(ORÇAMENTO!$W$15,ROW(AG262)-ROW(AG$15),0),15-13*ORÇAMENTO!$AF$11)),0)</f>
        <v>0</v>
      </c>
      <c r="AH262" s="627">
        <f ca="1">IF(AND($D262="Serviço",AH$12&lt;&gt;0,$H262&gt;0,OR(AUTOEVENTO&lt;&gt;"manual",$M262&lt;&gt;1)),
IF(Import.TipoArredondamento&lt;&gt;"TransfereGOV",
ROUND(OFFSET($P262,0,AH$13),15-13*ORÇAMENTO!$AF$7)/$H262*OFFSET(ORÇAMENTO!$X$15,ROW(AH262)-ROW(AH$15),0),
ROUND(ROUND(OFFSET($P262,0,AH$13),15-13*ORÇAMENTO!$AF$7)*OFFSET(ORÇAMENTO!$W$15,ROW(AH262)-ROW(AH$15),0),15-13*ORÇAMENTO!$AF$11)),0)</f>
        <v>0</v>
      </c>
      <c r="AI262" s="627">
        <f ca="1">IF(AND($D262="Serviço",AI$12&lt;&gt;0,$H262&gt;0,OR(AUTOEVENTO&lt;&gt;"manual",$M262&lt;&gt;1)),
IF(Import.TipoArredondamento&lt;&gt;"TransfereGOV",
ROUND(OFFSET($P262,0,AI$13),15-13*ORÇAMENTO!$AF$7)/$H262*OFFSET(ORÇAMENTO!$X$15,ROW(AI262)-ROW(AI$15),0),
ROUND(ROUND(OFFSET($P262,0,AI$13),15-13*ORÇAMENTO!$AF$7)*OFFSET(ORÇAMENTO!$W$15,ROW(AI262)-ROW(AI$15),0),15-13*ORÇAMENTO!$AF$11)),0)</f>
        <v>0</v>
      </c>
      <c r="AJ262" s="627">
        <f ca="1">IF(AND($D262="Serviço",AJ$12&lt;&gt;0,$H262&gt;0,OR(AUTOEVENTO&lt;&gt;"manual",$M262&lt;&gt;1)),
IF(Import.TipoArredondamento&lt;&gt;"TransfereGOV",
ROUND(OFFSET($P262,0,AJ$13),15-13*ORÇAMENTO!$AF$7)/$H262*OFFSET(ORÇAMENTO!$X$15,ROW(AJ262)-ROW(AJ$15),0),
ROUND(ROUND(OFFSET($P262,0,AJ$13),15-13*ORÇAMENTO!$AF$7)*OFFSET(ORÇAMENTO!$W$15,ROW(AJ262)-ROW(AJ$15),0),15-13*ORÇAMENTO!$AF$11)),0)</f>
        <v>0</v>
      </c>
      <c r="AK262" s="628">
        <f ca="1">IF(AND($D262="Serviço",AK$12&lt;&gt;0,$H262&gt;0,OR(AUTOEVENTO&lt;&gt;"manual",$M262&lt;&gt;1)),
IF(Import.TipoArredondamento&lt;&gt;"TransfereGOV",
ROUND(OFFSET($P262,0,AK$13),15-13*ORÇAMENTO!$AF$7)/$H262*OFFSET(ORÇAMENTO!$X$15,ROW(AK262)-ROW(AK$15),0),
ROUND(ROUND(OFFSET($P262,0,AK$13),15-13*ORÇAMENTO!$AF$7)*OFFSET(ORÇAMENTO!$W$15,ROW(AK262)-ROW(AK$15),0),15-13*ORÇAMENTO!$AF$11)),0)</f>
        <v>0</v>
      </c>
      <c r="AM262" s="211">
        <f ca="1">IF($D262&lt;&gt;"Serviço",0,IF(AND(AUTOEVENTO="Manual",$M262=1),0,IF(OFFSET(CRONOPLE!$F$14,$M262,AM$13)="",10^12,OFFSET(CRONOPLE!$F$14,$M262,AM$13))))</f>
        <v>2</v>
      </c>
      <c r="AN262" s="211">
        <f ca="1">IF($D262&lt;&gt;"Serviço",0,IF(AND(AUTOEVENTO="Manual",$M262=1),0,IF(OFFSET(CRONOPLE!$F$14,$M262,AN$13)="",10^12,OFFSET(CRONOPLE!$F$14,$M262,AN$13))))</f>
        <v>1</v>
      </c>
      <c r="AO262" s="211">
        <f ca="1">IF($D262&lt;&gt;"Serviço",0,IF(AND(AUTOEVENTO="Manual",$M262=1),0,IF(OFFSET(CRONOPLE!$F$14,$M262,AO$13)="",10^12,OFFSET(CRONOPLE!$F$14,$M262,AO$13))))</f>
        <v>2</v>
      </c>
      <c r="AP262" s="211">
        <f ca="1">IF($D262&lt;&gt;"Serviço",0,IF(AND(AUTOEVENTO="Manual",$M262=1),0,IF(OFFSET(CRONOPLE!$F$14,$M262,AP$13)="",10^12,OFFSET(CRONOPLE!$F$14,$M262,AP$13))))</f>
        <v>2</v>
      </c>
      <c r="AQ262" s="211">
        <f ca="1">IF($D262&lt;&gt;"Serviço",0,IF(AND(AUTOEVENTO="Manual",$M262=1),0,IF(OFFSET(CRONOPLE!$F$14,$M262,AQ$13)="",10^12,OFFSET(CRONOPLE!$F$14,$M262,AQ$13))))</f>
        <v>1000000000000</v>
      </c>
      <c r="AR262" s="211">
        <f ca="1">IF($D262&lt;&gt;"Serviço",0,IF(AND(AUTOEVENTO="Manual",$M262=1),0,IF(OFFSET(CRONOPLE!$F$14,$M262,AR$13)="",10^12,OFFSET(CRONOPLE!$F$14,$M262,AR$13))))</f>
        <v>1000000000000</v>
      </c>
      <c r="AS262" s="211">
        <f ca="1">IF($D262&lt;&gt;"Serviço",0,IF(AND(AUTOEVENTO="Manual",$M262=1),0,IF(OFFSET(CRONOPLE!$F$14,$M262,AS$13)="",10^12,OFFSET(CRONOPLE!$F$14,$M262,AS$13))))</f>
        <v>1000000000000</v>
      </c>
      <c r="AT262" s="211">
        <f ca="1">IF($D262&lt;&gt;"Serviço",0,IF(AND(AUTOEVENTO="Manual",$M262=1),0,IF(OFFSET(CRONOPLE!$F$14,$M262,AT$13)="",10^12,OFFSET(CRONOPLE!$F$14,$M262,AT$13))))</f>
        <v>1000000000000</v>
      </c>
      <c r="AU262" s="211">
        <f ca="1">IF($D262&lt;&gt;"Serviço",0,IF(AND(AUTOEVENTO="Manual",$M262=1),0,IF(OFFSET(CRONOPLE!$F$14,$M262,AU$13)="",10^12,OFFSET(CRONOPLE!$F$14,$M262,AU$13))))</f>
        <v>1000000000000</v>
      </c>
      <c r="AV262" s="211">
        <f ca="1">IF($D262&lt;&gt;"Serviço",0,IF(AND(AUTOEVENTO="Manual",$M262=1),0,IF(OFFSET(CRONOPLE!$F$14,$M262,AV$13)="",10^12,OFFSET(CRONOPLE!$F$14,$M262,AV$13))))</f>
        <v>1000000000000</v>
      </c>
      <c r="AX262" s="212">
        <f ca="1">IF($D262&lt;&gt;"Serviço",0,IF(OR(AND(AUTOEVENTO="Manual",$M262=1),$M262&gt;(ROW(PLE.lastrow)-ROW(PLE.firstrow))),0,IF(OFFSET(PLE!$G$14,$M262,AX$13)="",10^12,OFFSET(PLE!$G$14,$M262,AX$13))))</f>
        <v>1000000000000</v>
      </c>
      <c r="AY262" s="212">
        <f ca="1">IF($D262&lt;&gt;"Serviço",0,IF(OR(AND(AUTOEVENTO="Manual",$M262=1),$M262&gt;(ROW(PLE.lastrow)-ROW(PLE.firstrow))),0,IF(OFFSET(PLE!$G$14,$M262,AY$13)="",10^12,OFFSET(PLE!$G$14,$M262,AY$13))))</f>
        <v>1000000000000</v>
      </c>
      <c r="AZ262" s="212">
        <f ca="1">IF($D262&lt;&gt;"Serviço",0,IF(OR(AND(AUTOEVENTO="Manual",$M262=1),$M262&gt;(ROW(PLE.lastrow)-ROW(PLE.firstrow))),0,IF(OFFSET(PLE!$G$14,$M262,AZ$13)="",10^12,OFFSET(PLE!$G$14,$M262,AZ$13))))</f>
        <v>1000000000000</v>
      </c>
      <c r="BA262" s="212">
        <f ca="1">IF($D262&lt;&gt;"Serviço",0,IF(OR(AND(AUTOEVENTO="Manual",$M262=1),$M262&gt;(ROW(PLE.lastrow)-ROW(PLE.firstrow))),0,IF(OFFSET(PLE!$G$14,$M262,BA$13)="",10^12,OFFSET(PLE!$G$14,$M262,BA$13))))</f>
        <v>1000000000000</v>
      </c>
      <c r="BB262" s="212">
        <f ca="1">IF($D262&lt;&gt;"Serviço",0,IF(OR(AND(AUTOEVENTO="Manual",$M262=1),$M262&gt;(ROW(PLE.lastrow)-ROW(PLE.firstrow))),0,IF(OFFSET(PLE!$G$14,$M262,BB$13)="",10^12,OFFSET(PLE!$G$14,$M262,BB$13))))</f>
        <v>1000000000000</v>
      </c>
      <c r="BC262" s="212">
        <f ca="1">IF($D262&lt;&gt;"Serviço",0,IF(OR(AND(AUTOEVENTO="Manual",$M262=1),$M262&gt;(ROW(PLE.lastrow)-ROW(PLE.firstrow))),0,IF(OFFSET(PLE!$G$14,$M262,BC$13)="",10^12,OFFSET(PLE!$G$14,$M262,BC$13))))</f>
        <v>1000000000000</v>
      </c>
      <c r="BD262" s="212">
        <f ca="1">IF($D262&lt;&gt;"Serviço",0,IF(OR(AND(AUTOEVENTO="Manual",$M262=1),$M262&gt;(ROW(PLE.lastrow)-ROW(PLE.firstrow))),0,IF(OFFSET(PLE!$G$14,$M262,BD$13)="",10^12,OFFSET(PLE!$G$14,$M262,BD$13))))</f>
        <v>1000000000000</v>
      </c>
      <c r="BE262" s="212">
        <f ca="1">IF($D262&lt;&gt;"Serviço",0,IF(OR(AND(AUTOEVENTO="Manual",$M262=1),$M262&gt;(ROW(PLE.lastrow)-ROW(PLE.firstrow))),0,IF(OFFSET(PLE!$G$14,$M262,BE$13)="",10^12,OFFSET(PLE!$G$14,$M262,BE$13))))</f>
        <v>1000000000000</v>
      </c>
      <c r="BF262" s="212">
        <f ca="1">IF($D262&lt;&gt;"Serviço",0,IF(OR(AND(AUTOEVENTO="Manual",$M262=1),$M262&gt;(ROW(PLE.lastrow)-ROW(PLE.firstrow))),0,IF(OFFSET(PLE!$G$14,$M262,BF$13)="",10^12,OFFSET(PLE!$G$14,$M262,BF$13))))</f>
        <v>1000000000000</v>
      </c>
      <c r="BG262" s="212">
        <f ca="1">IF($D262&lt;&gt;"Serviço",0,IF(OR(AND(AUTOEVENTO="Manual",$M262=1),$M262&gt;(ROW(PLE.lastrow)-ROW(PLE.firstrow))),0,IF(OFFSET(PLE!$G$14,$M262,BG$13)="",10^12,OFFSET(PLE!$G$14,$M262,BG$13))))</f>
        <v>1000000000000</v>
      </c>
    </row>
    <row r="263" spans="1:59" ht="13.2">
      <c r="A263" s="9" t="str">
        <f t="shared" ca="1" si="12"/>
        <v>15</v>
      </c>
      <c r="B263" s="9" t="str">
        <f ca="1">OFFSET(ORÇAMENTO!C$15,ROW(B263)-ROW(B$15),0)</f>
        <v>S</v>
      </c>
      <c r="C263" s="9" t="str">
        <f ca="1">OFFSET(ORÇAMENTO!L$15,ROW(C263)-ROW(C$15),0)</f>
        <v/>
      </c>
      <c r="D263" s="141" t="str">
        <f ca="1">OFFSET(ORÇAMENTO!N$15,ROW(D263)-ROW(D$15),0)</f>
        <v>Serviço</v>
      </c>
      <c r="E263" s="201" t="str">
        <f ca="1">OFFSET(ORÇAMENTO!O$15,ROW(E263)-ROW(E$15),0)</f>
        <v>-</v>
      </c>
      <c r="F263" s="202" t="str">
        <f ca="1">OFFSET(ORÇAMENTO!R$15,ROW(F263)-ROW(F$15),0)</f>
        <v>(abra o arquivo 'Referência 11-2024.xlsm)</v>
      </c>
      <c r="G263" s="203" t="str">
        <f ca="1">IF($D263&lt;&gt;"Serviço","",OFFSET(ORÇAMENTO!S$15,ROW(G263)-ROW(G$15),0))</f>
        <v>-</v>
      </c>
      <c r="H263" s="147">
        <f ca="1">IF($D263&lt;&gt;"Serviço",0,IF(ACOMPANHAMENTO="BM",ROUND(OFFSET(ORÇAMENTO!AJ$15,ROW(H263)-ROW(H$15),0),15-13*ORÇAMENTO!$AF$7),SUMPRODUCT(($Q$12:$AA$12&lt;&gt;"")*ROUND($Q263:$AA263,15-13*ORÇAMENTO!$AF$7))))</f>
        <v>0</v>
      </c>
      <c r="I263" s="645"/>
      <c r="K263" s="204"/>
      <c r="L263" s="205" t="s">
        <v>255</v>
      </c>
      <c r="M263" s="206">
        <f ca="1">IF($D263&lt;&gt;"Serviço","",IF(AUTOEVENTO="manual",$A263,IF(ISERROR(MATCH($A263,$A$15:OFFSET($A263,-1,0),0)),MAX($M$15:OFFSET(M263,-1,0))+1,INDEX($M$15:OFFSET(M263,-1,0),MATCH($A263,$A$15:OFFSET($A263,-1,0),0)))))</f>
        <v>6</v>
      </c>
      <c r="N263" s="207" t="str">
        <f ca="1">IF($D263&lt;&gt;"Serviço","",IF(AUTOEVENTO="Manual",IF($A263=0,"&lt;-- defina o número do agrupador",OFFSET(EVENTOS!$D$14,$A263,0)),OFFSET($F$15,$A263,0)))</f>
        <v>DRENAGEM</v>
      </c>
      <c r="O263" s="208"/>
      <c r="Q263" s="208"/>
      <c r="R263" s="209"/>
      <c r="S263" s="209"/>
      <c r="T263" s="209"/>
      <c r="U263" s="209"/>
      <c r="V263" s="209"/>
      <c r="W263" s="209"/>
      <c r="X263" s="209"/>
      <c r="Y263" s="209"/>
      <c r="Z263" s="210"/>
      <c r="AB263" s="626">
        <f ca="1">IF(AND($D263="Serviço",AB$12&lt;&gt;0,$H263&gt;0,OR(AUTOEVENTO&lt;&gt;"manual",$M263&lt;&gt;1)),
IF(Import.TipoArredondamento&lt;&gt;"TransfereGOV",
ROUND(OFFSET($P263,0,AB$13),15-13*ORÇAMENTO!$AF$7)/$H263*OFFSET(ORÇAMENTO!$X$15,ROW(AB263)-ROW(AB$15),0),
ROUND(ROUND(OFFSET($P263,0,AB$13),15-13*ORÇAMENTO!$AF$7)*OFFSET(ORÇAMENTO!$W$15,ROW(AB263)-ROW(AB$15),0),15-13*ORÇAMENTO!$AF$11)),0)</f>
        <v>0</v>
      </c>
      <c r="AC263" s="627">
        <f ca="1">IF(AND($D263="Serviço",AC$12&lt;&gt;0,$H263&gt;0,OR(AUTOEVENTO&lt;&gt;"manual",$M263&lt;&gt;1)),
IF(Import.TipoArredondamento&lt;&gt;"TransfereGOV",
ROUND(OFFSET($P263,0,AC$13),15-13*ORÇAMENTO!$AF$7)/$H263*OFFSET(ORÇAMENTO!$X$15,ROW(AC263)-ROW(AC$15),0),
ROUND(ROUND(OFFSET($P263,0,AC$13),15-13*ORÇAMENTO!$AF$7)*OFFSET(ORÇAMENTO!$W$15,ROW(AC263)-ROW(AC$15),0),15-13*ORÇAMENTO!$AF$11)),0)</f>
        <v>0</v>
      </c>
      <c r="AD263" s="627">
        <f ca="1">IF(AND($D263="Serviço",AD$12&lt;&gt;0,$H263&gt;0,OR(AUTOEVENTO&lt;&gt;"manual",$M263&lt;&gt;1)),
IF(Import.TipoArredondamento&lt;&gt;"TransfereGOV",
ROUND(OFFSET($P263,0,AD$13),15-13*ORÇAMENTO!$AF$7)/$H263*OFFSET(ORÇAMENTO!$X$15,ROW(AD263)-ROW(AD$15),0),
ROUND(ROUND(OFFSET($P263,0,AD$13),15-13*ORÇAMENTO!$AF$7)*OFFSET(ORÇAMENTO!$W$15,ROW(AD263)-ROW(AD$15),0),15-13*ORÇAMENTO!$AF$11)),0)</f>
        <v>0</v>
      </c>
      <c r="AE263" s="627">
        <f ca="1">IF(AND($D263="Serviço",AE$12&lt;&gt;0,$H263&gt;0,OR(AUTOEVENTO&lt;&gt;"manual",$M263&lt;&gt;1)),
IF(Import.TipoArredondamento&lt;&gt;"TransfereGOV",
ROUND(OFFSET($P263,0,AE$13),15-13*ORÇAMENTO!$AF$7)/$H263*OFFSET(ORÇAMENTO!$X$15,ROW(AE263)-ROW(AE$15),0),
ROUND(ROUND(OFFSET($P263,0,AE$13),15-13*ORÇAMENTO!$AF$7)*OFFSET(ORÇAMENTO!$W$15,ROW(AE263)-ROW(AE$15),0),15-13*ORÇAMENTO!$AF$11)),0)</f>
        <v>0</v>
      </c>
      <c r="AF263" s="627">
        <f ca="1">IF(AND($D263="Serviço",AF$12&lt;&gt;0,$H263&gt;0,OR(AUTOEVENTO&lt;&gt;"manual",$M263&lt;&gt;1)),
IF(Import.TipoArredondamento&lt;&gt;"TransfereGOV",
ROUND(OFFSET($P263,0,AF$13),15-13*ORÇAMENTO!$AF$7)/$H263*OFFSET(ORÇAMENTO!$X$15,ROW(AF263)-ROW(AF$15),0),
ROUND(ROUND(OFFSET($P263,0,AF$13),15-13*ORÇAMENTO!$AF$7)*OFFSET(ORÇAMENTO!$W$15,ROW(AF263)-ROW(AF$15),0),15-13*ORÇAMENTO!$AF$11)),0)</f>
        <v>0</v>
      </c>
      <c r="AG263" s="627">
        <f ca="1">IF(AND($D263="Serviço",AG$12&lt;&gt;0,$H263&gt;0,OR(AUTOEVENTO&lt;&gt;"manual",$M263&lt;&gt;1)),
IF(Import.TipoArredondamento&lt;&gt;"TransfereGOV",
ROUND(OFFSET($P263,0,AG$13),15-13*ORÇAMENTO!$AF$7)/$H263*OFFSET(ORÇAMENTO!$X$15,ROW(AG263)-ROW(AG$15),0),
ROUND(ROUND(OFFSET($P263,0,AG$13),15-13*ORÇAMENTO!$AF$7)*OFFSET(ORÇAMENTO!$W$15,ROW(AG263)-ROW(AG$15),0),15-13*ORÇAMENTO!$AF$11)),0)</f>
        <v>0</v>
      </c>
      <c r="AH263" s="627">
        <f ca="1">IF(AND($D263="Serviço",AH$12&lt;&gt;0,$H263&gt;0,OR(AUTOEVENTO&lt;&gt;"manual",$M263&lt;&gt;1)),
IF(Import.TipoArredondamento&lt;&gt;"TransfereGOV",
ROUND(OFFSET($P263,0,AH$13),15-13*ORÇAMENTO!$AF$7)/$H263*OFFSET(ORÇAMENTO!$X$15,ROW(AH263)-ROW(AH$15),0),
ROUND(ROUND(OFFSET($P263,0,AH$13),15-13*ORÇAMENTO!$AF$7)*OFFSET(ORÇAMENTO!$W$15,ROW(AH263)-ROW(AH$15),0),15-13*ORÇAMENTO!$AF$11)),0)</f>
        <v>0</v>
      </c>
      <c r="AI263" s="627">
        <f ca="1">IF(AND($D263="Serviço",AI$12&lt;&gt;0,$H263&gt;0,OR(AUTOEVENTO&lt;&gt;"manual",$M263&lt;&gt;1)),
IF(Import.TipoArredondamento&lt;&gt;"TransfereGOV",
ROUND(OFFSET($P263,0,AI$13),15-13*ORÇAMENTO!$AF$7)/$H263*OFFSET(ORÇAMENTO!$X$15,ROW(AI263)-ROW(AI$15),0),
ROUND(ROUND(OFFSET($P263,0,AI$13),15-13*ORÇAMENTO!$AF$7)*OFFSET(ORÇAMENTO!$W$15,ROW(AI263)-ROW(AI$15),0),15-13*ORÇAMENTO!$AF$11)),0)</f>
        <v>0</v>
      </c>
      <c r="AJ263" s="627">
        <f ca="1">IF(AND($D263="Serviço",AJ$12&lt;&gt;0,$H263&gt;0,OR(AUTOEVENTO&lt;&gt;"manual",$M263&lt;&gt;1)),
IF(Import.TipoArredondamento&lt;&gt;"TransfereGOV",
ROUND(OFFSET($P263,0,AJ$13),15-13*ORÇAMENTO!$AF$7)/$H263*OFFSET(ORÇAMENTO!$X$15,ROW(AJ263)-ROW(AJ$15),0),
ROUND(ROUND(OFFSET($P263,0,AJ$13),15-13*ORÇAMENTO!$AF$7)*OFFSET(ORÇAMENTO!$W$15,ROW(AJ263)-ROW(AJ$15),0),15-13*ORÇAMENTO!$AF$11)),0)</f>
        <v>0</v>
      </c>
      <c r="AK263" s="628">
        <f ca="1">IF(AND($D263="Serviço",AK$12&lt;&gt;0,$H263&gt;0,OR(AUTOEVENTO&lt;&gt;"manual",$M263&lt;&gt;1)),
IF(Import.TipoArredondamento&lt;&gt;"TransfereGOV",
ROUND(OFFSET($P263,0,AK$13),15-13*ORÇAMENTO!$AF$7)/$H263*OFFSET(ORÇAMENTO!$X$15,ROW(AK263)-ROW(AK$15),0),
ROUND(ROUND(OFFSET($P263,0,AK$13),15-13*ORÇAMENTO!$AF$7)*OFFSET(ORÇAMENTO!$W$15,ROW(AK263)-ROW(AK$15),0),15-13*ORÇAMENTO!$AF$11)),0)</f>
        <v>0</v>
      </c>
      <c r="AM263" s="211">
        <f ca="1">IF($D263&lt;&gt;"Serviço",0,IF(AND(AUTOEVENTO="Manual",$M263=1),0,IF(OFFSET(CRONOPLE!$F$14,$M263,AM$13)="",10^12,OFFSET(CRONOPLE!$F$14,$M263,AM$13))))</f>
        <v>2</v>
      </c>
      <c r="AN263" s="211">
        <f ca="1">IF($D263&lt;&gt;"Serviço",0,IF(AND(AUTOEVENTO="Manual",$M263=1),0,IF(OFFSET(CRONOPLE!$F$14,$M263,AN$13)="",10^12,OFFSET(CRONOPLE!$F$14,$M263,AN$13))))</f>
        <v>1</v>
      </c>
      <c r="AO263" s="211">
        <f ca="1">IF($D263&lt;&gt;"Serviço",0,IF(AND(AUTOEVENTO="Manual",$M263=1),0,IF(OFFSET(CRONOPLE!$F$14,$M263,AO$13)="",10^12,OFFSET(CRONOPLE!$F$14,$M263,AO$13))))</f>
        <v>2</v>
      </c>
      <c r="AP263" s="211">
        <f ca="1">IF($D263&lt;&gt;"Serviço",0,IF(AND(AUTOEVENTO="Manual",$M263=1),0,IF(OFFSET(CRONOPLE!$F$14,$M263,AP$13)="",10^12,OFFSET(CRONOPLE!$F$14,$M263,AP$13))))</f>
        <v>2</v>
      </c>
      <c r="AQ263" s="211">
        <f ca="1">IF($D263&lt;&gt;"Serviço",0,IF(AND(AUTOEVENTO="Manual",$M263=1),0,IF(OFFSET(CRONOPLE!$F$14,$M263,AQ$13)="",10^12,OFFSET(CRONOPLE!$F$14,$M263,AQ$13))))</f>
        <v>1000000000000</v>
      </c>
      <c r="AR263" s="211">
        <f ca="1">IF($D263&lt;&gt;"Serviço",0,IF(AND(AUTOEVENTO="Manual",$M263=1),0,IF(OFFSET(CRONOPLE!$F$14,$M263,AR$13)="",10^12,OFFSET(CRONOPLE!$F$14,$M263,AR$13))))</f>
        <v>1000000000000</v>
      </c>
      <c r="AS263" s="211">
        <f ca="1">IF($D263&lt;&gt;"Serviço",0,IF(AND(AUTOEVENTO="Manual",$M263=1),0,IF(OFFSET(CRONOPLE!$F$14,$M263,AS$13)="",10^12,OFFSET(CRONOPLE!$F$14,$M263,AS$13))))</f>
        <v>1000000000000</v>
      </c>
      <c r="AT263" s="211">
        <f ca="1">IF($D263&lt;&gt;"Serviço",0,IF(AND(AUTOEVENTO="Manual",$M263=1),0,IF(OFFSET(CRONOPLE!$F$14,$M263,AT$13)="",10^12,OFFSET(CRONOPLE!$F$14,$M263,AT$13))))</f>
        <v>1000000000000</v>
      </c>
      <c r="AU263" s="211">
        <f ca="1">IF($D263&lt;&gt;"Serviço",0,IF(AND(AUTOEVENTO="Manual",$M263=1),0,IF(OFFSET(CRONOPLE!$F$14,$M263,AU$13)="",10^12,OFFSET(CRONOPLE!$F$14,$M263,AU$13))))</f>
        <v>1000000000000</v>
      </c>
      <c r="AV263" s="211">
        <f ca="1">IF($D263&lt;&gt;"Serviço",0,IF(AND(AUTOEVENTO="Manual",$M263=1),0,IF(OFFSET(CRONOPLE!$F$14,$M263,AV$13)="",10^12,OFFSET(CRONOPLE!$F$14,$M263,AV$13))))</f>
        <v>1000000000000</v>
      </c>
      <c r="AX263" s="212">
        <f ca="1">IF($D263&lt;&gt;"Serviço",0,IF(OR(AND(AUTOEVENTO="Manual",$M263=1),$M263&gt;(ROW(PLE.lastrow)-ROW(PLE.firstrow))),0,IF(OFFSET(PLE!$G$14,$M263,AX$13)="",10^12,OFFSET(PLE!$G$14,$M263,AX$13))))</f>
        <v>1000000000000</v>
      </c>
      <c r="AY263" s="212">
        <f ca="1">IF($D263&lt;&gt;"Serviço",0,IF(OR(AND(AUTOEVENTO="Manual",$M263=1),$M263&gt;(ROW(PLE.lastrow)-ROW(PLE.firstrow))),0,IF(OFFSET(PLE!$G$14,$M263,AY$13)="",10^12,OFFSET(PLE!$G$14,$M263,AY$13))))</f>
        <v>1000000000000</v>
      </c>
      <c r="AZ263" s="212">
        <f ca="1">IF($D263&lt;&gt;"Serviço",0,IF(OR(AND(AUTOEVENTO="Manual",$M263=1),$M263&gt;(ROW(PLE.lastrow)-ROW(PLE.firstrow))),0,IF(OFFSET(PLE!$G$14,$M263,AZ$13)="",10^12,OFFSET(PLE!$G$14,$M263,AZ$13))))</f>
        <v>1000000000000</v>
      </c>
      <c r="BA263" s="212">
        <f ca="1">IF($D263&lt;&gt;"Serviço",0,IF(OR(AND(AUTOEVENTO="Manual",$M263=1),$M263&gt;(ROW(PLE.lastrow)-ROW(PLE.firstrow))),0,IF(OFFSET(PLE!$G$14,$M263,BA$13)="",10^12,OFFSET(PLE!$G$14,$M263,BA$13))))</f>
        <v>1000000000000</v>
      </c>
      <c r="BB263" s="212">
        <f ca="1">IF($D263&lt;&gt;"Serviço",0,IF(OR(AND(AUTOEVENTO="Manual",$M263=1),$M263&gt;(ROW(PLE.lastrow)-ROW(PLE.firstrow))),0,IF(OFFSET(PLE!$G$14,$M263,BB$13)="",10^12,OFFSET(PLE!$G$14,$M263,BB$13))))</f>
        <v>1000000000000</v>
      </c>
      <c r="BC263" s="212">
        <f ca="1">IF($D263&lt;&gt;"Serviço",0,IF(OR(AND(AUTOEVENTO="Manual",$M263=1),$M263&gt;(ROW(PLE.lastrow)-ROW(PLE.firstrow))),0,IF(OFFSET(PLE!$G$14,$M263,BC$13)="",10^12,OFFSET(PLE!$G$14,$M263,BC$13))))</f>
        <v>1000000000000</v>
      </c>
      <c r="BD263" s="212">
        <f ca="1">IF($D263&lt;&gt;"Serviço",0,IF(OR(AND(AUTOEVENTO="Manual",$M263=1),$M263&gt;(ROW(PLE.lastrow)-ROW(PLE.firstrow))),0,IF(OFFSET(PLE!$G$14,$M263,BD$13)="",10^12,OFFSET(PLE!$G$14,$M263,BD$13))))</f>
        <v>1000000000000</v>
      </c>
      <c r="BE263" s="212">
        <f ca="1">IF($D263&lt;&gt;"Serviço",0,IF(OR(AND(AUTOEVENTO="Manual",$M263=1),$M263&gt;(ROW(PLE.lastrow)-ROW(PLE.firstrow))),0,IF(OFFSET(PLE!$G$14,$M263,BE$13)="",10^12,OFFSET(PLE!$G$14,$M263,BE$13))))</f>
        <v>1000000000000</v>
      </c>
      <c r="BF263" s="212">
        <f ca="1">IF($D263&lt;&gt;"Serviço",0,IF(OR(AND(AUTOEVENTO="Manual",$M263=1),$M263&gt;(ROW(PLE.lastrow)-ROW(PLE.firstrow))),0,IF(OFFSET(PLE!$G$14,$M263,BF$13)="",10^12,OFFSET(PLE!$G$14,$M263,BF$13))))</f>
        <v>1000000000000</v>
      </c>
      <c r="BG263" s="212">
        <f ca="1">IF($D263&lt;&gt;"Serviço",0,IF(OR(AND(AUTOEVENTO="Manual",$M263=1),$M263&gt;(ROW(PLE.lastrow)-ROW(PLE.firstrow))),0,IF(OFFSET(PLE!$G$14,$M263,BG$13)="",10^12,OFFSET(PLE!$G$14,$M263,BG$13))))</f>
        <v>1000000000000</v>
      </c>
    </row>
    <row r="264" spans="1:59" ht="5.0999999999999996" customHeight="1">
      <c r="B264" s="9">
        <f ca="1">OFFSET(ORÇAMENTO!C$15,ROW(B264)-ROW(B$15),0)</f>
        <v>-1</v>
      </c>
      <c r="C264" s="9" t="str">
        <f ca="1">OFFSET(ORÇAMENTO!L$15,ROW(C264)-ROW(C$15),0)</f>
        <v>F</v>
      </c>
      <c r="D264" s="557" t="s">
        <v>194</v>
      </c>
      <c r="E264" s="558"/>
      <c r="F264" s="559"/>
      <c r="G264" s="559"/>
      <c r="H264" s="559"/>
      <c r="I264" s="560"/>
      <c r="J264" s="172"/>
      <c r="K264" s="563"/>
      <c r="L264" s="556" t="s">
        <v>255</v>
      </c>
      <c r="M264" s="564"/>
      <c r="N264" s="561"/>
      <c r="O264" s="555"/>
      <c r="P264" s="172"/>
      <c r="Q264" s="562"/>
      <c r="R264" s="559"/>
      <c r="S264" s="559"/>
      <c r="T264" s="559"/>
      <c r="U264" s="559"/>
      <c r="V264" s="559"/>
      <c r="W264" s="559"/>
      <c r="X264" s="559"/>
      <c r="Y264" s="559"/>
      <c r="Z264" s="560"/>
      <c r="AA264" s="172"/>
      <c r="AB264" s="163"/>
      <c r="AC264" s="222"/>
      <c r="AD264" s="222"/>
      <c r="AE264" s="222"/>
      <c r="AF264" s="222"/>
      <c r="AG264" s="222"/>
      <c r="AH264" s="222"/>
      <c r="AI264" s="222"/>
      <c r="AJ264" s="222"/>
      <c r="AK264" s="164"/>
      <c r="AM264" s="163"/>
      <c r="AN264" s="222"/>
      <c r="AO264" s="222"/>
      <c r="AP264" s="222"/>
      <c r="AQ264" s="222"/>
      <c r="AR264" s="222"/>
      <c r="AS264" s="222"/>
      <c r="AT264" s="222"/>
      <c r="AU264" s="222"/>
      <c r="AV264" s="164"/>
      <c r="AX264" s="163"/>
      <c r="AY264" s="222"/>
      <c r="AZ264" s="222"/>
      <c r="BA264" s="222"/>
      <c r="BB264" s="222"/>
      <c r="BC264" s="222"/>
      <c r="BD264" s="222"/>
      <c r="BE264" s="222"/>
      <c r="BF264" s="222"/>
      <c r="BG264" s="164"/>
    </row>
    <row r="265" spans="1:59" ht="12.75" customHeight="1"/>
    <row r="266" spans="1:59" ht="12.75" customHeight="1"/>
    <row r="267" spans="1:59" ht="12.75" customHeight="1"/>
    <row r="268" spans="1:59" ht="15" customHeight="1">
      <c r="F268" s="223" t="str">
        <f>Import.Município</f>
        <v>PONTAL - SP</v>
      </c>
      <c r="I268" s="635"/>
      <c r="J268" s="635"/>
      <c r="K268" s="635"/>
      <c r="L268" s="635"/>
      <c r="M268" s="636"/>
      <c r="N268" s="552"/>
      <c r="T268" s="171"/>
      <c r="U268" s="171"/>
      <c r="V268" s="224"/>
      <c r="W268" s="224"/>
      <c r="X268" s="224"/>
      <c r="Y268" s="224"/>
    </row>
    <row r="269" spans="1:59" ht="12.75" customHeight="1">
      <c r="F269" s="12" t="s">
        <v>188</v>
      </c>
      <c r="I269" s="225" t="s">
        <v>190</v>
      </c>
      <c r="J269" s="225"/>
      <c r="K269" s="225"/>
      <c r="L269" s="225"/>
      <c r="T269" s="225" t="s">
        <v>190</v>
      </c>
      <c r="U269" s="225"/>
    </row>
    <row r="270" spans="1:59" ht="12.75" customHeight="1">
      <c r="F270" s="100"/>
      <c r="I270" s="637" t="str">
        <f t="array" aca="1" ref="I270:I272" ca="1">OFFSET(Import.RespOrçamento,0,-1) &amp; " " &amp; Import.RespOrçamento</f>
        <v>Nome: CÉSAR AUGUSTO SABINO</v>
      </c>
      <c r="K270" s="92"/>
      <c r="L270" s="92"/>
      <c r="T270" s="637" t="str">
        <f t="array" aca="1" ref="T270:T272" ca="1">OFFSET(Import.RespOrçamento,0,-1) &amp; " " &amp; Import.RespOrçamento</f>
        <v>Nome: CÉSAR AUGUSTO SABINO</v>
      </c>
      <c r="U270" s="91"/>
    </row>
    <row r="271" spans="1:59" ht="12.75" customHeight="1">
      <c r="F271" s="634">
        <f ca="1">DADOS!$F$25</f>
        <v>45797</v>
      </c>
      <c r="I271" s="637" t="str">
        <f ca="1"/>
        <v>CREA/CAU: 5070797486</v>
      </c>
      <c r="K271" s="92"/>
      <c r="L271" s="92"/>
      <c r="T271" s="637" t="str">
        <f ca="1"/>
        <v>CREA/CAU: 5070797486</v>
      </c>
      <c r="U271" s="91"/>
    </row>
    <row r="272" spans="1:59" ht="12.75" customHeight="1">
      <c r="F272" s="173" t="s">
        <v>189</v>
      </c>
      <c r="I272" s="637" t="str">
        <f ca="1"/>
        <v xml:space="preserve">ART/RRT: </v>
      </c>
      <c r="K272" s="92"/>
      <c r="L272" s="92"/>
      <c r="T272" s="637" t="str">
        <f ca="1"/>
        <v xml:space="preserve">ART/RRT: </v>
      </c>
      <c r="U272" s="91"/>
    </row>
    <row r="273" spans="3:13" ht="12.75" customHeight="1">
      <c r="C273"/>
      <c r="M273"/>
    </row>
    <row r="274" spans="3:13" ht="12.75" customHeight="1">
      <c r="C274"/>
      <c r="M274"/>
    </row>
    <row r="275" spans="3:13" ht="12.75" customHeight="1">
      <c r="C275"/>
      <c r="M275"/>
    </row>
    <row r="276" spans="3:13" ht="12.75" customHeight="1">
      <c r="C276"/>
      <c r="M276"/>
    </row>
    <row r="277" spans="3:13" ht="12.75" customHeight="1">
      <c r="C277"/>
      <c r="M277"/>
    </row>
    <row r="278" spans="3:13" ht="12.75" customHeight="1">
      <c r="C278"/>
      <c r="M278"/>
    </row>
    <row r="279" spans="3:13" ht="12.75" customHeight="1">
      <c r="C279"/>
      <c r="M279"/>
    </row>
    <row r="280" spans="3:13" ht="12.75" customHeight="1">
      <c r="C280"/>
      <c r="M280"/>
    </row>
    <row r="281" spans="3:13" ht="12.75" customHeight="1">
      <c r="C281"/>
      <c r="M281"/>
    </row>
    <row r="282" spans="3:13" ht="12.75" customHeight="1">
      <c r="C282"/>
      <c r="M282"/>
    </row>
    <row r="283" spans="3:13" ht="12.75" customHeight="1">
      <c r="C283"/>
      <c r="M283"/>
    </row>
    <row r="284" spans="3:13" ht="12.75" customHeight="1">
      <c r="C284"/>
      <c r="M284"/>
    </row>
    <row r="285" spans="3:13" ht="12.75" customHeight="1">
      <c r="C285"/>
      <c r="M285"/>
    </row>
    <row r="286" spans="3:13" ht="12.75" customHeight="1">
      <c r="C286"/>
      <c r="M286"/>
    </row>
    <row r="287" spans="3:13" ht="12.75" customHeight="1">
      <c r="C287"/>
      <c r="M287"/>
    </row>
    <row r="288" spans="3:13" ht="12.75" customHeight="1">
      <c r="C288"/>
      <c r="M288"/>
    </row>
    <row r="289" spans="3:13" ht="12.75" customHeight="1">
      <c r="C289"/>
      <c r="M289"/>
    </row>
    <row r="290" spans="3:13" ht="12.75" customHeight="1">
      <c r="C290"/>
      <c r="M290"/>
    </row>
    <row r="291" spans="3:13" ht="12.75" customHeight="1">
      <c r="C291"/>
      <c r="M291"/>
    </row>
    <row r="292" spans="3:13" ht="12.75" customHeight="1">
      <c r="C292"/>
      <c r="M292"/>
    </row>
    <row r="293" spans="3:13" ht="12.75" customHeight="1">
      <c r="C293"/>
      <c r="M293"/>
    </row>
    <row r="294" spans="3:13" ht="12.75" customHeight="1">
      <c r="C294"/>
      <c r="M294"/>
    </row>
    <row r="295" spans="3:13" ht="12.75" customHeight="1">
      <c r="C295"/>
      <c r="M295"/>
    </row>
    <row r="296" spans="3:13" ht="12.75" customHeight="1">
      <c r="C296"/>
      <c r="M296"/>
    </row>
    <row r="297" spans="3:13" ht="12.75" customHeight="1">
      <c r="C297"/>
      <c r="M297"/>
    </row>
    <row r="298" spans="3:13" ht="12.75" customHeight="1">
      <c r="C298"/>
      <c r="M298"/>
    </row>
    <row r="299" spans="3:13" ht="12.75" customHeight="1">
      <c r="C299"/>
      <c r="M299"/>
    </row>
    <row r="300" spans="3:13" ht="12.75" customHeight="1">
      <c r="C300"/>
      <c r="M300"/>
    </row>
    <row r="301" spans="3:13" ht="12.75" customHeight="1">
      <c r="C301"/>
      <c r="M301"/>
    </row>
    <row r="302" spans="3:13" ht="12.75" customHeight="1">
      <c r="C302"/>
      <c r="M302"/>
    </row>
    <row r="303" spans="3:13" ht="12.75" customHeight="1">
      <c r="C303"/>
      <c r="M303"/>
    </row>
    <row r="304" spans="3:13" ht="12.75" customHeight="1">
      <c r="C304"/>
      <c r="M304"/>
    </row>
    <row r="305" spans="3:13" ht="12.75" customHeight="1">
      <c r="C305"/>
      <c r="M305"/>
    </row>
    <row r="306" spans="3:13" ht="12.75" customHeight="1">
      <c r="C306"/>
      <c r="M306"/>
    </row>
    <row r="307" spans="3:13" ht="12.75" customHeight="1">
      <c r="C307"/>
      <c r="M307"/>
    </row>
    <row r="308" spans="3:13" ht="12.75" customHeight="1">
      <c r="C308"/>
      <c r="M308"/>
    </row>
    <row r="309" spans="3:13" ht="12.75" customHeight="1">
      <c r="C309"/>
      <c r="M309"/>
    </row>
    <row r="310" spans="3:13" ht="12.75" customHeight="1">
      <c r="C310"/>
      <c r="M310"/>
    </row>
    <row r="311" spans="3:13" ht="12.75" customHeight="1">
      <c r="C311"/>
      <c r="M311"/>
    </row>
    <row r="312" spans="3:13" ht="12.75" customHeight="1">
      <c r="C312"/>
      <c r="M312"/>
    </row>
    <row r="313" spans="3:13" ht="12.75" customHeight="1">
      <c r="C313"/>
      <c r="M313"/>
    </row>
    <row r="314" spans="3:13" ht="12.75" customHeight="1">
      <c r="C314"/>
      <c r="M314"/>
    </row>
    <row r="315" spans="3:13" ht="12.75" customHeight="1">
      <c r="C315"/>
      <c r="M315"/>
    </row>
    <row r="316" spans="3:13" ht="12.75" customHeight="1">
      <c r="C316"/>
      <c r="M316"/>
    </row>
    <row r="317" spans="3:13" ht="12.75" customHeight="1">
      <c r="C317"/>
      <c r="M317"/>
    </row>
    <row r="318" spans="3:13" ht="12.75" customHeight="1">
      <c r="C318"/>
      <c r="M318"/>
    </row>
    <row r="319" spans="3:13" ht="12.75" customHeight="1">
      <c r="C319"/>
      <c r="M319"/>
    </row>
    <row r="320" spans="3:13" ht="12.75" customHeight="1">
      <c r="C320"/>
      <c r="M320"/>
    </row>
    <row r="321" spans="3:13" ht="12.75" customHeight="1">
      <c r="C321"/>
      <c r="M321"/>
    </row>
    <row r="322" spans="3:13" ht="12.75" customHeight="1">
      <c r="C322"/>
      <c r="M322"/>
    </row>
    <row r="323" spans="3:13" ht="12.75" customHeight="1">
      <c r="C323"/>
      <c r="M323"/>
    </row>
    <row r="324" spans="3:13" ht="12.75" customHeight="1">
      <c r="C324"/>
      <c r="M324"/>
    </row>
    <row r="325" spans="3:13" ht="12.75" customHeight="1">
      <c r="C325"/>
      <c r="M325"/>
    </row>
    <row r="326" spans="3:13" ht="12.75" customHeight="1">
      <c r="C326"/>
      <c r="M326"/>
    </row>
    <row r="327" spans="3:13" ht="12.75" customHeight="1">
      <c r="C327"/>
      <c r="M327"/>
    </row>
    <row r="328" spans="3:13" ht="12.75" customHeight="1">
      <c r="C328"/>
      <c r="M328"/>
    </row>
    <row r="329" spans="3:13" ht="12.75" customHeight="1">
      <c r="C329"/>
      <c r="M329"/>
    </row>
    <row r="330" spans="3:13" ht="12.75" customHeight="1">
      <c r="C330"/>
      <c r="M330"/>
    </row>
    <row r="331" spans="3:13" ht="12.75" customHeight="1">
      <c r="C331"/>
      <c r="M331"/>
    </row>
    <row r="332" spans="3:13" ht="12.75" customHeight="1">
      <c r="C332"/>
      <c r="M332"/>
    </row>
    <row r="333" spans="3:13" ht="12.75" customHeight="1">
      <c r="C333"/>
      <c r="M333"/>
    </row>
    <row r="334" spans="3:13" ht="12.75" customHeight="1">
      <c r="C334"/>
      <c r="M334"/>
    </row>
    <row r="335" spans="3:13" ht="12.75" customHeight="1">
      <c r="C335"/>
      <c r="M335"/>
    </row>
    <row r="336" spans="3:13" ht="12.75" customHeight="1">
      <c r="C336"/>
      <c r="M336"/>
    </row>
    <row r="337" spans="3:13" ht="12.75" customHeight="1">
      <c r="C337"/>
      <c r="M337"/>
    </row>
    <row r="338" spans="3:13" ht="12.75" customHeight="1">
      <c r="C338"/>
      <c r="M338"/>
    </row>
    <row r="339" spans="3:13" ht="12.75" customHeight="1">
      <c r="C339"/>
      <c r="M339"/>
    </row>
    <row r="340" spans="3:13" ht="12.75" customHeight="1">
      <c r="C340"/>
      <c r="M340"/>
    </row>
    <row r="341" spans="3:13" ht="12.75" customHeight="1">
      <c r="C341"/>
      <c r="M341"/>
    </row>
    <row r="342" spans="3:13" ht="12.75" customHeight="1">
      <c r="C342"/>
      <c r="M342"/>
    </row>
    <row r="343" spans="3:13" ht="12.75" customHeight="1">
      <c r="C343"/>
      <c r="M343"/>
    </row>
    <row r="344" spans="3:13" ht="12.75" customHeight="1">
      <c r="C344"/>
      <c r="M344"/>
    </row>
    <row r="345" spans="3:13" ht="12.75" customHeight="1">
      <c r="C345"/>
      <c r="M345"/>
    </row>
    <row r="346" spans="3:13" ht="12.75" customHeight="1">
      <c r="C346"/>
      <c r="M346"/>
    </row>
    <row r="347" spans="3:13" ht="12.75" customHeight="1">
      <c r="C347"/>
      <c r="M347"/>
    </row>
    <row r="348" spans="3:13" ht="12.75" customHeight="1">
      <c r="C348"/>
      <c r="M348"/>
    </row>
    <row r="349" spans="3:13" ht="12.75" customHeight="1">
      <c r="C349"/>
      <c r="M349"/>
    </row>
    <row r="350" spans="3:13" ht="12.75" customHeight="1">
      <c r="C350"/>
      <c r="M350"/>
    </row>
    <row r="351" spans="3:13" ht="12.75" customHeight="1">
      <c r="C351"/>
      <c r="M351"/>
    </row>
    <row r="352" spans="3:13" ht="12.75" customHeight="1">
      <c r="C352"/>
      <c r="M352"/>
    </row>
    <row r="353" spans="3:13" ht="12.75" customHeight="1">
      <c r="C353"/>
      <c r="M353"/>
    </row>
    <row r="354" spans="3:13" ht="12.75" customHeight="1">
      <c r="C354"/>
      <c r="M354"/>
    </row>
    <row r="355" spans="3:13" ht="12.75" customHeight="1">
      <c r="C355"/>
      <c r="M355"/>
    </row>
    <row r="356" spans="3:13" ht="12.75" customHeight="1">
      <c r="C356"/>
      <c r="M356"/>
    </row>
    <row r="357" spans="3:13" ht="12.75" customHeight="1">
      <c r="C357"/>
      <c r="M357"/>
    </row>
    <row r="358" spans="3:13" ht="12.75" customHeight="1">
      <c r="C358"/>
      <c r="M358"/>
    </row>
    <row r="359" spans="3:13" ht="12.75" customHeight="1">
      <c r="C359"/>
      <c r="M359"/>
    </row>
    <row r="360" spans="3:13" ht="12.75" customHeight="1">
      <c r="C360"/>
      <c r="M360"/>
    </row>
    <row r="361" spans="3:13" ht="12.75" customHeight="1">
      <c r="C361"/>
      <c r="M361"/>
    </row>
    <row r="362" spans="3:13" ht="12.75" customHeight="1">
      <c r="C362"/>
      <c r="M362"/>
    </row>
    <row r="363" spans="3:13" ht="12.75" customHeight="1">
      <c r="C363"/>
      <c r="M363"/>
    </row>
    <row r="364" spans="3:13" ht="12.75" customHeight="1">
      <c r="C364"/>
      <c r="M364"/>
    </row>
    <row r="365" spans="3:13" ht="12.75" customHeight="1">
      <c r="C365"/>
      <c r="M365"/>
    </row>
    <row r="366" spans="3:13" ht="12.75" customHeight="1">
      <c r="C366"/>
      <c r="M366"/>
    </row>
    <row r="367" spans="3:13" ht="12.75" customHeight="1">
      <c r="C367"/>
      <c r="M367"/>
    </row>
    <row r="368" spans="3:13" ht="12.75" customHeight="1">
      <c r="C368"/>
      <c r="M368"/>
    </row>
    <row r="369" spans="3:13" ht="12.75" customHeight="1">
      <c r="C369"/>
      <c r="M369"/>
    </row>
    <row r="370" spans="3:13" ht="12.75" customHeight="1">
      <c r="C370"/>
      <c r="M370"/>
    </row>
    <row r="371" spans="3:13" ht="12.75" customHeight="1">
      <c r="C371"/>
      <c r="M371"/>
    </row>
    <row r="372" spans="3:13" ht="12.75" customHeight="1">
      <c r="C372"/>
      <c r="M372"/>
    </row>
    <row r="373" spans="3:13" ht="12.75" customHeight="1">
      <c r="C373"/>
      <c r="M373"/>
    </row>
    <row r="374" spans="3:13" ht="12.75" customHeight="1">
      <c r="C374"/>
      <c r="M374"/>
    </row>
    <row r="375" spans="3:13" ht="12.75" customHeight="1">
      <c r="C375"/>
      <c r="M375"/>
    </row>
    <row r="376" spans="3:13" ht="12.75" customHeight="1">
      <c r="C376"/>
      <c r="M376"/>
    </row>
    <row r="377" spans="3:13" ht="12.75" customHeight="1">
      <c r="C377"/>
      <c r="M377"/>
    </row>
    <row r="378" spans="3:13" ht="12.75" customHeight="1">
      <c r="C378"/>
      <c r="M378"/>
    </row>
    <row r="379" spans="3:13" ht="12.75" customHeight="1">
      <c r="C379"/>
      <c r="M379"/>
    </row>
    <row r="380" spans="3:13" ht="12.75" customHeight="1">
      <c r="C380"/>
      <c r="M380"/>
    </row>
    <row r="381" spans="3:13" ht="12.75" customHeight="1">
      <c r="C381"/>
      <c r="M381"/>
    </row>
    <row r="382" spans="3:13" ht="12.75" customHeight="1">
      <c r="C382"/>
      <c r="M382"/>
    </row>
    <row r="383" spans="3:13" ht="12.75" customHeight="1">
      <c r="C383"/>
      <c r="M383"/>
    </row>
    <row r="384" spans="3:13" ht="12.75" customHeight="1">
      <c r="C384"/>
      <c r="M384"/>
    </row>
    <row r="385" spans="3:13" ht="12.75" customHeight="1">
      <c r="C385"/>
      <c r="M385"/>
    </row>
    <row r="386" spans="3:13" ht="12.75" customHeight="1">
      <c r="C386"/>
      <c r="M386"/>
    </row>
    <row r="387" spans="3:13" ht="12.75" customHeight="1">
      <c r="C387"/>
      <c r="M387"/>
    </row>
    <row r="388" spans="3:13" ht="12.75" customHeight="1">
      <c r="C388"/>
      <c r="M388"/>
    </row>
    <row r="389" spans="3:13" ht="12.75" customHeight="1">
      <c r="C389"/>
      <c r="M389"/>
    </row>
    <row r="390" spans="3:13" ht="12.75" customHeight="1">
      <c r="C390"/>
      <c r="M390"/>
    </row>
    <row r="391" spans="3:13" ht="12.75" customHeight="1">
      <c r="C391"/>
      <c r="M391"/>
    </row>
    <row r="392" spans="3:13" ht="12.75" customHeight="1">
      <c r="C392"/>
      <c r="M392"/>
    </row>
    <row r="393" spans="3:13" ht="12.75" customHeight="1">
      <c r="C393"/>
      <c r="M393"/>
    </row>
    <row r="394" spans="3:13" ht="12.75" customHeight="1">
      <c r="C394"/>
      <c r="M394"/>
    </row>
    <row r="395" spans="3:13" ht="12.75" customHeight="1">
      <c r="C395"/>
      <c r="M395"/>
    </row>
    <row r="396" spans="3:13" ht="12.75" customHeight="1">
      <c r="C396"/>
      <c r="M396"/>
    </row>
    <row r="397" spans="3:13" ht="12.75" customHeight="1">
      <c r="C397"/>
      <c r="M397"/>
    </row>
    <row r="398" spans="3:13" ht="12.75" customHeight="1">
      <c r="C398"/>
      <c r="M398"/>
    </row>
    <row r="399" spans="3:13" ht="12.75" customHeight="1">
      <c r="C399"/>
      <c r="M399"/>
    </row>
    <row r="400" spans="3:13" ht="12.75" customHeight="1">
      <c r="C400"/>
      <c r="M400"/>
    </row>
    <row r="401" spans="3:13" ht="12.75" customHeight="1">
      <c r="C401"/>
      <c r="M401"/>
    </row>
    <row r="402" spans="3:13" ht="12.75" customHeight="1">
      <c r="C402"/>
      <c r="M402"/>
    </row>
    <row r="403" spans="3:13" ht="12.75" customHeight="1">
      <c r="C403"/>
      <c r="M403"/>
    </row>
    <row r="404" spans="3:13" ht="12.75" customHeight="1">
      <c r="C404"/>
      <c r="M404"/>
    </row>
    <row r="405" spans="3:13" ht="12.75" customHeight="1">
      <c r="C405"/>
      <c r="M405"/>
    </row>
    <row r="406" spans="3:13" ht="12.75" customHeight="1">
      <c r="C406"/>
      <c r="M406"/>
    </row>
    <row r="407" spans="3:13" ht="12.75" customHeight="1">
      <c r="C407"/>
      <c r="M407"/>
    </row>
    <row r="408" spans="3:13" ht="12.75" customHeight="1">
      <c r="C408"/>
      <c r="M408"/>
    </row>
    <row r="409" spans="3:13" ht="12.75" customHeight="1">
      <c r="C409"/>
      <c r="M409"/>
    </row>
    <row r="410" spans="3:13" ht="12.75" customHeight="1">
      <c r="C410"/>
      <c r="M410"/>
    </row>
    <row r="411" spans="3:13" ht="12.75" customHeight="1">
      <c r="C411"/>
      <c r="M411"/>
    </row>
    <row r="412" spans="3:13" ht="12.75" customHeight="1">
      <c r="C412"/>
      <c r="M412"/>
    </row>
    <row r="413" spans="3:13" ht="12.75" customHeight="1">
      <c r="C413"/>
      <c r="M413"/>
    </row>
    <row r="414" spans="3:13" ht="12.75" customHeight="1">
      <c r="C414"/>
      <c r="M414"/>
    </row>
    <row r="415" spans="3:13" ht="12.75" customHeight="1">
      <c r="C415"/>
      <c r="M415"/>
    </row>
    <row r="416" spans="3:13" ht="12.75" customHeight="1">
      <c r="C416"/>
      <c r="M416"/>
    </row>
    <row r="417" spans="3:13" ht="12.75" customHeight="1">
      <c r="C417"/>
      <c r="M417"/>
    </row>
    <row r="418" spans="3:13" ht="12.75" customHeight="1">
      <c r="C418"/>
      <c r="M418"/>
    </row>
    <row r="419" spans="3:13" ht="12.75" customHeight="1">
      <c r="C419"/>
      <c r="M419"/>
    </row>
    <row r="420" spans="3:13" ht="12.75" customHeight="1">
      <c r="C420"/>
      <c r="M420"/>
    </row>
    <row r="421" spans="3:13" ht="12.75" customHeight="1">
      <c r="C421"/>
      <c r="M421"/>
    </row>
    <row r="422" spans="3:13" ht="12.75" customHeight="1">
      <c r="C422"/>
      <c r="M422"/>
    </row>
    <row r="423" spans="3:13" ht="12.75" customHeight="1">
      <c r="C423"/>
      <c r="M423"/>
    </row>
    <row r="424" spans="3:13" ht="12.75" customHeight="1">
      <c r="C424"/>
      <c r="M424"/>
    </row>
    <row r="425" spans="3:13" ht="12.75" customHeight="1">
      <c r="C425"/>
      <c r="M425"/>
    </row>
    <row r="426" spans="3:13" ht="12.75" customHeight="1">
      <c r="C426"/>
      <c r="M426"/>
    </row>
    <row r="427" spans="3:13" ht="12.75" customHeight="1">
      <c r="C427"/>
      <c r="M427"/>
    </row>
    <row r="428" spans="3:13" ht="12.75" customHeight="1">
      <c r="C428"/>
      <c r="M428"/>
    </row>
    <row r="429" spans="3:13" ht="12.75" customHeight="1">
      <c r="C429"/>
      <c r="M429"/>
    </row>
    <row r="430" spans="3:13" ht="12.75" customHeight="1">
      <c r="C430"/>
      <c r="M430"/>
    </row>
    <row r="431" spans="3:13" ht="12.75" customHeight="1">
      <c r="C431"/>
      <c r="M431"/>
    </row>
    <row r="432" spans="3:13" ht="12.75" customHeight="1">
      <c r="C432"/>
      <c r="M432"/>
    </row>
    <row r="433" spans="3:13" ht="12.75" customHeight="1">
      <c r="C433"/>
      <c r="M433"/>
    </row>
    <row r="434" spans="3:13" ht="12.75" customHeight="1">
      <c r="C434"/>
      <c r="M434"/>
    </row>
    <row r="435" spans="3:13" ht="12.75" customHeight="1">
      <c r="C435"/>
      <c r="M435"/>
    </row>
    <row r="436" spans="3:13" ht="12.75" customHeight="1">
      <c r="C436"/>
      <c r="M436"/>
    </row>
    <row r="437" spans="3:13" ht="12.75" customHeight="1">
      <c r="C437"/>
      <c r="M437"/>
    </row>
    <row r="438" spans="3:13" ht="12.75" customHeight="1">
      <c r="C438"/>
      <c r="M438"/>
    </row>
    <row r="439" spans="3:13" ht="12.75" customHeight="1">
      <c r="C439"/>
      <c r="M439"/>
    </row>
    <row r="440" spans="3:13" ht="12.75" customHeight="1">
      <c r="C440"/>
      <c r="M440"/>
    </row>
    <row r="441" spans="3:13" ht="12.75" customHeight="1">
      <c r="C441"/>
      <c r="M441"/>
    </row>
    <row r="442" spans="3:13" ht="12.75" customHeight="1">
      <c r="C442"/>
      <c r="M442"/>
    </row>
    <row r="443" spans="3:13" ht="12.75" customHeight="1">
      <c r="C443"/>
      <c r="M443"/>
    </row>
    <row r="444" spans="3:13" ht="12.75" customHeight="1">
      <c r="C444"/>
      <c r="M444"/>
    </row>
    <row r="445" spans="3:13" ht="12.75" customHeight="1">
      <c r="C445"/>
      <c r="M445"/>
    </row>
    <row r="446" spans="3:13" ht="12.75" customHeight="1">
      <c r="C446"/>
      <c r="M446"/>
    </row>
    <row r="447" spans="3:13" ht="12.75" customHeight="1">
      <c r="C447"/>
      <c r="M447"/>
    </row>
    <row r="448" spans="3:13" ht="12.75" customHeight="1">
      <c r="C448"/>
      <c r="M448"/>
    </row>
    <row r="449" spans="3:13" ht="12.75" customHeight="1">
      <c r="C449"/>
      <c r="M449"/>
    </row>
    <row r="450" spans="3:13" ht="12.75" customHeight="1">
      <c r="C450"/>
      <c r="M450"/>
    </row>
    <row r="451" spans="3:13" ht="12.75" customHeight="1">
      <c r="C451"/>
      <c r="M451"/>
    </row>
    <row r="452" spans="3:13" ht="12.75" customHeight="1">
      <c r="C452"/>
      <c r="M452"/>
    </row>
    <row r="453" spans="3:13" ht="12.75" customHeight="1">
      <c r="C453"/>
      <c r="M453"/>
    </row>
    <row r="454" spans="3:13" ht="12.75" customHeight="1">
      <c r="C454"/>
      <c r="M454"/>
    </row>
    <row r="455" spans="3:13" ht="12.75" customHeight="1">
      <c r="C455"/>
      <c r="M455"/>
    </row>
    <row r="456" spans="3:13" ht="12.75" customHeight="1">
      <c r="C456"/>
      <c r="M456"/>
    </row>
    <row r="457" spans="3:13" ht="12.75" customHeight="1">
      <c r="C457"/>
      <c r="M457"/>
    </row>
    <row r="458" spans="3:13" ht="12.75" customHeight="1">
      <c r="C458"/>
      <c r="M458"/>
    </row>
    <row r="459" spans="3:13" ht="12.75" customHeight="1">
      <c r="C459"/>
      <c r="M459"/>
    </row>
    <row r="460" spans="3:13" ht="12.75" customHeight="1">
      <c r="C460"/>
      <c r="M460"/>
    </row>
    <row r="461" spans="3:13" ht="12.75" customHeight="1">
      <c r="C461"/>
      <c r="M461"/>
    </row>
    <row r="462" spans="3:13" ht="12.75" customHeight="1">
      <c r="C462"/>
      <c r="M462"/>
    </row>
    <row r="463" spans="3:13" ht="12.75" customHeight="1">
      <c r="C463"/>
      <c r="M463"/>
    </row>
    <row r="464" spans="3:13" ht="12.75" customHeight="1">
      <c r="C464"/>
      <c r="M464"/>
    </row>
    <row r="465" spans="3:13" ht="12.75" customHeight="1">
      <c r="C465"/>
      <c r="M465"/>
    </row>
    <row r="466" spans="3:13" ht="12.75" customHeight="1">
      <c r="C466"/>
      <c r="M466"/>
    </row>
    <row r="467" spans="3:13" ht="12.75" customHeight="1">
      <c r="C467"/>
      <c r="M467"/>
    </row>
    <row r="468" spans="3:13" ht="12.75" customHeight="1">
      <c r="C468"/>
      <c r="M468"/>
    </row>
    <row r="469" spans="3:13" ht="12.75" customHeight="1">
      <c r="C469"/>
      <c r="M469"/>
    </row>
    <row r="470" spans="3:13" ht="12.75" customHeight="1">
      <c r="C470"/>
      <c r="M470"/>
    </row>
    <row r="471" spans="3:13" ht="12.75" customHeight="1">
      <c r="C471"/>
      <c r="M471"/>
    </row>
    <row r="472" spans="3:13" ht="12.75" customHeight="1">
      <c r="C472"/>
      <c r="M472"/>
    </row>
    <row r="473" spans="3:13" ht="12.75" customHeight="1">
      <c r="C473"/>
      <c r="M473"/>
    </row>
    <row r="474" spans="3:13" ht="12.75" customHeight="1">
      <c r="C474"/>
      <c r="M474"/>
    </row>
    <row r="475" spans="3:13" ht="12.75" customHeight="1">
      <c r="C475"/>
      <c r="M475"/>
    </row>
    <row r="476" spans="3:13" ht="12.75" customHeight="1">
      <c r="C476"/>
      <c r="M476"/>
    </row>
    <row r="477" spans="3:13" ht="12.75" customHeight="1">
      <c r="C477"/>
      <c r="M477"/>
    </row>
    <row r="478" spans="3:13" ht="12.75" customHeight="1">
      <c r="C478"/>
      <c r="M478"/>
    </row>
    <row r="479" spans="3:13" ht="12.75" customHeight="1">
      <c r="C479"/>
      <c r="M479"/>
    </row>
    <row r="480" spans="3:13" ht="12.75" customHeight="1">
      <c r="C480"/>
      <c r="M480"/>
    </row>
    <row r="481" spans="3:13" ht="12.75" customHeight="1">
      <c r="C481"/>
      <c r="M481"/>
    </row>
    <row r="482" spans="3:13" ht="12.75" customHeight="1">
      <c r="C482"/>
      <c r="M482"/>
    </row>
    <row r="483" spans="3:13" ht="12.75" customHeight="1">
      <c r="C483"/>
      <c r="M483"/>
    </row>
    <row r="484" spans="3:13" ht="12.75" customHeight="1">
      <c r="C484"/>
      <c r="M484"/>
    </row>
    <row r="485" spans="3:13" ht="12.75" customHeight="1">
      <c r="C485"/>
      <c r="M485"/>
    </row>
    <row r="486" spans="3:13" ht="12.75" customHeight="1">
      <c r="C486"/>
      <c r="M486"/>
    </row>
    <row r="487" spans="3:13" ht="12.75" customHeight="1">
      <c r="C487"/>
      <c r="M487"/>
    </row>
    <row r="488" spans="3:13" ht="12.75" customHeight="1">
      <c r="C488"/>
      <c r="M488"/>
    </row>
    <row r="489" spans="3:13" ht="12.75" customHeight="1">
      <c r="C489"/>
      <c r="M489"/>
    </row>
    <row r="490" spans="3:13" ht="12.75" customHeight="1">
      <c r="C490"/>
      <c r="M490"/>
    </row>
    <row r="491" spans="3:13" ht="12.75" customHeight="1">
      <c r="C491"/>
      <c r="M491"/>
    </row>
    <row r="492" spans="3:13" ht="12.75" customHeight="1">
      <c r="C492"/>
      <c r="M492"/>
    </row>
    <row r="493" spans="3:13" ht="12.75" customHeight="1">
      <c r="C493"/>
      <c r="M493"/>
    </row>
    <row r="494" spans="3:13" ht="12.75" customHeight="1">
      <c r="C494"/>
      <c r="M494"/>
    </row>
    <row r="495" spans="3:13" ht="12.75" customHeight="1">
      <c r="C495"/>
      <c r="M495"/>
    </row>
    <row r="496" spans="3:13" ht="12.75" customHeight="1">
      <c r="C496"/>
      <c r="M496"/>
    </row>
    <row r="497" spans="3:13" ht="12.75" customHeight="1">
      <c r="C497"/>
      <c r="M497"/>
    </row>
    <row r="498" spans="3:13" ht="12.75" customHeight="1">
      <c r="C498"/>
      <c r="M498"/>
    </row>
    <row r="499" spans="3:13" ht="12.75" customHeight="1">
      <c r="C499"/>
      <c r="M499"/>
    </row>
    <row r="500" spans="3:13" ht="12.75" customHeight="1">
      <c r="C500"/>
      <c r="M500"/>
    </row>
    <row r="501" spans="3:13" ht="12.75" customHeight="1">
      <c r="C501"/>
      <c r="M501"/>
    </row>
    <row r="502" spans="3:13" ht="12.75" customHeight="1">
      <c r="C502"/>
      <c r="M502"/>
    </row>
    <row r="503" spans="3:13" ht="12.75" customHeight="1">
      <c r="C503"/>
      <c r="M503"/>
    </row>
    <row r="504" spans="3:13" ht="12.75" customHeight="1">
      <c r="C504"/>
      <c r="M504"/>
    </row>
    <row r="505" spans="3:13" ht="12.75" customHeight="1">
      <c r="C505"/>
      <c r="M505"/>
    </row>
    <row r="506" spans="3:13" ht="12.75" customHeight="1">
      <c r="C506"/>
      <c r="M506"/>
    </row>
    <row r="507" spans="3:13" ht="12.75" customHeight="1">
      <c r="C507"/>
      <c r="M507"/>
    </row>
    <row r="508" spans="3:13" ht="12.75" customHeight="1">
      <c r="C508"/>
      <c r="M508"/>
    </row>
    <row r="509" spans="3:13" ht="12.75" customHeight="1">
      <c r="C509"/>
      <c r="M509"/>
    </row>
    <row r="510" spans="3:13" ht="12.75" customHeight="1">
      <c r="C510"/>
      <c r="M510"/>
    </row>
    <row r="511" spans="3:13" ht="12.75" customHeight="1">
      <c r="C511"/>
      <c r="M511"/>
    </row>
    <row r="512" spans="3:13" ht="12.75" customHeight="1">
      <c r="C512"/>
      <c r="M512"/>
    </row>
    <row r="513" spans="3:13" ht="12.75" customHeight="1">
      <c r="C513"/>
      <c r="M513"/>
    </row>
    <row r="514" spans="3:13" ht="12.75" customHeight="1">
      <c r="C514"/>
      <c r="M514"/>
    </row>
    <row r="515" spans="3:13" ht="12.75" customHeight="1">
      <c r="C515"/>
      <c r="M515"/>
    </row>
    <row r="516" spans="3:13" ht="12.75" customHeight="1">
      <c r="C516"/>
      <c r="M516"/>
    </row>
    <row r="517" spans="3:13" ht="12.75" customHeight="1">
      <c r="C517"/>
      <c r="M517"/>
    </row>
    <row r="518" spans="3:13" ht="12.75" customHeight="1">
      <c r="C518"/>
      <c r="M518"/>
    </row>
    <row r="519" spans="3:13" ht="12.75" customHeight="1">
      <c r="C519"/>
      <c r="M519"/>
    </row>
    <row r="520" spans="3:13" ht="12.75" customHeight="1">
      <c r="C520"/>
      <c r="M520"/>
    </row>
    <row r="521" spans="3:13" ht="12.75" customHeight="1">
      <c r="C521"/>
      <c r="M521"/>
    </row>
    <row r="522" spans="3:13" ht="12.75" customHeight="1">
      <c r="C522"/>
      <c r="M522"/>
    </row>
    <row r="523" spans="3:13" ht="12.75" customHeight="1">
      <c r="C523"/>
      <c r="M523"/>
    </row>
    <row r="524" spans="3:13" ht="12.75" customHeight="1">
      <c r="C524"/>
      <c r="M524"/>
    </row>
    <row r="525" spans="3:13" ht="12.75" customHeight="1">
      <c r="C525"/>
      <c r="M525"/>
    </row>
    <row r="526" spans="3:13" ht="12.75" customHeight="1">
      <c r="C526"/>
      <c r="M526"/>
    </row>
    <row r="527" spans="3:13" ht="12.75" customHeight="1">
      <c r="C527"/>
      <c r="M527"/>
    </row>
    <row r="528" spans="3:13" ht="12.75" customHeight="1">
      <c r="C528"/>
      <c r="M528"/>
    </row>
    <row r="529" spans="3:13" ht="12.75" customHeight="1">
      <c r="C529"/>
      <c r="M529"/>
    </row>
    <row r="530" spans="3:13" ht="12.75" customHeight="1">
      <c r="C530"/>
      <c r="M530"/>
    </row>
    <row r="531" spans="3:13" ht="12.75" customHeight="1">
      <c r="C531"/>
      <c r="M531"/>
    </row>
    <row r="532" spans="3:13" ht="12.75" customHeight="1">
      <c r="C532"/>
      <c r="M532"/>
    </row>
    <row r="533" spans="3:13" ht="12.75" customHeight="1">
      <c r="C533"/>
      <c r="M533"/>
    </row>
    <row r="534" spans="3:13" ht="12.75" customHeight="1">
      <c r="C534"/>
      <c r="M534"/>
    </row>
    <row r="535" spans="3:13" ht="12.75" customHeight="1">
      <c r="C535"/>
      <c r="M535"/>
    </row>
    <row r="536" spans="3:13" ht="12.75" customHeight="1">
      <c r="C536"/>
      <c r="M536"/>
    </row>
    <row r="537" spans="3:13" ht="12.75" customHeight="1">
      <c r="C537"/>
      <c r="M537"/>
    </row>
    <row r="538" spans="3:13" ht="12.75" customHeight="1">
      <c r="C538"/>
      <c r="M538"/>
    </row>
    <row r="539" spans="3:13" ht="12.75" customHeight="1">
      <c r="C539"/>
      <c r="M539"/>
    </row>
    <row r="540" spans="3:13" ht="12.75" customHeight="1">
      <c r="C540"/>
      <c r="M540"/>
    </row>
    <row r="541" spans="3:13" ht="12.75" customHeight="1">
      <c r="C541"/>
      <c r="M541"/>
    </row>
    <row r="542" spans="3:13" ht="12.75" customHeight="1">
      <c r="C542"/>
      <c r="M542"/>
    </row>
    <row r="543" spans="3:13" ht="12.75" customHeight="1">
      <c r="C543"/>
      <c r="M543"/>
    </row>
    <row r="544" spans="3:13" ht="12.75" customHeight="1">
      <c r="C544"/>
      <c r="M544"/>
    </row>
    <row r="545" spans="3:13" ht="12.75" customHeight="1">
      <c r="C545"/>
      <c r="M545"/>
    </row>
    <row r="546" spans="3:13" ht="12.75" customHeight="1">
      <c r="C546"/>
      <c r="M546"/>
    </row>
    <row r="547" spans="3:13" ht="12.75" customHeight="1">
      <c r="C547"/>
      <c r="M547"/>
    </row>
    <row r="548" spans="3:13" ht="12.75" customHeight="1">
      <c r="C548"/>
      <c r="M548"/>
    </row>
    <row r="549" spans="3:13" ht="12.75" customHeight="1">
      <c r="C549"/>
      <c r="M549"/>
    </row>
    <row r="550" spans="3:13" ht="12.75" customHeight="1">
      <c r="C550"/>
      <c r="M550"/>
    </row>
    <row r="551" spans="3:13" ht="12.75" customHeight="1">
      <c r="C551"/>
      <c r="M551"/>
    </row>
    <row r="552" spans="3:13" ht="12.75" customHeight="1">
      <c r="C552"/>
      <c r="M552"/>
    </row>
    <row r="553" spans="3:13" ht="12.75" customHeight="1">
      <c r="C553"/>
      <c r="M553"/>
    </row>
    <row r="554" spans="3:13" ht="12.75" customHeight="1">
      <c r="C554"/>
      <c r="M554"/>
    </row>
    <row r="555" spans="3:13" ht="12.75" customHeight="1">
      <c r="C555"/>
      <c r="M555"/>
    </row>
    <row r="556" spans="3:13" ht="12.75" customHeight="1">
      <c r="C556"/>
      <c r="M556"/>
    </row>
    <row r="557" spans="3:13" ht="12.75" customHeight="1">
      <c r="C557"/>
      <c r="M557"/>
    </row>
    <row r="558" spans="3:13" ht="12.75" customHeight="1">
      <c r="C558"/>
      <c r="M558"/>
    </row>
    <row r="559" spans="3:13" ht="12.75" customHeight="1">
      <c r="C559"/>
      <c r="M559"/>
    </row>
    <row r="560" spans="3:13" ht="12.75" customHeight="1">
      <c r="C560"/>
      <c r="M560"/>
    </row>
    <row r="561" spans="3:13" ht="12.75" customHeight="1">
      <c r="C561"/>
      <c r="M561"/>
    </row>
    <row r="562" spans="3:13" ht="12.75" customHeight="1">
      <c r="C562"/>
      <c r="M562"/>
    </row>
    <row r="563" spans="3:13" ht="12.75" customHeight="1">
      <c r="C563"/>
      <c r="M563"/>
    </row>
    <row r="564" spans="3:13" ht="12.75" customHeight="1">
      <c r="C564"/>
      <c r="M564"/>
    </row>
    <row r="565" spans="3:13" ht="12.75" customHeight="1">
      <c r="C565"/>
      <c r="M565"/>
    </row>
    <row r="566" spans="3:13" ht="12.75" customHeight="1">
      <c r="C566"/>
      <c r="M566"/>
    </row>
    <row r="567" spans="3:13" ht="12.75" customHeight="1">
      <c r="C567"/>
      <c r="M567"/>
    </row>
    <row r="568" spans="3:13" ht="12.75" customHeight="1">
      <c r="C568"/>
      <c r="M568"/>
    </row>
    <row r="569" spans="3:13" ht="12.75" customHeight="1">
      <c r="C569"/>
      <c r="M569"/>
    </row>
    <row r="570" spans="3:13" ht="12.75" customHeight="1">
      <c r="C570"/>
      <c r="M570"/>
    </row>
    <row r="571" spans="3:13" ht="12.75" customHeight="1">
      <c r="C571"/>
      <c r="M571"/>
    </row>
    <row r="572" spans="3:13" ht="12.75" customHeight="1">
      <c r="C572"/>
      <c r="M572"/>
    </row>
    <row r="573" spans="3:13" ht="12.75" customHeight="1">
      <c r="C573"/>
      <c r="M573"/>
    </row>
    <row r="574" spans="3:13" ht="12.75" customHeight="1">
      <c r="C574"/>
      <c r="M574"/>
    </row>
    <row r="575" spans="3:13" ht="12.75" customHeight="1">
      <c r="C575"/>
      <c r="M575"/>
    </row>
    <row r="576" spans="3:13" ht="12.75" customHeight="1">
      <c r="C576"/>
      <c r="M576"/>
    </row>
    <row r="577" spans="3:13" ht="12.75" customHeight="1">
      <c r="C577"/>
      <c r="M577"/>
    </row>
    <row r="578" spans="3:13" ht="12.75" customHeight="1">
      <c r="C578"/>
      <c r="M578"/>
    </row>
    <row r="579" spans="3:13" ht="12.75" customHeight="1">
      <c r="C579"/>
      <c r="M579"/>
    </row>
    <row r="580" spans="3:13" ht="12.75" customHeight="1">
      <c r="C580"/>
      <c r="M580"/>
    </row>
    <row r="581" spans="3:13" ht="12.75" customHeight="1">
      <c r="C581"/>
      <c r="M581"/>
    </row>
    <row r="582" spans="3:13" ht="12.75" customHeight="1">
      <c r="C582"/>
      <c r="M582"/>
    </row>
    <row r="583" spans="3:13" ht="12.75" customHeight="1">
      <c r="C583"/>
      <c r="M583"/>
    </row>
    <row r="584" spans="3:13" ht="12.75" customHeight="1">
      <c r="C584"/>
      <c r="M584"/>
    </row>
    <row r="585" spans="3:13" ht="12.75" customHeight="1">
      <c r="C585"/>
      <c r="M585"/>
    </row>
    <row r="586" spans="3:13" ht="12.75" customHeight="1">
      <c r="C586"/>
      <c r="M586"/>
    </row>
    <row r="587" spans="3:13" ht="12.75" customHeight="1">
      <c r="C587"/>
      <c r="M587"/>
    </row>
    <row r="588" spans="3:13" ht="12.75" customHeight="1">
      <c r="C588"/>
      <c r="M588"/>
    </row>
    <row r="589" spans="3:13" ht="12.75" customHeight="1">
      <c r="C589"/>
      <c r="M589"/>
    </row>
    <row r="590" spans="3:13" ht="12.75" customHeight="1">
      <c r="C590"/>
      <c r="M590"/>
    </row>
    <row r="591" spans="3:13" ht="12.75" customHeight="1">
      <c r="C591"/>
      <c r="M591"/>
    </row>
    <row r="592" spans="3:13" ht="12.75" customHeight="1">
      <c r="C592"/>
      <c r="M592"/>
    </row>
    <row r="593" spans="3:13" ht="12.75" customHeight="1">
      <c r="C593"/>
      <c r="M593"/>
    </row>
    <row r="594" spans="3:13" ht="12.75" customHeight="1">
      <c r="C594"/>
      <c r="M594"/>
    </row>
    <row r="595" spans="3:13" ht="12.75" customHeight="1">
      <c r="C595"/>
      <c r="M595"/>
    </row>
    <row r="596" spans="3:13" ht="12.75" customHeight="1">
      <c r="C596"/>
      <c r="M596"/>
    </row>
    <row r="597" spans="3:13" ht="12.75" customHeight="1">
      <c r="C597"/>
      <c r="M597"/>
    </row>
    <row r="598" spans="3:13" ht="12.75" customHeight="1">
      <c r="C598"/>
      <c r="M598"/>
    </row>
    <row r="599" spans="3:13" ht="12.75" customHeight="1">
      <c r="C599"/>
      <c r="M599"/>
    </row>
    <row r="600" spans="3:13" ht="12.75" customHeight="1">
      <c r="C600"/>
      <c r="M600"/>
    </row>
    <row r="601" spans="3:13" ht="12.75" customHeight="1">
      <c r="C601"/>
      <c r="M601"/>
    </row>
    <row r="602" spans="3:13" ht="12.75" customHeight="1">
      <c r="C602"/>
      <c r="M602"/>
    </row>
    <row r="603" spans="3:13" ht="12.75" customHeight="1">
      <c r="C603"/>
      <c r="M603"/>
    </row>
    <row r="604" spans="3:13" ht="12.75" customHeight="1">
      <c r="C604"/>
      <c r="M604"/>
    </row>
    <row r="605" spans="3:13" ht="12.75" customHeight="1">
      <c r="C605"/>
      <c r="M605"/>
    </row>
    <row r="606" spans="3:13" ht="12.75" customHeight="1">
      <c r="C606"/>
      <c r="M606"/>
    </row>
    <row r="607" spans="3:13" ht="12.75" customHeight="1">
      <c r="C607"/>
      <c r="M607"/>
    </row>
    <row r="608" spans="3:13" ht="12.75" customHeight="1">
      <c r="C608"/>
      <c r="M608"/>
    </row>
    <row r="609" spans="3:13" ht="12.75" customHeight="1">
      <c r="C609"/>
      <c r="M609"/>
    </row>
    <row r="610" spans="3:13" ht="12.75" customHeight="1">
      <c r="C610"/>
      <c r="M610"/>
    </row>
    <row r="611" spans="3:13" ht="12.75" customHeight="1">
      <c r="C611"/>
      <c r="M611"/>
    </row>
    <row r="612" spans="3:13" ht="12.75" customHeight="1">
      <c r="C612"/>
      <c r="M612"/>
    </row>
    <row r="613" spans="3:13" ht="12.75" customHeight="1">
      <c r="C613"/>
      <c r="M613"/>
    </row>
    <row r="614" spans="3:13" ht="12.75" customHeight="1">
      <c r="C614"/>
      <c r="M614"/>
    </row>
    <row r="615" spans="3:13" ht="12.75" customHeight="1">
      <c r="C615"/>
      <c r="M615"/>
    </row>
    <row r="616" spans="3:13" ht="12.75" customHeight="1">
      <c r="C616"/>
      <c r="M616"/>
    </row>
    <row r="617" spans="3:13" ht="12.75" customHeight="1">
      <c r="C617"/>
      <c r="M617"/>
    </row>
    <row r="618" spans="3:13" ht="12.75" customHeight="1">
      <c r="C618"/>
      <c r="M618"/>
    </row>
    <row r="619" spans="3:13" ht="12.75" customHeight="1">
      <c r="C619"/>
      <c r="M619"/>
    </row>
    <row r="620" spans="3:13" ht="12.75" customHeight="1">
      <c r="C620"/>
      <c r="M620"/>
    </row>
    <row r="621" spans="3:13" ht="12.75" customHeight="1">
      <c r="C621"/>
      <c r="M621"/>
    </row>
    <row r="622" spans="3:13" ht="12.75" customHeight="1">
      <c r="C622"/>
      <c r="M622"/>
    </row>
    <row r="623" spans="3:13" ht="12.75" customHeight="1">
      <c r="C623"/>
      <c r="M623"/>
    </row>
    <row r="624" spans="3:13" ht="12.75" customHeight="1">
      <c r="C624"/>
      <c r="M624"/>
    </row>
    <row r="625" spans="3:13" ht="12.75" customHeight="1">
      <c r="C625"/>
      <c r="M625"/>
    </row>
    <row r="626" spans="3:13" ht="12.75" customHeight="1">
      <c r="C626"/>
      <c r="M626"/>
    </row>
    <row r="627" spans="3:13" ht="12.75" customHeight="1">
      <c r="C627"/>
      <c r="M627"/>
    </row>
    <row r="628" spans="3:13" ht="12.75" customHeight="1">
      <c r="C628"/>
      <c r="M628"/>
    </row>
    <row r="629" spans="3:13" ht="12.75" customHeight="1">
      <c r="C629"/>
      <c r="M629"/>
    </row>
    <row r="630" spans="3:13" ht="12.75" customHeight="1">
      <c r="C630"/>
      <c r="M630"/>
    </row>
    <row r="631" spans="3:13" ht="12.75" customHeight="1">
      <c r="C631"/>
      <c r="M631"/>
    </row>
    <row r="632" spans="3:13" ht="12.75" customHeight="1">
      <c r="C632"/>
      <c r="M632"/>
    </row>
    <row r="633" spans="3:13" ht="12.75" customHeight="1">
      <c r="C633"/>
      <c r="M633"/>
    </row>
    <row r="634" spans="3:13" ht="12.75" customHeight="1">
      <c r="C634"/>
      <c r="M634"/>
    </row>
    <row r="635" spans="3:13" ht="12.75" customHeight="1">
      <c r="C635"/>
      <c r="M635"/>
    </row>
    <row r="636" spans="3:13" ht="12.75" customHeight="1">
      <c r="C636"/>
      <c r="M636"/>
    </row>
    <row r="637" spans="3:13" ht="12.75" customHeight="1">
      <c r="C637"/>
      <c r="M637"/>
    </row>
    <row r="638" spans="3:13" ht="12.75" customHeight="1">
      <c r="C638"/>
      <c r="M638"/>
    </row>
    <row r="639" spans="3:13" ht="12.75" customHeight="1">
      <c r="C639"/>
      <c r="M639"/>
    </row>
    <row r="640" spans="3:13" ht="12.75" customHeight="1">
      <c r="C640"/>
      <c r="M640"/>
    </row>
    <row r="641" spans="3:13" ht="12.75" customHeight="1">
      <c r="C641"/>
      <c r="M641"/>
    </row>
    <row r="642" spans="3:13" ht="12.75" customHeight="1">
      <c r="C642"/>
      <c r="M642"/>
    </row>
    <row r="643" spans="3:13" ht="12.75" customHeight="1">
      <c r="C643"/>
      <c r="M643"/>
    </row>
    <row r="644" spans="3:13" ht="12.75" customHeight="1">
      <c r="C644"/>
      <c r="M644"/>
    </row>
    <row r="645" spans="3:13" ht="12.75" customHeight="1">
      <c r="C645"/>
      <c r="M645"/>
    </row>
    <row r="646" spans="3:13" ht="12.75" customHeight="1">
      <c r="C646"/>
      <c r="M646"/>
    </row>
    <row r="647" spans="3:13" ht="12.75" customHeight="1">
      <c r="C647"/>
      <c r="M647"/>
    </row>
    <row r="648" spans="3:13" ht="12.75" customHeight="1">
      <c r="C648"/>
      <c r="M648"/>
    </row>
    <row r="649" spans="3:13" ht="12.75" customHeight="1">
      <c r="C649"/>
      <c r="M649"/>
    </row>
    <row r="650" spans="3:13" ht="12.75" customHeight="1">
      <c r="C650"/>
      <c r="M650"/>
    </row>
    <row r="651" spans="3:13" ht="12.75" customHeight="1">
      <c r="C651"/>
      <c r="M651"/>
    </row>
    <row r="652" spans="3:13" ht="12.75" customHeight="1">
      <c r="C652"/>
      <c r="M652"/>
    </row>
    <row r="653" spans="3:13" ht="12.75" customHeight="1">
      <c r="C653"/>
      <c r="M653"/>
    </row>
    <row r="654" spans="3:13" ht="12.75" customHeight="1">
      <c r="C654"/>
      <c r="M654"/>
    </row>
    <row r="655" spans="3:13" ht="12.75" customHeight="1">
      <c r="C655"/>
      <c r="M655"/>
    </row>
    <row r="656" spans="3:13" ht="12.75" customHeight="1">
      <c r="C656"/>
      <c r="M656"/>
    </row>
    <row r="657" spans="3:13" ht="12.75" customHeight="1">
      <c r="C657"/>
      <c r="M657"/>
    </row>
    <row r="658" spans="3:13" ht="12.75" customHeight="1">
      <c r="C658"/>
      <c r="M658"/>
    </row>
    <row r="659" spans="3:13" ht="12.75" customHeight="1">
      <c r="C659"/>
      <c r="M659"/>
    </row>
    <row r="660" spans="3:13" ht="12.75" customHeight="1">
      <c r="C660"/>
      <c r="M660"/>
    </row>
    <row r="661" spans="3:13" ht="12.75" customHeight="1">
      <c r="C661"/>
      <c r="M661"/>
    </row>
    <row r="662" spans="3:13" ht="12.75" customHeight="1">
      <c r="C662"/>
      <c r="M662"/>
    </row>
    <row r="663" spans="3:13" ht="12.75" customHeight="1">
      <c r="C663"/>
      <c r="M663"/>
    </row>
    <row r="664" spans="3:13" ht="12.75" customHeight="1">
      <c r="C664"/>
      <c r="M664"/>
    </row>
    <row r="665" spans="3:13" ht="12.75" customHeight="1">
      <c r="C665"/>
      <c r="M665"/>
    </row>
    <row r="666" spans="3:13" ht="12.75" customHeight="1">
      <c r="C666"/>
      <c r="M666"/>
    </row>
    <row r="667" spans="3:13" ht="12.75" customHeight="1">
      <c r="C667"/>
      <c r="M667"/>
    </row>
    <row r="668" spans="3:13" ht="12.75" customHeight="1">
      <c r="C668"/>
      <c r="M668"/>
    </row>
    <row r="669" spans="3:13" ht="12.75" customHeight="1">
      <c r="C669"/>
      <c r="M669"/>
    </row>
    <row r="670" spans="3:13" ht="12.75" customHeight="1">
      <c r="C670"/>
      <c r="M670"/>
    </row>
    <row r="671" spans="3:13" ht="12.75" customHeight="1">
      <c r="C671"/>
      <c r="M671"/>
    </row>
    <row r="672" spans="3:13" ht="12.75" customHeight="1">
      <c r="C672"/>
      <c r="M672"/>
    </row>
    <row r="673" spans="3:13" ht="12.75" customHeight="1">
      <c r="C673"/>
      <c r="M673"/>
    </row>
    <row r="674" spans="3:13" ht="12.75" customHeight="1">
      <c r="C674"/>
      <c r="M674"/>
    </row>
    <row r="675" spans="3:13" ht="12.75" customHeight="1">
      <c r="C675"/>
      <c r="M675"/>
    </row>
    <row r="676" spans="3:13" ht="12.75" customHeight="1">
      <c r="C676"/>
      <c r="M676"/>
    </row>
    <row r="677" spans="3:13" ht="12.75" customHeight="1">
      <c r="C677"/>
      <c r="M677"/>
    </row>
    <row r="678" spans="3:13" ht="12.75" customHeight="1">
      <c r="C678"/>
      <c r="M678"/>
    </row>
    <row r="679" spans="3:13" ht="12.75" customHeight="1">
      <c r="C679"/>
      <c r="M679"/>
    </row>
    <row r="680" spans="3:13" ht="12.75" customHeight="1">
      <c r="C680"/>
      <c r="M680"/>
    </row>
    <row r="681" spans="3:13" ht="12.75" customHeight="1">
      <c r="C681"/>
      <c r="M681"/>
    </row>
    <row r="682" spans="3:13" ht="12.75" customHeight="1">
      <c r="C682"/>
      <c r="M682"/>
    </row>
    <row r="683" spans="3:13" ht="12.75" customHeight="1">
      <c r="C683"/>
      <c r="M683"/>
    </row>
    <row r="684" spans="3:13" ht="12.75" customHeight="1">
      <c r="C684"/>
      <c r="M684"/>
    </row>
    <row r="685" spans="3:13" ht="12.75" customHeight="1">
      <c r="C685"/>
      <c r="M685"/>
    </row>
    <row r="686" spans="3:13" ht="12.75" customHeight="1">
      <c r="C686"/>
      <c r="M686"/>
    </row>
    <row r="687" spans="3:13" ht="12.75" customHeight="1">
      <c r="C687"/>
      <c r="M687"/>
    </row>
    <row r="688" spans="3:13" ht="12.75" customHeight="1">
      <c r="C688"/>
      <c r="M688"/>
    </row>
    <row r="689" spans="3:13" ht="12.75" customHeight="1">
      <c r="C689"/>
      <c r="M689"/>
    </row>
    <row r="690" spans="3:13" ht="12.75" customHeight="1">
      <c r="C690"/>
      <c r="M690"/>
    </row>
    <row r="691" spans="3:13" ht="12.75" customHeight="1">
      <c r="C691"/>
      <c r="M691"/>
    </row>
    <row r="692" spans="3:13" ht="12.75" customHeight="1">
      <c r="C692"/>
      <c r="M692"/>
    </row>
    <row r="693" spans="3:13" ht="12.75" customHeight="1">
      <c r="C693"/>
      <c r="M693"/>
    </row>
    <row r="694" spans="3:13" ht="12.75" customHeight="1">
      <c r="C694"/>
      <c r="M694"/>
    </row>
    <row r="695" spans="3:13" ht="12.75" customHeight="1">
      <c r="C695"/>
      <c r="M695"/>
    </row>
    <row r="696" spans="3:13" ht="12.75" customHeight="1">
      <c r="C696"/>
      <c r="M696"/>
    </row>
    <row r="697" spans="3:13" ht="12.75" customHeight="1">
      <c r="C697"/>
      <c r="M697"/>
    </row>
    <row r="698" spans="3:13" ht="12.75" customHeight="1">
      <c r="C698"/>
      <c r="M698"/>
    </row>
    <row r="699" spans="3:13" ht="12.75" customHeight="1">
      <c r="C699"/>
      <c r="M699"/>
    </row>
    <row r="700" spans="3:13" ht="12.75" customHeight="1">
      <c r="C700"/>
      <c r="M700"/>
    </row>
    <row r="701" spans="3:13" ht="12.75" customHeight="1">
      <c r="C701"/>
      <c r="M701"/>
    </row>
    <row r="702" spans="3:13" ht="12.75" customHeight="1">
      <c r="C702"/>
      <c r="M702"/>
    </row>
    <row r="703" spans="3:13" ht="12.75" customHeight="1">
      <c r="C703"/>
      <c r="M703"/>
    </row>
    <row r="704" spans="3:13" ht="12.75" customHeight="1">
      <c r="C704"/>
      <c r="M704"/>
    </row>
    <row r="705" spans="3:13" ht="12.75" customHeight="1">
      <c r="C705"/>
      <c r="M705"/>
    </row>
    <row r="706" spans="3:13" ht="12.75" customHeight="1">
      <c r="C706"/>
      <c r="M706"/>
    </row>
    <row r="707" spans="3:13" ht="12.75" customHeight="1">
      <c r="C707"/>
      <c r="M707"/>
    </row>
    <row r="708" spans="3:13" ht="12.75" customHeight="1">
      <c r="C708"/>
      <c r="M708"/>
    </row>
    <row r="709" spans="3:13" ht="12.75" customHeight="1">
      <c r="C709"/>
      <c r="M709"/>
    </row>
    <row r="710" spans="3:13" ht="12.75" customHeight="1">
      <c r="C710"/>
      <c r="M710"/>
    </row>
    <row r="711" spans="3:13" ht="12.75" customHeight="1">
      <c r="C711"/>
      <c r="M711"/>
    </row>
    <row r="712" spans="3:13" ht="12.75" customHeight="1">
      <c r="C712"/>
      <c r="M712"/>
    </row>
    <row r="713" spans="3:13" ht="12.75" customHeight="1">
      <c r="C713"/>
      <c r="M713"/>
    </row>
    <row r="714" spans="3:13" ht="12.75" customHeight="1">
      <c r="C714"/>
      <c r="M714"/>
    </row>
    <row r="715" spans="3:13" ht="12.75" customHeight="1">
      <c r="C715"/>
      <c r="M715"/>
    </row>
    <row r="716" spans="3:13" ht="12.75" customHeight="1">
      <c r="C716"/>
      <c r="M716"/>
    </row>
    <row r="717" spans="3:13" ht="12.75" customHeight="1">
      <c r="C717"/>
      <c r="M717"/>
    </row>
    <row r="718" spans="3:13" ht="12.75" customHeight="1">
      <c r="C718"/>
      <c r="M718"/>
    </row>
    <row r="719" spans="3:13" ht="12.75" customHeight="1">
      <c r="C719"/>
      <c r="M719"/>
    </row>
    <row r="720" spans="3:13" ht="12.75" customHeight="1">
      <c r="C720"/>
      <c r="M720"/>
    </row>
    <row r="721" spans="3:13" ht="12.75" customHeight="1">
      <c r="C721"/>
      <c r="M721"/>
    </row>
    <row r="722" spans="3:13" ht="12.75" customHeight="1">
      <c r="C722"/>
      <c r="M722"/>
    </row>
    <row r="723" spans="3:13" ht="12.75" customHeight="1">
      <c r="C723"/>
      <c r="M723"/>
    </row>
    <row r="724" spans="3:13" ht="12.75" customHeight="1">
      <c r="C724"/>
      <c r="M724"/>
    </row>
    <row r="725" spans="3:13" ht="12.75" customHeight="1">
      <c r="C725"/>
      <c r="M725"/>
    </row>
    <row r="726" spans="3:13" ht="12.75" customHeight="1">
      <c r="C726"/>
      <c r="M726"/>
    </row>
    <row r="727" spans="3:13" ht="12.75" customHeight="1">
      <c r="C727"/>
      <c r="M727"/>
    </row>
    <row r="728" spans="3:13" ht="12.75" customHeight="1">
      <c r="C728"/>
      <c r="M728"/>
    </row>
    <row r="729" spans="3:13" ht="12.75" customHeight="1">
      <c r="C729"/>
      <c r="M729"/>
    </row>
    <row r="730" spans="3:13" ht="12.75" customHeight="1">
      <c r="C730"/>
      <c r="M730"/>
    </row>
    <row r="731" spans="3:13" ht="12.75" customHeight="1">
      <c r="C731"/>
      <c r="M731"/>
    </row>
    <row r="732" spans="3:13" ht="12.75" customHeight="1">
      <c r="C732"/>
      <c r="M732"/>
    </row>
    <row r="733" spans="3:13" ht="12.75" customHeight="1">
      <c r="C733"/>
      <c r="M733"/>
    </row>
    <row r="734" spans="3:13" ht="12.75" customHeight="1">
      <c r="C734"/>
      <c r="M734"/>
    </row>
    <row r="735" spans="3:13" ht="12.75" customHeight="1">
      <c r="C735"/>
      <c r="M735"/>
    </row>
    <row r="736" spans="3:13" ht="12.75" customHeight="1">
      <c r="C736"/>
      <c r="M736"/>
    </row>
    <row r="737" spans="3:13" ht="12.75" customHeight="1">
      <c r="C737"/>
      <c r="M737"/>
    </row>
    <row r="738" spans="3:13" ht="12.75" customHeight="1">
      <c r="C738"/>
      <c r="M738"/>
    </row>
    <row r="739" spans="3:13" ht="12.75" customHeight="1">
      <c r="C739"/>
      <c r="M739"/>
    </row>
    <row r="740" spans="3:13" ht="12.75" customHeight="1">
      <c r="C740"/>
      <c r="M740"/>
    </row>
    <row r="741" spans="3:13" ht="12.75" customHeight="1">
      <c r="C741"/>
      <c r="M741"/>
    </row>
    <row r="742" spans="3:13" ht="12.75" customHeight="1">
      <c r="C742"/>
      <c r="M742"/>
    </row>
    <row r="743" spans="3:13" ht="12.75" customHeight="1">
      <c r="C743"/>
      <c r="M743"/>
    </row>
    <row r="744" spans="3:13" ht="12.75" customHeight="1">
      <c r="C744"/>
      <c r="M744"/>
    </row>
    <row r="745" spans="3:13" ht="12.75" customHeight="1">
      <c r="C745"/>
      <c r="M745"/>
    </row>
    <row r="746" spans="3:13" ht="12.75" customHeight="1">
      <c r="C746"/>
      <c r="M746"/>
    </row>
    <row r="747" spans="3:13" ht="12.75" customHeight="1">
      <c r="C747"/>
      <c r="M747"/>
    </row>
    <row r="748" spans="3:13" ht="12.75" customHeight="1">
      <c r="C748"/>
      <c r="M748"/>
    </row>
    <row r="749" spans="3:13" ht="12.75" customHeight="1">
      <c r="C749"/>
      <c r="M749"/>
    </row>
    <row r="750" spans="3:13" ht="12.75" customHeight="1">
      <c r="C750"/>
      <c r="M750"/>
    </row>
    <row r="751" spans="3:13" ht="12.75" customHeight="1">
      <c r="C751"/>
      <c r="M751"/>
    </row>
    <row r="752" spans="3:13" ht="12.75" customHeight="1">
      <c r="C752"/>
      <c r="M752"/>
    </row>
    <row r="753" spans="3:13" ht="12.75" customHeight="1">
      <c r="C753"/>
      <c r="M753"/>
    </row>
    <row r="754" spans="3:13" ht="12.75" customHeight="1">
      <c r="C754"/>
      <c r="M754"/>
    </row>
    <row r="755" spans="3:13" ht="12.75" customHeight="1">
      <c r="C755"/>
      <c r="M755"/>
    </row>
    <row r="756" spans="3:13" ht="12.75" customHeight="1">
      <c r="C756"/>
      <c r="M756"/>
    </row>
    <row r="757" spans="3:13" ht="12.75" customHeight="1">
      <c r="C757"/>
      <c r="M757"/>
    </row>
    <row r="758" spans="3:13" ht="12.75" customHeight="1">
      <c r="C758"/>
      <c r="M758"/>
    </row>
    <row r="759" spans="3:13" ht="12.75" customHeight="1">
      <c r="C759"/>
      <c r="M759"/>
    </row>
    <row r="760" spans="3:13" ht="12.75" customHeight="1">
      <c r="C760"/>
      <c r="M760"/>
    </row>
    <row r="761" spans="3:13" ht="12.75" customHeight="1">
      <c r="C761"/>
      <c r="M761"/>
    </row>
    <row r="762" spans="3:13" ht="12.75" customHeight="1">
      <c r="C762"/>
      <c r="M762"/>
    </row>
    <row r="763" spans="3:13" ht="12.75" customHeight="1">
      <c r="C763"/>
      <c r="M763"/>
    </row>
    <row r="764" spans="3:13" ht="12.75" customHeight="1">
      <c r="C764"/>
      <c r="M764"/>
    </row>
    <row r="765" spans="3:13" ht="12.75" customHeight="1">
      <c r="C765"/>
      <c r="M765"/>
    </row>
    <row r="766" spans="3:13" ht="12.75" customHeight="1">
      <c r="C766"/>
      <c r="M766"/>
    </row>
    <row r="767" spans="3:13" ht="12.75" customHeight="1">
      <c r="C767"/>
      <c r="M767"/>
    </row>
    <row r="768" spans="3:13" ht="12.75" customHeight="1">
      <c r="C768"/>
      <c r="M768"/>
    </row>
    <row r="769" spans="3:13" ht="12.75" customHeight="1">
      <c r="C769"/>
      <c r="M769"/>
    </row>
    <row r="770" spans="3:13" ht="12.75" customHeight="1">
      <c r="C770"/>
      <c r="M770"/>
    </row>
    <row r="771" spans="3:13" ht="12.75" customHeight="1">
      <c r="C771"/>
      <c r="M771"/>
    </row>
    <row r="772" spans="3:13" ht="12.75" customHeight="1">
      <c r="C772"/>
      <c r="M772"/>
    </row>
    <row r="773" spans="3:13" ht="12.75" customHeight="1">
      <c r="C773"/>
      <c r="M773"/>
    </row>
    <row r="774" spans="3:13" ht="12.75" customHeight="1">
      <c r="C774"/>
      <c r="M774"/>
    </row>
    <row r="775" spans="3:13" ht="12.75" customHeight="1">
      <c r="C775"/>
      <c r="M775"/>
    </row>
    <row r="776" spans="3:13" ht="12.75" customHeight="1">
      <c r="C776"/>
      <c r="M776"/>
    </row>
    <row r="777" spans="3:13" ht="12.75" customHeight="1">
      <c r="C777"/>
      <c r="M777"/>
    </row>
    <row r="778" spans="3:13" ht="12.75" customHeight="1">
      <c r="C778"/>
      <c r="M778"/>
    </row>
    <row r="779" spans="3:13" ht="12.75" customHeight="1">
      <c r="C779"/>
      <c r="M779"/>
    </row>
    <row r="780" spans="3:13" ht="12.75" customHeight="1">
      <c r="C780"/>
      <c r="M780"/>
    </row>
    <row r="781" spans="3:13" ht="12.75" customHeight="1">
      <c r="C781"/>
      <c r="M781"/>
    </row>
    <row r="782" spans="3:13" ht="12.75" customHeight="1">
      <c r="C782"/>
      <c r="M782"/>
    </row>
    <row r="783" spans="3:13" ht="12.75" customHeight="1">
      <c r="C783"/>
      <c r="M783"/>
    </row>
    <row r="784" spans="3:13" ht="12.75" customHeight="1">
      <c r="C784"/>
      <c r="M784"/>
    </row>
    <row r="785" spans="3:13" ht="12.75" customHeight="1">
      <c r="C785"/>
      <c r="M785"/>
    </row>
    <row r="786" spans="3:13" ht="12.75" customHeight="1">
      <c r="C786"/>
      <c r="M786"/>
    </row>
    <row r="787" spans="3:13" ht="12.75" customHeight="1">
      <c r="C787"/>
      <c r="M787"/>
    </row>
    <row r="788" spans="3:13" ht="12.75" customHeight="1">
      <c r="C788"/>
      <c r="M788"/>
    </row>
    <row r="789" spans="3:13" ht="12.75" customHeight="1">
      <c r="C789"/>
      <c r="M789"/>
    </row>
    <row r="790" spans="3:13" ht="12.75" customHeight="1">
      <c r="C790"/>
      <c r="M790"/>
    </row>
    <row r="791" spans="3:13" ht="12.75" customHeight="1">
      <c r="C791"/>
      <c r="M791"/>
    </row>
    <row r="792" spans="3:13" ht="12.75" customHeight="1">
      <c r="C792"/>
      <c r="M792"/>
    </row>
    <row r="793" spans="3:13" ht="12.75" customHeight="1">
      <c r="C793"/>
      <c r="M793"/>
    </row>
    <row r="794" spans="3:13" ht="12.75" customHeight="1">
      <c r="C794"/>
      <c r="M794"/>
    </row>
    <row r="795" spans="3:13" ht="12.75" customHeight="1">
      <c r="C795"/>
      <c r="M795"/>
    </row>
    <row r="796" spans="3:13" ht="12.75" customHeight="1">
      <c r="C796"/>
      <c r="M796"/>
    </row>
    <row r="797" spans="3:13" ht="12.75" customHeight="1">
      <c r="C797"/>
      <c r="M797"/>
    </row>
    <row r="798" spans="3:13" ht="12.75" customHeight="1">
      <c r="C798"/>
      <c r="M798"/>
    </row>
    <row r="799" spans="3:13" ht="12.75" customHeight="1">
      <c r="C799"/>
      <c r="M799"/>
    </row>
    <row r="800" spans="3:13" ht="12.75" customHeight="1">
      <c r="C800"/>
      <c r="M800"/>
    </row>
    <row r="801" spans="3:13" ht="12.75" customHeight="1">
      <c r="C801"/>
      <c r="M801"/>
    </row>
    <row r="802" spans="3:13" ht="12.75" customHeight="1">
      <c r="C802"/>
      <c r="M802"/>
    </row>
    <row r="803" spans="3:13" ht="12.75" customHeight="1">
      <c r="C803"/>
      <c r="M803"/>
    </row>
    <row r="804" spans="3:13" ht="12.75" customHeight="1">
      <c r="C804"/>
      <c r="M804"/>
    </row>
    <row r="805" spans="3:13" ht="12.75" customHeight="1">
      <c r="C805"/>
      <c r="M805"/>
    </row>
    <row r="806" spans="3:13" ht="12.75" customHeight="1">
      <c r="C806"/>
      <c r="M806"/>
    </row>
    <row r="807" spans="3:13" ht="12.75" customHeight="1">
      <c r="C807"/>
      <c r="M807"/>
    </row>
    <row r="808" spans="3:13" ht="12.75" customHeight="1">
      <c r="C808"/>
      <c r="M808"/>
    </row>
    <row r="809" spans="3:13" ht="12.75" customHeight="1">
      <c r="C809"/>
      <c r="M809"/>
    </row>
    <row r="810" spans="3:13" ht="12.75" customHeight="1">
      <c r="C810"/>
      <c r="M810"/>
    </row>
    <row r="811" spans="3:13" ht="12.75" customHeight="1">
      <c r="C811"/>
      <c r="M811"/>
    </row>
    <row r="812" spans="3:13" ht="12.75" customHeight="1">
      <c r="C812"/>
      <c r="M812"/>
    </row>
    <row r="813" spans="3:13" ht="12.75" customHeight="1">
      <c r="C813"/>
      <c r="M813"/>
    </row>
    <row r="814" spans="3:13" ht="12.75" customHeight="1">
      <c r="C814"/>
      <c r="M814"/>
    </row>
    <row r="815" spans="3:13" ht="12.75" customHeight="1">
      <c r="C815"/>
      <c r="M815"/>
    </row>
    <row r="816" spans="3:13" ht="12.75" customHeight="1">
      <c r="C816"/>
      <c r="M816"/>
    </row>
    <row r="817" spans="3:13" ht="12.75" customHeight="1">
      <c r="C817"/>
      <c r="M817"/>
    </row>
    <row r="818" spans="3:13" ht="12.75" customHeight="1">
      <c r="C818"/>
      <c r="M818"/>
    </row>
    <row r="819" spans="3:13" ht="12.75" customHeight="1">
      <c r="C819"/>
      <c r="M819"/>
    </row>
    <row r="820" spans="3:13" ht="12.75" customHeight="1">
      <c r="C820"/>
      <c r="M820"/>
    </row>
    <row r="821" spans="3:13" ht="12.75" customHeight="1">
      <c r="C821"/>
      <c r="M821"/>
    </row>
    <row r="822" spans="3:13" ht="12.75" customHeight="1">
      <c r="C822"/>
      <c r="M822"/>
    </row>
    <row r="823" spans="3:13" ht="12.75" customHeight="1">
      <c r="C823"/>
      <c r="M823"/>
    </row>
    <row r="824" spans="3:13" ht="12.75" customHeight="1">
      <c r="C824"/>
      <c r="M824"/>
    </row>
    <row r="825" spans="3:13" ht="12.75" customHeight="1">
      <c r="C825"/>
      <c r="M825"/>
    </row>
    <row r="826" spans="3:13" ht="12.75" customHeight="1">
      <c r="C826"/>
      <c r="M826"/>
    </row>
    <row r="827" spans="3:13" ht="12.75" customHeight="1">
      <c r="C827"/>
      <c r="M827"/>
    </row>
    <row r="828" spans="3:13" ht="12.75" customHeight="1">
      <c r="C828"/>
      <c r="M828"/>
    </row>
    <row r="829" spans="3:13" ht="12.75" customHeight="1">
      <c r="C829"/>
      <c r="M829"/>
    </row>
    <row r="830" spans="3:13" ht="12.75" customHeight="1">
      <c r="C830"/>
      <c r="M830"/>
    </row>
    <row r="831" spans="3:13" ht="12.75" customHeight="1">
      <c r="C831"/>
      <c r="M831"/>
    </row>
    <row r="832" spans="3:13" ht="12.75" customHeight="1">
      <c r="C832"/>
      <c r="M832"/>
    </row>
    <row r="833" spans="3:13" ht="12.75" customHeight="1">
      <c r="C833"/>
      <c r="M833"/>
    </row>
    <row r="834" spans="3:13" ht="12.75" customHeight="1">
      <c r="C834"/>
      <c r="M834"/>
    </row>
    <row r="835" spans="3:13" ht="12.75" customHeight="1">
      <c r="C835"/>
      <c r="M835"/>
    </row>
    <row r="836" spans="3:13" ht="12.75" customHeight="1">
      <c r="C836"/>
      <c r="M836"/>
    </row>
    <row r="837" spans="3:13" ht="12.75" customHeight="1">
      <c r="C837"/>
      <c r="M837"/>
    </row>
    <row r="838" spans="3:13" ht="12.75" customHeight="1">
      <c r="C838"/>
      <c r="M838"/>
    </row>
    <row r="839" spans="3:13" ht="12.75" customHeight="1">
      <c r="C839"/>
      <c r="M839"/>
    </row>
    <row r="840" spans="3:13" ht="12.75" customHeight="1">
      <c r="C840"/>
      <c r="M840"/>
    </row>
    <row r="841" spans="3:13" ht="12.75" customHeight="1">
      <c r="C841"/>
      <c r="M841"/>
    </row>
    <row r="842" spans="3:13" ht="12.75" customHeight="1">
      <c r="C842"/>
      <c r="M842"/>
    </row>
    <row r="843" spans="3:13" ht="12.75" customHeight="1">
      <c r="C843"/>
      <c r="M843"/>
    </row>
    <row r="844" spans="3:13" ht="12.75" customHeight="1">
      <c r="C844"/>
      <c r="M844"/>
    </row>
    <row r="845" spans="3:13" ht="12.75" customHeight="1">
      <c r="C845"/>
      <c r="M845"/>
    </row>
    <row r="846" spans="3:13" ht="12.75" customHeight="1">
      <c r="C846"/>
      <c r="M846"/>
    </row>
    <row r="847" spans="3:13" ht="12.75" customHeight="1">
      <c r="C847"/>
      <c r="M847"/>
    </row>
    <row r="848" spans="3:13" ht="12.75" customHeight="1">
      <c r="C848"/>
      <c r="M848"/>
    </row>
    <row r="849" spans="3:13" ht="12.75" customHeight="1">
      <c r="C849"/>
      <c r="M849"/>
    </row>
    <row r="850" spans="3:13" ht="12.75" customHeight="1">
      <c r="C850"/>
      <c r="M850"/>
    </row>
    <row r="851" spans="3:13" ht="12.75" customHeight="1">
      <c r="C851"/>
      <c r="M851"/>
    </row>
    <row r="852" spans="3:13" ht="12.75" customHeight="1">
      <c r="C852"/>
      <c r="M852"/>
    </row>
    <row r="853" spans="3:13" ht="12.75" customHeight="1">
      <c r="C853"/>
      <c r="M853"/>
    </row>
    <row r="854" spans="3:13" ht="12.75" customHeight="1">
      <c r="C854"/>
      <c r="M854"/>
    </row>
    <row r="855" spans="3:13" ht="12.75" customHeight="1">
      <c r="C855"/>
      <c r="M855"/>
    </row>
    <row r="856" spans="3:13" ht="12.75" customHeight="1">
      <c r="C856"/>
      <c r="M856"/>
    </row>
    <row r="857" spans="3:13" ht="12.75" customHeight="1">
      <c r="C857"/>
      <c r="M857"/>
    </row>
    <row r="858" spans="3:13" ht="12.75" customHeight="1">
      <c r="C858"/>
      <c r="M858"/>
    </row>
    <row r="859" spans="3:13" ht="12.75" customHeight="1">
      <c r="C859"/>
      <c r="M859"/>
    </row>
    <row r="860" spans="3:13" ht="12.75" customHeight="1">
      <c r="C860"/>
      <c r="M860"/>
    </row>
    <row r="861" spans="3:13" ht="12.75" customHeight="1">
      <c r="C861"/>
      <c r="M861"/>
    </row>
    <row r="862" spans="3:13" ht="12.75" customHeight="1">
      <c r="C862"/>
      <c r="M862"/>
    </row>
    <row r="863" spans="3:13" ht="12.75" customHeight="1">
      <c r="C863"/>
      <c r="M863"/>
    </row>
    <row r="864" spans="3:13" ht="12.75" customHeight="1">
      <c r="C864"/>
      <c r="M864"/>
    </row>
    <row r="865" spans="3:13" ht="12.75" customHeight="1">
      <c r="C865"/>
      <c r="M865"/>
    </row>
    <row r="866" spans="3:13" ht="12.75" customHeight="1">
      <c r="C866"/>
      <c r="M866"/>
    </row>
    <row r="867" spans="3:13" ht="12.75" customHeight="1">
      <c r="C867"/>
      <c r="M867"/>
    </row>
    <row r="868" spans="3:13" ht="12.75" customHeight="1">
      <c r="C868"/>
      <c r="M868"/>
    </row>
    <row r="869" spans="3:13" ht="12.75" customHeight="1">
      <c r="C869"/>
      <c r="M869"/>
    </row>
    <row r="870" spans="3:13" ht="12.75" customHeight="1">
      <c r="C870"/>
      <c r="M870"/>
    </row>
    <row r="871" spans="3:13" ht="12.75" customHeight="1">
      <c r="C871"/>
      <c r="M871"/>
    </row>
    <row r="872" spans="3:13" ht="12.75" customHeight="1">
      <c r="C872"/>
      <c r="M872"/>
    </row>
    <row r="873" spans="3:13" ht="12.75" customHeight="1">
      <c r="C873"/>
      <c r="M873"/>
    </row>
    <row r="874" spans="3:13" ht="12.75" customHeight="1">
      <c r="C874"/>
      <c r="M874"/>
    </row>
    <row r="875" spans="3:13" ht="12.75" customHeight="1">
      <c r="C875"/>
      <c r="M875"/>
    </row>
    <row r="876" spans="3:13" ht="12.75" customHeight="1">
      <c r="C876"/>
      <c r="M876"/>
    </row>
    <row r="877" spans="3:13" ht="12.75" customHeight="1">
      <c r="C877"/>
      <c r="M877"/>
    </row>
    <row r="878" spans="3:13" ht="12.75" customHeight="1">
      <c r="C878"/>
      <c r="M878"/>
    </row>
    <row r="879" spans="3:13" ht="12.75" customHeight="1">
      <c r="C879"/>
      <c r="M879"/>
    </row>
    <row r="880" spans="3:13" ht="12.75" customHeight="1">
      <c r="C880"/>
      <c r="M880"/>
    </row>
    <row r="881" spans="3:13" ht="12.75" customHeight="1">
      <c r="C881"/>
      <c r="M881"/>
    </row>
    <row r="882" spans="3:13" ht="12.75" customHeight="1">
      <c r="C882"/>
      <c r="M882"/>
    </row>
    <row r="883" spans="3:13" ht="12.75" customHeight="1">
      <c r="C883"/>
      <c r="M883"/>
    </row>
    <row r="884" spans="3:13" ht="12.75" customHeight="1">
      <c r="C884"/>
      <c r="M884"/>
    </row>
    <row r="885" spans="3:13" ht="12.75" customHeight="1">
      <c r="C885"/>
      <c r="M885"/>
    </row>
    <row r="886" spans="3:13" ht="12.75" customHeight="1">
      <c r="C886"/>
      <c r="M886"/>
    </row>
    <row r="887" spans="3:13" ht="12.75" customHeight="1">
      <c r="C887"/>
      <c r="M887"/>
    </row>
    <row r="888" spans="3:13" ht="12.75" customHeight="1">
      <c r="C888"/>
      <c r="M888"/>
    </row>
    <row r="889" spans="3:13" ht="12.75" customHeight="1">
      <c r="C889"/>
      <c r="M889"/>
    </row>
    <row r="890" spans="3:13" ht="12.75" customHeight="1">
      <c r="C890"/>
      <c r="M890"/>
    </row>
    <row r="891" spans="3:13" ht="12.75" customHeight="1">
      <c r="C891"/>
      <c r="M891"/>
    </row>
    <row r="892" spans="3:13" ht="12.75" customHeight="1">
      <c r="C892"/>
      <c r="M892"/>
    </row>
    <row r="893" spans="3:13" ht="12.75" customHeight="1">
      <c r="C893"/>
      <c r="M893"/>
    </row>
    <row r="894" spans="3:13" ht="12.75" customHeight="1">
      <c r="C894"/>
      <c r="M894"/>
    </row>
    <row r="895" spans="3:13" ht="12.75" customHeight="1">
      <c r="C895"/>
      <c r="M895"/>
    </row>
    <row r="896" spans="3:13" ht="12.75" customHeight="1">
      <c r="C896"/>
      <c r="M896"/>
    </row>
    <row r="897" spans="3:13" ht="12.75" customHeight="1">
      <c r="C897"/>
      <c r="M897"/>
    </row>
    <row r="898" spans="3:13" ht="12.75" customHeight="1">
      <c r="C898"/>
      <c r="M898"/>
    </row>
    <row r="899" spans="3:13" ht="12.75" customHeight="1">
      <c r="C899"/>
      <c r="M899"/>
    </row>
    <row r="900" spans="3:13" ht="12.75" customHeight="1">
      <c r="C900"/>
      <c r="M900"/>
    </row>
    <row r="901" spans="3:13" ht="12.75" customHeight="1">
      <c r="C901"/>
      <c r="M901"/>
    </row>
    <row r="902" spans="3:13" ht="12.75" customHeight="1">
      <c r="C902"/>
      <c r="M902"/>
    </row>
    <row r="903" spans="3:13" ht="12.75" customHeight="1">
      <c r="C903"/>
      <c r="M903"/>
    </row>
    <row r="904" spans="3:13" ht="12.75" customHeight="1">
      <c r="C904"/>
      <c r="M904"/>
    </row>
    <row r="905" spans="3:13" ht="12.75" customHeight="1">
      <c r="C905"/>
      <c r="M905"/>
    </row>
    <row r="906" spans="3:13" ht="12.75" customHeight="1">
      <c r="C906"/>
      <c r="M906"/>
    </row>
    <row r="907" spans="3:13" ht="12.75" customHeight="1">
      <c r="C907"/>
      <c r="M907"/>
    </row>
    <row r="908" spans="3:13" ht="12.75" customHeight="1">
      <c r="C908"/>
      <c r="M908"/>
    </row>
    <row r="909" spans="3:13" ht="12.75" customHeight="1">
      <c r="C909"/>
      <c r="M909"/>
    </row>
    <row r="910" spans="3:13" ht="12.75" customHeight="1">
      <c r="C910"/>
      <c r="M910"/>
    </row>
    <row r="911" spans="3:13" ht="12.75" customHeight="1">
      <c r="C911"/>
      <c r="M911"/>
    </row>
    <row r="912" spans="3:13" ht="12.75" customHeight="1">
      <c r="C912"/>
      <c r="M912"/>
    </row>
    <row r="913" spans="3:13" ht="12.75" customHeight="1">
      <c r="C913"/>
      <c r="M913"/>
    </row>
    <row r="914" spans="3:13" ht="12.75" customHeight="1">
      <c r="C914"/>
      <c r="M914"/>
    </row>
    <row r="915" spans="3:13" ht="12.75" customHeight="1">
      <c r="C915"/>
      <c r="M915"/>
    </row>
    <row r="916" spans="3:13" ht="12.75" customHeight="1">
      <c r="C916"/>
      <c r="M916"/>
    </row>
    <row r="917" spans="3:13" ht="12.75" customHeight="1">
      <c r="C917"/>
      <c r="M917"/>
    </row>
    <row r="918" spans="3:13" ht="12.75" customHeight="1">
      <c r="C918"/>
      <c r="M918"/>
    </row>
    <row r="919" spans="3:13" ht="12.75" customHeight="1">
      <c r="C919"/>
      <c r="M919"/>
    </row>
    <row r="920" spans="3:13" ht="12.75" customHeight="1">
      <c r="C920"/>
      <c r="M920"/>
    </row>
    <row r="921" spans="3:13" ht="12.75" customHeight="1">
      <c r="C921"/>
      <c r="M921"/>
    </row>
    <row r="922" spans="3:13" ht="12.75" customHeight="1">
      <c r="C922"/>
      <c r="M922"/>
    </row>
    <row r="923" spans="3:13" ht="12.75" customHeight="1">
      <c r="C923"/>
      <c r="M923"/>
    </row>
    <row r="924" spans="3:13" ht="12.75" customHeight="1">
      <c r="C924"/>
      <c r="M924"/>
    </row>
    <row r="925" spans="3:13" ht="12.75" customHeight="1">
      <c r="C925"/>
      <c r="M925"/>
    </row>
    <row r="926" spans="3:13" ht="12.75" customHeight="1">
      <c r="C926"/>
      <c r="M926"/>
    </row>
    <row r="927" spans="3:13" ht="12.75" customHeight="1">
      <c r="C927"/>
      <c r="M927"/>
    </row>
    <row r="928" spans="3:13" ht="12.75" customHeight="1">
      <c r="C928"/>
      <c r="M928"/>
    </row>
    <row r="929" spans="3:13" ht="12.75" customHeight="1">
      <c r="C929"/>
      <c r="M929"/>
    </row>
    <row r="930" spans="3:13" ht="12.75" customHeight="1">
      <c r="C930"/>
      <c r="M930"/>
    </row>
    <row r="931" spans="3:13" ht="12.75" customHeight="1">
      <c r="C931"/>
      <c r="M931"/>
    </row>
    <row r="932" spans="3:13" ht="12.75" customHeight="1">
      <c r="C932"/>
      <c r="M932"/>
    </row>
    <row r="933" spans="3:13" ht="12.75" customHeight="1">
      <c r="C933"/>
      <c r="M933"/>
    </row>
    <row r="934" spans="3:13" ht="12.75" customHeight="1">
      <c r="C934"/>
      <c r="M934"/>
    </row>
    <row r="935" spans="3:13" ht="12.75" customHeight="1">
      <c r="C935"/>
      <c r="M935"/>
    </row>
    <row r="936" spans="3:13" ht="12.75" customHeight="1">
      <c r="C936"/>
      <c r="M936"/>
    </row>
    <row r="937" spans="3:13" ht="12.75" customHeight="1">
      <c r="C937"/>
      <c r="M937"/>
    </row>
    <row r="938" spans="3:13" ht="12.75" customHeight="1">
      <c r="C938"/>
      <c r="M938"/>
    </row>
    <row r="939" spans="3:13" ht="12.75" customHeight="1">
      <c r="C939"/>
      <c r="M939"/>
    </row>
    <row r="940" spans="3:13" ht="12.75" customHeight="1">
      <c r="C940"/>
      <c r="M940"/>
    </row>
    <row r="941" spans="3:13" ht="12.75" customHeight="1">
      <c r="C941"/>
      <c r="M941"/>
    </row>
    <row r="942" spans="3:13" ht="12.75" customHeight="1">
      <c r="C942"/>
      <c r="M942"/>
    </row>
    <row r="943" spans="3:13" ht="12.75" customHeight="1">
      <c r="C943"/>
      <c r="M943"/>
    </row>
    <row r="944" spans="3:13" ht="12.75" customHeight="1">
      <c r="C944"/>
      <c r="M944"/>
    </row>
    <row r="945" spans="3:13" ht="12.75" customHeight="1">
      <c r="C945"/>
      <c r="M945"/>
    </row>
    <row r="946" spans="3:13" ht="12.75" customHeight="1">
      <c r="C946"/>
      <c r="M946"/>
    </row>
    <row r="947" spans="3:13" ht="12.75" customHeight="1">
      <c r="C947"/>
      <c r="M947"/>
    </row>
    <row r="948" spans="3:13" ht="12.75" customHeight="1">
      <c r="C948"/>
      <c r="M948"/>
    </row>
    <row r="949" spans="3:13" ht="12.75" customHeight="1">
      <c r="C949"/>
      <c r="M949"/>
    </row>
    <row r="950" spans="3:13" ht="12.75" customHeight="1">
      <c r="C950"/>
      <c r="M950"/>
    </row>
    <row r="951" spans="3:13" ht="12.75" customHeight="1">
      <c r="C951"/>
      <c r="M951"/>
    </row>
    <row r="952" spans="3:13" ht="12.75" customHeight="1">
      <c r="C952"/>
      <c r="M952"/>
    </row>
    <row r="953" spans="3:13" ht="12.75" customHeight="1">
      <c r="C953"/>
      <c r="M953"/>
    </row>
    <row r="954" spans="3:13" ht="12.75" customHeight="1">
      <c r="C954"/>
      <c r="M954"/>
    </row>
    <row r="955" spans="3:13" ht="12.75" customHeight="1">
      <c r="C955"/>
      <c r="M955"/>
    </row>
    <row r="956" spans="3:13" ht="12.75" customHeight="1">
      <c r="C956"/>
      <c r="M956"/>
    </row>
    <row r="957" spans="3:13" ht="12.75" customHeight="1">
      <c r="C957"/>
      <c r="M957"/>
    </row>
    <row r="958" spans="3:13" ht="12.75" customHeight="1">
      <c r="C958"/>
      <c r="M958"/>
    </row>
    <row r="959" spans="3:13" ht="12.75" customHeight="1">
      <c r="C959"/>
      <c r="M959"/>
    </row>
    <row r="960" spans="3:13" ht="12.75" customHeight="1">
      <c r="C960"/>
      <c r="M960"/>
    </row>
    <row r="961" spans="3:13" ht="12.75" customHeight="1">
      <c r="C961"/>
      <c r="M961"/>
    </row>
    <row r="962" spans="3:13" ht="12.75" customHeight="1">
      <c r="C962"/>
      <c r="M962"/>
    </row>
    <row r="963" spans="3:13" ht="12.75" customHeight="1">
      <c r="C963"/>
      <c r="M963"/>
    </row>
    <row r="964" spans="3:13" ht="12.75" customHeight="1">
      <c r="C964"/>
      <c r="M964"/>
    </row>
    <row r="965" spans="3:13" ht="12.75" customHeight="1">
      <c r="C965"/>
      <c r="M965"/>
    </row>
    <row r="966" spans="3:13" ht="12.75" customHeight="1">
      <c r="C966"/>
      <c r="M966"/>
    </row>
    <row r="967" spans="3:13" ht="12.75" customHeight="1">
      <c r="C967"/>
      <c r="M967"/>
    </row>
    <row r="968" spans="3:13" ht="12.75" customHeight="1">
      <c r="C968"/>
      <c r="M968"/>
    </row>
    <row r="969" spans="3:13" ht="12.75" customHeight="1">
      <c r="C969"/>
      <c r="M969"/>
    </row>
    <row r="970" spans="3:13" ht="12.75" customHeight="1">
      <c r="C970"/>
      <c r="M970"/>
    </row>
    <row r="971" spans="3:13" ht="12.75" customHeight="1">
      <c r="C971"/>
      <c r="M971"/>
    </row>
    <row r="972" spans="3:13" ht="12.75" customHeight="1">
      <c r="C972"/>
      <c r="M972"/>
    </row>
    <row r="973" spans="3:13" ht="12.75" customHeight="1">
      <c r="C973"/>
      <c r="M973"/>
    </row>
    <row r="974" spans="3:13" ht="12.75" customHeight="1">
      <c r="C974"/>
      <c r="M974"/>
    </row>
    <row r="975" spans="3:13" ht="12.75" customHeight="1">
      <c r="C975"/>
      <c r="M975"/>
    </row>
    <row r="976" spans="3:13" ht="12.75" customHeight="1">
      <c r="C976"/>
      <c r="M976"/>
    </row>
    <row r="977" spans="3:13" ht="12.75" customHeight="1">
      <c r="C977"/>
      <c r="M977"/>
    </row>
    <row r="978" spans="3:13" ht="12.75" customHeight="1">
      <c r="C978"/>
      <c r="M978"/>
    </row>
    <row r="979" spans="3:13" ht="12.75" customHeight="1">
      <c r="C979"/>
      <c r="M979"/>
    </row>
    <row r="980" spans="3:13" ht="12.75" customHeight="1">
      <c r="C980"/>
      <c r="M980"/>
    </row>
    <row r="981" spans="3:13" ht="12.75" customHeight="1">
      <c r="C981"/>
      <c r="M981"/>
    </row>
    <row r="982" spans="3:13" ht="12.75" customHeight="1">
      <c r="C982"/>
      <c r="M982"/>
    </row>
    <row r="983" spans="3:13" ht="12.75" customHeight="1">
      <c r="C983"/>
      <c r="M983"/>
    </row>
    <row r="984" spans="3:13" ht="12.75" customHeight="1">
      <c r="C984"/>
      <c r="M984"/>
    </row>
    <row r="985" spans="3:13" ht="12.75" customHeight="1">
      <c r="C985"/>
      <c r="M985"/>
    </row>
    <row r="986" spans="3:13" ht="12.75" customHeight="1">
      <c r="C986"/>
      <c r="M986"/>
    </row>
    <row r="987" spans="3:13" ht="12.75" customHeight="1">
      <c r="C987"/>
      <c r="M987"/>
    </row>
    <row r="988" spans="3:13" ht="12.75" customHeight="1">
      <c r="C988"/>
      <c r="M988"/>
    </row>
    <row r="989" spans="3:13" ht="12.75" customHeight="1">
      <c r="C989"/>
      <c r="M989"/>
    </row>
    <row r="990" spans="3:13" ht="12.75" customHeight="1">
      <c r="C990"/>
      <c r="M990"/>
    </row>
    <row r="991" spans="3:13" ht="12.75" customHeight="1">
      <c r="C991"/>
      <c r="M991"/>
    </row>
    <row r="992" spans="3:13" ht="12.75" customHeight="1">
      <c r="C992"/>
      <c r="M992"/>
    </row>
    <row r="993" spans="3:13" ht="12.75" customHeight="1">
      <c r="C993"/>
      <c r="M993"/>
    </row>
    <row r="994" spans="3:13" ht="12.75" customHeight="1">
      <c r="C994"/>
      <c r="M994"/>
    </row>
    <row r="995" spans="3:13" ht="12.75" customHeight="1">
      <c r="C995"/>
      <c r="M995"/>
    </row>
    <row r="996" spans="3:13" ht="12.75" customHeight="1">
      <c r="C996"/>
      <c r="M996"/>
    </row>
    <row r="997" spans="3:13" ht="12.75" customHeight="1">
      <c r="C997"/>
      <c r="M997"/>
    </row>
    <row r="998" spans="3:13" ht="12.75" customHeight="1">
      <c r="C998"/>
      <c r="M998"/>
    </row>
    <row r="999" spans="3:13" ht="12.75" customHeight="1">
      <c r="C999"/>
      <c r="M999"/>
    </row>
    <row r="1000" spans="3:13" ht="12.75" customHeight="1">
      <c r="C1000"/>
      <c r="M1000"/>
    </row>
    <row r="1001" spans="3:13" ht="12.75" customHeight="1">
      <c r="C1001"/>
      <c r="M1001"/>
    </row>
    <row r="1002" spans="3:13" ht="12.75" customHeight="1">
      <c r="C1002"/>
      <c r="M1002"/>
    </row>
    <row r="1003" spans="3:13" ht="12.75" customHeight="1">
      <c r="C1003"/>
      <c r="M1003"/>
    </row>
    <row r="1004" spans="3:13" ht="12.75" customHeight="1">
      <c r="C1004"/>
      <c r="M1004"/>
    </row>
    <row r="1005" spans="3:13" ht="12.75" customHeight="1">
      <c r="C1005"/>
      <c r="M1005"/>
    </row>
    <row r="1006" spans="3:13" ht="12.75" customHeight="1">
      <c r="C1006"/>
      <c r="M1006"/>
    </row>
    <row r="1007" spans="3:13" ht="12.75" customHeight="1">
      <c r="C1007"/>
      <c r="M1007"/>
    </row>
    <row r="1008" spans="3:13" ht="12.75" customHeight="1">
      <c r="C1008"/>
      <c r="M1008"/>
    </row>
    <row r="1009" spans="3:13" ht="12.75" customHeight="1">
      <c r="C1009"/>
      <c r="M1009"/>
    </row>
    <row r="1010" spans="3:13" ht="12.75" customHeight="1">
      <c r="C1010"/>
      <c r="M1010"/>
    </row>
    <row r="1011" spans="3:13" ht="12.75" customHeight="1">
      <c r="C1011"/>
      <c r="M1011"/>
    </row>
    <row r="1012" spans="3:13" ht="12.75" customHeight="1">
      <c r="C1012"/>
      <c r="M1012"/>
    </row>
    <row r="1013" spans="3:13" ht="12.75" customHeight="1">
      <c r="C1013"/>
      <c r="M1013"/>
    </row>
    <row r="1014" spans="3:13" ht="12.75" customHeight="1">
      <c r="C1014"/>
      <c r="M1014"/>
    </row>
    <row r="1015" spans="3:13" ht="12.75" customHeight="1">
      <c r="C1015"/>
      <c r="M1015"/>
    </row>
    <row r="1016" spans="3:13" ht="12.75" customHeight="1">
      <c r="C1016"/>
      <c r="M1016"/>
    </row>
    <row r="1017" spans="3:13" ht="12.75" customHeight="1">
      <c r="C1017"/>
      <c r="M1017"/>
    </row>
    <row r="1018" spans="3:13" ht="12.75" customHeight="1">
      <c r="C1018"/>
      <c r="M1018"/>
    </row>
    <row r="1019" spans="3:13" ht="12.75" customHeight="1">
      <c r="C1019"/>
      <c r="M1019"/>
    </row>
    <row r="1020" spans="3:13" ht="12.75" customHeight="1">
      <c r="C1020"/>
      <c r="M1020"/>
    </row>
    <row r="1021" spans="3:13" ht="12.75" customHeight="1">
      <c r="C1021"/>
      <c r="M1021"/>
    </row>
    <row r="1022" spans="3:13" ht="12.75" customHeight="1">
      <c r="C1022"/>
      <c r="M1022"/>
    </row>
    <row r="1023" spans="3:13" ht="12.75" customHeight="1">
      <c r="C1023"/>
      <c r="M1023"/>
    </row>
    <row r="1024" spans="3:13" ht="12.75" customHeight="1">
      <c r="C1024"/>
      <c r="M1024"/>
    </row>
    <row r="1025" spans="3:13" ht="12.75" customHeight="1">
      <c r="C1025"/>
      <c r="M1025"/>
    </row>
    <row r="1026" spans="3:13" ht="12.75" customHeight="1">
      <c r="C1026"/>
      <c r="M1026"/>
    </row>
    <row r="1027" spans="3:13" ht="12.75" customHeight="1">
      <c r="C1027"/>
      <c r="M1027"/>
    </row>
    <row r="1028" spans="3:13" ht="12.75" customHeight="1">
      <c r="C1028"/>
      <c r="M1028"/>
    </row>
    <row r="1029" spans="3:13" ht="12.75" customHeight="1">
      <c r="C1029"/>
      <c r="M1029"/>
    </row>
    <row r="1030" spans="3:13" ht="12.75" customHeight="1">
      <c r="C1030"/>
      <c r="M1030"/>
    </row>
    <row r="1031" spans="3:13" ht="12.75" customHeight="1">
      <c r="C1031"/>
      <c r="M1031"/>
    </row>
    <row r="1032" spans="3:13" ht="12.75" customHeight="1">
      <c r="C1032"/>
      <c r="M1032"/>
    </row>
    <row r="1033" spans="3:13" ht="12.75" customHeight="1">
      <c r="C1033"/>
      <c r="M1033"/>
    </row>
    <row r="1034" spans="3:13" ht="12.75" customHeight="1">
      <c r="C1034"/>
      <c r="M1034"/>
    </row>
    <row r="1035" spans="3:13" ht="12.75" customHeight="1">
      <c r="C1035"/>
      <c r="M1035"/>
    </row>
    <row r="1036" spans="3:13" ht="12.75" customHeight="1">
      <c r="C1036"/>
      <c r="M1036"/>
    </row>
    <row r="1037" spans="3:13" ht="12.75" customHeight="1">
      <c r="C1037"/>
      <c r="M1037"/>
    </row>
    <row r="1038" spans="3:13" ht="12.75" customHeight="1">
      <c r="C1038"/>
      <c r="M1038"/>
    </row>
    <row r="1039" spans="3:13" ht="12.75" customHeight="1">
      <c r="C1039"/>
      <c r="M1039"/>
    </row>
    <row r="1040" spans="3:13" ht="12.75" customHeight="1">
      <c r="C1040"/>
      <c r="M1040"/>
    </row>
    <row r="1041" spans="3:13" ht="12.75" customHeight="1">
      <c r="C1041"/>
      <c r="M1041"/>
    </row>
    <row r="1042" spans="3:13" ht="12.75" customHeight="1">
      <c r="C1042"/>
      <c r="M1042"/>
    </row>
    <row r="1043" spans="3:13" ht="12.75" customHeight="1">
      <c r="C1043"/>
      <c r="M1043"/>
    </row>
    <row r="1044" spans="3:13" ht="12.75" customHeight="1">
      <c r="C1044"/>
      <c r="M1044"/>
    </row>
    <row r="1045" spans="3:13" ht="12.75" customHeight="1">
      <c r="C1045"/>
      <c r="M1045"/>
    </row>
    <row r="1046" spans="3:13" ht="12.75" customHeight="1">
      <c r="C1046"/>
      <c r="M1046"/>
    </row>
    <row r="1047" spans="3:13" ht="12.75" customHeight="1">
      <c r="C1047"/>
      <c r="M1047"/>
    </row>
    <row r="1048" spans="3:13" ht="12.75" customHeight="1">
      <c r="C1048"/>
      <c r="M1048"/>
    </row>
    <row r="1049" spans="3:13" ht="12.75" customHeight="1">
      <c r="C1049"/>
      <c r="M1049"/>
    </row>
    <row r="1050" spans="3:13" ht="12.75" customHeight="1">
      <c r="C1050"/>
      <c r="M1050"/>
    </row>
    <row r="1051" spans="3:13" ht="12.75" customHeight="1">
      <c r="C1051"/>
      <c r="M1051"/>
    </row>
    <row r="1052" spans="3:13" ht="12.75" customHeight="1">
      <c r="C1052"/>
      <c r="M1052"/>
    </row>
    <row r="1053" spans="3:13" ht="12.75" customHeight="1">
      <c r="C1053"/>
      <c r="M1053"/>
    </row>
    <row r="1054" spans="3:13" ht="12.75" customHeight="1">
      <c r="C1054"/>
      <c r="M1054"/>
    </row>
    <row r="1055" spans="3:13" ht="12.75" customHeight="1">
      <c r="C1055"/>
      <c r="M1055"/>
    </row>
    <row r="1056" spans="3:13" ht="12.75" customHeight="1">
      <c r="C1056"/>
      <c r="M1056"/>
    </row>
    <row r="1057" spans="3:13" ht="12.75" customHeight="1">
      <c r="C1057"/>
      <c r="M1057"/>
    </row>
    <row r="1058" spans="3:13" ht="12.75" customHeight="1">
      <c r="C1058"/>
      <c r="M1058"/>
    </row>
    <row r="1059" spans="3:13" ht="12.75" customHeight="1">
      <c r="C1059"/>
      <c r="M1059"/>
    </row>
    <row r="1060" spans="3:13" ht="12.75" customHeight="1">
      <c r="C1060"/>
      <c r="M1060"/>
    </row>
    <row r="1061" spans="3:13" ht="12.75" customHeight="1">
      <c r="C1061"/>
      <c r="M1061"/>
    </row>
    <row r="1062" spans="3:13" ht="12.75" customHeight="1">
      <c r="C1062"/>
      <c r="M1062"/>
    </row>
    <row r="1063" spans="3:13" ht="12.75" customHeight="1">
      <c r="C1063"/>
      <c r="M1063"/>
    </row>
    <row r="1064" spans="3:13" ht="12.75" customHeight="1">
      <c r="C1064"/>
      <c r="M1064"/>
    </row>
    <row r="1065" spans="3:13" ht="12.75" customHeight="1">
      <c r="C1065"/>
      <c r="M1065"/>
    </row>
    <row r="1066" spans="3:13" ht="12.75" customHeight="1">
      <c r="C1066"/>
      <c r="M1066"/>
    </row>
    <row r="1067" spans="3:13" ht="12.75" customHeight="1">
      <c r="C1067"/>
      <c r="M1067"/>
    </row>
    <row r="1068" spans="3:13" ht="12.75" customHeight="1">
      <c r="C1068"/>
      <c r="M1068"/>
    </row>
    <row r="1069" spans="3:13" ht="12.75" customHeight="1">
      <c r="C1069"/>
      <c r="M1069"/>
    </row>
    <row r="1070" spans="3:13" ht="12.75" customHeight="1">
      <c r="C1070"/>
      <c r="M1070"/>
    </row>
    <row r="1071" spans="3:13" ht="12.75" customHeight="1">
      <c r="C1071"/>
      <c r="M1071"/>
    </row>
    <row r="1072" spans="3:13" ht="12.75" customHeight="1">
      <c r="C1072"/>
      <c r="M1072"/>
    </row>
    <row r="1073" spans="3:13" ht="12.75" customHeight="1">
      <c r="C1073"/>
      <c r="M1073"/>
    </row>
    <row r="1074" spans="3:13" ht="12.75" customHeight="1">
      <c r="C1074"/>
      <c r="M1074"/>
    </row>
    <row r="1075" spans="3:13" ht="12.75" customHeight="1">
      <c r="C1075"/>
      <c r="M1075"/>
    </row>
    <row r="1076" spans="3:13" ht="12.75" customHeight="1">
      <c r="C1076"/>
      <c r="M1076"/>
    </row>
    <row r="1077" spans="3:13" ht="12.75" customHeight="1">
      <c r="C1077"/>
      <c r="M1077"/>
    </row>
    <row r="1078" spans="3:13" ht="12.75" customHeight="1">
      <c r="C1078"/>
      <c r="M1078"/>
    </row>
    <row r="1079" spans="3:13" ht="12.75" customHeight="1">
      <c r="C1079"/>
      <c r="M1079"/>
    </row>
    <row r="1080" spans="3:13" ht="12.75" customHeight="1">
      <c r="C1080"/>
      <c r="M1080"/>
    </row>
    <row r="1081" spans="3:13" ht="12.75" customHeight="1">
      <c r="C1081"/>
      <c r="M1081"/>
    </row>
    <row r="1082" spans="3:13" ht="12.75" customHeight="1">
      <c r="C1082"/>
      <c r="M1082"/>
    </row>
    <row r="1083" spans="3:13" ht="12.75" customHeight="1">
      <c r="C1083"/>
      <c r="M1083"/>
    </row>
    <row r="1084" spans="3:13" ht="12.75" customHeight="1">
      <c r="C1084"/>
      <c r="M1084"/>
    </row>
    <row r="1085" spans="3:13" ht="12.75" customHeight="1">
      <c r="C1085"/>
      <c r="M1085"/>
    </row>
    <row r="1086" spans="3:13" ht="12.75" customHeight="1">
      <c r="C1086"/>
      <c r="M1086"/>
    </row>
    <row r="1087" spans="3:13" ht="12.75" customHeight="1">
      <c r="C1087"/>
      <c r="M1087"/>
    </row>
    <row r="1088" spans="3:13" ht="12.75" customHeight="1">
      <c r="C1088"/>
      <c r="M1088"/>
    </row>
    <row r="1089" spans="3:13" ht="12.75" customHeight="1">
      <c r="C1089"/>
      <c r="M1089"/>
    </row>
    <row r="1090" spans="3:13" ht="12.75" customHeight="1">
      <c r="C1090"/>
      <c r="M1090"/>
    </row>
    <row r="1091" spans="3:13" ht="12.75" customHeight="1">
      <c r="C1091"/>
      <c r="M1091"/>
    </row>
    <row r="1092" spans="3:13" ht="12.75" customHeight="1">
      <c r="C1092"/>
      <c r="M1092"/>
    </row>
    <row r="1093" spans="3:13" ht="12.75" customHeight="1">
      <c r="C1093"/>
      <c r="M1093"/>
    </row>
    <row r="1094" spans="3:13" ht="12.75" customHeight="1">
      <c r="C1094"/>
      <c r="M1094"/>
    </row>
    <row r="1095" spans="3:13" ht="12.75" customHeight="1">
      <c r="C1095"/>
      <c r="M1095"/>
    </row>
    <row r="1096" spans="3:13" ht="12.75" customHeight="1">
      <c r="C1096"/>
      <c r="M1096"/>
    </row>
    <row r="1097" spans="3:13" ht="12.75" customHeight="1">
      <c r="C1097"/>
      <c r="M1097"/>
    </row>
    <row r="1098" spans="3:13" ht="12.75" customHeight="1">
      <c r="C1098"/>
      <c r="M1098"/>
    </row>
    <row r="1099" spans="3:13" ht="12.75" customHeight="1">
      <c r="C1099"/>
      <c r="M1099"/>
    </row>
    <row r="1100" spans="3:13" ht="12.75" customHeight="1">
      <c r="C1100"/>
      <c r="M1100"/>
    </row>
    <row r="1101" spans="3:13" ht="12.75" customHeight="1">
      <c r="C1101"/>
      <c r="M1101"/>
    </row>
    <row r="1102" spans="3:13" ht="12.75" customHeight="1">
      <c r="C1102"/>
      <c r="M1102"/>
    </row>
    <row r="1103" spans="3:13" ht="12.75" customHeight="1">
      <c r="C1103"/>
      <c r="M1103"/>
    </row>
    <row r="1104" spans="3:13" ht="12.75" customHeight="1">
      <c r="C1104"/>
      <c r="M1104"/>
    </row>
    <row r="1105" spans="3:13" ht="12.75" customHeight="1">
      <c r="C1105"/>
      <c r="M1105"/>
    </row>
    <row r="1106" spans="3:13" ht="12.75" customHeight="1">
      <c r="C1106"/>
      <c r="M1106"/>
    </row>
    <row r="1107" spans="3:13" ht="12.75" customHeight="1">
      <c r="C1107"/>
      <c r="M1107"/>
    </row>
    <row r="1108" spans="3:13" ht="12.75" customHeight="1">
      <c r="C1108"/>
      <c r="M1108"/>
    </row>
    <row r="1109" spans="3:13" ht="12.75" customHeight="1">
      <c r="C1109"/>
      <c r="M1109"/>
    </row>
    <row r="1110" spans="3:13" ht="12.75" customHeight="1">
      <c r="C1110"/>
      <c r="M1110"/>
    </row>
    <row r="1111" spans="3:13" ht="12.75" customHeight="1">
      <c r="C1111"/>
      <c r="M1111"/>
    </row>
    <row r="1112" spans="3:13" ht="12.75" customHeight="1">
      <c r="C1112"/>
      <c r="M1112"/>
    </row>
    <row r="1113" spans="3:13" ht="12.75" customHeight="1">
      <c r="C1113"/>
      <c r="M1113"/>
    </row>
    <row r="1114" spans="3:13" ht="12.75" customHeight="1">
      <c r="C1114"/>
      <c r="M1114"/>
    </row>
    <row r="1115" spans="3:13" ht="12.75" customHeight="1">
      <c r="C1115"/>
      <c r="M1115"/>
    </row>
    <row r="1116" spans="3:13" ht="12.75" customHeight="1">
      <c r="C1116"/>
      <c r="M1116"/>
    </row>
    <row r="1117" spans="3:13" ht="12.75" customHeight="1">
      <c r="C1117"/>
      <c r="M1117"/>
    </row>
    <row r="1118" spans="3:13" ht="12.75" customHeight="1">
      <c r="C1118"/>
      <c r="M1118"/>
    </row>
    <row r="1119" spans="3:13" ht="12.75" customHeight="1">
      <c r="C1119"/>
      <c r="M1119"/>
    </row>
    <row r="1120" spans="3:13" ht="12.75" customHeight="1">
      <c r="C1120"/>
      <c r="M1120"/>
    </row>
    <row r="1121" spans="3:13" ht="12.75" customHeight="1">
      <c r="C1121"/>
      <c r="M1121"/>
    </row>
    <row r="1122" spans="3:13" ht="12.75" customHeight="1">
      <c r="C1122"/>
      <c r="M1122"/>
    </row>
    <row r="1123" spans="3:13" ht="12.75" customHeight="1">
      <c r="C1123"/>
      <c r="M1123"/>
    </row>
    <row r="1124" spans="3:13" ht="12.75" customHeight="1">
      <c r="C1124"/>
      <c r="M1124"/>
    </row>
    <row r="1125" spans="3:13" ht="12.75" customHeight="1">
      <c r="C1125"/>
      <c r="M1125"/>
    </row>
    <row r="1126" spans="3:13" ht="12.75" customHeight="1">
      <c r="C1126"/>
      <c r="M1126"/>
    </row>
    <row r="1127" spans="3:13" ht="12.75" customHeight="1">
      <c r="C1127"/>
      <c r="M1127"/>
    </row>
    <row r="1128" spans="3:13" ht="12.75" customHeight="1">
      <c r="C1128"/>
      <c r="M1128"/>
    </row>
    <row r="1129" spans="3:13" ht="12.75" customHeight="1">
      <c r="C1129"/>
      <c r="M1129"/>
    </row>
    <row r="1130" spans="3:13" ht="12.75" customHeight="1">
      <c r="C1130"/>
      <c r="M1130"/>
    </row>
    <row r="1131" spans="3:13" ht="12.75" customHeight="1">
      <c r="C1131"/>
      <c r="M1131"/>
    </row>
    <row r="1132" spans="3:13" ht="12.75" customHeight="1">
      <c r="C1132"/>
      <c r="M1132"/>
    </row>
    <row r="1133" spans="3:13" ht="12.75" customHeight="1">
      <c r="C1133"/>
      <c r="M1133"/>
    </row>
    <row r="1134" spans="3:13" ht="12.75" customHeight="1">
      <c r="C1134"/>
      <c r="M1134"/>
    </row>
    <row r="1135" spans="3:13" ht="12.75" customHeight="1">
      <c r="C1135"/>
      <c r="M1135"/>
    </row>
    <row r="1136" spans="3:13" ht="12.75" customHeight="1">
      <c r="C1136"/>
      <c r="M1136"/>
    </row>
    <row r="1137" spans="3:13" ht="12.75" customHeight="1">
      <c r="C1137"/>
      <c r="M1137"/>
    </row>
    <row r="1138" spans="3:13" ht="12.75" customHeight="1">
      <c r="C1138"/>
      <c r="M1138"/>
    </row>
    <row r="1139" spans="3:13" ht="12.75" customHeight="1">
      <c r="C1139"/>
      <c r="M1139"/>
    </row>
    <row r="1140" spans="3:13" ht="12.75" customHeight="1">
      <c r="C1140"/>
      <c r="M1140"/>
    </row>
    <row r="1141" spans="3:13" ht="12.75" customHeight="1">
      <c r="C1141"/>
      <c r="M1141"/>
    </row>
    <row r="1142" spans="3:13" ht="12.75" customHeight="1">
      <c r="C1142"/>
      <c r="M1142"/>
    </row>
    <row r="1143" spans="3:13" ht="12.75" customHeight="1">
      <c r="C1143"/>
      <c r="M1143"/>
    </row>
    <row r="1144" spans="3:13" ht="12.75" customHeight="1">
      <c r="C1144"/>
      <c r="M1144"/>
    </row>
    <row r="1145" spans="3:13" ht="12.75" customHeight="1">
      <c r="C1145"/>
      <c r="M1145"/>
    </row>
    <row r="1146" spans="3:13" ht="12.75" customHeight="1">
      <c r="C1146"/>
      <c r="M1146"/>
    </row>
    <row r="1147" spans="3:13" ht="12.75" customHeight="1">
      <c r="C1147"/>
      <c r="M1147"/>
    </row>
    <row r="1148" spans="3:13" ht="12.75" customHeight="1">
      <c r="C1148"/>
      <c r="M1148"/>
    </row>
    <row r="1149" spans="3:13" ht="12.75" customHeight="1">
      <c r="C1149"/>
      <c r="M1149"/>
    </row>
    <row r="1150" spans="3:13" ht="12.75" customHeight="1">
      <c r="C1150"/>
      <c r="M1150"/>
    </row>
    <row r="1151" spans="3:13" ht="12.75" customHeight="1">
      <c r="C1151"/>
      <c r="M1151"/>
    </row>
    <row r="1152" spans="3:13" ht="12.75" customHeight="1">
      <c r="C1152"/>
      <c r="M1152"/>
    </row>
    <row r="1153" spans="3:13" ht="12.75" customHeight="1">
      <c r="C1153"/>
      <c r="M1153"/>
    </row>
    <row r="1154" spans="3:13" ht="12.75" customHeight="1">
      <c r="C1154"/>
      <c r="M1154"/>
    </row>
    <row r="1155" spans="3:13" ht="12.75" customHeight="1">
      <c r="C1155"/>
      <c r="M1155"/>
    </row>
    <row r="1156" spans="3:13" ht="12.75" customHeight="1">
      <c r="C1156"/>
      <c r="M1156"/>
    </row>
    <row r="1157" spans="3:13" ht="12.75" customHeight="1">
      <c r="C1157"/>
      <c r="M1157"/>
    </row>
    <row r="1158" spans="3:13" ht="12.75" customHeight="1">
      <c r="C1158"/>
      <c r="M1158"/>
    </row>
    <row r="1159" spans="3:13" ht="12.75" customHeight="1">
      <c r="C1159"/>
      <c r="M1159"/>
    </row>
    <row r="1160" spans="3:13" ht="12.75" customHeight="1">
      <c r="C1160"/>
      <c r="M1160"/>
    </row>
    <row r="1161" spans="3:13" ht="12.75" customHeight="1">
      <c r="C1161"/>
      <c r="M1161"/>
    </row>
    <row r="1162" spans="3:13" ht="12.75" customHeight="1">
      <c r="C1162"/>
      <c r="M1162"/>
    </row>
    <row r="1163" spans="3:13" ht="12.75" customHeight="1">
      <c r="C1163"/>
      <c r="M1163"/>
    </row>
    <row r="1164" spans="3:13" ht="12.75" customHeight="1">
      <c r="C1164"/>
      <c r="M1164"/>
    </row>
    <row r="1165" spans="3:13" ht="12.75" customHeight="1">
      <c r="C1165"/>
      <c r="M1165"/>
    </row>
    <row r="1166" spans="3:13" ht="12.75" customHeight="1">
      <c r="C1166"/>
      <c r="M1166"/>
    </row>
    <row r="1167" spans="3:13" ht="12.75" customHeight="1">
      <c r="C1167"/>
      <c r="M1167"/>
    </row>
    <row r="1168" spans="3:13" ht="12.75" customHeight="1">
      <c r="C1168"/>
      <c r="M1168"/>
    </row>
    <row r="1169" spans="3:13" ht="12.75" customHeight="1">
      <c r="C1169"/>
      <c r="M1169"/>
    </row>
    <row r="1170" spans="3:13" ht="12.75" customHeight="1">
      <c r="C1170"/>
      <c r="M1170"/>
    </row>
    <row r="1171" spans="3:13" ht="12.75" customHeight="1">
      <c r="C1171"/>
      <c r="M1171"/>
    </row>
    <row r="1172" spans="3:13" ht="12.75" customHeight="1">
      <c r="C1172"/>
      <c r="M1172"/>
    </row>
    <row r="1173" spans="3:13" ht="12.75" customHeight="1">
      <c r="C1173"/>
      <c r="M1173"/>
    </row>
    <row r="1174" spans="3:13" ht="12.75" customHeight="1">
      <c r="C1174"/>
      <c r="M1174"/>
    </row>
    <row r="1175" spans="3:13" ht="12.75" customHeight="1">
      <c r="C1175"/>
      <c r="M1175"/>
    </row>
    <row r="1176" spans="3:13" ht="12.75" customHeight="1">
      <c r="C1176"/>
      <c r="M1176"/>
    </row>
    <row r="1177" spans="3:13" ht="12.75" customHeight="1">
      <c r="C1177"/>
      <c r="M1177"/>
    </row>
    <row r="1178" spans="3:13" ht="12.75" customHeight="1">
      <c r="C1178"/>
      <c r="M1178"/>
    </row>
    <row r="1179" spans="3:13" ht="12.75" customHeight="1">
      <c r="C1179"/>
      <c r="M1179"/>
    </row>
    <row r="1180" spans="3:13" ht="12.75" customHeight="1">
      <c r="C1180"/>
      <c r="M1180"/>
    </row>
    <row r="1181" spans="3:13" ht="12.75" customHeight="1">
      <c r="C1181"/>
      <c r="M1181"/>
    </row>
    <row r="1182" spans="3:13" ht="12.75" customHeight="1">
      <c r="C1182"/>
      <c r="M1182"/>
    </row>
    <row r="1183" spans="3:13" ht="12.75" customHeight="1">
      <c r="C1183"/>
      <c r="M1183"/>
    </row>
    <row r="1184" spans="3:13" ht="12.75" customHeight="1">
      <c r="C1184"/>
      <c r="M1184"/>
    </row>
    <row r="1185" spans="3:13" ht="12.75" customHeight="1">
      <c r="C1185"/>
      <c r="M1185"/>
    </row>
    <row r="1186" spans="3:13" ht="12.75" customHeight="1">
      <c r="C1186"/>
      <c r="M1186"/>
    </row>
    <row r="1187" spans="3:13" ht="12.75" customHeight="1">
      <c r="C1187"/>
      <c r="M1187"/>
    </row>
    <row r="1188" spans="3:13" ht="12.75" customHeight="1">
      <c r="C1188"/>
      <c r="M1188"/>
    </row>
    <row r="1189" spans="3:13" ht="12.75" customHeight="1">
      <c r="C1189"/>
      <c r="M1189"/>
    </row>
    <row r="1190" spans="3:13" ht="12.75" customHeight="1">
      <c r="C1190"/>
      <c r="M1190"/>
    </row>
    <row r="1191" spans="3:13" ht="12.75" customHeight="1">
      <c r="C1191"/>
      <c r="M1191"/>
    </row>
    <row r="1192" spans="3:13" ht="12.75" customHeight="1">
      <c r="C1192"/>
      <c r="M1192"/>
    </row>
    <row r="1193" spans="3:13" ht="12.75" customHeight="1">
      <c r="C1193"/>
      <c r="M1193"/>
    </row>
    <row r="1194" spans="3:13" ht="12.75" customHeight="1">
      <c r="C1194"/>
      <c r="M1194"/>
    </row>
    <row r="1195" spans="3:13" ht="12.75" customHeight="1">
      <c r="C1195"/>
      <c r="M1195"/>
    </row>
    <row r="1196" spans="3:13" ht="12.75" customHeight="1">
      <c r="C1196"/>
      <c r="M1196"/>
    </row>
    <row r="1197" spans="3:13" ht="12.75" customHeight="1">
      <c r="C1197"/>
      <c r="M1197"/>
    </row>
    <row r="1198" spans="3:13" ht="12.75" customHeight="1">
      <c r="C1198"/>
      <c r="M1198"/>
    </row>
    <row r="1199" spans="3:13" ht="12.75" customHeight="1">
      <c r="C1199"/>
      <c r="M1199"/>
    </row>
    <row r="1200" spans="3:13" ht="12.75" customHeight="1">
      <c r="C1200"/>
      <c r="M1200"/>
    </row>
    <row r="1201" spans="3:13" ht="12.75" customHeight="1">
      <c r="C1201"/>
      <c r="M1201"/>
    </row>
    <row r="1202" spans="3:13" ht="12.75" customHeight="1">
      <c r="C1202"/>
      <c r="M1202"/>
    </row>
    <row r="1203" spans="3:13" ht="12.75" customHeight="1">
      <c r="C1203"/>
      <c r="M1203"/>
    </row>
    <row r="1204" spans="3:13" ht="12.75" customHeight="1">
      <c r="C1204"/>
      <c r="M1204"/>
    </row>
    <row r="1205" spans="3:13" ht="12.75" customHeight="1">
      <c r="C1205"/>
      <c r="M1205"/>
    </row>
    <row r="1206" spans="3:13" ht="12.75" customHeight="1">
      <c r="C1206"/>
      <c r="M1206"/>
    </row>
    <row r="1207" spans="3:13" ht="12.75" customHeight="1">
      <c r="C1207"/>
      <c r="M1207"/>
    </row>
    <row r="1208" spans="3:13" ht="12.75" customHeight="1">
      <c r="C1208"/>
      <c r="M1208"/>
    </row>
    <row r="1209" spans="3:13" ht="12.75" customHeight="1">
      <c r="C1209"/>
      <c r="M1209"/>
    </row>
    <row r="1210" spans="3:13" ht="12.75" customHeight="1">
      <c r="C1210"/>
      <c r="M1210"/>
    </row>
    <row r="1211" spans="3:13" ht="12.75" customHeight="1">
      <c r="C1211"/>
      <c r="M1211"/>
    </row>
    <row r="1212" spans="3:13" ht="12.75" customHeight="1">
      <c r="C1212"/>
      <c r="M1212"/>
    </row>
    <row r="1213" spans="3:13" ht="12.75" customHeight="1">
      <c r="C1213"/>
      <c r="M1213"/>
    </row>
    <row r="1214" spans="3:13" ht="12.75" customHeight="1">
      <c r="C1214"/>
      <c r="M1214"/>
    </row>
    <row r="1215" spans="3:13" ht="12.75" customHeight="1">
      <c r="C1215"/>
      <c r="M1215"/>
    </row>
    <row r="1216" spans="3:13" ht="12.75" customHeight="1">
      <c r="C1216"/>
      <c r="M1216"/>
    </row>
    <row r="1217" spans="3:13" ht="12.75" customHeight="1">
      <c r="C1217"/>
      <c r="M1217"/>
    </row>
    <row r="1218" spans="3:13" ht="12.75" customHeight="1">
      <c r="C1218"/>
      <c r="M1218"/>
    </row>
    <row r="1219" spans="3:13" ht="12.75" customHeight="1">
      <c r="C1219"/>
      <c r="M1219"/>
    </row>
    <row r="1220" spans="3:13" ht="12.75" customHeight="1">
      <c r="C1220"/>
      <c r="M1220"/>
    </row>
    <row r="1221" spans="3:13" ht="12.75" customHeight="1">
      <c r="C1221"/>
      <c r="M1221"/>
    </row>
    <row r="1222" spans="3:13" ht="12.75" customHeight="1">
      <c r="C1222"/>
      <c r="M1222"/>
    </row>
    <row r="1223" spans="3:13" ht="12.75" customHeight="1">
      <c r="C1223"/>
      <c r="M1223"/>
    </row>
    <row r="1224" spans="3:13" ht="12.75" customHeight="1">
      <c r="C1224"/>
      <c r="M1224"/>
    </row>
    <row r="1225" spans="3:13" ht="12.75" customHeight="1">
      <c r="C1225"/>
      <c r="M1225"/>
    </row>
    <row r="1226" spans="3:13" ht="12.75" customHeight="1">
      <c r="C1226"/>
      <c r="M1226"/>
    </row>
    <row r="1227" spans="3:13" ht="12.75" customHeight="1">
      <c r="C1227"/>
      <c r="M1227"/>
    </row>
    <row r="1228" spans="3:13" ht="12.75" customHeight="1">
      <c r="C1228"/>
      <c r="M1228"/>
    </row>
    <row r="1229" spans="3:13" ht="12.75" customHeight="1">
      <c r="C1229"/>
      <c r="M1229"/>
    </row>
    <row r="1230" spans="3:13" ht="12.75" customHeight="1">
      <c r="C1230"/>
      <c r="M1230"/>
    </row>
    <row r="1231" spans="3:13" ht="12.75" customHeight="1">
      <c r="C1231"/>
      <c r="M1231"/>
    </row>
    <row r="1232" spans="3:13" ht="12.75" customHeight="1">
      <c r="C1232"/>
      <c r="M1232"/>
    </row>
    <row r="1233" spans="3:13" ht="12.75" customHeight="1">
      <c r="C1233"/>
      <c r="M1233"/>
    </row>
    <row r="1234" spans="3:13" ht="12.75" customHeight="1">
      <c r="C1234"/>
      <c r="M1234"/>
    </row>
    <row r="1235" spans="3:13" ht="12.75" customHeight="1">
      <c r="C1235"/>
      <c r="M1235"/>
    </row>
    <row r="1236" spans="3:13" ht="12.75" customHeight="1">
      <c r="C1236"/>
      <c r="M1236"/>
    </row>
    <row r="1237" spans="3:13" ht="12.75" customHeight="1">
      <c r="C1237"/>
      <c r="M1237"/>
    </row>
    <row r="1238" spans="3:13" ht="12.75" customHeight="1">
      <c r="C1238"/>
      <c r="M1238"/>
    </row>
    <row r="1239" spans="3:13" ht="12.75" customHeight="1">
      <c r="C1239"/>
      <c r="M1239"/>
    </row>
    <row r="1240" spans="3:13" ht="12.75" customHeight="1">
      <c r="C1240"/>
      <c r="M1240"/>
    </row>
    <row r="1241" spans="3:13" ht="12.75" customHeight="1">
      <c r="C1241"/>
      <c r="M1241"/>
    </row>
    <row r="1242" spans="3:13" ht="12.75" customHeight="1">
      <c r="C1242"/>
      <c r="M1242"/>
    </row>
    <row r="1243" spans="3:13" ht="12.75" customHeight="1">
      <c r="C1243"/>
      <c r="M1243"/>
    </row>
    <row r="1244" spans="3:13" ht="12.75" customHeight="1">
      <c r="C1244"/>
      <c r="M1244"/>
    </row>
    <row r="1245" spans="3:13" ht="12.75" customHeight="1">
      <c r="C1245"/>
      <c r="M1245"/>
    </row>
    <row r="1246" spans="3:13" ht="12.75" customHeight="1">
      <c r="C1246"/>
      <c r="M1246"/>
    </row>
    <row r="1247" spans="3:13" ht="12.75" customHeight="1">
      <c r="C1247"/>
      <c r="M1247"/>
    </row>
    <row r="1248" spans="3:13" ht="12.75" customHeight="1">
      <c r="C1248"/>
      <c r="M1248"/>
    </row>
    <row r="1249" spans="3:13" ht="12.75" customHeight="1">
      <c r="C1249"/>
      <c r="M1249"/>
    </row>
    <row r="1250" spans="3:13" ht="12.75" customHeight="1">
      <c r="C1250"/>
      <c r="M1250"/>
    </row>
    <row r="1251" spans="3:13" ht="12.75" customHeight="1">
      <c r="C1251"/>
      <c r="M1251"/>
    </row>
    <row r="1252" spans="3:13" ht="12.75" customHeight="1">
      <c r="C1252"/>
      <c r="M1252"/>
    </row>
    <row r="1253" spans="3:13" ht="12.75" customHeight="1">
      <c r="C1253"/>
      <c r="M1253"/>
    </row>
    <row r="1254" spans="3:13" ht="12.75" customHeight="1">
      <c r="C1254"/>
      <c r="M1254"/>
    </row>
    <row r="1255" spans="3:13" ht="12.75" customHeight="1">
      <c r="C1255"/>
      <c r="M1255"/>
    </row>
    <row r="1256" spans="3:13" ht="12.75" customHeight="1">
      <c r="C1256"/>
      <c r="M1256"/>
    </row>
    <row r="1257" spans="3:13" ht="12.75" customHeight="1">
      <c r="C1257"/>
      <c r="M1257"/>
    </row>
    <row r="1258" spans="3:13" ht="12.75" customHeight="1">
      <c r="C1258"/>
      <c r="M1258"/>
    </row>
    <row r="1259" spans="3:13" ht="12.75" customHeight="1">
      <c r="C1259"/>
      <c r="M1259"/>
    </row>
    <row r="1260" spans="3:13" ht="12.75" customHeight="1">
      <c r="C1260"/>
      <c r="M1260"/>
    </row>
    <row r="1261" spans="3:13" ht="12.75" customHeight="1">
      <c r="C1261"/>
      <c r="M1261"/>
    </row>
    <row r="1262" spans="3:13" ht="12.75" customHeight="1">
      <c r="C1262"/>
      <c r="M1262"/>
    </row>
    <row r="1263" spans="3:13" ht="12.75" customHeight="1">
      <c r="C1263"/>
      <c r="M1263"/>
    </row>
    <row r="1264" spans="3:13" ht="12.75" customHeight="1">
      <c r="C1264"/>
      <c r="M1264"/>
    </row>
    <row r="1265" spans="3:13" ht="12.75" customHeight="1">
      <c r="C1265"/>
      <c r="M1265"/>
    </row>
    <row r="1266" spans="3:13" ht="12.75" customHeight="1">
      <c r="C1266"/>
      <c r="M1266"/>
    </row>
    <row r="1267" spans="3:13" ht="12.75" customHeight="1">
      <c r="C1267"/>
      <c r="M1267"/>
    </row>
    <row r="1268" spans="3:13" ht="12.75" customHeight="1">
      <c r="C1268"/>
      <c r="M1268"/>
    </row>
    <row r="1269" spans="3:13" ht="12.75" customHeight="1">
      <c r="C1269"/>
      <c r="M1269"/>
    </row>
    <row r="1270" spans="3:13" ht="12.75" customHeight="1">
      <c r="C1270"/>
      <c r="M1270"/>
    </row>
    <row r="1271" spans="3:13" ht="12.75" customHeight="1">
      <c r="C1271"/>
      <c r="M1271"/>
    </row>
    <row r="1272" spans="3:13" ht="12.75" customHeight="1">
      <c r="C1272"/>
      <c r="M1272"/>
    </row>
    <row r="1273" spans="3:13" ht="12.75" customHeight="1">
      <c r="C1273"/>
      <c r="M1273"/>
    </row>
    <row r="1274" spans="3:13" ht="12.75" customHeight="1">
      <c r="C1274"/>
      <c r="M1274"/>
    </row>
    <row r="1275" spans="3:13" ht="12.75" customHeight="1">
      <c r="C1275"/>
      <c r="M1275"/>
    </row>
    <row r="1276" spans="3:13" ht="12.75" customHeight="1">
      <c r="C1276"/>
      <c r="M1276"/>
    </row>
    <row r="1277" spans="3:13" ht="12.75" customHeight="1">
      <c r="C1277"/>
      <c r="M1277"/>
    </row>
    <row r="1278" spans="3:13" ht="12.75" customHeight="1">
      <c r="C1278"/>
      <c r="M1278"/>
    </row>
    <row r="1279" spans="3:13" ht="12.75" customHeight="1">
      <c r="C1279"/>
      <c r="M1279"/>
    </row>
    <row r="1280" spans="3:13" ht="12.75" customHeight="1">
      <c r="C1280"/>
      <c r="M1280"/>
    </row>
    <row r="1281" spans="3:13" ht="12.75" customHeight="1">
      <c r="C1281"/>
      <c r="M1281"/>
    </row>
    <row r="1282" spans="3:13" ht="12.75" customHeight="1">
      <c r="C1282"/>
      <c r="M1282"/>
    </row>
    <row r="1283" spans="3:13" ht="12.75" customHeight="1">
      <c r="C1283"/>
      <c r="M1283"/>
    </row>
    <row r="1284" spans="3:13" ht="12.75" customHeight="1">
      <c r="C1284"/>
      <c r="M1284"/>
    </row>
    <row r="1285" spans="3:13" ht="12.75" customHeight="1">
      <c r="C1285"/>
      <c r="M1285"/>
    </row>
    <row r="1286" spans="3:13" ht="12.75" customHeight="1">
      <c r="C1286"/>
      <c r="M1286"/>
    </row>
    <row r="1287" spans="3:13" ht="12.75" customHeight="1">
      <c r="C1287"/>
      <c r="M1287"/>
    </row>
    <row r="1288" spans="3:13" ht="12.75" customHeight="1">
      <c r="C1288"/>
      <c r="M1288"/>
    </row>
    <row r="1289" spans="3:13" ht="12.75" customHeight="1">
      <c r="C1289"/>
      <c r="M1289"/>
    </row>
    <row r="1290" spans="3:13" ht="12.75" customHeight="1">
      <c r="C1290"/>
      <c r="M1290"/>
    </row>
    <row r="1291" spans="3:13" ht="12.75" customHeight="1">
      <c r="C1291"/>
      <c r="M1291"/>
    </row>
    <row r="1292" spans="3:13" ht="12.75" customHeight="1">
      <c r="C1292"/>
      <c r="M1292"/>
    </row>
    <row r="1293" spans="3:13" ht="12.75" customHeight="1">
      <c r="C1293"/>
      <c r="M1293"/>
    </row>
    <row r="1294" spans="3:13" ht="12.75" customHeight="1">
      <c r="C1294"/>
      <c r="M1294"/>
    </row>
    <row r="1295" spans="3:13" ht="12.75" customHeight="1">
      <c r="C1295"/>
      <c r="M1295"/>
    </row>
    <row r="1296" spans="3:13" ht="12.75" customHeight="1">
      <c r="C1296"/>
      <c r="M1296"/>
    </row>
    <row r="1297" spans="3:13" ht="12.75" customHeight="1">
      <c r="C1297"/>
      <c r="M1297"/>
    </row>
    <row r="1298" spans="3:13" ht="12.75" customHeight="1">
      <c r="C1298"/>
      <c r="M1298"/>
    </row>
    <row r="1299" spans="3:13" ht="12.75" customHeight="1">
      <c r="C1299"/>
      <c r="M1299"/>
    </row>
    <row r="1300" spans="3:13" ht="12.75" customHeight="1">
      <c r="C1300"/>
      <c r="M1300"/>
    </row>
    <row r="1301" spans="3:13" ht="12.75" customHeight="1">
      <c r="C1301"/>
      <c r="M1301"/>
    </row>
    <row r="1302" spans="3:13" ht="12.75" customHeight="1">
      <c r="C1302"/>
      <c r="M1302"/>
    </row>
    <row r="1303" spans="3:13" ht="12.75" customHeight="1">
      <c r="C1303"/>
      <c r="M1303"/>
    </row>
    <row r="1304" spans="3:13" ht="12.75" customHeight="1">
      <c r="C1304"/>
      <c r="M1304"/>
    </row>
    <row r="1305" spans="3:13" ht="12.75" customHeight="1">
      <c r="C1305"/>
      <c r="M1305"/>
    </row>
    <row r="1306" spans="3:13" ht="12.75" customHeight="1">
      <c r="C1306"/>
      <c r="M1306"/>
    </row>
    <row r="1307" spans="3:13" ht="12.75" customHeight="1">
      <c r="C1307"/>
      <c r="M1307"/>
    </row>
    <row r="1308" spans="3:13" ht="12.75" customHeight="1">
      <c r="C1308"/>
      <c r="M1308"/>
    </row>
    <row r="1309" spans="3:13" ht="12.75" customHeight="1">
      <c r="C1309"/>
      <c r="M1309"/>
    </row>
    <row r="1310" spans="3:13" ht="12.75" customHeight="1">
      <c r="C1310"/>
      <c r="M1310"/>
    </row>
    <row r="1311" spans="3:13" ht="12.75" customHeight="1">
      <c r="C1311"/>
      <c r="M1311"/>
    </row>
    <row r="1312" spans="3:13" ht="12.75" customHeight="1">
      <c r="C1312"/>
      <c r="M1312"/>
    </row>
    <row r="1313" spans="3:13" ht="12.75" customHeight="1">
      <c r="C1313"/>
      <c r="M1313"/>
    </row>
    <row r="1314" spans="3:13" ht="12.75" customHeight="1">
      <c r="C1314"/>
      <c r="M1314"/>
    </row>
    <row r="1315" spans="3:13" ht="12.75" customHeight="1">
      <c r="C1315"/>
      <c r="M1315"/>
    </row>
    <row r="1316" spans="3:13" ht="12.75" customHeight="1">
      <c r="C1316"/>
      <c r="M1316"/>
    </row>
    <row r="1317" spans="3:13" ht="12.75" customHeight="1">
      <c r="C1317"/>
      <c r="M1317"/>
    </row>
    <row r="1318" spans="3:13" ht="12.75" customHeight="1">
      <c r="C1318"/>
      <c r="M1318"/>
    </row>
    <row r="1319" spans="3:13" ht="12.75" customHeight="1">
      <c r="C1319"/>
      <c r="M1319"/>
    </row>
    <row r="1320" spans="3:13" ht="12.75" customHeight="1">
      <c r="C1320"/>
      <c r="M1320"/>
    </row>
    <row r="1321" spans="3:13" ht="12.75" customHeight="1">
      <c r="C1321"/>
      <c r="M1321"/>
    </row>
    <row r="1322" spans="3:13" ht="12.75" customHeight="1">
      <c r="C1322"/>
      <c r="M1322"/>
    </row>
    <row r="1323" spans="3:13" ht="12.75" customHeight="1">
      <c r="C1323"/>
      <c r="M1323"/>
    </row>
    <row r="1324" spans="3:13" ht="12.75" customHeight="1">
      <c r="C1324"/>
      <c r="M1324"/>
    </row>
    <row r="1325" spans="3:13" ht="12.75" customHeight="1">
      <c r="C1325"/>
      <c r="M1325"/>
    </row>
    <row r="1326" spans="3:13" ht="12.75" customHeight="1">
      <c r="C1326"/>
      <c r="M1326"/>
    </row>
    <row r="1327" spans="3:13" ht="12.75" customHeight="1">
      <c r="C1327"/>
      <c r="M1327"/>
    </row>
    <row r="1328" spans="3:13" ht="12.75" customHeight="1">
      <c r="C1328"/>
      <c r="M1328"/>
    </row>
    <row r="1329" spans="3:13" ht="12.75" customHeight="1">
      <c r="C1329"/>
      <c r="M1329"/>
    </row>
    <row r="1330" spans="3:13" ht="12.75" customHeight="1">
      <c r="C1330"/>
      <c r="M1330"/>
    </row>
    <row r="1331" spans="3:13" ht="12.75" customHeight="1">
      <c r="C1331"/>
      <c r="M1331"/>
    </row>
    <row r="1332" spans="3:13" ht="12.75" customHeight="1">
      <c r="C1332"/>
      <c r="M1332"/>
    </row>
    <row r="1333" spans="3:13" ht="12.75" customHeight="1">
      <c r="C1333"/>
      <c r="M1333"/>
    </row>
    <row r="1334" spans="3:13" ht="12.75" customHeight="1">
      <c r="C1334"/>
      <c r="M1334"/>
    </row>
    <row r="1335" spans="3:13" ht="12.75" customHeight="1">
      <c r="C1335"/>
      <c r="M1335"/>
    </row>
    <row r="1336" spans="3:13" ht="12.75" customHeight="1">
      <c r="C1336"/>
      <c r="M1336"/>
    </row>
    <row r="1337" spans="3:13" ht="12.75" customHeight="1">
      <c r="C1337"/>
      <c r="M1337"/>
    </row>
    <row r="1338" spans="3:13" ht="12.75" customHeight="1">
      <c r="C1338"/>
      <c r="M1338"/>
    </row>
    <row r="1339" spans="3:13" ht="12.75" customHeight="1">
      <c r="C1339"/>
      <c r="M1339"/>
    </row>
    <row r="1340" spans="3:13" ht="12.75" customHeight="1">
      <c r="C1340"/>
      <c r="M1340"/>
    </row>
    <row r="1341" spans="3:13" ht="12.75" customHeight="1">
      <c r="C1341"/>
      <c r="M1341"/>
    </row>
    <row r="1342" spans="3:13" ht="12.75" customHeight="1">
      <c r="C1342"/>
      <c r="M1342"/>
    </row>
    <row r="1343" spans="3:13" ht="12.75" customHeight="1">
      <c r="C1343"/>
      <c r="M1343"/>
    </row>
    <row r="1344" spans="3:13" ht="12.75" customHeight="1">
      <c r="C1344"/>
      <c r="M1344"/>
    </row>
    <row r="1345" spans="3:13" ht="12.75" customHeight="1">
      <c r="C1345"/>
      <c r="M1345"/>
    </row>
    <row r="1346" spans="3:13" ht="12.75" customHeight="1">
      <c r="C1346"/>
      <c r="M1346"/>
    </row>
    <row r="1347" spans="3:13" ht="12.75" customHeight="1">
      <c r="C1347"/>
      <c r="M1347"/>
    </row>
    <row r="1348" spans="3:13" ht="12.75" customHeight="1">
      <c r="C1348"/>
      <c r="M1348"/>
    </row>
    <row r="1349" spans="3:13" ht="12.75" customHeight="1">
      <c r="C1349"/>
      <c r="M1349"/>
    </row>
    <row r="1350" spans="3:13" ht="12.75" customHeight="1">
      <c r="C1350"/>
      <c r="M1350"/>
    </row>
    <row r="1351" spans="3:13" ht="12.75" customHeight="1">
      <c r="C1351"/>
      <c r="M1351"/>
    </row>
    <row r="1352" spans="3:13" ht="12.75" customHeight="1">
      <c r="C1352"/>
      <c r="M1352"/>
    </row>
    <row r="1353" spans="3:13" ht="12.75" customHeight="1">
      <c r="C1353"/>
      <c r="M1353"/>
    </row>
    <row r="1354" spans="3:13" ht="12.75" customHeight="1">
      <c r="C1354"/>
      <c r="M1354"/>
    </row>
    <row r="1355" spans="3:13" ht="12.75" customHeight="1">
      <c r="C1355"/>
      <c r="M1355"/>
    </row>
    <row r="1356" spans="3:13" ht="12.75" customHeight="1">
      <c r="C1356"/>
      <c r="M1356"/>
    </row>
    <row r="1357" spans="3:13" ht="12.75" customHeight="1">
      <c r="C1357"/>
      <c r="M1357"/>
    </row>
    <row r="1358" spans="3:13" ht="12.75" customHeight="1">
      <c r="C1358"/>
      <c r="M1358"/>
    </row>
    <row r="1359" spans="3:13" ht="12.75" customHeight="1">
      <c r="C1359"/>
      <c r="M1359"/>
    </row>
    <row r="1360" spans="3:13" ht="12.75" customHeight="1">
      <c r="C1360"/>
      <c r="M1360"/>
    </row>
    <row r="1361" spans="3:13" ht="12.75" customHeight="1">
      <c r="C1361"/>
      <c r="M1361"/>
    </row>
    <row r="1362" spans="3:13" ht="12.75" customHeight="1">
      <c r="C1362"/>
      <c r="M1362"/>
    </row>
    <row r="1363" spans="3:13" ht="12.75" customHeight="1">
      <c r="C1363"/>
      <c r="M1363"/>
    </row>
    <row r="1364" spans="3:13" ht="12.75" customHeight="1">
      <c r="C1364"/>
      <c r="M1364"/>
    </row>
    <row r="1365" spans="3:13" ht="12.75" customHeight="1">
      <c r="C1365"/>
      <c r="M1365"/>
    </row>
    <row r="1366" spans="3:13" ht="12.75" customHeight="1">
      <c r="C1366"/>
      <c r="M1366"/>
    </row>
    <row r="1367" spans="3:13" ht="12.75" customHeight="1">
      <c r="C1367"/>
      <c r="M1367"/>
    </row>
    <row r="1368" spans="3:13" ht="12.75" customHeight="1">
      <c r="C1368"/>
      <c r="M1368"/>
    </row>
    <row r="1369" spans="3:13" ht="12.75" customHeight="1">
      <c r="C1369"/>
      <c r="M1369"/>
    </row>
    <row r="1370" spans="3:13" ht="12.75" customHeight="1">
      <c r="C1370"/>
      <c r="M1370"/>
    </row>
    <row r="1371" spans="3:13" ht="12.75" customHeight="1">
      <c r="C1371"/>
      <c r="M1371"/>
    </row>
    <row r="1372" spans="3:13" ht="12.75" customHeight="1">
      <c r="C1372"/>
      <c r="M1372"/>
    </row>
    <row r="1373" spans="3:13" ht="12.75" customHeight="1">
      <c r="C1373"/>
      <c r="M1373"/>
    </row>
    <row r="1374" spans="3:13" ht="12.75" customHeight="1">
      <c r="C1374"/>
      <c r="M1374"/>
    </row>
    <row r="1375" spans="3:13" ht="12.75" customHeight="1">
      <c r="C1375"/>
      <c r="M1375"/>
    </row>
    <row r="1376" spans="3:13" ht="12.75" customHeight="1">
      <c r="C1376"/>
      <c r="M1376"/>
    </row>
    <row r="1377" spans="3:13" ht="12.75" customHeight="1">
      <c r="C1377"/>
      <c r="M1377"/>
    </row>
    <row r="1378" spans="3:13" ht="12.75" customHeight="1">
      <c r="C1378"/>
      <c r="M1378"/>
    </row>
    <row r="1379" spans="3:13" ht="12.75" customHeight="1">
      <c r="C1379"/>
      <c r="M1379"/>
    </row>
    <row r="1380" spans="3:13" ht="12.75" customHeight="1">
      <c r="C1380"/>
      <c r="M1380"/>
    </row>
    <row r="1381" spans="3:13" ht="12.75" customHeight="1">
      <c r="C1381"/>
      <c r="M1381"/>
    </row>
    <row r="1382" spans="3:13" ht="12.75" customHeight="1">
      <c r="C1382"/>
      <c r="M1382"/>
    </row>
    <row r="1383" spans="3:13" ht="12.75" customHeight="1">
      <c r="C1383"/>
      <c r="M1383"/>
    </row>
    <row r="1384" spans="3:13" ht="12.75" customHeight="1">
      <c r="C1384"/>
      <c r="M1384"/>
    </row>
    <row r="1385" spans="3:13" ht="12.75" customHeight="1">
      <c r="C1385"/>
      <c r="M1385"/>
    </row>
    <row r="1386" spans="3:13" ht="12.75" customHeight="1">
      <c r="C1386"/>
      <c r="M1386"/>
    </row>
    <row r="1387" spans="3:13" ht="12.75" customHeight="1">
      <c r="C1387"/>
      <c r="M1387"/>
    </row>
    <row r="1388" spans="3:13" ht="12.75" customHeight="1">
      <c r="C1388"/>
      <c r="M1388"/>
    </row>
    <row r="1389" spans="3:13" ht="12.75" customHeight="1">
      <c r="C1389"/>
      <c r="M1389"/>
    </row>
    <row r="1390" spans="3:13" ht="12.75" customHeight="1">
      <c r="C1390"/>
      <c r="M1390"/>
    </row>
    <row r="1391" spans="3:13" ht="12.75" customHeight="1">
      <c r="C1391"/>
      <c r="M1391"/>
    </row>
    <row r="1392" spans="3:13" ht="12.75" customHeight="1">
      <c r="C1392"/>
      <c r="M1392"/>
    </row>
    <row r="1393" spans="3:13" ht="12.75" customHeight="1">
      <c r="C1393"/>
      <c r="M1393"/>
    </row>
    <row r="1394" spans="3:13" ht="12.75" customHeight="1">
      <c r="C1394"/>
      <c r="M1394"/>
    </row>
    <row r="1395" spans="3:13" ht="12.75" customHeight="1">
      <c r="C1395"/>
      <c r="M1395"/>
    </row>
    <row r="1396" spans="3:13" ht="12.75" customHeight="1">
      <c r="C1396"/>
      <c r="M1396"/>
    </row>
    <row r="1397" spans="3:13" ht="12.75" customHeight="1">
      <c r="C1397"/>
      <c r="M1397"/>
    </row>
    <row r="1398" spans="3:13" ht="12.75" customHeight="1">
      <c r="C1398"/>
      <c r="M1398"/>
    </row>
    <row r="1399" spans="3:13" ht="12.75" customHeight="1">
      <c r="C1399"/>
      <c r="M1399"/>
    </row>
    <row r="1400" spans="3:13" ht="12.75" customHeight="1">
      <c r="C1400"/>
      <c r="M1400"/>
    </row>
    <row r="1401" spans="3:13" ht="12.75" customHeight="1">
      <c r="C1401"/>
      <c r="M1401"/>
    </row>
    <row r="1402" spans="3:13" ht="12.75" customHeight="1">
      <c r="C1402"/>
      <c r="M1402"/>
    </row>
    <row r="1403" spans="3:13" ht="12.75" customHeight="1">
      <c r="C1403"/>
      <c r="M1403"/>
    </row>
    <row r="1404" spans="3:13" ht="12.75" customHeight="1">
      <c r="C1404"/>
      <c r="M1404"/>
    </row>
    <row r="1405" spans="3:13" ht="12.75" customHeight="1">
      <c r="C1405"/>
      <c r="M1405"/>
    </row>
    <row r="1406" spans="3:13" ht="12.75" customHeight="1">
      <c r="C1406"/>
      <c r="M1406"/>
    </row>
    <row r="1407" spans="3:13" ht="12.75" customHeight="1">
      <c r="C1407"/>
      <c r="M1407"/>
    </row>
    <row r="1408" spans="3:13" ht="12.75" customHeight="1">
      <c r="C1408"/>
      <c r="M1408"/>
    </row>
    <row r="1409" spans="3:13" ht="12.75" customHeight="1">
      <c r="C1409"/>
      <c r="M1409"/>
    </row>
    <row r="1410" spans="3:13" ht="12.75" customHeight="1">
      <c r="C1410"/>
      <c r="M1410"/>
    </row>
    <row r="1411" spans="3:13" ht="12.75" customHeight="1">
      <c r="C1411"/>
      <c r="M1411"/>
    </row>
    <row r="1412" spans="3:13" ht="12.75" customHeight="1">
      <c r="C1412"/>
      <c r="M1412"/>
    </row>
    <row r="1413" spans="3:13" ht="12.75" customHeight="1">
      <c r="C1413"/>
      <c r="M1413"/>
    </row>
    <row r="1414" spans="3:13" ht="12.75" customHeight="1">
      <c r="C1414"/>
      <c r="M1414"/>
    </row>
    <row r="1415" spans="3:13" ht="12.75" customHeight="1">
      <c r="C1415"/>
      <c r="M1415"/>
    </row>
    <row r="1416" spans="3:13" ht="12.75" customHeight="1">
      <c r="C1416"/>
      <c r="M1416"/>
    </row>
    <row r="1417" spans="3:13" ht="12.75" customHeight="1">
      <c r="C1417"/>
      <c r="M1417"/>
    </row>
    <row r="1418" spans="3:13" ht="12.75" customHeight="1">
      <c r="C1418"/>
      <c r="M1418"/>
    </row>
    <row r="1419" spans="3:13" ht="12.75" customHeight="1">
      <c r="C1419"/>
      <c r="M1419"/>
    </row>
    <row r="1420" spans="3:13" ht="12.75" customHeight="1">
      <c r="C1420"/>
      <c r="M1420"/>
    </row>
    <row r="1421" spans="3:13" ht="12.75" customHeight="1">
      <c r="C1421"/>
      <c r="M1421"/>
    </row>
    <row r="1422" spans="3:13" ht="12.75" customHeight="1">
      <c r="C1422"/>
      <c r="M1422"/>
    </row>
    <row r="1423" spans="3:13" ht="12.75" customHeight="1">
      <c r="C1423"/>
      <c r="M1423"/>
    </row>
    <row r="1424" spans="3:13" ht="12.75" customHeight="1">
      <c r="C1424"/>
      <c r="M1424"/>
    </row>
    <row r="1425" spans="3:13" ht="12.75" customHeight="1">
      <c r="C1425"/>
      <c r="M1425"/>
    </row>
    <row r="1426" spans="3:13" ht="12.75" customHeight="1">
      <c r="C1426"/>
      <c r="M1426"/>
    </row>
    <row r="1427" spans="3:13" ht="12.75" customHeight="1">
      <c r="C1427"/>
      <c r="M1427"/>
    </row>
    <row r="1428" spans="3:13" ht="12.75" customHeight="1">
      <c r="C1428"/>
      <c r="M1428"/>
    </row>
    <row r="1429" spans="3:13" ht="12.75" customHeight="1">
      <c r="C1429"/>
      <c r="M1429"/>
    </row>
    <row r="1430" spans="3:13" ht="12.75" customHeight="1">
      <c r="C1430"/>
      <c r="M1430"/>
    </row>
    <row r="1431" spans="3:13" ht="12.75" customHeight="1">
      <c r="C1431"/>
      <c r="M1431"/>
    </row>
    <row r="1432" spans="3:13" ht="12.75" customHeight="1">
      <c r="C1432"/>
      <c r="M1432"/>
    </row>
    <row r="1433" spans="3:13" ht="12.75" customHeight="1">
      <c r="C1433"/>
      <c r="M1433"/>
    </row>
    <row r="1434" spans="3:13" ht="12.75" customHeight="1">
      <c r="C1434"/>
      <c r="M1434"/>
    </row>
    <row r="1435" spans="3:13" ht="12.75" customHeight="1">
      <c r="C1435"/>
      <c r="M1435"/>
    </row>
    <row r="1436" spans="3:13" ht="12.75" customHeight="1">
      <c r="C1436"/>
      <c r="M1436"/>
    </row>
    <row r="1437" spans="3:13" ht="12.75" customHeight="1">
      <c r="C1437"/>
      <c r="M1437"/>
    </row>
    <row r="1438" spans="3:13" ht="12.75" customHeight="1">
      <c r="C1438"/>
      <c r="M1438"/>
    </row>
    <row r="1439" spans="3:13" ht="12.75" customHeight="1">
      <c r="C1439"/>
      <c r="M1439"/>
    </row>
    <row r="1440" spans="3:13" ht="12.75" customHeight="1">
      <c r="C1440"/>
      <c r="M1440"/>
    </row>
    <row r="1441" spans="3:13" ht="12.75" customHeight="1">
      <c r="C1441"/>
      <c r="M1441"/>
    </row>
    <row r="1442" spans="3:13" ht="12.75" customHeight="1">
      <c r="C1442"/>
      <c r="M1442"/>
    </row>
    <row r="1443" spans="3:13" ht="12.75" customHeight="1">
      <c r="C1443"/>
      <c r="M1443"/>
    </row>
    <row r="1444" spans="3:13" ht="12.75" customHeight="1">
      <c r="C1444"/>
      <c r="M1444"/>
    </row>
    <row r="1445" spans="3:13" ht="12.75" customHeight="1">
      <c r="C1445"/>
      <c r="M1445"/>
    </row>
    <row r="1446" spans="3:13" ht="12.75" customHeight="1">
      <c r="C1446"/>
      <c r="M1446"/>
    </row>
    <row r="1447" spans="3:13" ht="12.75" customHeight="1">
      <c r="C1447"/>
      <c r="M1447"/>
    </row>
    <row r="1448" spans="3:13" ht="12.75" customHeight="1">
      <c r="C1448"/>
      <c r="M1448"/>
    </row>
    <row r="1449" spans="3:13" ht="12.75" customHeight="1">
      <c r="C1449"/>
      <c r="M1449"/>
    </row>
    <row r="1450" spans="3:13" ht="12.75" customHeight="1">
      <c r="C1450"/>
      <c r="M1450"/>
    </row>
    <row r="1451" spans="3:13" ht="12.75" customHeight="1">
      <c r="C1451"/>
      <c r="M1451"/>
    </row>
    <row r="1452" spans="3:13" ht="12.75" customHeight="1">
      <c r="C1452"/>
      <c r="M1452"/>
    </row>
    <row r="1453" spans="3:13" ht="12.75" customHeight="1">
      <c r="C1453"/>
      <c r="M1453"/>
    </row>
    <row r="1454" spans="3:13" ht="12.75" customHeight="1">
      <c r="C1454"/>
      <c r="M1454"/>
    </row>
    <row r="1455" spans="3:13" ht="12.75" customHeight="1">
      <c r="C1455"/>
      <c r="M1455"/>
    </row>
    <row r="1456" spans="3:13" ht="12.75" customHeight="1">
      <c r="C1456"/>
      <c r="M1456"/>
    </row>
    <row r="1457" spans="3:13" ht="12.75" customHeight="1">
      <c r="C1457"/>
      <c r="M1457"/>
    </row>
    <row r="1458" spans="3:13" ht="12.75" customHeight="1">
      <c r="C1458"/>
      <c r="M1458"/>
    </row>
    <row r="1459" spans="3:13" ht="12.75" customHeight="1">
      <c r="C1459"/>
      <c r="M1459"/>
    </row>
    <row r="1460" spans="3:13" ht="12.75" customHeight="1">
      <c r="C1460"/>
      <c r="M1460"/>
    </row>
    <row r="1461" spans="3:13" ht="12.75" customHeight="1">
      <c r="C1461"/>
      <c r="M1461"/>
    </row>
    <row r="1462" spans="3:13" ht="12.75" customHeight="1">
      <c r="C1462"/>
      <c r="M1462"/>
    </row>
    <row r="1463" spans="3:13" ht="12.75" customHeight="1">
      <c r="C1463"/>
      <c r="M1463"/>
    </row>
    <row r="1464" spans="3:13" ht="12.75" customHeight="1">
      <c r="C1464"/>
      <c r="M1464"/>
    </row>
    <row r="1465" spans="3:13" ht="12.75" customHeight="1">
      <c r="C1465"/>
      <c r="M1465"/>
    </row>
    <row r="1466" spans="3:13" ht="12.75" customHeight="1">
      <c r="C1466"/>
      <c r="M1466"/>
    </row>
    <row r="1467" spans="3:13" ht="12.75" customHeight="1">
      <c r="C1467"/>
      <c r="M1467"/>
    </row>
    <row r="1468" spans="3:13" ht="12.75" customHeight="1">
      <c r="C1468"/>
      <c r="M1468"/>
    </row>
    <row r="1469" spans="3:13" ht="12.75" customHeight="1">
      <c r="C1469"/>
      <c r="M1469"/>
    </row>
    <row r="1470" spans="3:13" ht="12.75" customHeight="1">
      <c r="C1470"/>
      <c r="M1470"/>
    </row>
    <row r="1471" spans="3:13" ht="12.75" customHeight="1">
      <c r="C1471"/>
      <c r="M1471"/>
    </row>
    <row r="1472" spans="3:13" ht="12.75" customHeight="1">
      <c r="C1472"/>
      <c r="M1472"/>
    </row>
    <row r="1473" spans="3:13" ht="12.75" customHeight="1">
      <c r="C1473"/>
      <c r="M1473"/>
    </row>
    <row r="1474" spans="3:13" ht="12.75" customHeight="1">
      <c r="C1474"/>
      <c r="M1474"/>
    </row>
    <row r="1475" spans="3:13" ht="12.75" customHeight="1">
      <c r="C1475"/>
      <c r="M1475"/>
    </row>
    <row r="1476" spans="3:13" ht="12.75" customHeight="1">
      <c r="C1476"/>
      <c r="M1476"/>
    </row>
    <row r="1477" spans="3:13" ht="12.75" customHeight="1">
      <c r="C1477"/>
      <c r="M1477"/>
    </row>
    <row r="1478" spans="3:13" ht="12.75" customHeight="1">
      <c r="C1478"/>
      <c r="M1478"/>
    </row>
    <row r="1479" spans="3:13" ht="12.75" customHeight="1">
      <c r="C1479"/>
      <c r="M1479"/>
    </row>
    <row r="1480" spans="3:13" ht="12.75" customHeight="1">
      <c r="C1480"/>
      <c r="M1480"/>
    </row>
    <row r="1481" spans="3:13" ht="12.75" customHeight="1">
      <c r="C1481"/>
      <c r="M1481"/>
    </row>
    <row r="1482" spans="3:13" ht="12.75" customHeight="1">
      <c r="C1482"/>
      <c r="M1482"/>
    </row>
    <row r="1483" spans="3:13" ht="12.75" customHeight="1">
      <c r="C1483"/>
      <c r="M1483"/>
    </row>
    <row r="1484" spans="3:13" ht="12.75" customHeight="1">
      <c r="C1484"/>
      <c r="M1484"/>
    </row>
    <row r="1485" spans="3:13" ht="12.75" customHeight="1">
      <c r="C1485"/>
      <c r="M1485"/>
    </row>
    <row r="1486" spans="3:13" ht="12.75" customHeight="1">
      <c r="C1486"/>
      <c r="M1486"/>
    </row>
    <row r="1487" spans="3:13" ht="12.75" customHeight="1">
      <c r="C1487"/>
      <c r="M1487"/>
    </row>
    <row r="1488" spans="3:13" ht="12.75" customHeight="1">
      <c r="C1488"/>
      <c r="M1488"/>
    </row>
    <row r="1489" spans="3:13" ht="12.75" customHeight="1">
      <c r="C1489"/>
      <c r="M1489"/>
    </row>
    <row r="1490" spans="3:13" ht="12.75" customHeight="1">
      <c r="C1490"/>
      <c r="M1490"/>
    </row>
    <row r="1491" spans="3:13" ht="12.75" customHeight="1">
      <c r="C1491"/>
      <c r="M1491"/>
    </row>
    <row r="1492" spans="3:13" ht="12.75" customHeight="1">
      <c r="C1492"/>
      <c r="M1492"/>
    </row>
    <row r="1493" spans="3:13" ht="12.75" customHeight="1">
      <c r="C1493"/>
      <c r="M1493"/>
    </row>
    <row r="1494" spans="3:13" ht="12.75" customHeight="1">
      <c r="C1494"/>
      <c r="M1494"/>
    </row>
    <row r="1495" spans="3:13" ht="12.75" customHeight="1">
      <c r="C1495"/>
      <c r="M1495"/>
    </row>
    <row r="1496" spans="3:13" ht="12.75" customHeight="1">
      <c r="C1496"/>
      <c r="M1496"/>
    </row>
    <row r="1497" spans="3:13" ht="12.75" customHeight="1">
      <c r="C1497"/>
      <c r="M1497"/>
    </row>
    <row r="1498" spans="3:13" ht="12.75" customHeight="1">
      <c r="C1498"/>
      <c r="M1498"/>
    </row>
    <row r="1499" spans="3:13" ht="12.75" customHeight="1">
      <c r="C1499"/>
      <c r="M1499"/>
    </row>
    <row r="1500" spans="3:13" ht="12.75" customHeight="1">
      <c r="C1500"/>
      <c r="M1500"/>
    </row>
    <row r="1501" spans="3:13" ht="12.75" customHeight="1">
      <c r="C1501"/>
      <c r="M1501"/>
    </row>
    <row r="1502" spans="3:13" ht="12.75" customHeight="1">
      <c r="C1502"/>
      <c r="M1502"/>
    </row>
    <row r="1503" spans="3:13" ht="12.75" customHeight="1">
      <c r="C1503"/>
      <c r="M1503"/>
    </row>
    <row r="1504" spans="3:13" ht="12.75" customHeight="1">
      <c r="C1504"/>
      <c r="M1504"/>
    </row>
    <row r="1505" spans="3:13" ht="12.75" customHeight="1">
      <c r="C1505"/>
      <c r="M1505"/>
    </row>
    <row r="1506" spans="3:13" ht="12.75" customHeight="1">
      <c r="C1506"/>
      <c r="M1506"/>
    </row>
    <row r="1507" spans="3:13" ht="12.75" customHeight="1">
      <c r="C1507"/>
      <c r="M1507"/>
    </row>
    <row r="1508" spans="3:13" ht="12.75" customHeight="1">
      <c r="C1508"/>
      <c r="M1508"/>
    </row>
    <row r="1509" spans="3:13" ht="12.75" customHeight="1">
      <c r="C1509"/>
      <c r="M1509"/>
    </row>
    <row r="1510" spans="3:13" ht="12.75" customHeight="1">
      <c r="C1510"/>
      <c r="M1510"/>
    </row>
    <row r="1511" spans="3:13" ht="12.75" customHeight="1">
      <c r="C1511"/>
      <c r="M1511"/>
    </row>
    <row r="1512" spans="3:13" ht="12.75" customHeight="1">
      <c r="C1512"/>
      <c r="M1512"/>
    </row>
    <row r="1513" spans="3:13" ht="12.75" customHeight="1">
      <c r="C1513"/>
      <c r="M1513"/>
    </row>
    <row r="1514" spans="3:13" ht="12.75" customHeight="1">
      <c r="C1514"/>
      <c r="M1514"/>
    </row>
    <row r="1515" spans="3:13" ht="12.75" customHeight="1">
      <c r="C1515"/>
      <c r="M1515"/>
    </row>
    <row r="1516" spans="3:13" ht="12.75" customHeight="1">
      <c r="C1516"/>
      <c r="M1516"/>
    </row>
    <row r="1517" spans="3:13" ht="12.75" customHeight="1">
      <c r="C1517"/>
      <c r="M1517"/>
    </row>
    <row r="1518" spans="3:13" ht="12.75" customHeight="1">
      <c r="C1518"/>
      <c r="M1518"/>
    </row>
    <row r="1519" spans="3:13" ht="12.75" customHeight="1">
      <c r="C1519"/>
      <c r="M1519"/>
    </row>
    <row r="1520" spans="3:13" ht="12.75" customHeight="1">
      <c r="C1520"/>
      <c r="M1520"/>
    </row>
    <row r="1521" spans="3:13" ht="12.75" customHeight="1">
      <c r="C1521"/>
      <c r="M1521"/>
    </row>
    <row r="1522" spans="3:13" ht="12.75" customHeight="1">
      <c r="C1522"/>
      <c r="M1522"/>
    </row>
    <row r="1523" spans="3:13" ht="12.75" customHeight="1">
      <c r="C1523"/>
      <c r="M1523"/>
    </row>
    <row r="1524" spans="3:13" ht="12.75" customHeight="1">
      <c r="C1524"/>
      <c r="M1524"/>
    </row>
    <row r="1525" spans="3:13" ht="12.75" customHeight="1">
      <c r="C1525"/>
      <c r="M1525"/>
    </row>
    <row r="1526" spans="3:13" ht="12.75" customHeight="1">
      <c r="C1526"/>
      <c r="M1526"/>
    </row>
    <row r="1527" spans="3:13" ht="12.75" customHeight="1">
      <c r="C1527"/>
      <c r="M1527"/>
    </row>
    <row r="1528" spans="3:13" ht="12.75" customHeight="1">
      <c r="C1528"/>
      <c r="M1528"/>
    </row>
    <row r="1529" spans="3:13" ht="12.75" customHeight="1">
      <c r="C1529"/>
      <c r="M1529"/>
    </row>
    <row r="1530" spans="3:13" ht="12.75" customHeight="1">
      <c r="C1530"/>
      <c r="M1530"/>
    </row>
    <row r="1531" spans="3:13" ht="12.75" customHeight="1">
      <c r="C1531"/>
      <c r="M1531"/>
    </row>
    <row r="1532" spans="3:13" ht="12.75" customHeight="1">
      <c r="C1532"/>
      <c r="M1532"/>
    </row>
    <row r="1533" spans="3:13" ht="12.75" customHeight="1">
      <c r="C1533"/>
      <c r="M1533"/>
    </row>
    <row r="1534" spans="3:13" ht="12.75" customHeight="1">
      <c r="C1534"/>
      <c r="M1534"/>
    </row>
    <row r="1535" spans="3:13" ht="12.75" customHeight="1">
      <c r="C1535"/>
      <c r="M1535"/>
    </row>
    <row r="1536" spans="3:13" ht="12.75" customHeight="1">
      <c r="C1536"/>
      <c r="M1536"/>
    </row>
    <row r="1537" spans="3:13" ht="12.75" customHeight="1">
      <c r="C1537"/>
      <c r="M1537"/>
    </row>
    <row r="1538" spans="3:13" ht="12.75" customHeight="1">
      <c r="C1538"/>
      <c r="M1538"/>
    </row>
    <row r="1539" spans="3:13" ht="12.75" customHeight="1">
      <c r="C1539"/>
      <c r="M1539"/>
    </row>
    <row r="1540" spans="3:13" ht="12.75" customHeight="1">
      <c r="C1540"/>
      <c r="M1540"/>
    </row>
    <row r="1541" spans="3:13" ht="12.75" customHeight="1">
      <c r="C1541"/>
      <c r="M1541"/>
    </row>
    <row r="1542" spans="3:13" ht="12.75" customHeight="1">
      <c r="C1542"/>
      <c r="M1542"/>
    </row>
    <row r="1543" spans="3:13" ht="12.75" customHeight="1">
      <c r="C1543"/>
      <c r="M1543"/>
    </row>
    <row r="1544" spans="3:13" ht="12.75" customHeight="1">
      <c r="C1544"/>
      <c r="M1544"/>
    </row>
    <row r="1545" spans="3:13" ht="12.75" customHeight="1">
      <c r="C1545"/>
      <c r="M1545"/>
    </row>
    <row r="1546" spans="3:13" ht="12.75" customHeight="1">
      <c r="C1546"/>
      <c r="M1546"/>
    </row>
    <row r="1547" spans="3:13" ht="12.75" customHeight="1">
      <c r="C1547"/>
      <c r="M1547"/>
    </row>
    <row r="1548" spans="3:13" ht="12.75" customHeight="1">
      <c r="C1548"/>
      <c r="M1548"/>
    </row>
    <row r="1549" spans="3:13" ht="12.75" customHeight="1">
      <c r="C1549"/>
      <c r="M1549"/>
    </row>
    <row r="1550" spans="3:13" ht="12.75" customHeight="1">
      <c r="C1550"/>
      <c r="M1550"/>
    </row>
    <row r="1551" spans="3:13" ht="12.75" customHeight="1">
      <c r="C1551"/>
      <c r="M1551"/>
    </row>
    <row r="1552" spans="3:13" ht="12.75" customHeight="1">
      <c r="C1552"/>
      <c r="M1552"/>
    </row>
    <row r="1553" spans="3:13" ht="12.75" customHeight="1">
      <c r="C1553"/>
      <c r="M1553"/>
    </row>
    <row r="1554" spans="3:13" ht="12.75" customHeight="1">
      <c r="C1554"/>
      <c r="M1554"/>
    </row>
    <row r="1555" spans="3:13" ht="12.75" customHeight="1">
      <c r="C1555"/>
      <c r="M1555"/>
    </row>
    <row r="1556" spans="3:13" ht="12.75" customHeight="1">
      <c r="C1556"/>
      <c r="M1556"/>
    </row>
    <row r="1557" spans="3:13" ht="12.75" customHeight="1">
      <c r="C1557"/>
      <c r="M1557"/>
    </row>
    <row r="1558" spans="3:13" ht="12.75" customHeight="1">
      <c r="C1558"/>
      <c r="M1558"/>
    </row>
    <row r="1559" spans="3:13" ht="12.75" customHeight="1">
      <c r="C1559"/>
      <c r="M1559"/>
    </row>
    <row r="1560" spans="3:13" ht="12.75" customHeight="1">
      <c r="C1560"/>
      <c r="M1560"/>
    </row>
    <row r="1561" spans="3:13" ht="12.75" customHeight="1">
      <c r="C1561"/>
      <c r="M1561"/>
    </row>
    <row r="1562" spans="3:13" ht="12.75" customHeight="1">
      <c r="C1562"/>
      <c r="M1562"/>
    </row>
    <row r="1563" spans="3:13" ht="12.75" customHeight="1">
      <c r="C1563"/>
      <c r="M1563"/>
    </row>
    <row r="1564" spans="3:13" ht="12.75" customHeight="1">
      <c r="C1564"/>
      <c r="M1564"/>
    </row>
    <row r="1565" spans="3:13" ht="12.75" customHeight="1">
      <c r="C1565"/>
      <c r="M1565"/>
    </row>
    <row r="1566" spans="3:13" ht="12.75" customHeight="1">
      <c r="C1566"/>
      <c r="M1566"/>
    </row>
    <row r="1567" spans="3:13" ht="12.75" customHeight="1">
      <c r="C1567"/>
      <c r="M1567"/>
    </row>
    <row r="1568" spans="3:13" ht="12.75" customHeight="1">
      <c r="C1568"/>
      <c r="M1568"/>
    </row>
    <row r="1569" spans="3:13" ht="12.75" customHeight="1">
      <c r="C1569"/>
      <c r="M1569"/>
    </row>
    <row r="1570" spans="3:13" ht="12.75" customHeight="1">
      <c r="C1570"/>
      <c r="M1570"/>
    </row>
    <row r="1571" spans="3:13" ht="12.75" customHeight="1">
      <c r="C1571"/>
      <c r="M1571"/>
    </row>
    <row r="1572" spans="3:13" ht="12.75" customHeight="1">
      <c r="C1572"/>
      <c r="M1572"/>
    </row>
    <row r="1573" spans="3:13" ht="12.75" customHeight="1">
      <c r="C1573"/>
      <c r="M1573"/>
    </row>
    <row r="1574" spans="3:13" ht="12.75" customHeight="1">
      <c r="C1574"/>
      <c r="M1574"/>
    </row>
    <row r="1575" spans="3:13" ht="12.75" customHeight="1">
      <c r="C1575"/>
      <c r="M1575"/>
    </row>
    <row r="1576" spans="3:13" ht="12.75" customHeight="1">
      <c r="C1576"/>
      <c r="M1576"/>
    </row>
    <row r="1577" spans="3:13" ht="12.75" customHeight="1">
      <c r="C1577"/>
      <c r="M1577"/>
    </row>
    <row r="1578" spans="3:13" ht="12.75" customHeight="1">
      <c r="C1578"/>
      <c r="M1578"/>
    </row>
    <row r="1579" spans="3:13" ht="12.75" customHeight="1">
      <c r="C1579"/>
      <c r="M1579"/>
    </row>
    <row r="1580" spans="3:13" ht="12.75" customHeight="1">
      <c r="C1580"/>
      <c r="M1580"/>
    </row>
    <row r="1581" spans="3:13" ht="12.75" customHeight="1">
      <c r="C1581"/>
      <c r="M1581"/>
    </row>
    <row r="1582" spans="3:13" ht="12.75" customHeight="1">
      <c r="C1582"/>
      <c r="M1582"/>
    </row>
    <row r="1583" spans="3:13" ht="12.75" customHeight="1">
      <c r="C1583"/>
      <c r="M1583"/>
    </row>
    <row r="1584" spans="3:13" ht="12.75" customHeight="1">
      <c r="C1584"/>
      <c r="M1584"/>
    </row>
    <row r="1585" spans="3:13" ht="12.75" customHeight="1">
      <c r="C1585"/>
      <c r="M1585"/>
    </row>
    <row r="1586" spans="3:13" ht="12.75" customHeight="1">
      <c r="C1586"/>
      <c r="M1586"/>
    </row>
    <row r="1587" spans="3:13" ht="12.75" customHeight="1">
      <c r="C1587"/>
      <c r="M1587"/>
    </row>
    <row r="1588" spans="3:13" ht="12.75" customHeight="1">
      <c r="C1588"/>
      <c r="M1588"/>
    </row>
    <row r="1589" spans="3:13" ht="12.75" customHeight="1">
      <c r="C1589"/>
      <c r="M1589"/>
    </row>
    <row r="1590" spans="3:13" ht="12.75" customHeight="1">
      <c r="C1590"/>
      <c r="M1590"/>
    </row>
    <row r="1591" spans="3:13" ht="12.75" customHeight="1">
      <c r="C1591"/>
      <c r="M1591"/>
    </row>
    <row r="1592" spans="3:13" ht="12.75" customHeight="1">
      <c r="C1592"/>
      <c r="M1592"/>
    </row>
    <row r="1593" spans="3:13" ht="12.75" customHeight="1">
      <c r="C1593"/>
      <c r="M1593"/>
    </row>
    <row r="1594" spans="3:13" ht="12.75" customHeight="1">
      <c r="C1594"/>
      <c r="M1594"/>
    </row>
    <row r="1595" spans="3:13" ht="12.75" customHeight="1">
      <c r="C1595"/>
      <c r="M1595"/>
    </row>
    <row r="1596" spans="3:13" ht="12.75" customHeight="1">
      <c r="C1596"/>
      <c r="M1596"/>
    </row>
    <row r="1597" spans="3:13" ht="12.75" customHeight="1">
      <c r="C1597"/>
      <c r="M1597"/>
    </row>
    <row r="1598" spans="3:13" ht="12.75" customHeight="1">
      <c r="C1598"/>
      <c r="M1598"/>
    </row>
    <row r="1599" spans="3:13" ht="12.75" customHeight="1">
      <c r="C1599"/>
      <c r="M1599"/>
    </row>
    <row r="1600" spans="3:13" ht="12.75" customHeight="1">
      <c r="C1600"/>
      <c r="M1600"/>
    </row>
    <row r="1601" spans="3:13" ht="12.75" customHeight="1">
      <c r="C1601"/>
      <c r="M1601"/>
    </row>
    <row r="1602" spans="3:13" ht="12.75" customHeight="1">
      <c r="C1602"/>
      <c r="M1602"/>
    </row>
    <row r="1603" spans="3:13" ht="12.75" customHeight="1">
      <c r="C1603"/>
      <c r="M1603"/>
    </row>
    <row r="1604" spans="3:13" ht="12.75" customHeight="1">
      <c r="C1604"/>
      <c r="M1604"/>
    </row>
    <row r="1605" spans="3:13" ht="12.75" customHeight="1">
      <c r="C1605"/>
      <c r="M1605"/>
    </row>
    <row r="1606" spans="3:13" ht="12.75" customHeight="1">
      <c r="C1606"/>
      <c r="M1606"/>
    </row>
    <row r="1607" spans="3:13" ht="12.75" customHeight="1">
      <c r="C1607"/>
      <c r="M1607"/>
    </row>
    <row r="1608" spans="3:13" ht="12.75" customHeight="1">
      <c r="C1608"/>
      <c r="M1608"/>
    </row>
    <row r="1609" spans="3:13" ht="12.75" customHeight="1">
      <c r="C1609"/>
      <c r="M1609"/>
    </row>
    <row r="1610" spans="3:13" ht="12.75" customHeight="1">
      <c r="C1610"/>
      <c r="M1610"/>
    </row>
    <row r="1611" spans="3:13" ht="12.75" customHeight="1">
      <c r="C1611"/>
      <c r="M1611"/>
    </row>
    <row r="1612" spans="3:13" ht="12.75" customHeight="1">
      <c r="C1612"/>
      <c r="M1612"/>
    </row>
    <row r="1613" spans="3:13" ht="12.75" customHeight="1">
      <c r="C1613"/>
      <c r="M1613"/>
    </row>
    <row r="1614" spans="3:13" ht="12.75" customHeight="1">
      <c r="C1614"/>
      <c r="M1614"/>
    </row>
    <row r="1615" spans="3:13" ht="12.75" customHeight="1">
      <c r="C1615"/>
      <c r="M1615"/>
    </row>
    <row r="1616" spans="3:13" ht="12.75" customHeight="1">
      <c r="C1616"/>
      <c r="M1616"/>
    </row>
    <row r="1617" spans="3:13" ht="12.75" customHeight="1">
      <c r="C1617"/>
      <c r="M1617"/>
    </row>
    <row r="1618" spans="3:13" ht="12.75" customHeight="1">
      <c r="C1618"/>
      <c r="M1618"/>
    </row>
    <row r="1619" spans="3:13" ht="12.75" customHeight="1">
      <c r="C1619"/>
      <c r="M1619"/>
    </row>
    <row r="1620" spans="3:13" ht="12.75" customHeight="1">
      <c r="C1620"/>
      <c r="M1620"/>
    </row>
    <row r="1621" spans="3:13" ht="12.75" customHeight="1">
      <c r="C1621"/>
      <c r="M1621"/>
    </row>
    <row r="1622" spans="3:13" ht="12.75" customHeight="1">
      <c r="C1622"/>
      <c r="M1622"/>
    </row>
    <row r="1623" spans="3:13" ht="12.75" customHeight="1">
      <c r="C1623"/>
      <c r="M1623"/>
    </row>
    <row r="1624" spans="3:13" ht="12.75" customHeight="1">
      <c r="C1624"/>
      <c r="M1624"/>
    </row>
    <row r="1625" spans="3:13" ht="12.75" customHeight="1">
      <c r="C1625"/>
      <c r="M1625"/>
    </row>
    <row r="1626" spans="3:13" ht="12.75" customHeight="1">
      <c r="C1626"/>
      <c r="M1626"/>
    </row>
    <row r="1627" spans="3:13" ht="12.75" customHeight="1">
      <c r="C1627"/>
      <c r="M1627"/>
    </row>
    <row r="1628" spans="3:13" ht="12.75" customHeight="1">
      <c r="C1628"/>
      <c r="M1628"/>
    </row>
    <row r="1629" spans="3:13" ht="12.75" customHeight="1">
      <c r="C1629"/>
      <c r="M1629"/>
    </row>
    <row r="1630" spans="3:13" ht="12.75" customHeight="1">
      <c r="C1630"/>
      <c r="M1630"/>
    </row>
    <row r="1631" spans="3:13" ht="12.75" customHeight="1">
      <c r="C1631"/>
      <c r="M1631"/>
    </row>
    <row r="1632" spans="3:13" ht="12.75" customHeight="1">
      <c r="C1632"/>
      <c r="M1632"/>
    </row>
    <row r="1633" spans="3:13" ht="12.75" customHeight="1">
      <c r="C1633"/>
      <c r="M1633"/>
    </row>
    <row r="1634" spans="3:13" ht="12.75" customHeight="1">
      <c r="C1634"/>
      <c r="M1634"/>
    </row>
    <row r="1635" spans="3:13" ht="12.75" customHeight="1">
      <c r="C1635"/>
      <c r="M1635"/>
    </row>
    <row r="1636" spans="3:13" ht="12.75" customHeight="1">
      <c r="C1636"/>
      <c r="M1636"/>
    </row>
    <row r="1637" spans="3:13" ht="12.75" customHeight="1">
      <c r="C1637"/>
      <c r="M1637"/>
    </row>
    <row r="1638" spans="3:13" ht="12.75" customHeight="1">
      <c r="C1638"/>
      <c r="M1638"/>
    </row>
    <row r="1639" spans="3:13" ht="12.75" customHeight="1">
      <c r="C1639"/>
      <c r="M1639"/>
    </row>
    <row r="1640" spans="3:13" ht="12.75" customHeight="1">
      <c r="C1640"/>
      <c r="M1640"/>
    </row>
    <row r="1641" spans="3:13" ht="12.75" customHeight="1">
      <c r="C1641"/>
      <c r="M1641"/>
    </row>
    <row r="1642" spans="3:13" ht="12.75" customHeight="1">
      <c r="C1642"/>
      <c r="M1642"/>
    </row>
    <row r="1643" spans="3:13" ht="12.75" customHeight="1">
      <c r="C1643"/>
      <c r="M1643"/>
    </row>
    <row r="1644" spans="3:13" ht="12.75" customHeight="1">
      <c r="C1644"/>
      <c r="M1644"/>
    </row>
    <row r="1645" spans="3:13" ht="12.75" customHeight="1">
      <c r="C1645"/>
      <c r="M1645"/>
    </row>
    <row r="1646" spans="3:13" ht="12.75" customHeight="1">
      <c r="C1646"/>
      <c r="M1646"/>
    </row>
    <row r="1647" spans="3:13" ht="12.75" customHeight="1">
      <c r="C1647"/>
      <c r="M1647"/>
    </row>
    <row r="1648" spans="3:13" ht="12.75" customHeight="1">
      <c r="C1648"/>
      <c r="M1648"/>
    </row>
    <row r="1649" spans="3:13" ht="12.75" customHeight="1">
      <c r="C1649"/>
      <c r="M1649"/>
    </row>
    <row r="1650" spans="3:13" ht="12.75" customHeight="1">
      <c r="C1650"/>
      <c r="M1650"/>
    </row>
    <row r="1651" spans="3:13" ht="12.75" customHeight="1">
      <c r="C1651"/>
      <c r="M1651"/>
    </row>
    <row r="1652" spans="3:13" ht="12.75" customHeight="1">
      <c r="C1652"/>
      <c r="M1652"/>
    </row>
    <row r="1653" spans="3:13" ht="12.75" customHeight="1">
      <c r="C1653"/>
      <c r="M1653"/>
    </row>
    <row r="1654" spans="3:13" ht="12.75" customHeight="1">
      <c r="C1654"/>
      <c r="M1654"/>
    </row>
    <row r="1655" spans="3:13" ht="12.75" customHeight="1">
      <c r="C1655"/>
      <c r="M1655"/>
    </row>
    <row r="1656" spans="3:13" ht="12.75" customHeight="1">
      <c r="C1656"/>
      <c r="M1656"/>
    </row>
    <row r="1657" spans="3:13" ht="12.75" customHeight="1">
      <c r="C1657"/>
      <c r="M1657"/>
    </row>
    <row r="1658" spans="3:13" ht="12.75" customHeight="1">
      <c r="C1658"/>
      <c r="M1658"/>
    </row>
    <row r="1659" spans="3:13" ht="12.75" customHeight="1">
      <c r="C1659"/>
      <c r="M1659"/>
    </row>
    <row r="1660" spans="3:13" ht="12.75" customHeight="1">
      <c r="C1660"/>
      <c r="M1660"/>
    </row>
    <row r="1661" spans="3:13" ht="12.75" customHeight="1">
      <c r="C1661"/>
      <c r="M1661"/>
    </row>
    <row r="1662" spans="3:13" ht="12.75" customHeight="1">
      <c r="C1662"/>
      <c r="M1662"/>
    </row>
    <row r="1663" spans="3:13" ht="12.75" customHeight="1">
      <c r="C1663"/>
      <c r="M1663"/>
    </row>
    <row r="1664" spans="3:13" ht="12.75" customHeight="1">
      <c r="C1664"/>
      <c r="M1664"/>
    </row>
    <row r="1665" spans="3:13" ht="12.75" customHeight="1">
      <c r="C1665"/>
      <c r="M1665"/>
    </row>
    <row r="1666" spans="3:13" ht="12.75" customHeight="1">
      <c r="C1666"/>
      <c r="M1666"/>
    </row>
    <row r="1667" spans="3:13" ht="12.75" customHeight="1">
      <c r="C1667"/>
      <c r="M1667"/>
    </row>
    <row r="1668" spans="3:13" ht="12.75" customHeight="1">
      <c r="C1668"/>
      <c r="M1668"/>
    </row>
    <row r="1669" spans="3:13" ht="12.75" customHeight="1">
      <c r="C1669"/>
      <c r="M1669"/>
    </row>
    <row r="1670" spans="3:13" ht="12.75" customHeight="1">
      <c r="C1670"/>
      <c r="M1670"/>
    </row>
    <row r="1671" spans="3:13" ht="12.75" customHeight="1">
      <c r="C1671"/>
      <c r="M1671"/>
    </row>
    <row r="1672" spans="3:13" ht="12.75" customHeight="1">
      <c r="C1672"/>
      <c r="M1672"/>
    </row>
    <row r="1673" spans="3:13" ht="12.75" customHeight="1">
      <c r="C1673"/>
      <c r="M1673"/>
    </row>
    <row r="1674" spans="3:13" ht="12.75" customHeight="1">
      <c r="C1674"/>
      <c r="M1674"/>
    </row>
    <row r="1675" spans="3:13" ht="12.75" customHeight="1">
      <c r="C1675"/>
      <c r="M1675"/>
    </row>
    <row r="1676" spans="3:13" ht="12.75" customHeight="1">
      <c r="C1676"/>
      <c r="M1676"/>
    </row>
    <row r="1677" spans="3:13" ht="12.75" customHeight="1">
      <c r="C1677"/>
      <c r="M1677"/>
    </row>
    <row r="1678" spans="3:13" ht="12.75" customHeight="1">
      <c r="C1678"/>
      <c r="M1678"/>
    </row>
    <row r="1679" spans="3:13" ht="12.75" customHeight="1">
      <c r="C1679"/>
      <c r="M1679"/>
    </row>
    <row r="1680" spans="3:13" ht="12.75" customHeight="1">
      <c r="C1680"/>
      <c r="M1680"/>
    </row>
    <row r="1681" spans="3:13" ht="12.75" customHeight="1">
      <c r="C1681"/>
      <c r="M1681"/>
    </row>
    <row r="1682" spans="3:13" ht="12.75" customHeight="1">
      <c r="C1682"/>
      <c r="M1682"/>
    </row>
    <row r="1683" spans="3:13" ht="12.75" customHeight="1">
      <c r="C1683"/>
      <c r="M1683"/>
    </row>
    <row r="1684" spans="3:13" ht="12.75" customHeight="1">
      <c r="C1684"/>
      <c r="M1684"/>
    </row>
    <row r="1685" spans="3:13" ht="12.75" customHeight="1">
      <c r="C1685"/>
      <c r="M1685"/>
    </row>
    <row r="1686" spans="3:13" ht="12.75" customHeight="1">
      <c r="C1686"/>
      <c r="M1686"/>
    </row>
    <row r="1687" spans="3:13" ht="12.75" customHeight="1">
      <c r="C1687"/>
      <c r="M1687"/>
    </row>
    <row r="1688" spans="3:13" ht="12.75" customHeight="1">
      <c r="C1688"/>
      <c r="M1688"/>
    </row>
    <row r="1689" spans="3:13" ht="12.75" customHeight="1">
      <c r="C1689"/>
      <c r="M1689"/>
    </row>
    <row r="1690" spans="3:13" ht="12.75" customHeight="1">
      <c r="C1690"/>
      <c r="M1690"/>
    </row>
    <row r="1691" spans="3:13" ht="12.75" customHeight="1">
      <c r="C1691"/>
      <c r="M1691"/>
    </row>
    <row r="1692" spans="3:13" ht="12.75" customHeight="1">
      <c r="C1692"/>
      <c r="M1692"/>
    </row>
    <row r="1693" spans="3:13" ht="12.75" customHeight="1">
      <c r="C1693"/>
      <c r="M1693"/>
    </row>
    <row r="1694" spans="3:13" ht="12.75" customHeight="1">
      <c r="C1694"/>
      <c r="M1694"/>
    </row>
    <row r="1695" spans="3:13" ht="12.75" customHeight="1">
      <c r="C1695"/>
      <c r="M1695"/>
    </row>
    <row r="1696" spans="3:13" ht="12.75" customHeight="1">
      <c r="C1696"/>
      <c r="M1696"/>
    </row>
    <row r="1697" spans="3:13" ht="12.75" customHeight="1">
      <c r="C1697"/>
      <c r="M1697"/>
    </row>
    <row r="1698" spans="3:13" ht="12.75" customHeight="1">
      <c r="C1698"/>
      <c r="M1698"/>
    </row>
    <row r="1699" spans="3:13" ht="12.75" customHeight="1">
      <c r="C1699"/>
      <c r="M1699"/>
    </row>
    <row r="1700" spans="3:13" ht="12.75" customHeight="1">
      <c r="C1700"/>
      <c r="M1700"/>
    </row>
    <row r="1701" spans="3:13" ht="12.75" customHeight="1">
      <c r="C1701"/>
      <c r="M1701"/>
    </row>
    <row r="1702" spans="3:13" ht="12.75" customHeight="1">
      <c r="C1702"/>
      <c r="M1702"/>
    </row>
    <row r="1703" spans="3:13" ht="12.75" customHeight="1">
      <c r="C1703"/>
      <c r="M1703"/>
    </row>
    <row r="1704" spans="3:13" ht="12.75" customHeight="1">
      <c r="C1704"/>
      <c r="M1704"/>
    </row>
    <row r="1705" spans="3:13" ht="12.75" customHeight="1">
      <c r="C1705"/>
      <c r="M1705"/>
    </row>
    <row r="1706" spans="3:13" ht="12.75" customHeight="1">
      <c r="C1706"/>
      <c r="M1706"/>
    </row>
    <row r="1707" spans="3:13" ht="12.75" customHeight="1">
      <c r="C1707"/>
      <c r="M1707"/>
    </row>
    <row r="1708" spans="3:13" ht="12.75" customHeight="1">
      <c r="C1708"/>
      <c r="M1708"/>
    </row>
    <row r="1709" spans="3:13" ht="12.75" customHeight="1">
      <c r="C1709"/>
      <c r="M1709"/>
    </row>
    <row r="1710" spans="3:13" ht="12.75" customHeight="1">
      <c r="C1710"/>
      <c r="M1710"/>
    </row>
    <row r="1711" spans="3:13" ht="12.75" customHeight="1">
      <c r="C1711"/>
      <c r="M1711"/>
    </row>
    <row r="1712" spans="3:13" ht="12.75" customHeight="1">
      <c r="C1712"/>
      <c r="M1712"/>
    </row>
    <row r="1713" spans="3:13" ht="12.75" customHeight="1">
      <c r="C1713"/>
      <c r="M1713"/>
    </row>
    <row r="1714" spans="3:13" ht="12.75" customHeight="1">
      <c r="C1714"/>
      <c r="M1714"/>
    </row>
    <row r="1715" spans="3:13" ht="12.75" customHeight="1">
      <c r="C1715"/>
      <c r="M1715"/>
    </row>
    <row r="1716" spans="3:13" ht="12.75" customHeight="1">
      <c r="C1716"/>
      <c r="M1716"/>
    </row>
    <row r="1717" spans="3:13" ht="12.75" customHeight="1">
      <c r="C1717"/>
      <c r="M1717"/>
    </row>
    <row r="1718" spans="3:13" ht="12.75" customHeight="1">
      <c r="C1718"/>
      <c r="M1718"/>
    </row>
    <row r="1719" spans="3:13" ht="12.75" customHeight="1">
      <c r="C1719"/>
      <c r="M1719"/>
    </row>
    <row r="1720" spans="3:13" ht="12.75" customHeight="1">
      <c r="C1720"/>
      <c r="M1720"/>
    </row>
    <row r="1721" spans="3:13" ht="12.75" customHeight="1">
      <c r="C1721"/>
      <c r="M1721"/>
    </row>
    <row r="1722" spans="3:13" ht="12.75" customHeight="1">
      <c r="C1722"/>
      <c r="M1722"/>
    </row>
    <row r="1723" spans="3:13" ht="12.75" customHeight="1">
      <c r="C1723"/>
      <c r="M1723"/>
    </row>
    <row r="1724" spans="3:13" ht="12.75" customHeight="1">
      <c r="C1724"/>
      <c r="M1724"/>
    </row>
    <row r="1725" spans="3:13" ht="12.75" customHeight="1">
      <c r="C1725"/>
      <c r="M1725"/>
    </row>
    <row r="1726" spans="3:13" ht="12.75" customHeight="1">
      <c r="C1726"/>
      <c r="M1726"/>
    </row>
    <row r="1727" spans="3:13" ht="12.75" customHeight="1">
      <c r="C1727"/>
      <c r="M1727"/>
    </row>
    <row r="1728" spans="3:13" ht="12.75" customHeight="1">
      <c r="C1728"/>
      <c r="M1728"/>
    </row>
    <row r="1729" spans="3:13" ht="12.75" customHeight="1">
      <c r="C1729"/>
      <c r="M1729"/>
    </row>
    <row r="1730" spans="3:13" ht="12.75" customHeight="1">
      <c r="C1730"/>
      <c r="M1730"/>
    </row>
    <row r="1731" spans="3:13" ht="12.75" customHeight="1">
      <c r="C1731"/>
      <c r="M1731"/>
    </row>
    <row r="1732" spans="3:13" ht="12.75" customHeight="1">
      <c r="C1732"/>
      <c r="M1732"/>
    </row>
    <row r="1733" spans="3:13" ht="12.75" customHeight="1">
      <c r="C1733"/>
      <c r="M1733"/>
    </row>
    <row r="1734" spans="3:13" ht="12.75" customHeight="1">
      <c r="C1734"/>
      <c r="M1734"/>
    </row>
    <row r="1735" spans="3:13" ht="12.75" customHeight="1">
      <c r="C1735"/>
      <c r="M1735"/>
    </row>
    <row r="1736" spans="3:13" ht="12.75" customHeight="1">
      <c r="C1736"/>
      <c r="M1736"/>
    </row>
    <row r="1737" spans="3:13" ht="12.75" customHeight="1">
      <c r="C1737"/>
      <c r="M1737"/>
    </row>
    <row r="1738" spans="3:13" ht="12.75" customHeight="1">
      <c r="C1738"/>
      <c r="M1738"/>
    </row>
    <row r="1739" spans="3:13" ht="12.75" customHeight="1">
      <c r="C1739"/>
      <c r="M1739"/>
    </row>
    <row r="1740" spans="3:13" ht="12.75" customHeight="1">
      <c r="C1740"/>
      <c r="M1740"/>
    </row>
    <row r="1741" spans="3:13" ht="12.75" customHeight="1">
      <c r="C1741"/>
      <c r="M1741"/>
    </row>
    <row r="1742" spans="3:13" ht="12.75" customHeight="1">
      <c r="C1742"/>
      <c r="M1742"/>
    </row>
    <row r="1743" spans="3:13" ht="12.75" customHeight="1">
      <c r="C1743"/>
      <c r="M1743"/>
    </row>
    <row r="1744" spans="3:13" ht="12.75" customHeight="1">
      <c r="C1744"/>
      <c r="M1744"/>
    </row>
    <row r="1745" spans="3:13" ht="12.75" customHeight="1">
      <c r="C1745"/>
      <c r="M1745"/>
    </row>
    <row r="1746" spans="3:13" ht="12.75" customHeight="1">
      <c r="C1746"/>
      <c r="M1746"/>
    </row>
    <row r="1747" spans="3:13" ht="12.75" customHeight="1">
      <c r="C1747"/>
      <c r="M1747"/>
    </row>
    <row r="1748" spans="3:13" ht="12.75" customHeight="1">
      <c r="C1748"/>
      <c r="M1748"/>
    </row>
    <row r="1749" spans="3:13" ht="12.75" customHeight="1">
      <c r="C1749"/>
      <c r="M1749"/>
    </row>
    <row r="1750" spans="3:13" ht="12.75" customHeight="1">
      <c r="C1750"/>
      <c r="M1750"/>
    </row>
    <row r="1751" spans="3:13" ht="12.75" customHeight="1">
      <c r="C1751"/>
      <c r="M1751"/>
    </row>
    <row r="1752" spans="3:13" ht="12.75" customHeight="1">
      <c r="C1752"/>
      <c r="M1752"/>
    </row>
    <row r="1753" spans="3:13" ht="12.75" customHeight="1">
      <c r="C1753"/>
      <c r="M1753"/>
    </row>
    <row r="1754" spans="3:13" ht="12.75" customHeight="1">
      <c r="C1754"/>
      <c r="M1754"/>
    </row>
    <row r="1755" spans="3:13" ht="12.75" customHeight="1">
      <c r="C1755"/>
      <c r="M1755"/>
    </row>
    <row r="1756" spans="3:13" ht="12.75" customHeight="1">
      <c r="C1756"/>
      <c r="M1756"/>
    </row>
    <row r="1757" spans="3:13" ht="12.75" customHeight="1">
      <c r="C1757"/>
      <c r="M1757"/>
    </row>
    <row r="1758" spans="3:13" ht="12.75" customHeight="1">
      <c r="C1758"/>
      <c r="M1758"/>
    </row>
    <row r="1759" spans="3:13" ht="12.75" customHeight="1">
      <c r="C1759"/>
      <c r="M1759"/>
    </row>
    <row r="1760" spans="3:13" ht="12.75" customHeight="1">
      <c r="C1760"/>
      <c r="M1760"/>
    </row>
    <row r="1761" spans="3:13" ht="12.75" customHeight="1">
      <c r="C1761"/>
      <c r="M1761"/>
    </row>
    <row r="1762" spans="3:13" ht="12.75" customHeight="1">
      <c r="C1762"/>
      <c r="M1762"/>
    </row>
    <row r="1763" spans="3:13" ht="12.75" customHeight="1">
      <c r="C1763"/>
      <c r="M1763"/>
    </row>
    <row r="1764" spans="3:13" ht="12.75" customHeight="1">
      <c r="C1764"/>
      <c r="M1764"/>
    </row>
    <row r="1765" spans="3:13" ht="12.75" customHeight="1">
      <c r="C1765"/>
      <c r="M1765"/>
    </row>
    <row r="1766" spans="3:13" ht="12.75" customHeight="1">
      <c r="C1766"/>
      <c r="M1766"/>
    </row>
    <row r="1767" spans="3:13" ht="12.75" customHeight="1">
      <c r="C1767"/>
      <c r="M1767"/>
    </row>
    <row r="1768" spans="3:13" ht="12.75" customHeight="1">
      <c r="C1768"/>
      <c r="M1768"/>
    </row>
    <row r="1769" spans="3:13" ht="12.75" customHeight="1">
      <c r="C1769"/>
      <c r="M1769"/>
    </row>
    <row r="1770" spans="3:13" ht="12.75" customHeight="1">
      <c r="C1770"/>
      <c r="M1770"/>
    </row>
    <row r="1771" spans="3:13" ht="12.75" customHeight="1">
      <c r="C1771"/>
      <c r="M1771"/>
    </row>
    <row r="1772" spans="3:13" ht="12.75" customHeight="1">
      <c r="C1772"/>
      <c r="M1772"/>
    </row>
    <row r="1773" spans="3:13" ht="12.75" customHeight="1">
      <c r="C1773"/>
      <c r="M1773"/>
    </row>
    <row r="1774" spans="3:13" ht="12.75" customHeight="1">
      <c r="C1774"/>
      <c r="M1774"/>
    </row>
    <row r="1775" spans="3:13" ht="12.75" customHeight="1">
      <c r="C1775"/>
      <c r="M1775"/>
    </row>
    <row r="1776" spans="3:13" ht="12.75" customHeight="1">
      <c r="C1776"/>
      <c r="M1776"/>
    </row>
    <row r="1777" spans="3:13" ht="12.75" customHeight="1">
      <c r="C1777"/>
      <c r="M1777"/>
    </row>
    <row r="1778" spans="3:13" ht="12.75" customHeight="1">
      <c r="C1778"/>
      <c r="M1778"/>
    </row>
    <row r="1779" spans="3:13" ht="12.75" customHeight="1">
      <c r="C1779"/>
      <c r="M1779"/>
    </row>
    <row r="1780" spans="3:13" ht="12.75" customHeight="1">
      <c r="C1780"/>
      <c r="M1780"/>
    </row>
    <row r="1781" spans="3:13" ht="12.75" customHeight="1">
      <c r="C1781"/>
      <c r="M1781"/>
    </row>
    <row r="1782" spans="3:13" ht="12.75" customHeight="1">
      <c r="C1782"/>
      <c r="M1782"/>
    </row>
    <row r="1783" spans="3:13" ht="12.75" customHeight="1">
      <c r="C1783"/>
      <c r="M1783"/>
    </row>
    <row r="1784" spans="3:13" ht="12.75" customHeight="1">
      <c r="C1784"/>
      <c r="M1784"/>
    </row>
    <row r="1785" spans="3:13" ht="12.75" customHeight="1">
      <c r="C1785"/>
      <c r="M1785"/>
    </row>
    <row r="1786" spans="3:13" ht="12.75" customHeight="1">
      <c r="C1786"/>
      <c r="M1786"/>
    </row>
    <row r="1787" spans="3:13" ht="12.75" customHeight="1">
      <c r="C1787"/>
      <c r="M1787"/>
    </row>
    <row r="1788" spans="3:13" ht="12.75" customHeight="1">
      <c r="C1788"/>
      <c r="M1788"/>
    </row>
    <row r="1789" spans="3:13" ht="12.75" customHeight="1">
      <c r="C1789"/>
      <c r="M1789"/>
    </row>
    <row r="1790" spans="3:13" ht="12.75" customHeight="1">
      <c r="C1790"/>
      <c r="M1790"/>
    </row>
    <row r="1791" spans="3:13" ht="12.75" customHeight="1">
      <c r="C1791"/>
      <c r="M1791"/>
    </row>
    <row r="1792" spans="3:13" ht="12.75" customHeight="1">
      <c r="C1792"/>
      <c r="M1792"/>
    </row>
    <row r="1793" spans="3:13" ht="12.75" customHeight="1">
      <c r="C1793"/>
      <c r="M1793"/>
    </row>
    <row r="1794" spans="3:13" ht="12.75" customHeight="1">
      <c r="C1794"/>
      <c r="M1794"/>
    </row>
    <row r="1795" spans="3:13" ht="12.75" customHeight="1">
      <c r="C1795"/>
      <c r="M1795"/>
    </row>
    <row r="1796" spans="3:13" ht="12.75" customHeight="1">
      <c r="C1796"/>
      <c r="M1796"/>
    </row>
    <row r="1797" spans="3:13" ht="12.75" customHeight="1">
      <c r="C1797"/>
      <c r="M1797"/>
    </row>
    <row r="1798" spans="3:13" ht="12.75" customHeight="1">
      <c r="C1798"/>
      <c r="M1798"/>
    </row>
    <row r="1799" spans="3:13" ht="12.75" customHeight="1">
      <c r="C1799"/>
      <c r="M1799"/>
    </row>
    <row r="1800" spans="3:13" ht="12.75" customHeight="1">
      <c r="C1800"/>
      <c r="M1800"/>
    </row>
    <row r="1801" spans="3:13" ht="12.75" customHeight="1">
      <c r="C1801"/>
      <c r="M1801"/>
    </row>
    <row r="1802" spans="3:13" ht="12.75" customHeight="1">
      <c r="C1802"/>
      <c r="M1802"/>
    </row>
    <row r="1803" spans="3:13" ht="12.75" customHeight="1">
      <c r="C1803"/>
      <c r="M1803"/>
    </row>
    <row r="1804" spans="3:13" ht="12.75" customHeight="1">
      <c r="C1804"/>
      <c r="M1804"/>
    </row>
    <row r="1805" spans="3:13" ht="12.75" customHeight="1">
      <c r="C1805"/>
      <c r="M1805"/>
    </row>
    <row r="1806" spans="3:13" ht="12.75" customHeight="1">
      <c r="C1806"/>
      <c r="M1806"/>
    </row>
    <row r="1807" spans="3:13" ht="12.75" customHeight="1">
      <c r="C1807"/>
      <c r="M1807"/>
    </row>
    <row r="1808" spans="3:13" ht="12.75" customHeight="1">
      <c r="C1808"/>
      <c r="M1808"/>
    </row>
    <row r="1809" spans="3:13" ht="12.75" customHeight="1">
      <c r="C1809"/>
      <c r="M1809"/>
    </row>
    <row r="1810" spans="3:13" ht="12.75" customHeight="1">
      <c r="C1810"/>
      <c r="M1810"/>
    </row>
    <row r="1811" spans="3:13" ht="12.75" customHeight="1">
      <c r="C1811"/>
      <c r="M1811"/>
    </row>
    <row r="1812" spans="3:13" ht="12.75" customHeight="1">
      <c r="C1812"/>
      <c r="M1812"/>
    </row>
    <row r="1813" spans="3:13" ht="12.75" customHeight="1">
      <c r="C1813"/>
      <c r="M1813"/>
    </row>
    <row r="1814" spans="3:13" ht="12.75" customHeight="1">
      <c r="C1814"/>
      <c r="M1814"/>
    </row>
    <row r="1815" spans="3:13" ht="12.75" customHeight="1">
      <c r="C1815"/>
      <c r="M1815"/>
    </row>
    <row r="1816" spans="3:13" ht="12.75" customHeight="1">
      <c r="C1816"/>
      <c r="M1816"/>
    </row>
    <row r="1817" spans="3:13" ht="12.75" customHeight="1">
      <c r="C1817"/>
      <c r="M1817"/>
    </row>
    <row r="1818" spans="3:13" ht="12.75" customHeight="1">
      <c r="C1818"/>
      <c r="M1818"/>
    </row>
    <row r="1819" spans="3:13" ht="12.75" customHeight="1">
      <c r="C1819"/>
      <c r="M1819"/>
    </row>
    <row r="1820" spans="3:13" ht="12.75" customHeight="1">
      <c r="C1820"/>
      <c r="M1820"/>
    </row>
    <row r="1821" spans="3:13" ht="12.75" customHeight="1">
      <c r="C1821"/>
      <c r="M1821"/>
    </row>
    <row r="1822" spans="3:13" ht="12.75" customHeight="1">
      <c r="C1822"/>
      <c r="M1822"/>
    </row>
    <row r="1823" spans="3:13" ht="12.75" customHeight="1">
      <c r="C1823"/>
      <c r="M1823"/>
    </row>
    <row r="1824" spans="3:13" ht="12.75" customHeight="1">
      <c r="C1824"/>
      <c r="M1824"/>
    </row>
    <row r="1825" spans="3:13" ht="12.75" customHeight="1">
      <c r="C1825"/>
      <c r="M1825"/>
    </row>
    <row r="1826" spans="3:13" ht="12.75" customHeight="1">
      <c r="C1826"/>
      <c r="M1826"/>
    </row>
    <row r="1827" spans="3:13" ht="12.75" customHeight="1">
      <c r="C1827"/>
      <c r="M1827"/>
    </row>
    <row r="1828" spans="3:13" ht="12.75" customHeight="1">
      <c r="C1828"/>
      <c r="M1828"/>
    </row>
    <row r="1829" spans="3:13" ht="12.75" customHeight="1">
      <c r="C1829"/>
      <c r="M1829"/>
    </row>
    <row r="1830" spans="3:13" ht="12.75" customHeight="1">
      <c r="C1830"/>
      <c r="M1830"/>
    </row>
    <row r="1831" spans="3:13" ht="12.75" customHeight="1">
      <c r="C1831"/>
      <c r="M1831"/>
    </row>
    <row r="1832" spans="3:13" ht="12.75" customHeight="1">
      <c r="C1832"/>
      <c r="M1832"/>
    </row>
    <row r="1833" spans="3:13" ht="12.75" customHeight="1">
      <c r="C1833"/>
      <c r="M1833"/>
    </row>
    <row r="1834" spans="3:13" ht="12.75" customHeight="1">
      <c r="C1834"/>
      <c r="M1834"/>
    </row>
    <row r="1835" spans="3:13" ht="12.75" customHeight="1">
      <c r="C1835"/>
      <c r="M1835"/>
    </row>
    <row r="1836" spans="3:13" ht="12.75" customHeight="1">
      <c r="C1836"/>
      <c r="M1836"/>
    </row>
    <row r="1837" spans="3:13" ht="12.75" customHeight="1">
      <c r="C1837"/>
      <c r="M1837"/>
    </row>
    <row r="1838" spans="3:13" ht="12.75" customHeight="1">
      <c r="C1838"/>
      <c r="M1838"/>
    </row>
    <row r="1839" spans="3:13" ht="12.75" customHeight="1">
      <c r="C1839"/>
      <c r="M1839"/>
    </row>
    <row r="1840" spans="3:13" ht="12.75" customHeight="1">
      <c r="C1840"/>
      <c r="M1840"/>
    </row>
    <row r="1841" spans="3:13" ht="12.75" customHeight="1">
      <c r="C1841"/>
      <c r="M1841"/>
    </row>
    <row r="1842" spans="3:13" ht="12.75" customHeight="1">
      <c r="C1842"/>
      <c r="M1842"/>
    </row>
    <row r="1843" spans="3:13" ht="12.75" customHeight="1">
      <c r="C1843"/>
      <c r="M1843"/>
    </row>
    <row r="1844" spans="3:13" ht="12.75" customHeight="1">
      <c r="C1844"/>
      <c r="M1844"/>
    </row>
    <row r="1845" spans="3:13" ht="12.75" customHeight="1">
      <c r="C1845"/>
      <c r="M1845"/>
    </row>
    <row r="1846" spans="3:13" ht="12.75" customHeight="1">
      <c r="C1846"/>
      <c r="M1846"/>
    </row>
    <row r="1847" spans="3:13" ht="12.75" customHeight="1">
      <c r="C1847"/>
      <c r="M1847"/>
    </row>
    <row r="1848" spans="3:13" ht="12.75" customHeight="1">
      <c r="C1848"/>
      <c r="M1848"/>
    </row>
    <row r="1849" spans="3:13" ht="12.75" customHeight="1">
      <c r="C1849"/>
      <c r="M1849"/>
    </row>
    <row r="1850" spans="3:13" ht="12.75" customHeight="1">
      <c r="C1850"/>
      <c r="M1850"/>
    </row>
    <row r="1851" spans="3:13" ht="12.75" customHeight="1">
      <c r="C1851"/>
      <c r="M1851"/>
    </row>
    <row r="1852" spans="3:13" ht="12.75" customHeight="1">
      <c r="C1852"/>
      <c r="M1852"/>
    </row>
    <row r="1853" spans="3:13" ht="12.75" customHeight="1">
      <c r="C1853"/>
      <c r="M1853"/>
    </row>
    <row r="1854" spans="3:13" ht="12.75" customHeight="1">
      <c r="C1854"/>
      <c r="M1854"/>
    </row>
    <row r="1855" spans="3:13" ht="12.75" customHeight="1">
      <c r="C1855"/>
      <c r="M1855"/>
    </row>
    <row r="1856" spans="3:13" ht="12.75" customHeight="1">
      <c r="C1856"/>
      <c r="M1856"/>
    </row>
    <row r="1857" spans="3:13" ht="12.75" customHeight="1">
      <c r="C1857"/>
      <c r="M1857"/>
    </row>
    <row r="1858" spans="3:13" ht="12.75" customHeight="1">
      <c r="C1858"/>
      <c r="M1858"/>
    </row>
    <row r="1859" spans="3:13" ht="12.75" customHeight="1">
      <c r="C1859"/>
      <c r="M1859"/>
    </row>
    <row r="1860" spans="3:13" ht="12.75" customHeight="1">
      <c r="C1860"/>
      <c r="M1860"/>
    </row>
    <row r="1861" spans="3:13" ht="12.75" customHeight="1">
      <c r="C1861"/>
      <c r="M1861"/>
    </row>
    <row r="1862" spans="3:13" ht="12.75" customHeight="1">
      <c r="C1862"/>
      <c r="M1862"/>
    </row>
    <row r="1863" spans="3:13" ht="12.75" customHeight="1">
      <c r="C1863"/>
      <c r="M1863"/>
    </row>
    <row r="1864" spans="3:13" ht="12.75" customHeight="1">
      <c r="C1864"/>
      <c r="M1864"/>
    </row>
    <row r="1865" spans="3:13" ht="12.75" customHeight="1">
      <c r="C1865"/>
      <c r="M1865"/>
    </row>
    <row r="1866" spans="3:13" ht="12.75" customHeight="1">
      <c r="C1866"/>
      <c r="M1866"/>
    </row>
    <row r="1867" spans="3:13" ht="12.75" customHeight="1">
      <c r="C1867"/>
      <c r="M1867"/>
    </row>
    <row r="1868" spans="3:13" ht="12.75" customHeight="1">
      <c r="C1868"/>
      <c r="M1868"/>
    </row>
    <row r="1869" spans="3:13" ht="12.75" customHeight="1">
      <c r="C1869"/>
      <c r="M1869"/>
    </row>
    <row r="1870" spans="3:13" ht="12.75" customHeight="1">
      <c r="C1870"/>
      <c r="M1870"/>
    </row>
    <row r="1871" spans="3:13" ht="12.75" customHeight="1">
      <c r="C1871"/>
      <c r="M1871"/>
    </row>
    <row r="1872" spans="3:13" ht="12.75" customHeight="1">
      <c r="C1872"/>
      <c r="M1872"/>
    </row>
    <row r="1873" spans="3:13" ht="12.75" customHeight="1">
      <c r="C1873"/>
      <c r="M1873"/>
    </row>
    <row r="1874" spans="3:13" ht="12.75" customHeight="1">
      <c r="C1874"/>
      <c r="M1874"/>
    </row>
    <row r="1875" spans="3:13" ht="12.75" customHeight="1">
      <c r="C1875"/>
      <c r="M1875"/>
    </row>
    <row r="1876" spans="3:13" ht="12.75" customHeight="1">
      <c r="C1876"/>
      <c r="M1876"/>
    </row>
    <row r="1877" spans="3:13" ht="12.75" customHeight="1">
      <c r="C1877"/>
      <c r="M1877"/>
    </row>
    <row r="1878" spans="3:13" ht="12.75" customHeight="1">
      <c r="C1878"/>
      <c r="M1878"/>
    </row>
    <row r="1879" spans="3:13" ht="12.75" customHeight="1">
      <c r="C1879"/>
      <c r="M1879"/>
    </row>
    <row r="1880" spans="3:13" ht="12.75" customHeight="1">
      <c r="C1880"/>
      <c r="M1880"/>
    </row>
    <row r="1881" spans="3:13" ht="12.75" customHeight="1">
      <c r="C1881"/>
      <c r="M1881"/>
    </row>
    <row r="1882" spans="3:13" ht="12.75" customHeight="1">
      <c r="C1882"/>
      <c r="M1882"/>
    </row>
    <row r="1883" spans="3:13" ht="12.75" customHeight="1">
      <c r="C1883"/>
      <c r="M1883"/>
    </row>
    <row r="1884" spans="3:13" ht="12.75" customHeight="1">
      <c r="C1884"/>
      <c r="M1884"/>
    </row>
    <row r="1885" spans="3:13" ht="12.75" customHeight="1">
      <c r="C1885"/>
      <c r="M1885"/>
    </row>
    <row r="1886" spans="3:13" ht="12.75" customHeight="1">
      <c r="C1886"/>
      <c r="M1886"/>
    </row>
    <row r="1887" spans="3:13" ht="12.75" customHeight="1">
      <c r="C1887"/>
      <c r="M1887"/>
    </row>
    <row r="1888" spans="3:13" ht="12.75" customHeight="1">
      <c r="C1888"/>
      <c r="M1888"/>
    </row>
    <row r="1889" spans="3:13" ht="12.75" customHeight="1">
      <c r="C1889"/>
      <c r="M1889"/>
    </row>
    <row r="1890" spans="3:13" ht="12.75" customHeight="1">
      <c r="C1890"/>
      <c r="M1890"/>
    </row>
    <row r="1891" spans="3:13" ht="12.75" customHeight="1">
      <c r="C1891"/>
      <c r="M1891"/>
    </row>
    <row r="1892" spans="3:13" ht="12.75" customHeight="1">
      <c r="C1892"/>
      <c r="M1892"/>
    </row>
    <row r="1893" spans="3:13" ht="12.75" customHeight="1">
      <c r="C1893"/>
      <c r="M1893"/>
    </row>
    <row r="1894" spans="3:13" ht="12.75" customHeight="1">
      <c r="C1894"/>
      <c r="M1894"/>
    </row>
    <row r="1895" spans="3:13" ht="12.75" customHeight="1">
      <c r="C1895"/>
      <c r="M1895"/>
    </row>
    <row r="1896" spans="3:13" ht="12.75" customHeight="1">
      <c r="C1896"/>
      <c r="M1896"/>
    </row>
    <row r="1897" spans="3:13" ht="12.75" customHeight="1">
      <c r="C1897"/>
      <c r="M1897"/>
    </row>
    <row r="1898" spans="3:13" ht="12.75" customHeight="1">
      <c r="C1898"/>
      <c r="M1898"/>
    </row>
    <row r="1899" spans="3:13" ht="12.75" customHeight="1">
      <c r="C1899"/>
      <c r="M1899"/>
    </row>
    <row r="1900" spans="3:13" ht="12.75" customHeight="1">
      <c r="C1900"/>
      <c r="M1900"/>
    </row>
    <row r="1901" spans="3:13" ht="12.75" customHeight="1">
      <c r="C1901"/>
      <c r="M1901"/>
    </row>
    <row r="1902" spans="3:13" ht="12.75" customHeight="1">
      <c r="C1902"/>
      <c r="M1902"/>
    </row>
    <row r="1903" spans="3:13" ht="12.75" customHeight="1">
      <c r="C1903"/>
      <c r="M1903"/>
    </row>
    <row r="1904" spans="3:13" ht="12.75" customHeight="1">
      <c r="C1904"/>
      <c r="M1904"/>
    </row>
    <row r="1905" spans="3:13" ht="12.75" customHeight="1">
      <c r="C1905"/>
      <c r="M1905"/>
    </row>
    <row r="1906" spans="3:13" ht="12.75" customHeight="1">
      <c r="C1906"/>
      <c r="M1906"/>
    </row>
    <row r="1907" spans="3:13" ht="12.75" customHeight="1">
      <c r="C1907"/>
      <c r="M1907"/>
    </row>
    <row r="1908" spans="3:13" ht="12.75" customHeight="1">
      <c r="C1908"/>
      <c r="M1908"/>
    </row>
    <row r="1909" spans="3:13" ht="12.75" customHeight="1">
      <c r="C1909"/>
      <c r="M1909"/>
    </row>
    <row r="1910" spans="3:13" ht="12.75" customHeight="1">
      <c r="C1910"/>
      <c r="M1910"/>
    </row>
    <row r="1911" spans="3:13" ht="12.75" customHeight="1">
      <c r="C1911"/>
      <c r="M1911"/>
    </row>
    <row r="1912" spans="3:13" ht="12.75" customHeight="1">
      <c r="C1912"/>
      <c r="M1912"/>
    </row>
    <row r="1913" spans="3:13" ht="12.75" customHeight="1">
      <c r="C1913"/>
      <c r="M1913"/>
    </row>
    <row r="1914" spans="3:13" ht="12.75" customHeight="1">
      <c r="C1914"/>
      <c r="M1914"/>
    </row>
    <row r="1915" spans="3:13" ht="12.75" customHeight="1">
      <c r="C1915"/>
      <c r="M1915"/>
    </row>
    <row r="1916" spans="3:13" ht="12.75" customHeight="1">
      <c r="C1916"/>
      <c r="M1916"/>
    </row>
    <row r="1917" spans="3:13" ht="12.75" customHeight="1">
      <c r="C1917"/>
      <c r="M1917"/>
    </row>
    <row r="1918" spans="3:13" ht="12.75" customHeight="1">
      <c r="C1918"/>
      <c r="M1918"/>
    </row>
    <row r="1919" spans="3:13" ht="12.75" customHeight="1">
      <c r="C1919"/>
      <c r="M1919"/>
    </row>
    <row r="1920" spans="3:13" ht="12.75" customHeight="1">
      <c r="C1920"/>
      <c r="M1920"/>
    </row>
    <row r="1921" spans="3:13" ht="12.75" customHeight="1">
      <c r="C1921"/>
      <c r="M1921"/>
    </row>
    <row r="1922" spans="3:13" ht="12.75" customHeight="1">
      <c r="C1922"/>
      <c r="M1922"/>
    </row>
    <row r="1923" spans="3:13" ht="12.75" customHeight="1">
      <c r="C1923"/>
      <c r="M1923"/>
    </row>
    <row r="1924" spans="3:13" ht="12.75" customHeight="1">
      <c r="C1924"/>
      <c r="M1924"/>
    </row>
    <row r="1925" spans="3:13" ht="12.75" customHeight="1">
      <c r="C1925"/>
      <c r="M1925"/>
    </row>
    <row r="1926" spans="3:13" ht="12.75" customHeight="1">
      <c r="C1926"/>
      <c r="M1926"/>
    </row>
    <row r="1927" spans="3:13" ht="12.75" customHeight="1">
      <c r="C1927"/>
      <c r="M1927"/>
    </row>
    <row r="1928" spans="3:13" ht="12.75" customHeight="1">
      <c r="C1928"/>
      <c r="M1928"/>
    </row>
    <row r="1929" spans="3:13" ht="12.75" customHeight="1">
      <c r="C1929"/>
      <c r="M1929"/>
    </row>
    <row r="1930" spans="3:13" ht="12.75" customHeight="1">
      <c r="C1930"/>
      <c r="M1930"/>
    </row>
    <row r="1931" spans="3:13" ht="12.75" customHeight="1">
      <c r="C1931"/>
      <c r="M1931"/>
    </row>
    <row r="1932" spans="3:13" ht="12.75" customHeight="1">
      <c r="C1932"/>
      <c r="M1932"/>
    </row>
    <row r="1933" spans="3:13" ht="12.75" customHeight="1">
      <c r="C1933"/>
      <c r="M1933"/>
    </row>
    <row r="1934" spans="3:13" ht="12.75" customHeight="1">
      <c r="C1934"/>
      <c r="M1934"/>
    </row>
    <row r="1935" spans="3:13" ht="12.75" customHeight="1">
      <c r="C1935"/>
      <c r="M1935"/>
    </row>
    <row r="1936" spans="3:13" ht="12.75" customHeight="1">
      <c r="C1936"/>
      <c r="M1936"/>
    </row>
    <row r="1937" spans="3:13" ht="12.75" customHeight="1">
      <c r="C1937"/>
      <c r="M1937"/>
    </row>
    <row r="1938" spans="3:13" ht="12.75" customHeight="1">
      <c r="C1938"/>
      <c r="M1938"/>
    </row>
    <row r="1939" spans="3:13" ht="12.75" customHeight="1">
      <c r="C1939"/>
      <c r="M1939"/>
    </row>
    <row r="1940" spans="3:13" ht="12.75" customHeight="1">
      <c r="C1940"/>
      <c r="M1940"/>
    </row>
    <row r="1941" spans="3:13" ht="12.75" customHeight="1">
      <c r="C1941"/>
      <c r="M1941"/>
    </row>
    <row r="1942" spans="3:13" ht="12.75" customHeight="1">
      <c r="C1942"/>
      <c r="M1942"/>
    </row>
    <row r="1943" spans="3:13" ht="12.75" customHeight="1">
      <c r="C1943"/>
      <c r="M1943"/>
    </row>
    <row r="1944" spans="3:13" ht="12.75" customHeight="1">
      <c r="C1944"/>
      <c r="M1944"/>
    </row>
    <row r="1945" spans="3:13" ht="12.75" customHeight="1">
      <c r="C1945"/>
      <c r="M1945"/>
    </row>
    <row r="1946" spans="3:13" ht="12.75" customHeight="1">
      <c r="C1946"/>
      <c r="M1946"/>
    </row>
    <row r="1947" spans="3:13" ht="12.75" customHeight="1">
      <c r="C1947"/>
      <c r="M1947"/>
    </row>
    <row r="1948" spans="3:13" ht="12.75" customHeight="1">
      <c r="C1948"/>
      <c r="M1948"/>
    </row>
    <row r="1949" spans="3:13" ht="12.75" customHeight="1">
      <c r="C1949"/>
      <c r="M1949"/>
    </row>
    <row r="1950" spans="3:13" ht="12.75" customHeight="1">
      <c r="C1950"/>
      <c r="M1950"/>
    </row>
    <row r="1951" spans="3:13" ht="12.75" customHeight="1">
      <c r="C1951"/>
      <c r="M1951"/>
    </row>
    <row r="1952" spans="3:13" ht="12.75" customHeight="1">
      <c r="C1952"/>
      <c r="M1952"/>
    </row>
    <row r="1953" spans="3:13" ht="12.75" customHeight="1">
      <c r="C1953"/>
      <c r="M1953"/>
    </row>
    <row r="1954" spans="3:13" ht="12.75" customHeight="1">
      <c r="C1954"/>
      <c r="M1954"/>
    </row>
    <row r="1955" spans="3:13" ht="12.75" customHeight="1">
      <c r="C1955"/>
      <c r="M1955"/>
    </row>
    <row r="1956" spans="3:13" ht="12.75" customHeight="1">
      <c r="C1956"/>
      <c r="M1956"/>
    </row>
    <row r="1957" spans="3:13" ht="12.75" customHeight="1">
      <c r="C1957"/>
      <c r="M1957"/>
    </row>
    <row r="1958" spans="3:13" ht="12.75" customHeight="1">
      <c r="C1958"/>
      <c r="M1958"/>
    </row>
    <row r="1959" spans="3:13" ht="12.75" customHeight="1">
      <c r="C1959"/>
      <c r="M1959"/>
    </row>
    <row r="1960" spans="3:13" ht="12.75" customHeight="1">
      <c r="C1960"/>
      <c r="M1960"/>
    </row>
    <row r="1961" spans="3:13" ht="12.75" customHeight="1">
      <c r="C1961"/>
      <c r="M1961"/>
    </row>
    <row r="1962" spans="3:13" ht="12.75" customHeight="1">
      <c r="C1962"/>
      <c r="M1962"/>
    </row>
    <row r="1963" spans="3:13" ht="12.75" customHeight="1">
      <c r="C1963"/>
      <c r="M1963"/>
    </row>
    <row r="1964" spans="3:13" ht="12.75" customHeight="1">
      <c r="C1964"/>
      <c r="M1964"/>
    </row>
    <row r="1965" spans="3:13" ht="12.75" customHeight="1">
      <c r="C1965"/>
      <c r="M1965"/>
    </row>
    <row r="1966" spans="3:13" ht="12.75" customHeight="1">
      <c r="C1966"/>
      <c r="M1966"/>
    </row>
    <row r="1967" spans="3:13" ht="12.75" customHeight="1">
      <c r="C1967"/>
      <c r="M1967"/>
    </row>
    <row r="1968" spans="3:13" ht="12.75" customHeight="1">
      <c r="C1968"/>
      <c r="M1968"/>
    </row>
    <row r="1969" spans="3:13" ht="12.75" customHeight="1">
      <c r="C1969"/>
      <c r="M1969"/>
    </row>
    <row r="1970" spans="3:13" ht="12.75" customHeight="1">
      <c r="C1970"/>
      <c r="M1970"/>
    </row>
    <row r="1971" spans="3:13" ht="12.75" customHeight="1">
      <c r="C1971"/>
      <c r="M1971"/>
    </row>
    <row r="1972" spans="3:13" ht="12.75" customHeight="1">
      <c r="C1972"/>
      <c r="M1972"/>
    </row>
    <row r="1973" spans="3:13" ht="12.75" customHeight="1">
      <c r="C1973"/>
      <c r="M1973"/>
    </row>
    <row r="1974" spans="3:13" ht="12.75" customHeight="1">
      <c r="C1974"/>
      <c r="M1974"/>
    </row>
    <row r="1975" spans="3:13" ht="12.75" customHeight="1">
      <c r="C1975"/>
      <c r="M1975"/>
    </row>
    <row r="1976" spans="3:13" ht="12.75" customHeight="1">
      <c r="C1976"/>
      <c r="M1976"/>
    </row>
    <row r="1977" spans="3:13" ht="12.75" customHeight="1">
      <c r="C1977"/>
      <c r="M1977"/>
    </row>
    <row r="1978" spans="3:13" ht="12.75" customHeight="1">
      <c r="C1978"/>
      <c r="M1978"/>
    </row>
    <row r="1979" spans="3:13" ht="12.75" customHeight="1">
      <c r="C1979"/>
      <c r="M1979"/>
    </row>
    <row r="1980" spans="3:13" ht="12.75" customHeight="1">
      <c r="C1980"/>
      <c r="M1980"/>
    </row>
    <row r="1981" spans="3:13" ht="12.75" customHeight="1">
      <c r="C1981"/>
      <c r="M1981"/>
    </row>
    <row r="1982" spans="3:13" ht="12.75" customHeight="1">
      <c r="C1982"/>
      <c r="M1982"/>
    </row>
    <row r="1983" spans="3:13" ht="12.75" customHeight="1">
      <c r="C1983"/>
      <c r="M1983"/>
    </row>
    <row r="1984" spans="3:13" ht="12.75" customHeight="1">
      <c r="C1984"/>
      <c r="M1984"/>
    </row>
    <row r="1985" spans="3:13" ht="12.75" customHeight="1">
      <c r="C1985"/>
      <c r="M1985"/>
    </row>
    <row r="1986" spans="3:13" ht="12.75" customHeight="1">
      <c r="C1986"/>
      <c r="M1986"/>
    </row>
    <row r="1987" spans="3:13" ht="12.75" customHeight="1">
      <c r="C1987"/>
      <c r="M1987"/>
    </row>
    <row r="1988" spans="3:13" ht="12.75" customHeight="1">
      <c r="C1988"/>
      <c r="M1988"/>
    </row>
    <row r="1989" spans="3:13" ht="12.75" customHeight="1">
      <c r="C1989"/>
      <c r="M1989"/>
    </row>
    <row r="1990" spans="3:13" ht="12.75" customHeight="1">
      <c r="C1990"/>
      <c r="M1990"/>
    </row>
    <row r="1991" spans="3:13" ht="12.75" customHeight="1">
      <c r="C1991"/>
      <c r="M1991"/>
    </row>
    <row r="1992" spans="3:13" ht="12.75" customHeight="1">
      <c r="C1992"/>
      <c r="M1992"/>
    </row>
    <row r="1993" spans="3:13" ht="12.75" customHeight="1">
      <c r="C1993"/>
      <c r="M1993"/>
    </row>
    <row r="1994" spans="3:13" ht="12.75" customHeight="1">
      <c r="C1994"/>
      <c r="M1994"/>
    </row>
    <row r="1995" spans="3:13" ht="12.75" customHeight="1">
      <c r="C1995"/>
      <c r="M1995"/>
    </row>
    <row r="1996" spans="3:13" ht="12.75" customHeight="1">
      <c r="C1996"/>
      <c r="M1996"/>
    </row>
    <row r="1997" spans="3:13" ht="12.75" customHeight="1">
      <c r="C1997"/>
      <c r="M1997"/>
    </row>
    <row r="1998" spans="3:13" ht="12.75" customHeight="1">
      <c r="C1998"/>
      <c r="M1998"/>
    </row>
    <row r="1999" spans="3:13" ht="12.75" customHeight="1">
      <c r="C1999"/>
      <c r="M1999"/>
    </row>
    <row r="2000" spans="3:13" ht="12.75" customHeight="1">
      <c r="C2000"/>
      <c r="M2000"/>
    </row>
    <row r="2001" spans="3:13" ht="12.75" customHeight="1">
      <c r="C2001"/>
      <c r="M2001"/>
    </row>
    <row r="2002" spans="3:13" ht="12.75" customHeight="1">
      <c r="C2002"/>
      <c r="M2002"/>
    </row>
    <row r="2003" spans="3:13" ht="12.75" customHeight="1">
      <c r="C2003"/>
      <c r="M2003"/>
    </row>
    <row r="2004" spans="3:13" ht="12.75" customHeight="1">
      <c r="C2004"/>
      <c r="M2004"/>
    </row>
    <row r="2005" spans="3:13" ht="12.75" customHeight="1">
      <c r="C2005"/>
      <c r="M2005"/>
    </row>
    <row r="2006" spans="3:13" ht="12.75" customHeight="1">
      <c r="C2006"/>
      <c r="M2006"/>
    </row>
    <row r="2007" spans="3:13" ht="12.75" customHeight="1">
      <c r="C2007"/>
      <c r="M2007"/>
    </row>
    <row r="2008" spans="3:13" ht="12.75" customHeight="1">
      <c r="C2008"/>
      <c r="M2008"/>
    </row>
    <row r="2009" spans="3:13" ht="12.75" customHeight="1">
      <c r="C2009"/>
      <c r="M2009"/>
    </row>
    <row r="2010" spans="3:13" ht="12.75" customHeight="1">
      <c r="C2010"/>
      <c r="M2010"/>
    </row>
    <row r="2011" spans="3:13" ht="12.75" customHeight="1">
      <c r="C2011"/>
      <c r="M2011"/>
    </row>
    <row r="2012" spans="3:13" ht="12.75" customHeight="1">
      <c r="C2012"/>
      <c r="M2012"/>
    </row>
    <row r="2013" spans="3:13" ht="12.75" customHeight="1">
      <c r="C2013"/>
      <c r="M2013"/>
    </row>
    <row r="2014" spans="3:13" ht="12.75" customHeight="1">
      <c r="C2014"/>
      <c r="M2014"/>
    </row>
    <row r="2015" spans="3:13" ht="12.75" customHeight="1">
      <c r="C2015"/>
      <c r="M2015"/>
    </row>
    <row r="2016" spans="3:13" ht="12.75" customHeight="1">
      <c r="C2016"/>
      <c r="M2016"/>
    </row>
    <row r="2017" spans="3:13" ht="12.75" customHeight="1">
      <c r="C2017"/>
      <c r="M2017"/>
    </row>
    <row r="2018" spans="3:13" ht="12.75" customHeight="1">
      <c r="C2018"/>
      <c r="M2018"/>
    </row>
    <row r="2019" spans="3:13" ht="12.75" customHeight="1">
      <c r="C2019"/>
      <c r="M2019"/>
    </row>
    <row r="2020" spans="3:13" ht="12.75" customHeight="1">
      <c r="C2020"/>
      <c r="M2020"/>
    </row>
    <row r="2021" spans="3:13" ht="12.75" customHeight="1">
      <c r="C2021"/>
      <c r="M2021"/>
    </row>
    <row r="2022" spans="3:13" ht="12.75" customHeight="1">
      <c r="C2022"/>
      <c r="M2022"/>
    </row>
    <row r="2023" spans="3:13" ht="12.75" customHeight="1">
      <c r="C2023"/>
      <c r="M2023"/>
    </row>
    <row r="2024" spans="3:13" ht="12.75" customHeight="1">
      <c r="C2024"/>
      <c r="M2024"/>
    </row>
    <row r="2025" spans="3:13" ht="12.75" customHeight="1">
      <c r="C2025"/>
      <c r="M2025"/>
    </row>
    <row r="2026" spans="3:13" ht="12.75" customHeight="1">
      <c r="C2026"/>
      <c r="M2026"/>
    </row>
    <row r="2027" spans="3:13" ht="12.75" customHeight="1">
      <c r="C2027"/>
      <c r="M2027"/>
    </row>
    <row r="2028" spans="3:13" ht="12.75" customHeight="1">
      <c r="C2028"/>
      <c r="M2028"/>
    </row>
    <row r="2029" spans="3:13" ht="12.75" customHeight="1">
      <c r="C2029"/>
      <c r="M2029"/>
    </row>
    <row r="2030" spans="3:13" ht="12.75" customHeight="1">
      <c r="C2030"/>
      <c r="M2030"/>
    </row>
    <row r="2031" spans="3:13" ht="12.75" customHeight="1">
      <c r="C2031"/>
      <c r="M2031"/>
    </row>
    <row r="2032" spans="3:13" ht="12.75" customHeight="1">
      <c r="C2032"/>
      <c r="M2032"/>
    </row>
    <row r="2033" spans="3:13" ht="12.75" customHeight="1">
      <c r="C2033"/>
      <c r="M2033"/>
    </row>
    <row r="2034" spans="3:13" ht="12.75" customHeight="1">
      <c r="C2034"/>
      <c r="M2034"/>
    </row>
    <row r="2035" spans="3:13" ht="12.75" customHeight="1">
      <c r="C2035"/>
      <c r="M2035"/>
    </row>
    <row r="2036" spans="3:13" ht="12.75" customHeight="1">
      <c r="C2036"/>
      <c r="M2036"/>
    </row>
    <row r="2037" spans="3:13" ht="12.75" customHeight="1">
      <c r="C2037"/>
      <c r="M2037"/>
    </row>
    <row r="2038" spans="3:13" ht="12.75" customHeight="1">
      <c r="C2038"/>
      <c r="M2038"/>
    </row>
    <row r="2039" spans="3:13" ht="12.75" customHeight="1">
      <c r="C2039"/>
      <c r="M2039"/>
    </row>
    <row r="2040" spans="3:13" ht="12.75" customHeight="1">
      <c r="C2040"/>
      <c r="M2040"/>
    </row>
    <row r="2041" spans="3:13" ht="12.75" customHeight="1">
      <c r="C2041"/>
      <c r="M2041"/>
    </row>
    <row r="2042" spans="3:13" ht="12.75" customHeight="1">
      <c r="C2042"/>
      <c r="M2042"/>
    </row>
    <row r="2043" spans="3:13" ht="12.75" customHeight="1">
      <c r="C2043"/>
      <c r="M2043"/>
    </row>
    <row r="2044" spans="3:13" ht="12.75" customHeight="1">
      <c r="C2044"/>
      <c r="M2044"/>
    </row>
    <row r="2045" spans="3:13" ht="12.75" customHeight="1">
      <c r="C2045"/>
      <c r="M2045"/>
    </row>
    <row r="2046" spans="3:13" ht="12.75" customHeight="1">
      <c r="C2046"/>
      <c r="M2046"/>
    </row>
    <row r="2047" spans="3:13" ht="12.75" customHeight="1">
      <c r="C2047"/>
      <c r="M2047"/>
    </row>
    <row r="2048" spans="3:13" ht="12.75" customHeight="1">
      <c r="C2048"/>
      <c r="M2048"/>
    </row>
    <row r="2049" spans="3:13" ht="12.75" customHeight="1">
      <c r="C2049"/>
      <c r="M2049"/>
    </row>
    <row r="2050" spans="3:13" ht="12.75" customHeight="1">
      <c r="C2050"/>
      <c r="M2050"/>
    </row>
    <row r="2051" spans="3:13" ht="12.75" customHeight="1">
      <c r="C2051"/>
      <c r="M2051"/>
    </row>
    <row r="2052" spans="3:13" ht="12.75" customHeight="1">
      <c r="C2052"/>
      <c r="M2052"/>
    </row>
    <row r="2053" spans="3:13" ht="12.75" customHeight="1">
      <c r="C2053"/>
      <c r="M2053"/>
    </row>
    <row r="2054" spans="3:13" ht="12.75" customHeight="1">
      <c r="C2054"/>
      <c r="M2054"/>
    </row>
    <row r="2055" spans="3:13" ht="12.75" customHeight="1">
      <c r="C2055"/>
      <c r="M2055"/>
    </row>
    <row r="2056" spans="3:13" ht="12.75" customHeight="1">
      <c r="C2056"/>
      <c r="M2056"/>
    </row>
    <row r="2057" spans="3:13" ht="12.75" customHeight="1">
      <c r="C2057"/>
      <c r="M2057"/>
    </row>
    <row r="2058" spans="3:13" ht="12.75" customHeight="1">
      <c r="C2058"/>
      <c r="M2058"/>
    </row>
    <row r="2059" spans="3:13" ht="12.75" customHeight="1">
      <c r="C2059"/>
      <c r="M2059"/>
    </row>
    <row r="2060" spans="3:13" ht="12.75" customHeight="1">
      <c r="C2060"/>
      <c r="M2060"/>
    </row>
    <row r="2061" spans="3:13" ht="12.75" customHeight="1">
      <c r="C2061"/>
      <c r="M2061"/>
    </row>
    <row r="2062" spans="3:13" ht="12.75" customHeight="1">
      <c r="C2062"/>
      <c r="M2062"/>
    </row>
    <row r="2063" spans="3:13" ht="12.75" customHeight="1">
      <c r="C2063"/>
      <c r="M2063"/>
    </row>
    <row r="2064" spans="3:13" ht="12.75" customHeight="1">
      <c r="C2064"/>
      <c r="M2064"/>
    </row>
    <row r="2065" spans="3:13" ht="12.75" customHeight="1">
      <c r="C2065"/>
      <c r="M2065"/>
    </row>
    <row r="2066" spans="3:13" ht="12.75" customHeight="1">
      <c r="C2066"/>
      <c r="M2066"/>
    </row>
    <row r="2067" spans="3:13" ht="12.75" customHeight="1">
      <c r="C2067"/>
      <c r="M2067"/>
    </row>
    <row r="2068" spans="3:13" ht="12.75" customHeight="1">
      <c r="C2068"/>
      <c r="M2068"/>
    </row>
    <row r="2069" spans="3:13" ht="12.75" customHeight="1">
      <c r="C2069"/>
      <c r="M2069"/>
    </row>
    <row r="2070" spans="3:13" ht="12.75" customHeight="1">
      <c r="C2070"/>
      <c r="M2070"/>
    </row>
    <row r="2071" spans="3:13" ht="12.75" customHeight="1">
      <c r="C2071"/>
      <c r="M2071"/>
    </row>
    <row r="2072" spans="3:13" ht="12.75" customHeight="1">
      <c r="C2072"/>
      <c r="M2072"/>
    </row>
    <row r="2073" spans="3:13" ht="12.75" customHeight="1">
      <c r="C2073"/>
      <c r="M2073"/>
    </row>
    <row r="2074" spans="3:13" ht="12.75" customHeight="1">
      <c r="C2074"/>
      <c r="M2074"/>
    </row>
    <row r="2075" spans="3:13" ht="12.75" customHeight="1">
      <c r="C2075"/>
      <c r="M2075"/>
    </row>
    <row r="2076" spans="3:13" ht="12.75" customHeight="1">
      <c r="C2076"/>
      <c r="M2076"/>
    </row>
    <row r="2077" spans="3:13" ht="12.75" customHeight="1">
      <c r="C2077"/>
      <c r="M2077"/>
    </row>
    <row r="2078" spans="3:13" ht="12.75" customHeight="1">
      <c r="C2078"/>
      <c r="M2078"/>
    </row>
    <row r="2079" spans="3:13" ht="12.75" customHeight="1">
      <c r="C2079"/>
      <c r="M2079"/>
    </row>
    <row r="2080" spans="3:13" ht="12.75" customHeight="1">
      <c r="C2080"/>
      <c r="M2080"/>
    </row>
    <row r="2081" spans="3:13" ht="12.75" customHeight="1">
      <c r="C2081"/>
      <c r="M2081"/>
    </row>
    <row r="2082" spans="3:13" ht="12.75" customHeight="1">
      <c r="C2082"/>
      <c r="M2082"/>
    </row>
    <row r="2083" spans="3:13" ht="12.75" customHeight="1">
      <c r="C2083"/>
      <c r="M2083"/>
    </row>
    <row r="2084" spans="3:13" ht="12.75" customHeight="1">
      <c r="C2084"/>
      <c r="M2084"/>
    </row>
    <row r="2085" spans="3:13" ht="12.75" customHeight="1">
      <c r="C2085"/>
      <c r="M2085"/>
    </row>
    <row r="2086" spans="3:13" ht="12.75" customHeight="1">
      <c r="C2086"/>
      <c r="M2086"/>
    </row>
    <row r="2087" spans="3:13" ht="12.75" customHeight="1">
      <c r="C2087"/>
      <c r="M2087"/>
    </row>
    <row r="2088" spans="3:13" ht="12.75" customHeight="1">
      <c r="C2088"/>
      <c r="M2088"/>
    </row>
    <row r="2089" spans="3:13" ht="12.75" customHeight="1">
      <c r="C2089"/>
      <c r="M2089"/>
    </row>
    <row r="2090" spans="3:13" ht="12.75" customHeight="1">
      <c r="C2090"/>
      <c r="M2090"/>
    </row>
    <row r="2091" spans="3:13" ht="12.75" customHeight="1">
      <c r="C2091"/>
      <c r="M2091"/>
    </row>
    <row r="2092" spans="3:13" ht="12.75" customHeight="1">
      <c r="C2092"/>
      <c r="M2092"/>
    </row>
    <row r="2093" spans="3:13" ht="12.75" customHeight="1">
      <c r="C2093"/>
      <c r="M2093"/>
    </row>
    <row r="2094" spans="3:13" ht="12.75" customHeight="1">
      <c r="C2094"/>
      <c r="M2094"/>
    </row>
    <row r="2095" spans="3:13" ht="12.75" customHeight="1">
      <c r="C2095"/>
      <c r="M2095"/>
    </row>
    <row r="2096" spans="3:13" ht="12.75" customHeight="1">
      <c r="C2096"/>
      <c r="M2096"/>
    </row>
    <row r="2097" spans="3:13" ht="12.75" customHeight="1">
      <c r="C2097"/>
      <c r="M2097"/>
    </row>
    <row r="2098" spans="3:13" ht="12.75" customHeight="1">
      <c r="C2098"/>
      <c r="M2098"/>
    </row>
    <row r="2099" spans="3:13" ht="12.75" customHeight="1">
      <c r="C2099"/>
      <c r="M2099"/>
    </row>
    <row r="2100" spans="3:13" ht="12.75" customHeight="1">
      <c r="C2100"/>
      <c r="M2100"/>
    </row>
    <row r="2101" spans="3:13" ht="12.75" customHeight="1">
      <c r="C2101"/>
      <c r="M2101"/>
    </row>
    <row r="2102" spans="3:13" ht="12.75" customHeight="1">
      <c r="C2102"/>
      <c r="M2102"/>
    </row>
    <row r="2103" spans="3:13" ht="12.75" customHeight="1">
      <c r="C2103"/>
      <c r="M2103"/>
    </row>
    <row r="2104" spans="3:13" ht="12.75" customHeight="1">
      <c r="C2104"/>
      <c r="M2104"/>
    </row>
    <row r="2105" spans="3:13" ht="12.75" customHeight="1">
      <c r="C2105"/>
      <c r="M2105"/>
    </row>
    <row r="2106" spans="3:13" ht="12.75" customHeight="1">
      <c r="C2106"/>
      <c r="M2106"/>
    </row>
    <row r="2107" spans="3:13" ht="12.75" customHeight="1">
      <c r="C2107"/>
      <c r="M2107"/>
    </row>
    <row r="2108" spans="3:13" ht="12.75" customHeight="1">
      <c r="C2108"/>
      <c r="M2108"/>
    </row>
    <row r="2109" spans="3:13" ht="12.75" customHeight="1">
      <c r="C2109"/>
      <c r="M2109"/>
    </row>
    <row r="2110" spans="3:13" ht="12.75" customHeight="1">
      <c r="C2110"/>
      <c r="M2110"/>
    </row>
    <row r="2111" spans="3:13" ht="12.75" customHeight="1">
      <c r="C2111"/>
      <c r="M2111"/>
    </row>
    <row r="2112" spans="3:13" ht="12.75" customHeight="1">
      <c r="C2112"/>
      <c r="M2112"/>
    </row>
    <row r="2113" spans="3:13" ht="12.75" customHeight="1">
      <c r="C2113"/>
      <c r="M2113"/>
    </row>
    <row r="2114" spans="3:13" ht="12.75" customHeight="1">
      <c r="C2114"/>
      <c r="M2114"/>
    </row>
    <row r="2115" spans="3:13" ht="12.75" customHeight="1">
      <c r="C2115"/>
      <c r="M2115"/>
    </row>
    <row r="2116" spans="3:13" ht="12.75" customHeight="1">
      <c r="C2116"/>
      <c r="M2116"/>
    </row>
    <row r="2117" spans="3:13" ht="12.75" customHeight="1">
      <c r="C2117"/>
      <c r="M2117"/>
    </row>
    <row r="2118" spans="3:13" ht="12.75" customHeight="1">
      <c r="C2118"/>
      <c r="M2118"/>
    </row>
    <row r="2119" spans="3:13" ht="12.75" customHeight="1">
      <c r="C2119"/>
      <c r="M2119"/>
    </row>
    <row r="2120" spans="3:13" ht="12.75" customHeight="1">
      <c r="C2120"/>
      <c r="M2120"/>
    </row>
    <row r="2121" spans="3:13" ht="12.75" customHeight="1">
      <c r="C2121"/>
      <c r="M2121"/>
    </row>
    <row r="2122" spans="3:13" ht="12.75" customHeight="1">
      <c r="C2122"/>
      <c r="M2122"/>
    </row>
    <row r="2123" spans="3:13" ht="12.75" customHeight="1">
      <c r="C2123"/>
      <c r="M2123"/>
    </row>
    <row r="2124" spans="3:13" ht="12.75" customHeight="1">
      <c r="C2124"/>
      <c r="M2124"/>
    </row>
    <row r="2125" spans="3:13" ht="12.75" customHeight="1">
      <c r="C2125"/>
      <c r="M2125"/>
    </row>
    <row r="2126" spans="3:13" ht="12.75" customHeight="1">
      <c r="C2126"/>
      <c r="M2126"/>
    </row>
    <row r="2127" spans="3:13" ht="12.75" customHeight="1">
      <c r="C2127"/>
      <c r="M2127"/>
    </row>
    <row r="2128" spans="3:13" ht="12.75" customHeight="1">
      <c r="C2128"/>
      <c r="M2128"/>
    </row>
    <row r="2129" spans="3:13" ht="12.75" customHeight="1">
      <c r="C2129"/>
      <c r="M2129"/>
    </row>
    <row r="2130" spans="3:13" ht="12.75" customHeight="1">
      <c r="C2130"/>
      <c r="M2130"/>
    </row>
    <row r="2131" spans="3:13" ht="12.75" customHeight="1">
      <c r="C2131"/>
      <c r="M2131"/>
    </row>
    <row r="2132" spans="3:13" ht="12.75" customHeight="1">
      <c r="C2132"/>
      <c r="M2132"/>
    </row>
    <row r="2133" spans="3:13" ht="12.75" customHeight="1">
      <c r="C2133"/>
      <c r="M2133"/>
    </row>
    <row r="2134" spans="3:13" ht="12.75" customHeight="1">
      <c r="C2134"/>
      <c r="M2134"/>
    </row>
    <row r="2135" spans="3:13" ht="12.75" customHeight="1">
      <c r="C2135"/>
      <c r="M2135"/>
    </row>
    <row r="2136" spans="3:13" ht="12.75" customHeight="1">
      <c r="C2136"/>
      <c r="M2136"/>
    </row>
    <row r="2137" spans="3:13" ht="12.75" customHeight="1">
      <c r="C2137"/>
      <c r="M2137"/>
    </row>
    <row r="2138" spans="3:13" ht="12.75" customHeight="1">
      <c r="C2138"/>
      <c r="M2138"/>
    </row>
    <row r="2139" spans="3:13" ht="12.75" customHeight="1">
      <c r="C2139"/>
      <c r="M2139"/>
    </row>
    <row r="2140" spans="3:13" ht="12.75" customHeight="1">
      <c r="C2140"/>
      <c r="M2140"/>
    </row>
    <row r="2141" spans="3:13" ht="12.75" customHeight="1">
      <c r="C2141"/>
      <c r="M2141"/>
    </row>
    <row r="2142" spans="3:13" ht="12.75" customHeight="1">
      <c r="C2142"/>
      <c r="M2142"/>
    </row>
    <row r="2143" spans="3:13" ht="12.75" customHeight="1">
      <c r="C2143"/>
      <c r="M2143"/>
    </row>
    <row r="2144" spans="3:13" ht="12.75" customHeight="1">
      <c r="C2144"/>
      <c r="M2144"/>
    </row>
    <row r="2145" spans="3:13" ht="12.75" customHeight="1">
      <c r="C2145"/>
      <c r="M2145"/>
    </row>
    <row r="2146" spans="3:13" ht="12.75" customHeight="1">
      <c r="C2146"/>
      <c r="M2146"/>
    </row>
    <row r="2147" spans="3:13" ht="12.75" customHeight="1">
      <c r="C2147"/>
      <c r="M2147"/>
    </row>
    <row r="2148" spans="3:13" ht="12.75" customHeight="1">
      <c r="C2148"/>
      <c r="M2148"/>
    </row>
    <row r="2149" spans="3:13" ht="12.75" customHeight="1">
      <c r="C2149"/>
      <c r="M2149"/>
    </row>
    <row r="2150" spans="3:13" ht="12.75" customHeight="1">
      <c r="C2150"/>
      <c r="M2150"/>
    </row>
    <row r="2151" spans="3:13" ht="12.75" customHeight="1">
      <c r="C2151"/>
      <c r="M2151"/>
    </row>
    <row r="2152" spans="3:13" ht="12.75" customHeight="1">
      <c r="C2152"/>
      <c r="M2152"/>
    </row>
    <row r="2153" spans="3:13" ht="12.75" customHeight="1">
      <c r="C2153"/>
      <c r="M2153"/>
    </row>
    <row r="2154" spans="3:13" ht="12.75" customHeight="1">
      <c r="C2154"/>
      <c r="M2154"/>
    </row>
    <row r="2155" spans="3:13" ht="12.75" customHeight="1">
      <c r="C2155"/>
      <c r="M2155"/>
    </row>
    <row r="2156" spans="3:13" ht="12.75" customHeight="1">
      <c r="C2156"/>
      <c r="M2156"/>
    </row>
    <row r="2157" spans="3:13" ht="12.75" customHeight="1">
      <c r="C2157"/>
      <c r="M2157"/>
    </row>
    <row r="2158" spans="3:13" ht="12.75" customHeight="1">
      <c r="C2158"/>
      <c r="M2158"/>
    </row>
    <row r="2159" spans="3:13" ht="12.75" customHeight="1">
      <c r="C2159"/>
      <c r="M2159"/>
    </row>
    <row r="2160" spans="3:13" ht="12.75" customHeight="1">
      <c r="C2160"/>
      <c r="M2160"/>
    </row>
    <row r="2161" spans="3:13" ht="12.75" customHeight="1">
      <c r="C2161"/>
      <c r="M2161"/>
    </row>
    <row r="2162" spans="3:13" ht="12.75" customHeight="1">
      <c r="C2162"/>
      <c r="M2162"/>
    </row>
    <row r="2163" spans="3:13" ht="12.75" customHeight="1">
      <c r="C2163"/>
      <c r="M2163"/>
    </row>
    <row r="2164" spans="3:13" ht="12.75" customHeight="1">
      <c r="C2164"/>
      <c r="M2164"/>
    </row>
    <row r="2165" spans="3:13" ht="12.75" customHeight="1">
      <c r="C2165"/>
      <c r="M2165"/>
    </row>
    <row r="2166" spans="3:13" ht="12.75" customHeight="1">
      <c r="C2166"/>
      <c r="M2166"/>
    </row>
    <row r="2167" spans="3:13" ht="12.75" customHeight="1">
      <c r="C2167"/>
      <c r="M2167"/>
    </row>
    <row r="2168" spans="3:13" ht="12.75" customHeight="1">
      <c r="C2168"/>
      <c r="M2168"/>
    </row>
    <row r="2169" spans="3:13" ht="12.75" customHeight="1">
      <c r="C2169"/>
      <c r="M2169"/>
    </row>
    <row r="2170" spans="3:13" ht="12.75" customHeight="1">
      <c r="C2170"/>
      <c r="M2170"/>
    </row>
    <row r="2171" spans="3:13" ht="12.75" customHeight="1">
      <c r="C2171"/>
      <c r="M2171"/>
    </row>
    <row r="2172" spans="3:13" ht="12.75" customHeight="1">
      <c r="C2172"/>
      <c r="M2172"/>
    </row>
    <row r="2173" spans="3:13" ht="12.75" customHeight="1">
      <c r="C2173"/>
      <c r="M2173"/>
    </row>
    <row r="2174" spans="3:13" ht="12.75" customHeight="1">
      <c r="C2174"/>
      <c r="M2174"/>
    </row>
    <row r="2175" spans="3:13" ht="12.75" customHeight="1">
      <c r="C2175"/>
      <c r="M2175"/>
    </row>
    <row r="2176" spans="3:13" ht="12.75" customHeight="1">
      <c r="C2176"/>
      <c r="M2176"/>
    </row>
    <row r="2177" spans="3:13" ht="12.75" customHeight="1">
      <c r="C2177"/>
      <c r="M2177"/>
    </row>
    <row r="2178" spans="3:13" ht="12.75" customHeight="1">
      <c r="C2178"/>
      <c r="M2178"/>
    </row>
    <row r="2179" spans="3:13" ht="12.75" customHeight="1">
      <c r="C2179"/>
      <c r="M2179"/>
    </row>
    <row r="2180" spans="3:13" ht="12.75" customHeight="1">
      <c r="C2180"/>
      <c r="M2180"/>
    </row>
    <row r="2181" spans="3:13" ht="12.75" customHeight="1">
      <c r="C2181"/>
      <c r="M2181"/>
    </row>
    <row r="2182" spans="3:13" ht="12.75" customHeight="1">
      <c r="C2182"/>
      <c r="M2182"/>
    </row>
    <row r="2183" spans="3:13" ht="12.75" customHeight="1">
      <c r="C2183"/>
      <c r="M2183"/>
    </row>
    <row r="2184" spans="3:13" ht="12.75" customHeight="1">
      <c r="C2184"/>
      <c r="M2184"/>
    </row>
    <row r="2185" spans="3:13" ht="12.75" customHeight="1">
      <c r="C2185"/>
      <c r="M2185"/>
    </row>
    <row r="2186" spans="3:13" ht="12.75" customHeight="1">
      <c r="C2186"/>
      <c r="M2186"/>
    </row>
    <row r="2187" spans="3:13" ht="12.75" customHeight="1">
      <c r="C2187"/>
      <c r="M2187"/>
    </row>
    <row r="2188" spans="3:13" ht="12.75" customHeight="1">
      <c r="C2188"/>
      <c r="M2188"/>
    </row>
    <row r="2189" spans="3:13" ht="12.75" customHeight="1">
      <c r="C2189"/>
      <c r="M2189"/>
    </row>
    <row r="2190" spans="3:13" ht="12.75" customHeight="1">
      <c r="C2190"/>
      <c r="M2190"/>
    </row>
    <row r="2191" spans="3:13" ht="12.75" customHeight="1">
      <c r="C2191"/>
      <c r="M2191"/>
    </row>
    <row r="2192" spans="3:13" ht="12.75" customHeight="1">
      <c r="C2192"/>
      <c r="M2192"/>
    </row>
    <row r="2193" spans="3:13" ht="12.75" customHeight="1">
      <c r="C2193"/>
      <c r="M2193"/>
    </row>
    <row r="2194" spans="3:13" ht="12.75" customHeight="1">
      <c r="C2194"/>
      <c r="M2194"/>
    </row>
    <row r="2195" spans="3:13" ht="12.75" customHeight="1">
      <c r="C2195"/>
      <c r="M2195"/>
    </row>
    <row r="2196" spans="3:13" ht="12.75" customHeight="1">
      <c r="C2196"/>
      <c r="M2196"/>
    </row>
    <row r="2197" spans="3:13" ht="12.75" customHeight="1">
      <c r="C2197"/>
      <c r="M2197"/>
    </row>
    <row r="2198" spans="3:13" ht="12.75" customHeight="1">
      <c r="C2198"/>
      <c r="M2198"/>
    </row>
    <row r="2199" spans="3:13" ht="12.75" customHeight="1">
      <c r="C2199"/>
      <c r="M2199"/>
    </row>
    <row r="2200" spans="3:13" ht="12.75" customHeight="1">
      <c r="C2200"/>
      <c r="M2200"/>
    </row>
    <row r="2201" spans="3:13" ht="12.75" customHeight="1">
      <c r="C2201"/>
      <c r="M2201"/>
    </row>
    <row r="2202" spans="3:13" ht="12.75" customHeight="1">
      <c r="C2202"/>
      <c r="M2202"/>
    </row>
    <row r="2203" spans="3:13" ht="12.75" customHeight="1">
      <c r="C2203"/>
      <c r="M2203"/>
    </row>
    <row r="2204" spans="3:13" ht="12.75" customHeight="1">
      <c r="C2204"/>
      <c r="M2204"/>
    </row>
    <row r="2205" spans="3:13" ht="12.75" customHeight="1">
      <c r="C2205"/>
      <c r="M2205"/>
    </row>
    <row r="2206" spans="3:13" ht="12.75" customHeight="1">
      <c r="C2206"/>
      <c r="M2206"/>
    </row>
    <row r="2207" spans="3:13" ht="12.75" customHeight="1">
      <c r="C2207"/>
      <c r="M2207"/>
    </row>
    <row r="2208" spans="3:13" ht="12.75" customHeight="1">
      <c r="C2208"/>
      <c r="M2208"/>
    </row>
    <row r="2209" spans="3:13" ht="12.75" customHeight="1">
      <c r="C2209"/>
      <c r="M2209"/>
    </row>
    <row r="2210" spans="3:13" ht="12.75" customHeight="1">
      <c r="C2210"/>
      <c r="M2210"/>
    </row>
    <row r="2211" spans="3:13" ht="12.75" customHeight="1">
      <c r="C2211"/>
      <c r="M2211"/>
    </row>
    <row r="2212" spans="3:13" ht="12.75" customHeight="1">
      <c r="C2212"/>
      <c r="M2212"/>
    </row>
    <row r="2213" spans="3:13" ht="12.75" customHeight="1">
      <c r="C2213"/>
      <c r="M2213"/>
    </row>
    <row r="2214" spans="3:13" ht="12.75" customHeight="1">
      <c r="C2214"/>
      <c r="M2214"/>
    </row>
    <row r="2215" spans="3:13" ht="12.75" customHeight="1">
      <c r="C2215"/>
      <c r="M2215"/>
    </row>
    <row r="2216" spans="3:13" ht="12.75" customHeight="1">
      <c r="C2216"/>
      <c r="M2216"/>
    </row>
    <row r="2217" spans="3:13" ht="12.75" customHeight="1">
      <c r="C2217"/>
      <c r="M2217"/>
    </row>
    <row r="2218" spans="3:13" ht="12.75" customHeight="1">
      <c r="C2218"/>
      <c r="M2218"/>
    </row>
    <row r="2219" spans="3:13" ht="12.75" customHeight="1">
      <c r="C2219"/>
      <c r="M2219"/>
    </row>
    <row r="2220" spans="3:13" ht="12.75" customHeight="1">
      <c r="C2220"/>
      <c r="M2220"/>
    </row>
    <row r="2221" spans="3:13" ht="12.75" customHeight="1">
      <c r="C2221"/>
      <c r="M2221"/>
    </row>
    <row r="2222" spans="3:13" ht="12.75" customHeight="1">
      <c r="C2222"/>
      <c r="M2222"/>
    </row>
    <row r="2223" spans="3:13" ht="12.75" customHeight="1">
      <c r="C2223"/>
      <c r="M2223"/>
    </row>
    <row r="2224" spans="3:13" ht="12.75" customHeight="1">
      <c r="C2224"/>
      <c r="M2224"/>
    </row>
    <row r="2225" spans="3:13" ht="12.75" customHeight="1">
      <c r="C2225"/>
      <c r="M2225"/>
    </row>
    <row r="2226" spans="3:13" ht="12.75" customHeight="1">
      <c r="C2226"/>
      <c r="M2226"/>
    </row>
    <row r="2227" spans="3:13" ht="12.75" customHeight="1">
      <c r="C2227"/>
      <c r="M2227"/>
    </row>
    <row r="2228" spans="3:13" ht="12.75" customHeight="1">
      <c r="C2228"/>
      <c r="M2228"/>
    </row>
    <row r="2229" spans="3:13" ht="12.75" customHeight="1">
      <c r="C2229"/>
      <c r="M2229"/>
    </row>
    <row r="2230" spans="3:13" ht="12.75" customHeight="1">
      <c r="C2230"/>
      <c r="M2230"/>
    </row>
    <row r="2231" spans="3:13" ht="12.75" customHeight="1">
      <c r="C2231"/>
      <c r="M2231"/>
    </row>
    <row r="2232" spans="3:13" ht="12.75" customHeight="1">
      <c r="C2232"/>
      <c r="M2232"/>
    </row>
    <row r="2233" spans="3:13" ht="12.75" customHeight="1">
      <c r="C2233"/>
      <c r="M2233"/>
    </row>
    <row r="2234" spans="3:13" ht="12.75" customHeight="1">
      <c r="C2234"/>
      <c r="M2234"/>
    </row>
    <row r="2235" spans="3:13" ht="12.75" customHeight="1">
      <c r="C2235"/>
      <c r="M2235"/>
    </row>
    <row r="2236" spans="3:13" ht="12.75" customHeight="1">
      <c r="C2236"/>
      <c r="M2236"/>
    </row>
    <row r="2237" spans="3:13" ht="12.75" customHeight="1">
      <c r="C2237"/>
      <c r="M2237"/>
    </row>
    <row r="2238" spans="3:13" ht="12.75" customHeight="1">
      <c r="C2238"/>
      <c r="M2238"/>
    </row>
    <row r="2239" spans="3:13" ht="12.75" customHeight="1">
      <c r="C2239"/>
      <c r="M2239"/>
    </row>
    <row r="2240" spans="3:13" ht="12.75" customHeight="1">
      <c r="C2240"/>
      <c r="M2240"/>
    </row>
    <row r="2241" spans="3:13" ht="12.75" customHeight="1">
      <c r="C2241"/>
      <c r="M2241"/>
    </row>
    <row r="2242" spans="3:13" ht="12.75" customHeight="1">
      <c r="C2242"/>
      <c r="M2242"/>
    </row>
    <row r="2243" spans="3:13" ht="12.75" customHeight="1">
      <c r="C2243"/>
      <c r="M2243"/>
    </row>
    <row r="2244" spans="3:13" ht="12.75" customHeight="1">
      <c r="C2244"/>
      <c r="M2244"/>
    </row>
    <row r="2245" spans="3:13" ht="12.75" customHeight="1">
      <c r="C2245"/>
      <c r="M2245"/>
    </row>
    <row r="2246" spans="3:13" ht="12.75" customHeight="1">
      <c r="C2246"/>
      <c r="M2246"/>
    </row>
    <row r="2247" spans="3:13" ht="12.75" customHeight="1">
      <c r="C2247"/>
      <c r="M2247"/>
    </row>
    <row r="2248" spans="3:13" ht="12.75" customHeight="1">
      <c r="C2248"/>
      <c r="M2248"/>
    </row>
    <row r="2249" spans="3:13" ht="12.75" customHeight="1">
      <c r="C2249"/>
      <c r="M2249"/>
    </row>
    <row r="2250" spans="3:13" ht="12.75" customHeight="1">
      <c r="C2250"/>
      <c r="M2250"/>
    </row>
    <row r="2251" spans="3:13" ht="12.75" customHeight="1">
      <c r="C2251"/>
      <c r="M2251"/>
    </row>
    <row r="2252" spans="3:13" ht="12.75" customHeight="1">
      <c r="C2252"/>
      <c r="M2252"/>
    </row>
    <row r="2253" spans="3:13" ht="12.75" customHeight="1">
      <c r="C2253"/>
      <c r="M2253"/>
    </row>
    <row r="2254" spans="3:13" ht="12.75" customHeight="1">
      <c r="C2254"/>
      <c r="M2254"/>
    </row>
    <row r="2255" spans="3:13" ht="12.75" customHeight="1">
      <c r="C2255"/>
      <c r="M2255"/>
    </row>
    <row r="2256" spans="3:13" ht="12.75" customHeight="1">
      <c r="C2256"/>
      <c r="M2256"/>
    </row>
    <row r="2257" spans="3:13" ht="12.75" customHeight="1">
      <c r="C2257"/>
      <c r="M2257"/>
    </row>
    <row r="2258" spans="3:13" ht="12.75" customHeight="1">
      <c r="C2258"/>
      <c r="M2258"/>
    </row>
    <row r="2259" spans="3:13" ht="12.75" customHeight="1">
      <c r="C2259"/>
      <c r="M2259"/>
    </row>
    <row r="2260" spans="3:13" ht="12.75" customHeight="1">
      <c r="C2260"/>
      <c r="M2260"/>
    </row>
    <row r="2261" spans="3:13" ht="12.75" customHeight="1">
      <c r="C2261"/>
      <c r="M2261"/>
    </row>
    <row r="2262" spans="3:13" ht="12.75" customHeight="1">
      <c r="C2262"/>
      <c r="M2262"/>
    </row>
    <row r="2263" spans="3:13" ht="12.75" customHeight="1">
      <c r="C2263"/>
      <c r="M2263"/>
    </row>
    <row r="2264" spans="3:13" ht="12.75" customHeight="1">
      <c r="C2264"/>
      <c r="M2264"/>
    </row>
    <row r="2265" spans="3:13" ht="12.75" customHeight="1">
      <c r="C2265"/>
      <c r="M2265"/>
    </row>
    <row r="2266" spans="3:13" ht="12.75" customHeight="1">
      <c r="C2266"/>
      <c r="M2266"/>
    </row>
    <row r="2267" spans="3:13" ht="12.75" customHeight="1">
      <c r="C2267"/>
      <c r="M2267"/>
    </row>
    <row r="2268" spans="3:13" ht="12.75" customHeight="1">
      <c r="C2268"/>
      <c r="M2268"/>
    </row>
    <row r="2269" spans="3:13" ht="12.75" customHeight="1">
      <c r="C2269"/>
      <c r="M2269"/>
    </row>
    <row r="2270" spans="3:13" ht="12.75" customHeight="1">
      <c r="C2270"/>
      <c r="M2270"/>
    </row>
    <row r="2271" spans="3:13" ht="12.75" customHeight="1">
      <c r="C2271"/>
      <c r="M2271"/>
    </row>
    <row r="2272" spans="3:13" ht="12.75" customHeight="1">
      <c r="C2272"/>
      <c r="M2272"/>
    </row>
    <row r="2273" spans="3:13" ht="12.75" customHeight="1">
      <c r="C2273"/>
      <c r="M2273"/>
    </row>
    <row r="2274" spans="3:13" ht="12.75" customHeight="1">
      <c r="C2274"/>
      <c r="M2274"/>
    </row>
    <row r="2275" spans="3:13" ht="12.75" customHeight="1">
      <c r="C2275"/>
      <c r="M2275"/>
    </row>
    <row r="2276" spans="3:13" ht="12.75" customHeight="1">
      <c r="C2276"/>
      <c r="M2276"/>
    </row>
    <row r="2277" spans="3:13" ht="12.75" customHeight="1">
      <c r="C2277"/>
      <c r="M2277"/>
    </row>
    <row r="2278" spans="3:13" ht="12.75" customHeight="1">
      <c r="C2278"/>
      <c r="M2278"/>
    </row>
    <row r="2279" spans="3:13" ht="12.75" customHeight="1">
      <c r="C2279"/>
      <c r="M2279"/>
    </row>
    <row r="2280" spans="3:13" ht="12.75" customHeight="1">
      <c r="C2280"/>
      <c r="M2280"/>
    </row>
    <row r="2281" spans="3:13" ht="12.75" customHeight="1">
      <c r="C2281"/>
      <c r="M2281"/>
    </row>
    <row r="2282" spans="3:13" ht="12.75" customHeight="1">
      <c r="C2282"/>
      <c r="M2282"/>
    </row>
    <row r="2283" spans="3:13" ht="12.75" customHeight="1">
      <c r="C2283"/>
      <c r="M2283"/>
    </row>
    <row r="2284" spans="3:13" ht="12.75" customHeight="1">
      <c r="C2284"/>
      <c r="M2284"/>
    </row>
    <row r="2285" spans="3:13" ht="12.75" customHeight="1">
      <c r="C2285"/>
      <c r="M2285"/>
    </row>
    <row r="2286" spans="3:13" ht="12.75" customHeight="1">
      <c r="C2286"/>
      <c r="M2286"/>
    </row>
    <row r="2287" spans="3:13" ht="12.75" customHeight="1">
      <c r="C2287"/>
      <c r="M2287"/>
    </row>
    <row r="2288" spans="3:13" ht="12.75" customHeight="1">
      <c r="C2288"/>
      <c r="M2288"/>
    </row>
    <row r="2289" spans="3:13" ht="12.75" customHeight="1">
      <c r="C2289"/>
      <c r="M2289"/>
    </row>
    <row r="2290" spans="3:13" ht="12.75" customHeight="1">
      <c r="C2290"/>
      <c r="M2290"/>
    </row>
    <row r="2291" spans="3:13" ht="12.75" customHeight="1">
      <c r="C2291"/>
      <c r="M2291"/>
    </row>
    <row r="2292" spans="3:13" ht="12.75" customHeight="1">
      <c r="C2292"/>
      <c r="M2292"/>
    </row>
    <row r="2293" spans="3:13" ht="12.75" customHeight="1">
      <c r="C2293"/>
      <c r="M2293"/>
    </row>
    <row r="2294" spans="3:13" ht="12.75" customHeight="1">
      <c r="C2294"/>
      <c r="M2294"/>
    </row>
    <row r="2295" spans="3:13" ht="12.75" customHeight="1">
      <c r="C2295"/>
      <c r="M2295"/>
    </row>
    <row r="2296" spans="3:13" ht="12.75" customHeight="1">
      <c r="C2296"/>
      <c r="M2296"/>
    </row>
    <row r="2297" spans="3:13" ht="12.75" customHeight="1">
      <c r="C2297"/>
      <c r="M2297"/>
    </row>
    <row r="2298" spans="3:13" ht="12.75" customHeight="1">
      <c r="C2298"/>
      <c r="M2298"/>
    </row>
    <row r="2299" spans="3:13" ht="12.75" customHeight="1">
      <c r="C2299"/>
      <c r="M2299"/>
    </row>
    <row r="2300" spans="3:13" ht="12.75" customHeight="1">
      <c r="C2300"/>
      <c r="M2300"/>
    </row>
    <row r="2301" spans="3:13" ht="12.75" customHeight="1">
      <c r="C2301"/>
      <c r="M2301"/>
    </row>
    <row r="2302" spans="3:13" ht="12.75" customHeight="1">
      <c r="C2302"/>
      <c r="M2302"/>
    </row>
    <row r="2303" spans="3:13" ht="12.75" customHeight="1">
      <c r="C2303"/>
      <c r="M2303"/>
    </row>
    <row r="2304" spans="3:13" ht="12.75" customHeight="1">
      <c r="C2304"/>
      <c r="M2304"/>
    </row>
    <row r="2305" spans="3:13" ht="12.75" customHeight="1">
      <c r="C2305"/>
      <c r="M2305"/>
    </row>
    <row r="2306" spans="3:13" ht="12.75" customHeight="1">
      <c r="C2306"/>
      <c r="M2306"/>
    </row>
    <row r="2307" spans="3:13" ht="12.75" customHeight="1">
      <c r="C2307"/>
      <c r="M2307"/>
    </row>
    <row r="2308" spans="3:13" ht="12.75" customHeight="1">
      <c r="C2308"/>
      <c r="M2308"/>
    </row>
    <row r="2309" spans="3:13" ht="12.75" customHeight="1">
      <c r="C2309"/>
      <c r="M2309"/>
    </row>
    <row r="2310" spans="3:13" ht="12.75" customHeight="1">
      <c r="C2310"/>
      <c r="M2310"/>
    </row>
    <row r="2311" spans="3:13" ht="12.75" customHeight="1">
      <c r="C2311"/>
      <c r="M2311"/>
    </row>
    <row r="2312" spans="3:13" ht="12.75" customHeight="1">
      <c r="C2312"/>
      <c r="M2312"/>
    </row>
    <row r="2313" spans="3:13" ht="12.75" customHeight="1">
      <c r="C2313"/>
      <c r="M2313"/>
    </row>
    <row r="2314" spans="3:13" ht="12.75" customHeight="1">
      <c r="C2314"/>
      <c r="M2314"/>
    </row>
    <row r="2315" spans="3:13" ht="12.75" customHeight="1">
      <c r="C2315"/>
      <c r="M2315"/>
    </row>
    <row r="2316" spans="3:13" ht="12.75" customHeight="1">
      <c r="C2316"/>
      <c r="M2316"/>
    </row>
    <row r="2317" spans="3:13" ht="12.75" customHeight="1">
      <c r="C2317"/>
      <c r="M2317"/>
    </row>
    <row r="2318" spans="3:13" ht="12.75" customHeight="1">
      <c r="C2318"/>
      <c r="M2318"/>
    </row>
    <row r="2319" spans="3:13" ht="12.75" customHeight="1">
      <c r="C2319"/>
      <c r="M2319"/>
    </row>
    <row r="2320" spans="3:13" ht="12.75" customHeight="1">
      <c r="C2320"/>
      <c r="M2320"/>
    </row>
    <row r="2321" spans="3:13" ht="12.75" customHeight="1">
      <c r="C2321"/>
      <c r="M2321"/>
    </row>
    <row r="2322" spans="3:13" ht="12.75" customHeight="1">
      <c r="C2322"/>
      <c r="M2322"/>
    </row>
    <row r="2323" spans="3:13" ht="12.75" customHeight="1">
      <c r="C2323"/>
      <c r="M2323"/>
    </row>
    <row r="2324" spans="3:13" ht="12.75" customHeight="1">
      <c r="C2324"/>
      <c r="M2324"/>
    </row>
    <row r="2325" spans="3:13" ht="12.75" customHeight="1">
      <c r="C2325"/>
      <c r="M2325"/>
    </row>
    <row r="2326" spans="3:13" ht="12.75" customHeight="1">
      <c r="C2326"/>
      <c r="M2326"/>
    </row>
    <row r="2327" spans="3:13" ht="12.75" customHeight="1">
      <c r="C2327"/>
      <c r="M2327"/>
    </row>
    <row r="2328" spans="3:13" ht="12.75" customHeight="1">
      <c r="C2328"/>
      <c r="M2328"/>
    </row>
    <row r="2329" spans="3:13" ht="12.75" customHeight="1">
      <c r="C2329"/>
      <c r="M2329"/>
    </row>
    <row r="2330" spans="3:13" ht="12.75" customHeight="1">
      <c r="C2330"/>
      <c r="M2330"/>
    </row>
    <row r="2331" spans="3:13" ht="12.75" customHeight="1">
      <c r="C2331"/>
      <c r="M2331"/>
    </row>
    <row r="2332" spans="3:13" ht="12.75" customHeight="1">
      <c r="C2332"/>
      <c r="M2332"/>
    </row>
    <row r="2333" spans="3:13" ht="12.75" customHeight="1">
      <c r="C2333"/>
      <c r="M2333"/>
    </row>
    <row r="2334" spans="3:13" ht="12.75" customHeight="1">
      <c r="C2334"/>
      <c r="M2334"/>
    </row>
    <row r="2335" spans="3:13" ht="12.75" customHeight="1">
      <c r="C2335"/>
      <c r="M2335"/>
    </row>
    <row r="2336" spans="3:13" ht="12.75" customHeight="1">
      <c r="C2336"/>
      <c r="M2336"/>
    </row>
    <row r="2337" spans="3:13" ht="12.75" customHeight="1">
      <c r="C2337"/>
      <c r="M2337"/>
    </row>
    <row r="2338" spans="3:13" ht="12.75" customHeight="1">
      <c r="C2338"/>
      <c r="M2338"/>
    </row>
    <row r="2339" spans="3:13" ht="12.75" customHeight="1">
      <c r="C2339"/>
      <c r="M2339"/>
    </row>
    <row r="2340" spans="3:13" ht="12.75" customHeight="1">
      <c r="C2340"/>
      <c r="M2340"/>
    </row>
    <row r="2341" spans="3:13" ht="12.75" customHeight="1">
      <c r="C2341"/>
      <c r="M2341"/>
    </row>
    <row r="2342" spans="3:13" ht="12.75" customHeight="1">
      <c r="C2342"/>
      <c r="M2342"/>
    </row>
    <row r="2343" spans="3:13" ht="12.75" customHeight="1">
      <c r="C2343"/>
      <c r="M2343"/>
    </row>
    <row r="2344" spans="3:13" ht="12.75" customHeight="1">
      <c r="C2344"/>
      <c r="M2344"/>
    </row>
    <row r="2345" spans="3:13" ht="12.75" customHeight="1">
      <c r="C2345"/>
      <c r="M2345"/>
    </row>
    <row r="2346" spans="3:13" ht="12.75" customHeight="1">
      <c r="C2346"/>
      <c r="M2346"/>
    </row>
    <row r="2347" spans="3:13" ht="12.75" customHeight="1">
      <c r="C2347"/>
      <c r="M2347"/>
    </row>
    <row r="2348" spans="3:13" ht="12.75" customHeight="1">
      <c r="C2348"/>
      <c r="M2348"/>
    </row>
    <row r="2349" spans="3:13" ht="12.75" customHeight="1">
      <c r="C2349"/>
      <c r="M2349"/>
    </row>
    <row r="2350" spans="3:13" ht="12.75" customHeight="1">
      <c r="C2350"/>
      <c r="M2350"/>
    </row>
    <row r="2351" spans="3:13" ht="12.75" customHeight="1">
      <c r="C2351"/>
      <c r="M2351"/>
    </row>
    <row r="2352" spans="3:13" ht="12.75" customHeight="1">
      <c r="C2352"/>
      <c r="M2352"/>
    </row>
    <row r="2353" spans="3:13" ht="12.75" customHeight="1">
      <c r="C2353"/>
      <c r="M2353"/>
    </row>
    <row r="2354" spans="3:13" ht="12.75" customHeight="1">
      <c r="C2354"/>
      <c r="M2354"/>
    </row>
    <row r="2355" spans="3:13" ht="12.75" customHeight="1">
      <c r="C2355"/>
      <c r="M2355"/>
    </row>
    <row r="2356" spans="3:13" ht="12.75" customHeight="1">
      <c r="C2356"/>
      <c r="M2356"/>
    </row>
    <row r="2357" spans="3:13" ht="12.75" customHeight="1">
      <c r="C2357"/>
      <c r="M2357"/>
    </row>
    <row r="2358" spans="3:13" ht="12.75" customHeight="1">
      <c r="C2358"/>
      <c r="M2358"/>
    </row>
    <row r="2359" spans="3:13" ht="12.75" customHeight="1">
      <c r="C2359"/>
      <c r="M2359"/>
    </row>
    <row r="2360" spans="3:13" ht="12.75" customHeight="1">
      <c r="C2360"/>
      <c r="M2360"/>
    </row>
    <row r="2361" spans="3:13" ht="12.75" customHeight="1">
      <c r="C2361"/>
      <c r="M2361"/>
    </row>
    <row r="2362" spans="3:13" ht="12.75" customHeight="1">
      <c r="C2362"/>
      <c r="M2362"/>
    </row>
    <row r="2363" spans="3:13" ht="12.75" customHeight="1">
      <c r="C2363"/>
      <c r="M2363"/>
    </row>
    <row r="2364" spans="3:13" ht="12.75" customHeight="1">
      <c r="C2364"/>
      <c r="M2364"/>
    </row>
    <row r="2365" spans="3:13" ht="12.75" customHeight="1">
      <c r="C2365"/>
      <c r="M2365"/>
    </row>
    <row r="2366" spans="3:13" ht="12.75" customHeight="1">
      <c r="C2366"/>
      <c r="M2366"/>
    </row>
    <row r="2367" spans="3:13" ht="12.75" customHeight="1">
      <c r="C2367"/>
      <c r="M2367"/>
    </row>
    <row r="2368" spans="3:13" ht="12.75" customHeight="1">
      <c r="C2368"/>
      <c r="M2368"/>
    </row>
    <row r="2369" spans="3:13" ht="12.75" customHeight="1">
      <c r="C2369"/>
      <c r="M2369"/>
    </row>
    <row r="2370" spans="3:13" ht="12.75" customHeight="1">
      <c r="C2370"/>
      <c r="M2370"/>
    </row>
    <row r="2371" spans="3:13" ht="12.75" customHeight="1">
      <c r="C2371"/>
      <c r="M2371"/>
    </row>
    <row r="2372" spans="3:13" ht="12.75" customHeight="1">
      <c r="C2372"/>
      <c r="M2372"/>
    </row>
    <row r="2373" spans="3:13" ht="12.75" customHeight="1">
      <c r="C2373"/>
      <c r="M2373"/>
    </row>
    <row r="2374" spans="3:13" ht="12.75" customHeight="1">
      <c r="C2374"/>
      <c r="M2374"/>
    </row>
    <row r="2375" spans="3:13" ht="12.75" customHeight="1">
      <c r="C2375"/>
      <c r="M2375"/>
    </row>
    <row r="2376" spans="3:13" ht="12.75" customHeight="1">
      <c r="C2376"/>
      <c r="M2376"/>
    </row>
    <row r="2377" spans="3:13" ht="12.75" customHeight="1">
      <c r="C2377"/>
      <c r="M2377"/>
    </row>
    <row r="2378" spans="3:13" ht="12.75" customHeight="1">
      <c r="C2378"/>
      <c r="M2378"/>
    </row>
    <row r="2379" spans="3:13" ht="12.75" customHeight="1">
      <c r="C2379"/>
      <c r="M2379"/>
    </row>
    <row r="2380" spans="3:13" ht="12.75" customHeight="1">
      <c r="C2380"/>
      <c r="M2380"/>
    </row>
    <row r="2381" spans="3:13" ht="12.75" customHeight="1">
      <c r="C2381"/>
      <c r="M2381"/>
    </row>
    <row r="2382" spans="3:13" ht="12.75" customHeight="1">
      <c r="C2382"/>
      <c r="M2382"/>
    </row>
    <row r="2383" spans="3:13" ht="12.75" customHeight="1">
      <c r="C2383"/>
      <c r="M2383"/>
    </row>
    <row r="2384" spans="3:13" ht="12.75" customHeight="1">
      <c r="C2384"/>
      <c r="M2384"/>
    </row>
    <row r="2385" spans="3:13" ht="12.75" customHeight="1">
      <c r="C2385"/>
      <c r="M2385"/>
    </row>
    <row r="2386" spans="3:13" ht="12.75" customHeight="1">
      <c r="C2386"/>
      <c r="M2386"/>
    </row>
    <row r="2387" spans="3:13" ht="12.75" customHeight="1">
      <c r="C2387"/>
      <c r="M2387"/>
    </row>
    <row r="2388" spans="3:13" ht="12.75" customHeight="1">
      <c r="C2388"/>
      <c r="M2388"/>
    </row>
    <row r="2389" spans="3:13" ht="12.75" customHeight="1">
      <c r="C2389"/>
      <c r="M2389"/>
    </row>
    <row r="2390" spans="3:13" ht="12.75" customHeight="1">
      <c r="C2390"/>
      <c r="M2390"/>
    </row>
    <row r="2391" spans="3:13" ht="12.75" customHeight="1">
      <c r="C2391"/>
      <c r="M2391"/>
    </row>
    <row r="2392" spans="3:13" ht="12.75" customHeight="1">
      <c r="C2392"/>
      <c r="M2392"/>
    </row>
    <row r="2393" spans="3:13" ht="12.75" customHeight="1">
      <c r="C2393"/>
      <c r="M2393"/>
    </row>
    <row r="2394" spans="3:13" ht="12.75" customHeight="1">
      <c r="C2394"/>
      <c r="M2394"/>
    </row>
    <row r="2395" spans="3:13" ht="12.75" customHeight="1">
      <c r="C2395"/>
      <c r="M2395"/>
    </row>
    <row r="2396" spans="3:13" ht="12.75" customHeight="1">
      <c r="C2396"/>
      <c r="M2396"/>
    </row>
    <row r="2397" spans="3:13" ht="12.75" customHeight="1">
      <c r="C2397"/>
      <c r="M2397"/>
    </row>
    <row r="2398" spans="3:13" ht="12.75" customHeight="1">
      <c r="C2398"/>
      <c r="M2398"/>
    </row>
    <row r="2399" spans="3:13" ht="12.75" customHeight="1">
      <c r="C2399"/>
      <c r="M2399"/>
    </row>
    <row r="2400" spans="3:13" ht="12.75" customHeight="1">
      <c r="C2400"/>
      <c r="M2400"/>
    </row>
    <row r="2401" spans="3:13" ht="12.75" customHeight="1">
      <c r="C2401"/>
      <c r="M2401"/>
    </row>
    <row r="2402" spans="3:13" ht="12.75" customHeight="1">
      <c r="C2402"/>
      <c r="M2402"/>
    </row>
    <row r="2403" spans="3:13" ht="12.75" customHeight="1">
      <c r="C2403"/>
      <c r="M2403"/>
    </row>
    <row r="2404" spans="3:13" ht="12.75" customHeight="1">
      <c r="C2404"/>
      <c r="M2404"/>
    </row>
    <row r="2405" spans="3:13" ht="12.75" customHeight="1">
      <c r="C2405"/>
      <c r="M2405"/>
    </row>
    <row r="2406" spans="3:13" ht="12.75" customHeight="1">
      <c r="C2406"/>
      <c r="M2406"/>
    </row>
    <row r="2407" spans="3:13" ht="12.75" customHeight="1">
      <c r="C2407"/>
      <c r="M2407"/>
    </row>
    <row r="2408" spans="3:13" ht="12.75" customHeight="1">
      <c r="C2408"/>
      <c r="M2408"/>
    </row>
    <row r="2409" spans="3:13" ht="12.75" customHeight="1">
      <c r="C2409"/>
      <c r="M2409"/>
    </row>
    <row r="2410" spans="3:13" ht="12.75" customHeight="1">
      <c r="C2410"/>
      <c r="M2410"/>
    </row>
    <row r="2411" spans="3:13" ht="12.75" customHeight="1">
      <c r="C2411"/>
      <c r="M2411"/>
    </row>
    <row r="2412" spans="3:13" ht="12.75" customHeight="1">
      <c r="C2412"/>
      <c r="M2412"/>
    </row>
    <row r="2413" spans="3:13" ht="12.75" customHeight="1">
      <c r="C2413"/>
      <c r="M2413"/>
    </row>
    <row r="2414" spans="3:13" ht="12.75" customHeight="1">
      <c r="C2414"/>
      <c r="M2414"/>
    </row>
    <row r="2415" spans="3:13" ht="12.75" customHeight="1">
      <c r="C2415"/>
      <c r="M2415"/>
    </row>
    <row r="2416" spans="3:13" ht="12.75" customHeight="1">
      <c r="C2416"/>
      <c r="M2416"/>
    </row>
    <row r="2417" spans="3:13" ht="12.75" customHeight="1">
      <c r="C2417"/>
      <c r="M2417"/>
    </row>
    <row r="2418" spans="3:13" ht="12.75" customHeight="1">
      <c r="C2418"/>
      <c r="M2418"/>
    </row>
    <row r="2419" spans="3:13" ht="12.75" customHeight="1">
      <c r="C2419"/>
      <c r="M2419"/>
    </row>
    <row r="2420" spans="3:13" ht="12.75" customHeight="1">
      <c r="C2420"/>
      <c r="M2420"/>
    </row>
    <row r="2421" spans="3:13" ht="12.75" customHeight="1">
      <c r="C2421"/>
      <c r="M2421"/>
    </row>
    <row r="2422" spans="3:13" ht="12.75" customHeight="1">
      <c r="C2422"/>
      <c r="M2422"/>
    </row>
    <row r="2423" spans="3:13" ht="12.75" customHeight="1">
      <c r="C2423"/>
      <c r="M2423"/>
    </row>
    <row r="2424" spans="3:13" ht="12.75" customHeight="1">
      <c r="C2424"/>
      <c r="M2424"/>
    </row>
    <row r="2425" spans="3:13" ht="12.75" customHeight="1">
      <c r="C2425"/>
      <c r="M2425"/>
    </row>
    <row r="2426" spans="3:13" ht="12.75" customHeight="1">
      <c r="C2426"/>
      <c r="M2426"/>
    </row>
    <row r="2427" spans="3:13" ht="12.75" customHeight="1">
      <c r="C2427"/>
      <c r="M2427"/>
    </row>
    <row r="2428" spans="3:13" ht="12.75" customHeight="1">
      <c r="C2428"/>
      <c r="M2428"/>
    </row>
    <row r="2429" spans="3:13" ht="12.75" customHeight="1">
      <c r="C2429"/>
      <c r="M2429"/>
    </row>
    <row r="2430" spans="3:13" ht="12.75" customHeight="1">
      <c r="C2430"/>
      <c r="M2430"/>
    </row>
    <row r="2431" spans="3:13" ht="12.75" customHeight="1">
      <c r="C2431"/>
      <c r="M2431"/>
    </row>
    <row r="2432" spans="3:13" ht="12.75" customHeight="1">
      <c r="C2432"/>
      <c r="M2432"/>
    </row>
    <row r="2433" spans="3:13" ht="12.75" customHeight="1">
      <c r="C2433"/>
      <c r="M2433"/>
    </row>
    <row r="2434" spans="3:13" ht="12.75" customHeight="1">
      <c r="C2434"/>
      <c r="M2434"/>
    </row>
    <row r="2435" spans="3:13" ht="12.75" customHeight="1">
      <c r="C2435"/>
      <c r="M2435"/>
    </row>
    <row r="2436" spans="3:13" ht="12.75" customHeight="1">
      <c r="C2436"/>
      <c r="M2436"/>
    </row>
    <row r="2437" spans="3:13" ht="12.75" customHeight="1">
      <c r="C2437"/>
      <c r="M2437"/>
    </row>
    <row r="2438" spans="3:13" ht="12.75" customHeight="1">
      <c r="C2438"/>
      <c r="M2438"/>
    </row>
    <row r="2439" spans="3:13" ht="12.75" customHeight="1">
      <c r="C2439"/>
      <c r="M2439"/>
    </row>
    <row r="2440" spans="3:13" ht="12.75" customHeight="1">
      <c r="C2440"/>
      <c r="M2440"/>
    </row>
    <row r="2441" spans="3:13" ht="12.75" customHeight="1">
      <c r="C2441"/>
      <c r="M2441"/>
    </row>
    <row r="2442" spans="3:13" ht="12.75" customHeight="1">
      <c r="C2442"/>
      <c r="M2442"/>
    </row>
    <row r="2443" spans="3:13" ht="12.75" customHeight="1">
      <c r="C2443"/>
      <c r="M2443"/>
    </row>
    <row r="2444" spans="3:13" ht="12.75" customHeight="1">
      <c r="C2444"/>
      <c r="M2444"/>
    </row>
    <row r="2445" spans="3:13" ht="12.75" customHeight="1">
      <c r="C2445"/>
      <c r="M2445"/>
    </row>
    <row r="2446" spans="3:13" ht="12.75" customHeight="1">
      <c r="C2446"/>
      <c r="M2446"/>
    </row>
    <row r="2447" spans="3:13" ht="12.75" customHeight="1">
      <c r="C2447"/>
      <c r="M2447"/>
    </row>
    <row r="2448" spans="3:13" ht="12.75" customHeight="1">
      <c r="C2448"/>
      <c r="M2448"/>
    </row>
    <row r="2449" spans="3:13" ht="12.75" customHeight="1">
      <c r="C2449"/>
      <c r="M2449"/>
    </row>
    <row r="2450" spans="3:13" ht="12.75" customHeight="1">
      <c r="C2450"/>
      <c r="M2450"/>
    </row>
    <row r="2451" spans="3:13" ht="12.75" customHeight="1">
      <c r="C2451"/>
      <c r="M2451"/>
    </row>
    <row r="2452" spans="3:13" ht="12.75" customHeight="1">
      <c r="C2452"/>
      <c r="M2452"/>
    </row>
    <row r="2453" spans="3:13" ht="12.75" customHeight="1">
      <c r="C2453"/>
      <c r="M2453"/>
    </row>
    <row r="2454" spans="3:13" ht="12.75" customHeight="1">
      <c r="C2454"/>
      <c r="M2454"/>
    </row>
    <row r="2455" spans="3:13" ht="12.75" customHeight="1">
      <c r="C2455"/>
      <c r="M2455"/>
    </row>
    <row r="2456" spans="3:13" ht="12.75" customHeight="1">
      <c r="C2456"/>
      <c r="M2456"/>
    </row>
    <row r="2457" spans="3:13" ht="12.75" customHeight="1">
      <c r="C2457"/>
      <c r="M2457"/>
    </row>
    <row r="2458" spans="3:13" ht="12.75" customHeight="1">
      <c r="C2458"/>
      <c r="M2458"/>
    </row>
    <row r="2459" spans="3:13" ht="12.75" customHeight="1">
      <c r="C2459"/>
      <c r="M2459"/>
    </row>
    <row r="2460" spans="3:13" ht="12.75" customHeight="1">
      <c r="C2460"/>
      <c r="M2460"/>
    </row>
    <row r="2461" spans="3:13" ht="12.75" customHeight="1">
      <c r="C2461"/>
      <c r="M2461"/>
    </row>
    <row r="2462" spans="3:13" ht="12.75" customHeight="1">
      <c r="C2462"/>
      <c r="M2462"/>
    </row>
    <row r="2463" spans="3:13" ht="12.75" customHeight="1">
      <c r="C2463"/>
      <c r="M2463"/>
    </row>
    <row r="2464" spans="3:13" ht="12.75" customHeight="1">
      <c r="C2464"/>
      <c r="M2464"/>
    </row>
    <row r="2465" spans="3:13" ht="12.75" customHeight="1">
      <c r="C2465"/>
      <c r="M2465"/>
    </row>
    <row r="2466" spans="3:13" ht="12.75" customHeight="1">
      <c r="C2466"/>
      <c r="M2466"/>
    </row>
    <row r="2467" spans="3:13" ht="12.75" customHeight="1">
      <c r="C2467"/>
      <c r="M2467"/>
    </row>
    <row r="2468" spans="3:13" ht="12.75" customHeight="1">
      <c r="C2468"/>
      <c r="M2468"/>
    </row>
    <row r="2469" spans="3:13" ht="12.75" customHeight="1">
      <c r="C2469"/>
      <c r="M2469"/>
    </row>
    <row r="2470" spans="3:13" ht="12.75" customHeight="1">
      <c r="C2470"/>
      <c r="M2470"/>
    </row>
    <row r="2471" spans="3:13" ht="12.75" customHeight="1">
      <c r="C2471"/>
      <c r="M2471"/>
    </row>
    <row r="2472" spans="3:13" ht="12.75" customHeight="1">
      <c r="C2472"/>
      <c r="M2472"/>
    </row>
    <row r="2473" spans="3:13" ht="12.75" customHeight="1">
      <c r="C2473"/>
      <c r="M2473"/>
    </row>
    <row r="2474" spans="3:13" ht="12.75" customHeight="1">
      <c r="C2474"/>
      <c r="M2474"/>
    </row>
    <row r="2475" spans="3:13" ht="12.75" customHeight="1">
      <c r="C2475"/>
      <c r="M2475"/>
    </row>
    <row r="2476" spans="3:13" ht="12.75" customHeight="1">
      <c r="C2476"/>
      <c r="M2476"/>
    </row>
    <row r="2477" spans="3:13" ht="12.75" customHeight="1">
      <c r="C2477"/>
      <c r="M2477"/>
    </row>
    <row r="2478" spans="3:13" ht="12.75" customHeight="1">
      <c r="C2478"/>
      <c r="M2478"/>
    </row>
    <row r="2479" spans="3:13" ht="12.75" customHeight="1">
      <c r="C2479"/>
      <c r="M2479"/>
    </row>
    <row r="2480" spans="3:13" ht="12.75" customHeight="1">
      <c r="C2480"/>
      <c r="M2480"/>
    </row>
    <row r="2481" spans="3:13" ht="12.75" customHeight="1">
      <c r="C2481"/>
      <c r="M2481"/>
    </row>
    <row r="2482" spans="3:13" ht="12.75" customHeight="1">
      <c r="C2482"/>
      <c r="M2482"/>
    </row>
    <row r="2483" spans="3:13" ht="12.75" customHeight="1">
      <c r="C2483"/>
      <c r="M2483"/>
    </row>
    <row r="2484" spans="3:13" ht="12.75" customHeight="1">
      <c r="C2484"/>
      <c r="M2484"/>
    </row>
    <row r="2485" spans="3:13" ht="12.75" customHeight="1">
      <c r="C2485"/>
      <c r="M2485"/>
    </row>
    <row r="2486" spans="3:13" ht="12.75" customHeight="1">
      <c r="C2486"/>
      <c r="M2486"/>
    </row>
    <row r="2487" spans="3:13" ht="12.75" customHeight="1">
      <c r="C2487"/>
      <c r="M2487"/>
    </row>
    <row r="2488" spans="3:13" ht="12.75" customHeight="1">
      <c r="C2488"/>
      <c r="M2488"/>
    </row>
    <row r="2489" spans="3:13" ht="12.75" customHeight="1">
      <c r="C2489"/>
      <c r="M2489"/>
    </row>
    <row r="2490" spans="3:13" ht="12.75" customHeight="1">
      <c r="C2490"/>
      <c r="M2490"/>
    </row>
    <row r="2491" spans="3:13" ht="12.75" customHeight="1">
      <c r="C2491"/>
      <c r="M2491"/>
    </row>
    <row r="2492" spans="3:13" ht="12.75" customHeight="1">
      <c r="C2492"/>
      <c r="M2492"/>
    </row>
    <row r="2493" spans="3:13" ht="12.75" customHeight="1">
      <c r="C2493"/>
      <c r="M2493"/>
    </row>
    <row r="2494" spans="3:13" ht="12.75" customHeight="1">
      <c r="C2494"/>
      <c r="M2494"/>
    </row>
    <row r="2495" spans="3:13" ht="12.75" customHeight="1">
      <c r="C2495"/>
      <c r="M2495"/>
    </row>
    <row r="2496" spans="3:13" ht="12.75" customHeight="1">
      <c r="C2496"/>
      <c r="M2496"/>
    </row>
    <row r="2497" spans="3:13" ht="12.75" customHeight="1">
      <c r="C2497"/>
      <c r="M2497"/>
    </row>
    <row r="2498" spans="3:13" ht="12.75" customHeight="1">
      <c r="C2498"/>
      <c r="M2498"/>
    </row>
    <row r="2499" spans="3:13" ht="12.75" customHeight="1">
      <c r="C2499"/>
      <c r="M2499"/>
    </row>
    <row r="2500" spans="3:13" ht="12.75" customHeight="1">
      <c r="C2500"/>
      <c r="M2500"/>
    </row>
    <row r="2501" spans="3:13" ht="12.75" customHeight="1">
      <c r="C2501"/>
      <c r="M2501"/>
    </row>
    <row r="2502" spans="3:13" ht="12.75" customHeight="1">
      <c r="C2502"/>
      <c r="M2502"/>
    </row>
    <row r="2503" spans="3:13" ht="12.75" customHeight="1">
      <c r="C2503"/>
      <c r="M2503"/>
    </row>
    <row r="2504" spans="3:13" ht="12.75" customHeight="1">
      <c r="C2504"/>
      <c r="M2504"/>
    </row>
    <row r="2505" spans="3:13" ht="12.75" customHeight="1">
      <c r="C2505"/>
      <c r="M2505"/>
    </row>
    <row r="2506" spans="3:13" ht="12.75" customHeight="1">
      <c r="C2506"/>
      <c r="M2506"/>
    </row>
    <row r="2507" spans="3:13" ht="12.75" customHeight="1">
      <c r="C2507"/>
      <c r="M2507"/>
    </row>
    <row r="2508" spans="3:13" ht="12.75" customHeight="1">
      <c r="C2508"/>
      <c r="M2508"/>
    </row>
    <row r="2509" spans="3:13" ht="12.75" customHeight="1">
      <c r="C2509"/>
      <c r="M2509"/>
    </row>
    <row r="2510" spans="3:13" ht="12.75" customHeight="1">
      <c r="C2510"/>
      <c r="M2510"/>
    </row>
    <row r="2511" spans="3:13" ht="12.75" customHeight="1">
      <c r="C2511"/>
      <c r="M2511"/>
    </row>
    <row r="2512" spans="3:13" ht="12.75" customHeight="1">
      <c r="C2512"/>
      <c r="M2512"/>
    </row>
    <row r="2513" spans="3:13" ht="12.75" customHeight="1">
      <c r="C2513"/>
      <c r="M2513"/>
    </row>
    <row r="2514" spans="3:13" ht="12.75" customHeight="1">
      <c r="C2514"/>
      <c r="M2514"/>
    </row>
    <row r="2515" spans="3:13" ht="12.75" customHeight="1">
      <c r="C2515"/>
      <c r="M2515"/>
    </row>
    <row r="2516" spans="3:13" ht="12.75" customHeight="1">
      <c r="C2516"/>
      <c r="M2516"/>
    </row>
    <row r="2517" spans="3:13" ht="12.75" customHeight="1">
      <c r="C2517"/>
      <c r="M2517"/>
    </row>
    <row r="2518" spans="3:13" ht="12.75" customHeight="1">
      <c r="C2518"/>
      <c r="M2518"/>
    </row>
    <row r="2519" spans="3:13" ht="12.75" customHeight="1">
      <c r="C2519"/>
      <c r="M2519"/>
    </row>
    <row r="2520" spans="3:13" ht="12.75" customHeight="1">
      <c r="C2520"/>
      <c r="M2520"/>
    </row>
    <row r="2521" spans="3:13" ht="12.75" customHeight="1">
      <c r="C2521"/>
      <c r="M2521"/>
    </row>
    <row r="2522" spans="3:13" ht="12.75" customHeight="1">
      <c r="C2522"/>
      <c r="M2522"/>
    </row>
    <row r="2523" spans="3:13" ht="12.75" customHeight="1">
      <c r="C2523"/>
      <c r="M2523"/>
    </row>
    <row r="2524" spans="3:13" ht="12.75" customHeight="1">
      <c r="C2524"/>
      <c r="M2524"/>
    </row>
    <row r="2525" spans="3:13" ht="12.75" customHeight="1">
      <c r="C2525"/>
      <c r="M2525"/>
    </row>
    <row r="2526" spans="3:13" ht="12.75" customHeight="1">
      <c r="C2526"/>
      <c r="M2526"/>
    </row>
    <row r="2527" spans="3:13" ht="12.75" customHeight="1">
      <c r="C2527"/>
      <c r="M2527"/>
    </row>
    <row r="2528" spans="3:13" ht="12.75" customHeight="1">
      <c r="C2528"/>
      <c r="M2528"/>
    </row>
    <row r="2529" spans="3:13" ht="12.75" customHeight="1">
      <c r="C2529"/>
      <c r="M2529"/>
    </row>
    <row r="2530" spans="3:13" ht="12.75" customHeight="1">
      <c r="C2530"/>
      <c r="M2530"/>
    </row>
    <row r="2531" spans="3:13" ht="12.75" customHeight="1">
      <c r="C2531"/>
      <c r="M2531"/>
    </row>
    <row r="2532" spans="3:13" ht="12.75" customHeight="1">
      <c r="C2532"/>
      <c r="M2532"/>
    </row>
    <row r="2533" spans="3:13" ht="12.75" customHeight="1">
      <c r="C2533"/>
      <c r="M2533"/>
    </row>
    <row r="2534" spans="3:13" ht="12.75" customHeight="1">
      <c r="C2534"/>
      <c r="M2534"/>
    </row>
    <row r="2535" spans="3:13" ht="12.75" customHeight="1">
      <c r="C2535"/>
      <c r="M2535"/>
    </row>
    <row r="2536" spans="3:13" ht="12.75" customHeight="1">
      <c r="C2536"/>
      <c r="M2536"/>
    </row>
    <row r="2537" spans="3:13" ht="12.75" customHeight="1">
      <c r="C2537"/>
      <c r="M2537"/>
    </row>
    <row r="2538" spans="3:13" ht="12.75" customHeight="1">
      <c r="C2538"/>
      <c r="M2538"/>
    </row>
    <row r="2539" spans="3:13" ht="12.75" customHeight="1">
      <c r="C2539"/>
      <c r="M2539"/>
    </row>
    <row r="2540" spans="3:13" ht="12.75" customHeight="1">
      <c r="C2540"/>
      <c r="M2540"/>
    </row>
    <row r="2541" spans="3:13" ht="12.75" customHeight="1">
      <c r="C2541"/>
      <c r="M2541"/>
    </row>
    <row r="2542" spans="3:13" ht="12.75" customHeight="1">
      <c r="C2542"/>
      <c r="M2542"/>
    </row>
    <row r="2543" spans="3:13" ht="12.75" customHeight="1">
      <c r="C2543"/>
      <c r="M2543"/>
    </row>
    <row r="2544" spans="3:13" ht="12.75" customHeight="1">
      <c r="C2544"/>
      <c r="M2544"/>
    </row>
    <row r="2545" spans="3:13" ht="12.75" customHeight="1">
      <c r="C2545"/>
      <c r="M2545"/>
    </row>
    <row r="2546" spans="3:13" ht="12.75" customHeight="1">
      <c r="C2546"/>
      <c r="M2546"/>
    </row>
    <row r="2547" spans="3:13" ht="12.75" customHeight="1">
      <c r="C2547"/>
      <c r="M2547"/>
    </row>
    <row r="2548" spans="3:13" ht="12.75" customHeight="1">
      <c r="C2548"/>
      <c r="M2548"/>
    </row>
    <row r="2549" spans="3:13" ht="12.75" customHeight="1">
      <c r="C2549"/>
      <c r="M2549"/>
    </row>
    <row r="2550" spans="3:13" ht="12.75" customHeight="1">
      <c r="C2550"/>
      <c r="M2550"/>
    </row>
    <row r="2551" spans="3:13" ht="12.75" customHeight="1">
      <c r="C2551"/>
      <c r="M2551"/>
    </row>
    <row r="2552" spans="3:13" ht="12.75" customHeight="1">
      <c r="C2552"/>
      <c r="M2552"/>
    </row>
    <row r="2553" spans="3:13" ht="12.75" customHeight="1">
      <c r="C2553"/>
      <c r="M2553"/>
    </row>
    <row r="2554" spans="3:13" ht="12.75" customHeight="1">
      <c r="C2554"/>
      <c r="M2554"/>
    </row>
    <row r="2555" spans="3:13" ht="12.75" customHeight="1">
      <c r="C2555"/>
      <c r="M2555"/>
    </row>
    <row r="2556" spans="3:13" ht="12.75" customHeight="1">
      <c r="C2556"/>
      <c r="M2556"/>
    </row>
    <row r="2557" spans="3:13" ht="12.75" customHeight="1">
      <c r="C2557"/>
      <c r="M2557"/>
    </row>
    <row r="2558" spans="3:13" ht="12.75" customHeight="1">
      <c r="C2558"/>
      <c r="M2558"/>
    </row>
    <row r="2559" spans="3:13" ht="12.75" customHeight="1">
      <c r="C2559"/>
      <c r="M2559"/>
    </row>
    <row r="2560" spans="3:13" ht="12.75" customHeight="1">
      <c r="C2560"/>
      <c r="M2560"/>
    </row>
    <row r="2561" spans="3:13" ht="12.75" customHeight="1">
      <c r="C2561"/>
      <c r="M2561"/>
    </row>
    <row r="2562" spans="3:13" ht="12.75" customHeight="1">
      <c r="C2562"/>
      <c r="M2562"/>
    </row>
    <row r="2563" spans="3:13" ht="12.75" customHeight="1">
      <c r="C2563"/>
      <c r="M2563"/>
    </row>
    <row r="2564" spans="3:13" ht="12.75" customHeight="1">
      <c r="C2564"/>
      <c r="M2564"/>
    </row>
    <row r="2565" spans="3:13" ht="12.75" customHeight="1">
      <c r="C2565"/>
      <c r="M2565"/>
    </row>
    <row r="2566" spans="3:13" ht="12.75" customHeight="1">
      <c r="C2566"/>
      <c r="M2566"/>
    </row>
    <row r="2567" spans="3:13" ht="12.75" customHeight="1">
      <c r="C2567"/>
      <c r="M2567"/>
    </row>
    <row r="2568" spans="3:13" ht="12.75" customHeight="1">
      <c r="C2568"/>
      <c r="M2568"/>
    </row>
    <row r="2569" spans="3:13" ht="12.75" customHeight="1">
      <c r="C2569"/>
      <c r="M2569"/>
    </row>
    <row r="2570" spans="3:13" ht="12.75" customHeight="1">
      <c r="C2570"/>
      <c r="M2570"/>
    </row>
    <row r="2571" spans="3:13" ht="12.75" customHeight="1">
      <c r="C2571"/>
      <c r="M2571"/>
    </row>
    <row r="2572" spans="3:13" ht="12.75" customHeight="1">
      <c r="C2572"/>
      <c r="M2572"/>
    </row>
    <row r="2573" spans="3:13" ht="12.75" customHeight="1">
      <c r="C2573"/>
      <c r="M2573"/>
    </row>
    <row r="2574" spans="3:13" ht="12.75" customHeight="1">
      <c r="C2574"/>
      <c r="M2574"/>
    </row>
    <row r="2575" spans="3:13" ht="12.75" customHeight="1">
      <c r="C2575"/>
      <c r="M2575"/>
    </row>
    <row r="2576" spans="3:13" ht="12.75" customHeight="1">
      <c r="C2576"/>
      <c r="M2576"/>
    </row>
    <row r="2577" spans="3:13" ht="12.75" customHeight="1">
      <c r="C2577"/>
      <c r="M2577"/>
    </row>
    <row r="2578" spans="3:13" ht="12.75" customHeight="1">
      <c r="C2578"/>
      <c r="M2578"/>
    </row>
    <row r="2579" spans="3:13" ht="12.75" customHeight="1">
      <c r="C2579"/>
      <c r="M2579"/>
    </row>
    <row r="2580" spans="3:13" ht="12.75" customHeight="1">
      <c r="C2580"/>
      <c r="M2580"/>
    </row>
    <row r="2581" spans="3:13" ht="12.75" customHeight="1">
      <c r="C2581"/>
      <c r="M2581"/>
    </row>
    <row r="2582" spans="3:13" ht="12.75" customHeight="1">
      <c r="C2582"/>
      <c r="M2582"/>
    </row>
    <row r="2583" spans="3:13" ht="12.75" customHeight="1">
      <c r="C2583"/>
      <c r="M2583"/>
    </row>
    <row r="2584" spans="3:13" ht="12.75" customHeight="1">
      <c r="C2584"/>
      <c r="M2584"/>
    </row>
    <row r="2585" spans="3:13" ht="12.75" customHeight="1">
      <c r="C2585"/>
      <c r="M2585"/>
    </row>
    <row r="2586" spans="3:13" ht="12.75" customHeight="1">
      <c r="C2586"/>
      <c r="M2586"/>
    </row>
    <row r="2587" spans="3:13" ht="12.75" customHeight="1">
      <c r="C2587"/>
      <c r="M2587"/>
    </row>
    <row r="2588" spans="3:13" ht="12.75" customHeight="1">
      <c r="C2588"/>
      <c r="M2588"/>
    </row>
    <row r="2589" spans="3:13" ht="12.75" customHeight="1">
      <c r="C2589"/>
      <c r="M2589"/>
    </row>
    <row r="2590" spans="3:13" ht="12.75" customHeight="1">
      <c r="C2590"/>
      <c r="M2590"/>
    </row>
    <row r="2591" spans="3:13" ht="12.75" customHeight="1">
      <c r="C2591"/>
      <c r="M2591"/>
    </row>
    <row r="2592" spans="3:13" ht="12.75" customHeight="1">
      <c r="C2592"/>
      <c r="M2592"/>
    </row>
    <row r="2593" spans="3:13" ht="12.75" customHeight="1">
      <c r="C2593"/>
      <c r="M2593"/>
    </row>
    <row r="2594" spans="3:13" ht="12.75" customHeight="1">
      <c r="C2594"/>
      <c r="M2594"/>
    </row>
    <row r="2595" spans="3:13" ht="12.75" customHeight="1">
      <c r="C2595"/>
      <c r="M2595"/>
    </row>
    <row r="2596" spans="3:13" ht="12.75" customHeight="1">
      <c r="C2596"/>
      <c r="M2596"/>
    </row>
    <row r="2597" spans="3:13" ht="12.75" customHeight="1">
      <c r="C2597"/>
      <c r="M2597"/>
    </row>
    <row r="2598" spans="3:13" ht="12.75" customHeight="1">
      <c r="C2598"/>
      <c r="M2598"/>
    </row>
    <row r="2599" spans="3:13" ht="12.75" customHeight="1">
      <c r="C2599"/>
      <c r="M2599"/>
    </row>
    <row r="2600" spans="3:13" ht="12.75" customHeight="1">
      <c r="C2600"/>
      <c r="M2600"/>
    </row>
    <row r="2601" spans="3:13" ht="12.75" customHeight="1">
      <c r="C2601"/>
      <c r="M2601"/>
    </row>
    <row r="2602" spans="3:13" ht="12.75" customHeight="1">
      <c r="C2602"/>
      <c r="M2602"/>
    </row>
    <row r="2603" spans="3:13" ht="12.75" customHeight="1">
      <c r="C2603"/>
      <c r="M2603"/>
    </row>
    <row r="2604" spans="3:13" ht="12.75" customHeight="1">
      <c r="C2604"/>
      <c r="M2604"/>
    </row>
    <row r="2605" spans="3:13" ht="12.75" customHeight="1">
      <c r="C2605"/>
      <c r="M2605"/>
    </row>
    <row r="2606" spans="3:13" ht="12.75" customHeight="1">
      <c r="C2606"/>
      <c r="M2606"/>
    </row>
    <row r="2607" spans="3:13" ht="12.75" customHeight="1">
      <c r="C2607"/>
      <c r="M2607"/>
    </row>
    <row r="2608" spans="3:13" ht="12.75" customHeight="1">
      <c r="C2608"/>
      <c r="M2608"/>
    </row>
    <row r="2609" spans="3:13" ht="12.75" customHeight="1">
      <c r="C2609"/>
      <c r="M2609"/>
    </row>
    <row r="2610" spans="3:13" ht="12.75" customHeight="1">
      <c r="C2610"/>
      <c r="M2610"/>
    </row>
    <row r="2611" spans="3:13" ht="12.75" customHeight="1">
      <c r="C2611"/>
      <c r="M2611"/>
    </row>
    <row r="2612" spans="3:13" ht="12.75" customHeight="1">
      <c r="C2612"/>
      <c r="M2612"/>
    </row>
    <row r="2613" spans="3:13" ht="12.75" customHeight="1">
      <c r="C2613"/>
      <c r="M2613"/>
    </row>
    <row r="2614" spans="3:13" ht="12.75" customHeight="1">
      <c r="C2614"/>
      <c r="M2614"/>
    </row>
    <row r="2615" spans="3:13" ht="12.75" customHeight="1">
      <c r="C2615"/>
      <c r="M2615"/>
    </row>
    <row r="2616" spans="3:13" ht="12.75" customHeight="1">
      <c r="C2616"/>
      <c r="M2616"/>
    </row>
    <row r="2617" spans="3:13" ht="12.75" customHeight="1">
      <c r="C2617"/>
      <c r="M2617"/>
    </row>
    <row r="2618" spans="3:13" ht="12.75" customHeight="1">
      <c r="C2618"/>
      <c r="M2618"/>
    </row>
    <row r="2619" spans="3:13" ht="12.75" customHeight="1">
      <c r="C2619"/>
      <c r="M2619"/>
    </row>
    <row r="2620" spans="3:13" ht="12.75" customHeight="1">
      <c r="C2620"/>
      <c r="M2620"/>
    </row>
    <row r="2621" spans="3:13" ht="12.75" customHeight="1">
      <c r="C2621"/>
      <c r="M2621"/>
    </row>
    <row r="2622" spans="3:13" ht="12.75" customHeight="1">
      <c r="C2622"/>
      <c r="M2622"/>
    </row>
    <row r="2623" spans="3:13" ht="12.75" customHeight="1">
      <c r="C2623"/>
      <c r="M2623"/>
    </row>
    <row r="2624" spans="3:13" ht="12.75" customHeight="1">
      <c r="C2624"/>
      <c r="M2624"/>
    </row>
    <row r="2625" spans="3:13" ht="12.75" customHeight="1">
      <c r="C2625"/>
      <c r="M2625"/>
    </row>
    <row r="2626" spans="3:13" ht="12.75" customHeight="1">
      <c r="C2626"/>
      <c r="M2626"/>
    </row>
    <row r="2627" spans="3:13" ht="12.75" customHeight="1">
      <c r="C2627"/>
      <c r="M2627"/>
    </row>
    <row r="2628" spans="3:13" ht="12.75" customHeight="1">
      <c r="C2628"/>
      <c r="M2628"/>
    </row>
    <row r="2629" spans="3:13" ht="12.75" customHeight="1">
      <c r="C2629"/>
      <c r="M2629"/>
    </row>
    <row r="2630" spans="3:13" ht="12.75" customHeight="1">
      <c r="C2630"/>
      <c r="M2630"/>
    </row>
    <row r="2631" spans="3:13" ht="12.75" customHeight="1">
      <c r="C2631"/>
      <c r="M2631"/>
    </row>
    <row r="2632" spans="3:13" ht="12.75" customHeight="1">
      <c r="C2632"/>
      <c r="M2632"/>
    </row>
    <row r="2633" spans="3:13" ht="12.75" customHeight="1">
      <c r="C2633"/>
      <c r="M2633"/>
    </row>
    <row r="2634" spans="3:13" ht="12.75" customHeight="1">
      <c r="C2634"/>
      <c r="M2634"/>
    </row>
    <row r="2635" spans="3:13" ht="12.75" customHeight="1">
      <c r="C2635"/>
      <c r="M2635"/>
    </row>
    <row r="2636" spans="3:13" ht="12.75" customHeight="1">
      <c r="C2636"/>
      <c r="M2636"/>
    </row>
    <row r="2637" spans="3:13" ht="12.75" customHeight="1">
      <c r="C2637"/>
      <c r="M2637"/>
    </row>
    <row r="2638" spans="3:13" ht="12.75" customHeight="1">
      <c r="C2638"/>
      <c r="M2638"/>
    </row>
    <row r="2639" spans="3:13" ht="12.75" customHeight="1">
      <c r="C2639"/>
      <c r="M2639"/>
    </row>
    <row r="2640" spans="3:13" ht="12.75" customHeight="1">
      <c r="C2640"/>
      <c r="M2640"/>
    </row>
    <row r="2641" spans="3:13" ht="12.75" customHeight="1">
      <c r="C2641"/>
      <c r="M2641"/>
    </row>
    <row r="2642" spans="3:13" ht="12.75" customHeight="1">
      <c r="C2642"/>
      <c r="M2642"/>
    </row>
    <row r="2643" spans="3:13" ht="12.75" customHeight="1">
      <c r="C2643"/>
      <c r="M2643"/>
    </row>
    <row r="2644" spans="3:13" ht="12.75" customHeight="1">
      <c r="C2644"/>
      <c r="M2644"/>
    </row>
    <row r="2645" spans="3:13" ht="12.75" customHeight="1">
      <c r="C2645"/>
      <c r="M2645"/>
    </row>
    <row r="2646" spans="3:13" ht="12.75" customHeight="1">
      <c r="C2646"/>
      <c r="M2646"/>
    </row>
    <row r="2647" spans="3:13" ht="12.75" customHeight="1">
      <c r="C2647"/>
      <c r="M2647"/>
    </row>
    <row r="2648" spans="3:13" ht="12.75" customHeight="1">
      <c r="C2648"/>
      <c r="M2648"/>
    </row>
    <row r="2649" spans="3:13" ht="12.75" customHeight="1">
      <c r="C2649"/>
      <c r="M2649"/>
    </row>
    <row r="2650" spans="3:13" ht="12.75" customHeight="1">
      <c r="C2650"/>
      <c r="M2650"/>
    </row>
    <row r="2651" spans="3:13" ht="12.75" customHeight="1">
      <c r="C2651"/>
      <c r="M2651"/>
    </row>
    <row r="2652" spans="3:13" ht="12.75" customHeight="1">
      <c r="C2652"/>
      <c r="M2652"/>
    </row>
    <row r="2653" spans="3:13" ht="12.75" customHeight="1">
      <c r="C2653"/>
      <c r="M2653"/>
    </row>
    <row r="2654" spans="3:13" ht="12.75" customHeight="1">
      <c r="C2654"/>
      <c r="M2654"/>
    </row>
    <row r="2655" spans="3:13" ht="12.75" customHeight="1">
      <c r="C2655"/>
      <c r="M2655"/>
    </row>
    <row r="2656" spans="3:13" ht="12.75" customHeight="1">
      <c r="C2656"/>
      <c r="M2656"/>
    </row>
    <row r="2657" spans="3:13" ht="12.75" customHeight="1">
      <c r="C2657"/>
      <c r="M2657"/>
    </row>
    <row r="2658" spans="3:13" ht="12.75" customHeight="1">
      <c r="C2658"/>
      <c r="M2658"/>
    </row>
    <row r="2659" spans="3:13" ht="12.75" customHeight="1">
      <c r="C2659"/>
      <c r="M2659"/>
    </row>
    <row r="2660" spans="3:13" ht="12.75" customHeight="1">
      <c r="C2660"/>
      <c r="M2660"/>
    </row>
    <row r="2661" spans="3:13" ht="12.75" customHeight="1">
      <c r="C2661"/>
      <c r="M2661"/>
    </row>
    <row r="2662" spans="3:13" ht="12.75" customHeight="1">
      <c r="C2662"/>
      <c r="M2662"/>
    </row>
    <row r="2663" spans="3:13" ht="12.75" customHeight="1">
      <c r="C2663"/>
      <c r="M2663"/>
    </row>
    <row r="2664" spans="3:13" ht="12.75" customHeight="1">
      <c r="C2664"/>
      <c r="M2664"/>
    </row>
    <row r="2665" spans="3:13" ht="12.75" customHeight="1">
      <c r="C2665"/>
      <c r="M2665"/>
    </row>
    <row r="2666" spans="3:13" ht="12.75" customHeight="1">
      <c r="C2666"/>
      <c r="M2666"/>
    </row>
    <row r="2667" spans="3:13" ht="12.75" customHeight="1">
      <c r="C2667"/>
      <c r="M2667"/>
    </row>
    <row r="2668" spans="3:13" ht="12.75" customHeight="1">
      <c r="C2668"/>
      <c r="M2668"/>
    </row>
    <row r="2669" spans="3:13" ht="12.75" customHeight="1">
      <c r="C2669"/>
      <c r="M2669"/>
    </row>
    <row r="2670" spans="3:13" ht="12.75" customHeight="1">
      <c r="C2670"/>
      <c r="M2670"/>
    </row>
    <row r="2671" spans="3:13" ht="12.75" customHeight="1">
      <c r="C2671"/>
      <c r="M2671"/>
    </row>
    <row r="2672" spans="3:13" ht="12.75" customHeight="1">
      <c r="C2672"/>
      <c r="M2672"/>
    </row>
    <row r="2673" spans="3:13" ht="12.75" customHeight="1">
      <c r="C2673"/>
      <c r="M2673"/>
    </row>
    <row r="2674" spans="3:13" ht="12.75" customHeight="1">
      <c r="C2674"/>
      <c r="M2674"/>
    </row>
    <row r="2675" spans="3:13" ht="12.75" customHeight="1">
      <c r="C2675"/>
      <c r="M2675"/>
    </row>
    <row r="2676" spans="3:13" ht="12.75" customHeight="1">
      <c r="C2676"/>
      <c r="M2676"/>
    </row>
    <row r="2677" spans="3:13" ht="12.75" customHeight="1">
      <c r="C2677"/>
      <c r="M2677"/>
    </row>
    <row r="2678" spans="3:13" ht="12.75" customHeight="1">
      <c r="C2678"/>
      <c r="M2678"/>
    </row>
    <row r="2679" spans="3:13" ht="12.75" customHeight="1">
      <c r="C2679"/>
      <c r="M2679"/>
    </row>
    <row r="2680" spans="3:13" ht="12.75" customHeight="1">
      <c r="C2680"/>
      <c r="M2680"/>
    </row>
    <row r="2681" spans="3:13" ht="12.75" customHeight="1">
      <c r="C2681"/>
      <c r="M2681"/>
    </row>
    <row r="2682" spans="3:13" ht="12.75" customHeight="1">
      <c r="C2682"/>
      <c r="M2682"/>
    </row>
    <row r="2683" spans="3:13" ht="12.75" customHeight="1">
      <c r="C2683"/>
      <c r="M2683"/>
    </row>
    <row r="2684" spans="3:13" ht="12.75" customHeight="1">
      <c r="C2684"/>
      <c r="M2684"/>
    </row>
    <row r="2685" spans="3:13" ht="12.75" customHeight="1">
      <c r="C2685"/>
      <c r="M2685"/>
    </row>
    <row r="2686" spans="3:13" ht="12.75" customHeight="1">
      <c r="C2686"/>
      <c r="M2686"/>
    </row>
    <row r="2687" spans="3:13" ht="12.75" customHeight="1">
      <c r="C2687"/>
      <c r="M2687"/>
    </row>
    <row r="2688" spans="3:13" ht="12.75" customHeight="1">
      <c r="C2688"/>
      <c r="M2688"/>
    </row>
    <row r="2689" spans="3:13" ht="12.75" customHeight="1">
      <c r="C2689"/>
      <c r="M2689"/>
    </row>
    <row r="2690" spans="3:13" ht="12.75" customHeight="1">
      <c r="C2690"/>
      <c r="M2690"/>
    </row>
    <row r="2691" spans="3:13" ht="12.75" customHeight="1">
      <c r="C2691"/>
      <c r="M2691"/>
    </row>
    <row r="2692" spans="3:13" ht="12.75" customHeight="1">
      <c r="C2692"/>
      <c r="M2692"/>
    </row>
    <row r="2693" spans="3:13" ht="12.75" customHeight="1">
      <c r="C2693"/>
      <c r="M2693"/>
    </row>
    <row r="2694" spans="3:13" ht="12.75" customHeight="1">
      <c r="C2694"/>
      <c r="M2694"/>
    </row>
    <row r="2695" spans="3:13" ht="12.75" customHeight="1">
      <c r="C2695"/>
      <c r="M2695"/>
    </row>
    <row r="2696" spans="3:13" ht="12.75" customHeight="1">
      <c r="C2696"/>
      <c r="M2696"/>
    </row>
    <row r="2697" spans="3:13" ht="12.75" customHeight="1">
      <c r="C2697"/>
      <c r="M2697"/>
    </row>
    <row r="2698" spans="3:13" ht="12.75" customHeight="1">
      <c r="C2698"/>
      <c r="M2698"/>
    </row>
    <row r="2699" spans="3:13" ht="12.75" customHeight="1">
      <c r="C2699"/>
      <c r="M2699"/>
    </row>
    <row r="2700" spans="3:13" ht="12.75" customHeight="1">
      <c r="C2700"/>
      <c r="M2700"/>
    </row>
    <row r="2701" spans="3:13" ht="12.75" customHeight="1">
      <c r="C2701"/>
      <c r="M2701"/>
    </row>
    <row r="2702" spans="3:13" ht="12.75" customHeight="1">
      <c r="C2702"/>
      <c r="M2702"/>
    </row>
    <row r="2703" spans="3:13" ht="12.75" customHeight="1">
      <c r="C2703"/>
      <c r="M2703"/>
    </row>
    <row r="2704" spans="3:13" ht="12.75" customHeight="1">
      <c r="C2704"/>
      <c r="M2704"/>
    </row>
    <row r="2705" spans="3:13" ht="12.75" customHeight="1">
      <c r="C2705"/>
      <c r="M2705"/>
    </row>
    <row r="2706" spans="3:13" ht="12.75" customHeight="1">
      <c r="C2706"/>
      <c r="M2706"/>
    </row>
    <row r="2707" spans="3:13" ht="12.75" customHeight="1">
      <c r="C2707"/>
      <c r="M2707"/>
    </row>
    <row r="2708" spans="3:13" ht="12.75" customHeight="1">
      <c r="C2708"/>
      <c r="M2708"/>
    </row>
    <row r="2709" spans="3:13" ht="12.75" customHeight="1">
      <c r="C2709"/>
      <c r="M2709"/>
    </row>
    <row r="2710" spans="3:13" ht="12.75" customHeight="1">
      <c r="C2710"/>
      <c r="M2710"/>
    </row>
    <row r="2711" spans="3:13" ht="12.75" customHeight="1">
      <c r="C2711"/>
      <c r="M2711"/>
    </row>
    <row r="2712" spans="3:13" ht="12.75" customHeight="1">
      <c r="C2712"/>
      <c r="M2712"/>
    </row>
    <row r="2713" spans="3:13" ht="12.75" customHeight="1">
      <c r="C2713"/>
      <c r="M2713"/>
    </row>
    <row r="2714" spans="3:13" ht="12.75" customHeight="1">
      <c r="C2714"/>
      <c r="M2714"/>
    </row>
    <row r="2715" spans="3:13" ht="12.75" customHeight="1">
      <c r="C2715"/>
      <c r="M2715"/>
    </row>
    <row r="2716" spans="3:13" ht="12.75" customHeight="1">
      <c r="C2716"/>
      <c r="M2716"/>
    </row>
    <row r="2717" spans="3:13" ht="12.75" customHeight="1">
      <c r="C2717"/>
      <c r="M2717"/>
    </row>
    <row r="2718" spans="3:13" ht="12.75" customHeight="1">
      <c r="C2718"/>
      <c r="M2718"/>
    </row>
    <row r="2719" spans="3:13" ht="12.75" customHeight="1">
      <c r="C2719"/>
      <c r="M2719"/>
    </row>
    <row r="2720" spans="3:13" ht="12.75" customHeight="1">
      <c r="C2720"/>
      <c r="M2720"/>
    </row>
    <row r="2721" spans="3:13" ht="12.75" customHeight="1">
      <c r="C2721"/>
      <c r="M2721"/>
    </row>
    <row r="2722" spans="3:13" ht="12.75" customHeight="1">
      <c r="C2722"/>
      <c r="M2722"/>
    </row>
    <row r="2723" spans="3:13" ht="12.75" customHeight="1">
      <c r="C2723"/>
      <c r="M2723"/>
    </row>
    <row r="2724" spans="3:13" ht="12.75" customHeight="1">
      <c r="C2724"/>
      <c r="M2724"/>
    </row>
    <row r="2725" spans="3:13" ht="12.75" customHeight="1">
      <c r="C2725"/>
      <c r="M2725"/>
    </row>
    <row r="2726" spans="3:13" ht="12.75" customHeight="1">
      <c r="C2726"/>
      <c r="M2726"/>
    </row>
    <row r="2727" spans="3:13" ht="12.75" customHeight="1">
      <c r="C2727"/>
      <c r="M2727"/>
    </row>
    <row r="2728" spans="3:13" ht="12.75" customHeight="1">
      <c r="C2728"/>
      <c r="M2728"/>
    </row>
    <row r="2729" spans="3:13" ht="12.75" customHeight="1">
      <c r="C2729"/>
      <c r="M2729"/>
    </row>
    <row r="2730" spans="3:13" ht="12.75" customHeight="1">
      <c r="C2730"/>
      <c r="M2730"/>
    </row>
    <row r="2731" spans="3:13" ht="12.75" customHeight="1">
      <c r="C2731"/>
      <c r="M2731"/>
    </row>
    <row r="2732" spans="3:13" ht="12.75" customHeight="1">
      <c r="C2732"/>
      <c r="M2732"/>
    </row>
    <row r="2733" spans="3:13" ht="12.75" customHeight="1">
      <c r="C2733"/>
      <c r="M2733"/>
    </row>
    <row r="2734" spans="3:13" ht="12.75" customHeight="1">
      <c r="C2734"/>
      <c r="M2734"/>
    </row>
    <row r="2735" spans="3:13" ht="12.75" customHeight="1">
      <c r="C2735"/>
      <c r="M2735"/>
    </row>
    <row r="2736" spans="3:13" ht="12.75" customHeight="1">
      <c r="C2736"/>
      <c r="M2736"/>
    </row>
    <row r="2737" spans="3:13" ht="12.75" customHeight="1">
      <c r="C2737"/>
      <c r="M2737"/>
    </row>
    <row r="2738" spans="3:13" ht="12.75" customHeight="1">
      <c r="C2738"/>
      <c r="M2738"/>
    </row>
    <row r="2739" spans="3:13" ht="12.75" customHeight="1">
      <c r="C2739"/>
      <c r="M2739"/>
    </row>
    <row r="2740" spans="3:13" ht="12.75" customHeight="1">
      <c r="C2740"/>
      <c r="M2740"/>
    </row>
    <row r="2741" spans="3:13" ht="12.75" customHeight="1">
      <c r="C2741"/>
      <c r="M2741"/>
    </row>
    <row r="2742" spans="3:13" ht="12.75" customHeight="1">
      <c r="C2742"/>
      <c r="M2742"/>
    </row>
    <row r="2743" spans="3:13" ht="12.75" customHeight="1">
      <c r="C2743"/>
      <c r="M2743"/>
    </row>
    <row r="2744" spans="3:13" ht="12.75" customHeight="1">
      <c r="C2744"/>
      <c r="M2744"/>
    </row>
    <row r="2745" spans="3:13" ht="12.75" customHeight="1">
      <c r="C2745"/>
      <c r="M2745"/>
    </row>
    <row r="2746" spans="3:13" ht="12.75" customHeight="1">
      <c r="C2746"/>
      <c r="M2746"/>
    </row>
    <row r="2747" spans="3:13" ht="12.75" customHeight="1">
      <c r="C2747"/>
      <c r="M2747"/>
    </row>
    <row r="2748" spans="3:13" ht="12.75" customHeight="1">
      <c r="C2748"/>
      <c r="M2748"/>
    </row>
    <row r="2749" spans="3:13" ht="12.75" customHeight="1">
      <c r="C2749"/>
      <c r="M2749"/>
    </row>
    <row r="2750" spans="3:13" ht="12.75" customHeight="1">
      <c r="C2750"/>
      <c r="M2750"/>
    </row>
    <row r="2751" spans="3:13" ht="12.75" customHeight="1">
      <c r="C2751"/>
      <c r="M2751"/>
    </row>
    <row r="2752" spans="3:13" ht="12.75" customHeight="1">
      <c r="C2752"/>
      <c r="M2752"/>
    </row>
    <row r="2753" spans="3:13" ht="12.75" customHeight="1">
      <c r="C2753"/>
      <c r="M2753"/>
    </row>
    <row r="2754" spans="3:13" ht="12.75" customHeight="1">
      <c r="C2754"/>
      <c r="M2754"/>
    </row>
    <row r="2755" spans="3:13" ht="12.75" customHeight="1">
      <c r="C2755"/>
      <c r="M2755"/>
    </row>
    <row r="2756" spans="3:13" ht="12.75" customHeight="1">
      <c r="C2756"/>
      <c r="M2756"/>
    </row>
    <row r="2757" spans="3:13" ht="12.75" customHeight="1">
      <c r="C2757"/>
      <c r="M2757"/>
    </row>
    <row r="2758" spans="3:13" ht="12.75" customHeight="1">
      <c r="C2758"/>
      <c r="M2758"/>
    </row>
    <row r="2759" spans="3:13" ht="12.75" customHeight="1">
      <c r="C2759"/>
      <c r="M2759"/>
    </row>
    <row r="2760" spans="3:13" ht="12.75" customHeight="1">
      <c r="C2760"/>
      <c r="M2760"/>
    </row>
    <row r="2761" spans="3:13" ht="12.75" customHeight="1">
      <c r="C2761"/>
      <c r="M2761"/>
    </row>
    <row r="2762" spans="3:13" ht="12.75" customHeight="1">
      <c r="C2762"/>
      <c r="M2762"/>
    </row>
    <row r="2763" spans="3:13" ht="12.75" customHeight="1">
      <c r="C2763"/>
      <c r="M2763"/>
    </row>
    <row r="2764" spans="3:13" ht="12.75" customHeight="1">
      <c r="C2764"/>
      <c r="M2764"/>
    </row>
    <row r="2765" spans="3:13" ht="12.75" customHeight="1">
      <c r="C2765"/>
      <c r="M2765"/>
    </row>
    <row r="2766" spans="3:13" ht="12.75" customHeight="1">
      <c r="C2766"/>
      <c r="M2766"/>
    </row>
    <row r="2767" spans="3:13" ht="12.75" customHeight="1">
      <c r="C2767"/>
      <c r="M2767"/>
    </row>
    <row r="2768" spans="3:13" ht="12.75" customHeight="1">
      <c r="C2768"/>
      <c r="M2768"/>
    </row>
    <row r="2769" spans="3:13" ht="12.75" customHeight="1">
      <c r="C2769"/>
      <c r="M2769"/>
    </row>
    <row r="2770" spans="3:13" ht="12.75" customHeight="1">
      <c r="C2770"/>
      <c r="M2770"/>
    </row>
    <row r="2771" spans="3:13" ht="12.75" customHeight="1">
      <c r="C2771"/>
      <c r="M2771"/>
    </row>
    <row r="2772" spans="3:13" ht="12.75" customHeight="1">
      <c r="C2772"/>
      <c r="M2772"/>
    </row>
    <row r="2773" spans="3:13" ht="12.75" customHeight="1">
      <c r="C2773"/>
      <c r="M2773"/>
    </row>
    <row r="2774" spans="3:13" ht="12.75" customHeight="1">
      <c r="C2774"/>
      <c r="M2774"/>
    </row>
    <row r="2775" spans="3:13" ht="12.75" customHeight="1">
      <c r="C2775"/>
      <c r="M2775"/>
    </row>
    <row r="2776" spans="3:13" ht="12.75" customHeight="1">
      <c r="C2776"/>
      <c r="M2776"/>
    </row>
    <row r="2777" spans="3:13" ht="12.75" customHeight="1">
      <c r="C2777"/>
      <c r="M2777"/>
    </row>
    <row r="2778" spans="3:13" ht="12.75" customHeight="1">
      <c r="C2778"/>
      <c r="M2778"/>
    </row>
    <row r="2779" spans="3:13" ht="12.75" customHeight="1">
      <c r="C2779"/>
      <c r="M2779"/>
    </row>
    <row r="2780" spans="3:13" ht="12.75" customHeight="1">
      <c r="C2780"/>
      <c r="M2780"/>
    </row>
    <row r="2781" spans="3:13" ht="12.75" customHeight="1">
      <c r="C2781"/>
      <c r="M2781"/>
    </row>
    <row r="2782" spans="3:13" ht="12.75" customHeight="1">
      <c r="C2782"/>
      <c r="M2782"/>
    </row>
    <row r="2783" spans="3:13" ht="12.75" customHeight="1">
      <c r="C2783"/>
      <c r="M2783"/>
    </row>
    <row r="2784" spans="3:13" ht="12.75" customHeight="1">
      <c r="C2784"/>
      <c r="M2784"/>
    </row>
    <row r="2785" spans="3:13" ht="12.75" customHeight="1">
      <c r="C2785"/>
      <c r="M2785"/>
    </row>
    <row r="2786" spans="3:13" ht="12.75" customHeight="1">
      <c r="C2786"/>
      <c r="M2786"/>
    </row>
    <row r="2787" spans="3:13" ht="12.75" customHeight="1">
      <c r="C2787"/>
      <c r="M2787"/>
    </row>
    <row r="2788" spans="3:13" ht="12.75" customHeight="1">
      <c r="C2788"/>
      <c r="M2788"/>
    </row>
    <row r="2789" spans="3:13" ht="12.75" customHeight="1">
      <c r="C2789"/>
      <c r="M2789"/>
    </row>
    <row r="2790" spans="3:13" ht="12.75" customHeight="1">
      <c r="C2790"/>
      <c r="M2790"/>
    </row>
    <row r="2791" spans="3:13" ht="12.75" customHeight="1">
      <c r="C2791"/>
      <c r="M2791"/>
    </row>
    <row r="2792" spans="3:13" ht="12.75" customHeight="1">
      <c r="C2792"/>
      <c r="M2792"/>
    </row>
    <row r="2793" spans="3:13" ht="12.75" customHeight="1">
      <c r="C2793"/>
      <c r="M2793"/>
    </row>
    <row r="2794" spans="3:13" ht="12.75" customHeight="1">
      <c r="C2794"/>
      <c r="M2794"/>
    </row>
    <row r="2795" spans="3:13" ht="12.75" customHeight="1">
      <c r="C2795"/>
      <c r="M2795"/>
    </row>
    <row r="2796" spans="3:13" ht="12.75" customHeight="1">
      <c r="C2796"/>
      <c r="M2796"/>
    </row>
    <row r="2797" spans="3:13" ht="12.75" customHeight="1">
      <c r="C2797"/>
      <c r="M2797"/>
    </row>
    <row r="2798" spans="3:13" ht="12.75" customHeight="1">
      <c r="C2798"/>
      <c r="M2798"/>
    </row>
    <row r="2799" spans="3:13" ht="12.75" customHeight="1">
      <c r="C2799"/>
      <c r="M2799"/>
    </row>
    <row r="2800" spans="3:13" ht="12.75" customHeight="1">
      <c r="C2800"/>
      <c r="M2800"/>
    </row>
    <row r="2801" spans="3:13" ht="12.75" customHeight="1">
      <c r="C2801"/>
      <c r="M2801"/>
    </row>
    <row r="2802" spans="3:13" ht="12.75" customHeight="1">
      <c r="C2802"/>
      <c r="M2802"/>
    </row>
    <row r="2803" spans="3:13" ht="12.75" customHeight="1">
      <c r="C2803"/>
      <c r="M2803"/>
    </row>
    <row r="2804" spans="3:13" ht="12.75" customHeight="1">
      <c r="C2804"/>
      <c r="M2804"/>
    </row>
    <row r="2805" spans="3:13" ht="12.75" customHeight="1">
      <c r="C2805"/>
      <c r="M2805"/>
    </row>
    <row r="2806" spans="3:13" ht="12.75" customHeight="1">
      <c r="C2806"/>
      <c r="M2806"/>
    </row>
    <row r="2807" spans="3:13" ht="12.75" customHeight="1">
      <c r="C2807"/>
      <c r="M2807"/>
    </row>
    <row r="2808" spans="3:13" ht="12.75" customHeight="1">
      <c r="C2808"/>
      <c r="M2808"/>
    </row>
    <row r="2809" spans="3:13" ht="12.75" customHeight="1">
      <c r="C2809"/>
      <c r="M2809"/>
    </row>
    <row r="2810" spans="3:13" ht="12.75" customHeight="1">
      <c r="C2810"/>
      <c r="M2810"/>
    </row>
    <row r="2811" spans="3:13" ht="12.75" customHeight="1">
      <c r="C2811"/>
      <c r="M2811"/>
    </row>
    <row r="2812" spans="3:13" ht="12.75" customHeight="1">
      <c r="C2812"/>
      <c r="M2812"/>
    </row>
    <row r="2813" spans="3:13" ht="12.75" customHeight="1">
      <c r="C2813"/>
      <c r="M2813"/>
    </row>
    <row r="2814" spans="3:13" ht="12.75" customHeight="1">
      <c r="C2814"/>
      <c r="M2814"/>
    </row>
    <row r="2815" spans="3:13" ht="12.75" customHeight="1">
      <c r="C2815"/>
      <c r="M2815"/>
    </row>
    <row r="2816" spans="3:13" ht="12.75" customHeight="1">
      <c r="C2816"/>
      <c r="M2816"/>
    </row>
    <row r="2817" spans="3:13" ht="12.75" customHeight="1">
      <c r="C2817"/>
      <c r="M2817"/>
    </row>
    <row r="2818" spans="3:13" ht="12.75" customHeight="1">
      <c r="C2818"/>
      <c r="M2818"/>
    </row>
    <row r="2819" spans="3:13" ht="12.75" customHeight="1">
      <c r="C2819"/>
      <c r="M2819"/>
    </row>
    <row r="2820" spans="3:13" ht="12.75" customHeight="1">
      <c r="C2820"/>
      <c r="M2820"/>
    </row>
    <row r="2821" spans="3:13" ht="12.75" customHeight="1">
      <c r="C2821"/>
      <c r="M2821"/>
    </row>
    <row r="2822" spans="3:13" ht="12.75" customHeight="1">
      <c r="C2822"/>
      <c r="M2822"/>
    </row>
    <row r="2823" spans="3:13" ht="12.75" customHeight="1">
      <c r="C2823"/>
      <c r="M2823"/>
    </row>
    <row r="2824" spans="3:13" ht="12.75" customHeight="1">
      <c r="C2824"/>
      <c r="M2824"/>
    </row>
    <row r="2825" spans="3:13" ht="12.75" customHeight="1">
      <c r="C2825"/>
      <c r="M2825"/>
    </row>
    <row r="2826" spans="3:13" ht="12.75" customHeight="1">
      <c r="C2826"/>
      <c r="M2826"/>
    </row>
    <row r="2827" spans="3:13" ht="12.75" customHeight="1">
      <c r="C2827"/>
      <c r="M2827"/>
    </row>
    <row r="2828" spans="3:13" ht="12.75" customHeight="1">
      <c r="C2828"/>
      <c r="M2828"/>
    </row>
    <row r="2829" spans="3:13" ht="12.75" customHeight="1">
      <c r="C2829"/>
      <c r="M2829"/>
    </row>
    <row r="2830" spans="3:13" ht="12.75" customHeight="1">
      <c r="C2830"/>
      <c r="M2830"/>
    </row>
    <row r="2831" spans="3:13" ht="12.75" customHeight="1">
      <c r="C2831"/>
      <c r="M2831"/>
    </row>
    <row r="2832" spans="3:13" ht="12.75" customHeight="1">
      <c r="C2832"/>
      <c r="M2832"/>
    </row>
    <row r="2833" spans="3:13" ht="12.75" customHeight="1">
      <c r="C2833"/>
      <c r="M2833"/>
    </row>
    <row r="2834" spans="3:13" ht="12.75" customHeight="1">
      <c r="C2834"/>
      <c r="M2834"/>
    </row>
    <row r="2835" spans="3:13" ht="12.75" customHeight="1">
      <c r="C2835"/>
      <c r="M2835"/>
    </row>
    <row r="2836" spans="3:13" ht="12.75" customHeight="1">
      <c r="C2836"/>
      <c r="M2836"/>
    </row>
    <row r="2837" spans="3:13" ht="12.75" customHeight="1">
      <c r="C2837"/>
      <c r="M2837"/>
    </row>
    <row r="2838" spans="3:13" ht="12.75" customHeight="1">
      <c r="C2838"/>
      <c r="M2838"/>
    </row>
    <row r="2839" spans="3:13" ht="12.75" customHeight="1">
      <c r="C2839"/>
      <c r="M2839"/>
    </row>
    <row r="2840" spans="3:13" ht="12.75" customHeight="1">
      <c r="C2840"/>
      <c r="M2840"/>
    </row>
    <row r="2841" spans="3:13" ht="12.75" customHeight="1">
      <c r="C2841"/>
      <c r="M2841"/>
    </row>
    <row r="2842" spans="3:13" ht="12.75" customHeight="1">
      <c r="C2842"/>
      <c r="M2842"/>
    </row>
    <row r="2843" spans="3:13" ht="12.75" customHeight="1">
      <c r="C2843"/>
      <c r="M2843"/>
    </row>
    <row r="2844" spans="3:13" ht="12.75" customHeight="1">
      <c r="C2844"/>
      <c r="M2844"/>
    </row>
    <row r="2845" spans="3:13" ht="12.75" customHeight="1">
      <c r="C2845"/>
      <c r="M2845"/>
    </row>
    <row r="2846" spans="3:13" ht="12.75" customHeight="1">
      <c r="C2846"/>
      <c r="M2846"/>
    </row>
    <row r="2847" spans="3:13" ht="12.75" customHeight="1">
      <c r="C2847"/>
      <c r="M2847"/>
    </row>
    <row r="2848" spans="3:13" ht="12.75" customHeight="1">
      <c r="C2848"/>
      <c r="M2848"/>
    </row>
    <row r="2849" spans="3:13" ht="12.75" customHeight="1">
      <c r="C2849"/>
      <c r="M2849"/>
    </row>
    <row r="2850" spans="3:13" ht="12.75" customHeight="1">
      <c r="C2850"/>
      <c r="M2850"/>
    </row>
    <row r="2851" spans="3:13" ht="12.75" customHeight="1">
      <c r="C2851"/>
      <c r="M2851"/>
    </row>
    <row r="2852" spans="3:13" ht="12.75" customHeight="1">
      <c r="C2852"/>
      <c r="M2852"/>
    </row>
    <row r="2853" spans="3:13" ht="12.75" customHeight="1">
      <c r="C2853"/>
      <c r="M2853"/>
    </row>
    <row r="2854" spans="3:13" ht="12.75" customHeight="1">
      <c r="C2854"/>
      <c r="M2854"/>
    </row>
    <row r="2855" spans="3:13" ht="12.75" customHeight="1">
      <c r="C2855"/>
      <c r="M2855"/>
    </row>
    <row r="2856" spans="3:13" ht="12.75" customHeight="1">
      <c r="C2856"/>
      <c r="M2856"/>
    </row>
    <row r="2857" spans="3:13" ht="12.75" customHeight="1">
      <c r="C2857"/>
      <c r="M2857"/>
    </row>
    <row r="2858" spans="3:13" ht="12.75" customHeight="1">
      <c r="C2858"/>
      <c r="M2858"/>
    </row>
    <row r="2859" spans="3:13" ht="12.75" customHeight="1">
      <c r="C2859"/>
      <c r="M2859"/>
    </row>
    <row r="2860" spans="3:13" ht="12.75" customHeight="1">
      <c r="C2860"/>
      <c r="M2860"/>
    </row>
    <row r="2861" spans="3:13" ht="12.75" customHeight="1">
      <c r="C2861"/>
      <c r="M2861"/>
    </row>
    <row r="2862" spans="3:13" ht="12.75" customHeight="1">
      <c r="C2862"/>
      <c r="M2862"/>
    </row>
    <row r="2863" spans="3:13" ht="12.75" customHeight="1">
      <c r="C2863"/>
      <c r="M2863"/>
    </row>
    <row r="2864" spans="3:13" ht="12.75" customHeight="1">
      <c r="C2864"/>
      <c r="M2864"/>
    </row>
    <row r="2865" spans="3:13" ht="12.75" customHeight="1">
      <c r="C2865"/>
      <c r="M2865"/>
    </row>
    <row r="2866" spans="3:13" ht="12.75" customHeight="1">
      <c r="C2866"/>
      <c r="M2866"/>
    </row>
    <row r="2867" spans="3:13" ht="12.75" customHeight="1">
      <c r="C2867"/>
      <c r="M2867"/>
    </row>
    <row r="2868" spans="3:13" ht="12.75" customHeight="1">
      <c r="C2868"/>
      <c r="M2868"/>
    </row>
    <row r="2869" spans="3:13" ht="12.75" customHeight="1">
      <c r="C2869"/>
      <c r="M2869"/>
    </row>
    <row r="2870" spans="3:13" ht="12.75" customHeight="1">
      <c r="C2870"/>
      <c r="M2870"/>
    </row>
    <row r="2871" spans="3:13" ht="12.75" customHeight="1">
      <c r="C2871"/>
      <c r="M2871"/>
    </row>
    <row r="2872" spans="3:13" ht="12.75" customHeight="1">
      <c r="C2872"/>
      <c r="M2872"/>
    </row>
    <row r="2873" spans="3:13" ht="12.75" customHeight="1">
      <c r="C2873"/>
      <c r="M2873"/>
    </row>
    <row r="2874" spans="3:13" ht="12.75" customHeight="1">
      <c r="C2874"/>
      <c r="M2874"/>
    </row>
    <row r="2875" spans="3:13" ht="12.75" customHeight="1">
      <c r="C2875"/>
      <c r="M2875"/>
    </row>
    <row r="2876" spans="3:13" ht="12.75" customHeight="1">
      <c r="C2876"/>
      <c r="M2876"/>
    </row>
    <row r="2877" spans="3:13" ht="12.75" customHeight="1">
      <c r="C2877"/>
      <c r="M2877"/>
    </row>
    <row r="2878" spans="3:13" ht="12.75" customHeight="1">
      <c r="C2878"/>
      <c r="M2878"/>
    </row>
    <row r="2879" spans="3:13" ht="12.75" customHeight="1">
      <c r="C2879"/>
      <c r="M2879"/>
    </row>
    <row r="2880" spans="3:13" ht="12.75" customHeight="1">
      <c r="C2880"/>
      <c r="M2880"/>
    </row>
    <row r="2881" spans="3:13" ht="12.75" customHeight="1">
      <c r="C2881"/>
      <c r="M2881"/>
    </row>
    <row r="2882" spans="3:13" ht="12.75" customHeight="1">
      <c r="C2882"/>
      <c r="M2882"/>
    </row>
    <row r="2883" spans="3:13" ht="12.75" customHeight="1">
      <c r="C2883"/>
      <c r="M2883"/>
    </row>
    <row r="2884" spans="3:13" ht="12.75" customHeight="1">
      <c r="C2884"/>
      <c r="M2884"/>
    </row>
    <row r="2885" spans="3:13" ht="12.75" customHeight="1">
      <c r="C2885"/>
      <c r="M2885"/>
    </row>
    <row r="2886" spans="3:13" ht="12.75" customHeight="1">
      <c r="C2886"/>
      <c r="M2886"/>
    </row>
    <row r="2887" spans="3:13" ht="12.75" customHeight="1">
      <c r="C2887"/>
      <c r="M2887"/>
    </row>
    <row r="2888" spans="3:13" ht="12.75" customHeight="1">
      <c r="C2888"/>
      <c r="M2888"/>
    </row>
    <row r="2889" spans="3:13" ht="12.75" customHeight="1">
      <c r="C2889"/>
      <c r="M2889"/>
    </row>
    <row r="2890" spans="3:13" ht="12.75" customHeight="1">
      <c r="C2890"/>
      <c r="M2890"/>
    </row>
    <row r="2891" spans="3:13" ht="12.75" customHeight="1">
      <c r="C2891"/>
      <c r="M2891"/>
    </row>
    <row r="2892" spans="3:13" ht="12.75" customHeight="1">
      <c r="C2892"/>
      <c r="M2892"/>
    </row>
    <row r="2893" spans="3:13" ht="12.75" customHeight="1">
      <c r="C2893"/>
      <c r="M2893"/>
    </row>
    <row r="2894" spans="3:13" ht="12.75" customHeight="1">
      <c r="C2894"/>
      <c r="M2894"/>
    </row>
    <row r="2895" spans="3:13" ht="12.75" customHeight="1">
      <c r="C2895"/>
      <c r="M2895"/>
    </row>
    <row r="2896" spans="3:13" ht="12.75" customHeight="1">
      <c r="C2896"/>
      <c r="M2896"/>
    </row>
    <row r="2897" spans="3:13" ht="12.75" customHeight="1">
      <c r="C2897"/>
      <c r="M2897"/>
    </row>
    <row r="2898" spans="3:13" ht="12.75" customHeight="1">
      <c r="C2898"/>
      <c r="M2898"/>
    </row>
    <row r="2899" spans="3:13" ht="12.75" customHeight="1">
      <c r="C2899"/>
      <c r="M2899"/>
    </row>
    <row r="2900" spans="3:13" ht="12.75" customHeight="1">
      <c r="C2900"/>
      <c r="M2900"/>
    </row>
    <row r="2901" spans="3:13" ht="12.75" customHeight="1">
      <c r="C2901"/>
      <c r="M2901"/>
    </row>
    <row r="2902" spans="3:13" ht="12.75" customHeight="1">
      <c r="C2902"/>
      <c r="M2902"/>
    </row>
    <row r="2903" spans="3:13" ht="12.75" customHeight="1">
      <c r="C2903"/>
      <c r="M2903"/>
    </row>
    <row r="2904" spans="3:13" ht="12.75" customHeight="1">
      <c r="C2904"/>
      <c r="M2904"/>
    </row>
    <row r="2905" spans="3:13" ht="12.75" customHeight="1">
      <c r="C2905"/>
      <c r="M2905"/>
    </row>
    <row r="2906" spans="3:13" ht="12.75" customHeight="1">
      <c r="C2906"/>
      <c r="M2906"/>
    </row>
    <row r="2907" spans="3:13" ht="12.75" customHeight="1">
      <c r="C2907"/>
      <c r="M2907"/>
    </row>
    <row r="2908" spans="3:13" ht="12.75" customHeight="1">
      <c r="C2908"/>
      <c r="M2908"/>
    </row>
    <row r="2909" spans="3:13" ht="12.75" customHeight="1">
      <c r="C2909"/>
      <c r="M2909"/>
    </row>
    <row r="2910" spans="3:13" ht="12.75" customHeight="1">
      <c r="C2910"/>
      <c r="M2910"/>
    </row>
    <row r="2911" spans="3:13" ht="12.75" customHeight="1">
      <c r="C2911"/>
      <c r="M2911"/>
    </row>
    <row r="2912" spans="3:13" ht="12.75" customHeight="1">
      <c r="C2912"/>
      <c r="M2912"/>
    </row>
    <row r="2913" spans="3:13" ht="12.75" customHeight="1">
      <c r="C2913"/>
      <c r="M2913"/>
    </row>
    <row r="2914" spans="3:13" ht="12.75" customHeight="1">
      <c r="C2914"/>
      <c r="M2914"/>
    </row>
    <row r="2915" spans="3:13" ht="12.75" customHeight="1">
      <c r="C2915"/>
      <c r="M2915"/>
    </row>
    <row r="2916" spans="3:13" ht="12.75" customHeight="1">
      <c r="C2916"/>
      <c r="M2916"/>
    </row>
    <row r="2917" spans="3:13" ht="12.75" customHeight="1">
      <c r="C2917"/>
      <c r="M2917"/>
    </row>
    <row r="2918" spans="3:13" ht="12.75" customHeight="1">
      <c r="C2918"/>
      <c r="M2918"/>
    </row>
    <row r="2919" spans="3:13" ht="12.75" customHeight="1">
      <c r="C2919"/>
      <c r="M2919"/>
    </row>
    <row r="2920" spans="3:13" ht="12.75" customHeight="1">
      <c r="C2920"/>
      <c r="M2920"/>
    </row>
    <row r="2921" spans="3:13" ht="12.75" customHeight="1">
      <c r="C2921"/>
      <c r="M2921"/>
    </row>
    <row r="2922" spans="3:13" ht="12.75" customHeight="1">
      <c r="C2922"/>
      <c r="M2922"/>
    </row>
    <row r="2923" spans="3:13" ht="12.75" customHeight="1">
      <c r="C2923"/>
      <c r="M2923"/>
    </row>
    <row r="2924" spans="3:13" ht="12.75" customHeight="1">
      <c r="C2924"/>
      <c r="M2924"/>
    </row>
    <row r="2925" spans="3:13" ht="12.75" customHeight="1">
      <c r="C2925"/>
      <c r="M2925"/>
    </row>
    <row r="2926" spans="3:13" ht="12.75" customHeight="1">
      <c r="C2926"/>
      <c r="M2926"/>
    </row>
    <row r="2927" spans="3:13" ht="12.75" customHeight="1">
      <c r="C2927"/>
      <c r="M2927"/>
    </row>
    <row r="2928" spans="3:13" ht="12.75" customHeight="1">
      <c r="C2928"/>
      <c r="M2928"/>
    </row>
    <row r="2929" spans="3:13" ht="12.75" customHeight="1">
      <c r="C2929"/>
      <c r="M2929"/>
    </row>
    <row r="2930" spans="3:13" ht="12.75" customHeight="1">
      <c r="C2930"/>
      <c r="M2930"/>
    </row>
    <row r="2931" spans="3:13" ht="12.75" customHeight="1">
      <c r="C2931"/>
      <c r="M2931"/>
    </row>
    <row r="2932" spans="3:13" ht="12.75" customHeight="1">
      <c r="C2932"/>
      <c r="M2932"/>
    </row>
    <row r="2933" spans="3:13" ht="12.75" customHeight="1">
      <c r="C2933"/>
      <c r="M2933"/>
    </row>
    <row r="2934" spans="3:13" ht="12.75" customHeight="1">
      <c r="C2934"/>
      <c r="M2934"/>
    </row>
    <row r="2935" spans="3:13" ht="12.75" customHeight="1">
      <c r="C2935"/>
      <c r="M2935"/>
    </row>
    <row r="2936" spans="3:13" ht="12.75" customHeight="1">
      <c r="C2936"/>
      <c r="M2936"/>
    </row>
    <row r="2937" spans="3:13" ht="12.75" customHeight="1">
      <c r="C2937"/>
      <c r="M2937"/>
    </row>
    <row r="2938" spans="3:13" ht="12.75" customHeight="1">
      <c r="C2938"/>
      <c r="M2938"/>
    </row>
    <row r="2939" spans="3:13" ht="12.75" customHeight="1">
      <c r="C2939"/>
      <c r="M2939"/>
    </row>
    <row r="2940" spans="3:13" ht="12.75" customHeight="1">
      <c r="C2940"/>
      <c r="M2940"/>
    </row>
    <row r="2941" spans="3:13" ht="12.75" customHeight="1">
      <c r="C2941"/>
      <c r="M2941"/>
    </row>
    <row r="2942" spans="3:13" ht="12.75" customHeight="1">
      <c r="C2942"/>
      <c r="M2942"/>
    </row>
    <row r="2943" spans="3:13" ht="12.75" customHeight="1">
      <c r="C2943"/>
      <c r="M2943"/>
    </row>
    <row r="2944" spans="3:13" ht="12.75" customHeight="1">
      <c r="C2944"/>
      <c r="M2944"/>
    </row>
    <row r="2945" spans="3:13" ht="12.75" customHeight="1">
      <c r="C2945"/>
      <c r="M2945"/>
    </row>
    <row r="2946" spans="3:13" ht="12.75" customHeight="1">
      <c r="C2946"/>
      <c r="M2946"/>
    </row>
    <row r="2947" spans="3:13" ht="12.75" customHeight="1">
      <c r="C2947"/>
      <c r="M2947"/>
    </row>
    <row r="2948" spans="3:13" ht="12.75" customHeight="1">
      <c r="C2948"/>
      <c r="M2948"/>
    </row>
    <row r="2949" spans="3:13" ht="12.75" customHeight="1">
      <c r="C2949"/>
      <c r="M2949"/>
    </row>
    <row r="2950" spans="3:13" ht="12.75" customHeight="1">
      <c r="C2950"/>
      <c r="M2950"/>
    </row>
    <row r="2951" spans="3:13" ht="12.75" customHeight="1">
      <c r="C2951"/>
      <c r="M2951"/>
    </row>
    <row r="2952" spans="3:13" ht="12.75" customHeight="1">
      <c r="C2952"/>
      <c r="M2952"/>
    </row>
    <row r="2953" spans="3:13" ht="12.75" customHeight="1">
      <c r="C2953"/>
      <c r="M2953"/>
    </row>
    <row r="2954" spans="3:13" ht="12.75" customHeight="1">
      <c r="C2954"/>
      <c r="M2954"/>
    </row>
    <row r="2955" spans="3:13" ht="12.75" customHeight="1">
      <c r="C2955"/>
      <c r="M2955"/>
    </row>
    <row r="2956" spans="3:13" ht="12.75" customHeight="1">
      <c r="C2956"/>
      <c r="M2956"/>
    </row>
    <row r="2957" spans="3:13" ht="12.75" customHeight="1">
      <c r="C2957"/>
      <c r="M2957"/>
    </row>
    <row r="2958" spans="3:13" ht="12.75" customHeight="1">
      <c r="C2958"/>
      <c r="M2958"/>
    </row>
    <row r="2959" spans="3:13" ht="12.75" customHeight="1">
      <c r="C2959"/>
      <c r="M2959"/>
    </row>
    <row r="2960" spans="3:13" ht="12.75" customHeight="1">
      <c r="C2960"/>
      <c r="M2960"/>
    </row>
    <row r="2961" spans="3:13" ht="12.75" customHeight="1">
      <c r="C2961"/>
      <c r="M2961"/>
    </row>
    <row r="2962" spans="3:13" ht="12.75" customHeight="1">
      <c r="C2962"/>
      <c r="M2962"/>
    </row>
    <row r="2963" spans="3:13" ht="12.75" customHeight="1">
      <c r="C2963"/>
      <c r="M2963"/>
    </row>
    <row r="2964" spans="3:13" ht="12.75" customHeight="1">
      <c r="C2964"/>
      <c r="M2964"/>
    </row>
    <row r="2965" spans="3:13" ht="12.75" customHeight="1">
      <c r="C2965"/>
      <c r="M2965"/>
    </row>
    <row r="2966" spans="3:13" ht="12.75" customHeight="1">
      <c r="C2966"/>
      <c r="M2966"/>
    </row>
    <row r="2967" spans="3:13" ht="12.75" customHeight="1">
      <c r="C2967"/>
      <c r="M2967"/>
    </row>
    <row r="2968" spans="3:13" ht="12.75" customHeight="1">
      <c r="C2968"/>
      <c r="M2968"/>
    </row>
    <row r="2969" spans="3:13" ht="12.75" customHeight="1">
      <c r="C2969"/>
      <c r="M2969"/>
    </row>
    <row r="2970" spans="3:13" ht="12.75" customHeight="1">
      <c r="C2970"/>
      <c r="M2970"/>
    </row>
    <row r="2971" spans="3:13" ht="12.75" customHeight="1">
      <c r="C2971"/>
      <c r="M2971"/>
    </row>
    <row r="2972" spans="3:13" ht="12.75" customHeight="1">
      <c r="C2972"/>
      <c r="M2972"/>
    </row>
    <row r="2973" spans="3:13" ht="12.75" customHeight="1">
      <c r="C2973"/>
      <c r="M2973"/>
    </row>
    <row r="2974" spans="3:13" ht="12.75" customHeight="1">
      <c r="C2974"/>
      <c r="M2974"/>
    </row>
    <row r="2975" spans="3:13" ht="12.75" customHeight="1">
      <c r="C2975"/>
      <c r="M2975"/>
    </row>
    <row r="2976" spans="3:13" ht="12.75" customHeight="1">
      <c r="C2976"/>
      <c r="M2976"/>
    </row>
    <row r="2977" spans="3:13" ht="12.75" customHeight="1">
      <c r="C2977"/>
      <c r="M2977"/>
    </row>
    <row r="2978" spans="3:13" ht="12.75" customHeight="1">
      <c r="C2978"/>
      <c r="M2978"/>
    </row>
    <row r="2979" spans="3:13" ht="12.75" customHeight="1">
      <c r="C2979"/>
      <c r="M2979"/>
    </row>
    <row r="2980" spans="3:13" ht="12.75" customHeight="1">
      <c r="C2980"/>
      <c r="M2980"/>
    </row>
    <row r="2981" spans="3:13" ht="12.75" customHeight="1">
      <c r="C2981"/>
      <c r="M2981"/>
    </row>
    <row r="2982" spans="3:13" ht="12.75" customHeight="1">
      <c r="C2982"/>
      <c r="M2982"/>
    </row>
    <row r="2983" spans="3:13" ht="12.75" customHeight="1">
      <c r="C2983"/>
      <c r="M2983"/>
    </row>
    <row r="2984" spans="3:13" ht="12.75" customHeight="1">
      <c r="C2984"/>
      <c r="M2984"/>
    </row>
    <row r="2985" spans="3:13" ht="12.75" customHeight="1">
      <c r="C2985"/>
      <c r="M2985"/>
    </row>
    <row r="2986" spans="3:13" ht="12.75" customHeight="1">
      <c r="C2986"/>
      <c r="M2986"/>
    </row>
    <row r="2987" spans="3:13" ht="12.75" customHeight="1">
      <c r="C2987"/>
      <c r="M2987"/>
    </row>
    <row r="2988" spans="3:13" ht="12.75" customHeight="1">
      <c r="C2988"/>
      <c r="M2988"/>
    </row>
    <row r="2989" spans="3:13" ht="12.75" customHeight="1">
      <c r="C2989"/>
      <c r="M2989"/>
    </row>
    <row r="2990" spans="3:13" ht="12.75" customHeight="1">
      <c r="C2990"/>
      <c r="M2990"/>
    </row>
    <row r="2991" spans="3:13" ht="12.75" customHeight="1">
      <c r="C2991"/>
      <c r="M2991"/>
    </row>
    <row r="2992" spans="3:13" ht="12.75" customHeight="1">
      <c r="C2992"/>
      <c r="M2992"/>
    </row>
    <row r="2993" spans="3:13" ht="12.75" customHeight="1">
      <c r="C2993"/>
      <c r="M2993"/>
    </row>
    <row r="2994" spans="3:13" ht="12.75" customHeight="1">
      <c r="C2994"/>
      <c r="M2994"/>
    </row>
    <row r="2995" spans="3:13" ht="12.75" customHeight="1">
      <c r="C2995"/>
      <c r="M2995"/>
    </row>
    <row r="2996" spans="3:13" ht="12.75" customHeight="1">
      <c r="C2996"/>
      <c r="M2996"/>
    </row>
    <row r="2997" spans="3:13" ht="12.75" customHeight="1">
      <c r="C2997"/>
      <c r="M2997"/>
    </row>
    <row r="2998" spans="3:13" ht="12.75" customHeight="1">
      <c r="C2998"/>
      <c r="M2998"/>
    </row>
    <row r="2999" spans="3:13" ht="12.75" customHeight="1">
      <c r="C2999"/>
      <c r="M2999"/>
    </row>
    <row r="3000" spans="3:13" ht="12.75" customHeight="1">
      <c r="C3000"/>
      <c r="M3000"/>
    </row>
    <row r="3001" spans="3:13" ht="12.75" customHeight="1">
      <c r="C3001"/>
      <c r="M3001"/>
    </row>
    <row r="3002" spans="3:13" ht="12.75" customHeight="1">
      <c r="C3002"/>
      <c r="M3002"/>
    </row>
    <row r="3003" spans="3:13" ht="12.75" customHeight="1">
      <c r="C3003"/>
      <c r="M3003"/>
    </row>
    <row r="3004" spans="3:13" ht="12.75" customHeight="1">
      <c r="C3004"/>
      <c r="M3004"/>
    </row>
    <row r="3005" spans="3:13" ht="12.75" customHeight="1">
      <c r="C3005"/>
      <c r="M3005"/>
    </row>
    <row r="3006" spans="3:13" ht="12.75" customHeight="1">
      <c r="C3006"/>
      <c r="M3006"/>
    </row>
    <row r="3007" spans="3:13" ht="12.75" customHeight="1">
      <c r="C3007"/>
      <c r="M3007"/>
    </row>
    <row r="3008" spans="3:13" ht="12.75" customHeight="1">
      <c r="C3008"/>
      <c r="M3008"/>
    </row>
    <row r="3009" spans="3:13" ht="12.75" customHeight="1">
      <c r="C3009"/>
      <c r="M3009"/>
    </row>
    <row r="3010" spans="3:13" ht="12.75" customHeight="1">
      <c r="C3010"/>
      <c r="M3010"/>
    </row>
    <row r="3011" spans="3:13" ht="12.75" customHeight="1">
      <c r="C3011"/>
      <c r="M3011"/>
    </row>
    <row r="3012" spans="3:13" ht="12.75" customHeight="1">
      <c r="C3012"/>
      <c r="M3012"/>
    </row>
    <row r="3013" spans="3:13" ht="12.75" customHeight="1">
      <c r="C3013"/>
      <c r="M3013"/>
    </row>
    <row r="3014" spans="3:13" ht="12.75" customHeight="1">
      <c r="C3014"/>
      <c r="M3014"/>
    </row>
    <row r="3015" spans="3:13" ht="12.75" customHeight="1">
      <c r="C3015"/>
      <c r="M3015"/>
    </row>
    <row r="3016" spans="3:13" ht="12.75" customHeight="1">
      <c r="C3016"/>
      <c r="M3016"/>
    </row>
    <row r="3017" spans="3:13" ht="12.75" customHeight="1">
      <c r="C3017"/>
      <c r="M3017"/>
    </row>
    <row r="3018" spans="3:13" ht="12.75" customHeight="1">
      <c r="C3018"/>
      <c r="M3018"/>
    </row>
    <row r="3019" spans="3:13" ht="12.75" customHeight="1">
      <c r="C3019"/>
      <c r="M3019"/>
    </row>
    <row r="3020" spans="3:13" ht="12.75" customHeight="1">
      <c r="C3020"/>
      <c r="M3020"/>
    </row>
    <row r="3021" spans="3:13" ht="12.75" customHeight="1">
      <c r="C3021"/>
      <c r="M3021"/>
    </row>
    <row r="3022" spans="3:13" ht="12.75" customHeight="1">
      <c r="C3022"/>
      <c r="M3022"/>
    </row>
    <row r="3023" spans="3:13" ht="12.75" customHeight="1">
      <c r="C3023"/>
      <c r="M3023"/>
    </row>
    <row r="3024" spans="3:13" ht="12.75" customHeight="1">
      <c r="C3024"/>
      <c r="M3024"/>
    </row>
    <row r="3025" spans="3:13" ht="12.75" customHeight="1">
      <c r="C3025"/>
      <c r="M3025"/>
    </row>
    <row r="3026" spans="3:13" ht="12.75" customHeight="1">
      <c r="C3026"/>
      <c r="M3026"/>
    </row>
    <row r="3027" spans="3:13" ht="12.75" customHeight="1">
      <c r="C3027"/>
      <c r="M3027"/>
    </row>
    <row r="3028" spans="3:13" ht="12.75" customHeight="1">
      <c r="C3028"/>
      <c r="M3028"/>
    </row>
    <row r="3029" spans="3:13" ht="12.75" customHeight="1">
      <c r="C3029"/>
      <c r="M3029"/>
    </row>
    <row r="3030" spans="3:13" ht="12.75" customHeight="1">
      <c r="C3030"/>
      <c r="M3030"/>
    </row>
    <row r="3031" spans="3:13" ht="12.75" customHeight="1">
      <c r="C3031"/>
      <c r="M3031"/>
    </row>
    <row r="3032" spans="3:13" ht="12.75" customHeight="1">
      <c r="C3032"/>
      <c r="M3032"/>
    </row>
    <row r="3033" spans="3:13" ht="12.75" customHeight="1">
      <c r="C3033"/>
      <c r="M3033"/>
    </row>
    <row r="3034" spans="3:13" ht="12.75" customHeight="1">
      <c r="C3034"/>
      <c r="M3034"/>
    </row>
    <row r="3035" spans="3:13" ht="12.75" customHeight="1">
      <c r="C3035"/>
      <c r="M3035"/>
    </row>
    <row r="3036" spans="3:13" ht="12.75" customHeight="1">
      <c r="C3036"/>
      <c r="M3036"/>
    </row>
    <row r="3037" spans="3:13" ht="12.75" customHeight="1">
      <c r="C3037"/>
      <c r="M3037"/>
    </row>
    <row r="3038" spans="3:13" ht="12.75" customHeight="1">
      <c r="C3038"/>
      <c r="M3038"/>
    </row>
    <row r="3039" spans="3:13" ht="12.75" customHeight="1">
      <c r="C3039"/>
      <c r="M3039"/>
    </row>
    <row r="3040" spans="3:13" ht="12.75" customHeight="1">
      <c r="C3040"/>
      <c r="M3040"/>
    </row>
    <row r="3041" spans="3:13" ht="12.75" customHeight="1">
      <c r="C3041"/>
      <c r="M3041"/>
    </row>
    <row r="3042" spans="3:13" ht="12.75" customHeight="1">
      <c r="C3042"/>
      <c r="M3042"/>
    </row>
    <row r="3043" spans="3:13" ht="12.75" customHeight="1">
      <c r="C3043"/>
      <c r="M3043"/>
    </row>
    <row r="3044" spans="3:13" ht="12.75" customHeight="1">
      <c r="C3044"/>
      <c r="M3044"/>
    </row>
    <row r="3045" spans="3:13" ht="12.75" customHeight="1">
      <c r="C3045"/>
      <c r="M3045"/>
    </row>
    <row r="3046" spans="3:13" ht="12.75" customHeight="1">
      <c r="C3046"/>
      <c r="M3046"/>
    </row>
    <row r="3047" spans="3:13" ht="12.75" customHeight="1">
      <c r="C3047"/>
      <c r="M3047"/>
    </row>
    <row r="3048" spans="3:13" ht="12.75" customHeight="1">
      <c r="C3048"/>
      <c r="M3048"/>
    </row>
    <row r="3049" spans="3:13" ht="12.75" customHeight="1">
      <c r="C3049"/>
      <c r="M3049"/>
    </row>
    <row r="3050" spans="3:13" ht="12.75" customHeight="1">
      <c r="C3050"/>
      <c r="M3050"/>
    </row>
    <row r="3051" spans="3:13" ht="12.75" customHeight="1">
      <c r="C3051"/>
      <c r="M3051"/>
    </row>
    <row r="3052" spans="3:13" ht="12.75" customHeight="1">
      <c r="C3052"/>
      <c r="M3052"/>
    </row>
    <row r="3053" spans="3:13" ht="12.75" customHeight="1">
      <c r="C3053"/>
      <c r="M3053"/>
    </row>
    <row r="3054" spans="3:13" ht="12.75" customHeight="1">
      <c r="C3054"/>
      <c r="M3054"/>
    </row>
    <row r="3055" spans="3:13" ht="12.75" customHeight="1">
      <c r="C3055"/>
      <c r="M3055"/>
    </row>
    <row r="3056" spans="3:13" ht="12.75" customHeight="1">
      <c r="C3056"/>
      <c r="M3056"/>
    </row>
    <row r="3057" spans="3:13" ht="12.75" customHeight="1">
      <c r="C3057"/>
      <c r="M3057"/>
    </row>
    <row r="3058" spans="3:13" ht="12.75" customHeight="1">
      <c r="C3058"/>
      <c r="M3058"/>
    </row>
    <row r="3059" spans="3:13" ht="12.75" customHeight="1">
      <c r="C3059"/>
      <c r="M3059"/>
    </row>
    <row r="3060" spans="3:13" ht="12.75" customHeight="1">
      <c r="C3060"/>
      <c r="M3060"/>
    </row>
    <row r="3061" spans="3:13" ht="12.75" customHeight="1">
      <c r="C3061"/>
      <c r="M3061"/>
    </row>
    <row r="3062" spans="3:13" ht="12.75" customHeight="1">
      <c r="C3062"/>
      <c r="M3062"/>
    </row>
    <row r="3063" spans="3:13" ht="12.75" customHeight="1">
      <c r="C3063"/>
      <c r="M3063"/>
    </row>
    <row r="3064" spans="3:13" ht="12.75" customHeight="1">
      <c r="C3064"/>
      <c r="M3064"/>
    </row>
    <row r="3065" spans="3:13" ht="12.75" customHeight="1">
      <c r="C3065"/>
      <c r="M3065"/>
    </row>
    <row r="3066" spans="3:13" ht="12.75" customHeight="1">
      <c r="C3066"/>
      <c r="M3066"/>
    </row>
    <row r="3067" spans="3:13" ht="12.75" customHeight="1">
      <c r="C3067"/>
      <c r="M3067"/>
    </row>
    <row r="3068" spans="3:13" ht="12.75" customHeight="1">
      <c r="C3068"/>
      <c r="M3068"/>
    </row>
    <row r="3069" spans="3:13" ht="12.75" customHeight="1">
      <c r="C3069"/>
      <c r="M3069"/>
    </row>
    <row r="3070" spans="3:13" ht="12.75" customHeight="1">
      <c r="C3070"/>
      <c r="M3070"/>
    </row>
    <row r="3071" spans="3:13" ht="12.75" customHeight="1">
      <c r="C3071"/>
      <c r="M3071"/>
    </row>
    <row r="3072" spans="3:13" ht="12.75" customHeight="1">
      <c r="C3072"/>
      <c r="M3072"/>
    </row>
    <row r="3073" spans="3:13" ht="12.75" customHeight="1">
      <c r="C3073"/>
      <c r="M3073"/>
    </row>
    <row r="3074" spans="3:13" ht="12.75" customHeight="1">
      <c r="C3074"/>
      <c r="M3074"/>
    </row>
    <row r="3075" spans="3:13" ht="12.75" customHeight="1">
      <c r="C3075"/>
      <c r="M3075"/>
    </row>
    <row r="3076" spans="3:13" ht="12.75" customHeight="1">
      <c r="C3076"/>
      <c r="M3076"/>
    </row>
    <row r="3077" spans="3:13" ht="12.75" customHeight="1">
      <c r="C3077"/>
      <c r="M3077"/>
    </row>
    <row r="3078" spans="3:13" ht="12.75" customHeight="1">
      <c r="C3078"/>
      <c r="M3078"/>
    </row>
    <row r="3079" spans="3:13" ht="12.75" customHeight="1">
      <c r="C3079"/>
      <c r="M3079"/>
    </row>
    <row r="3080" spans="3:13" ht="12.75" customHeight="1">
      <c r="C3080"/>
      <c r="M3080"/>
    </row>
    <row r="3081" spans="3:13" ht="12.75" customHeight="1">
      <c r="C3081"/>
      <c r="M3081"/>
    </row>
    <row r="3082" spans="3:13" ht="12.75" customHeight="1">
      <c r="C3082"/>
      <c r="M3082"/>
    </row>
    <row r="3083" spans="3:13" ht="12.75" customHeight="1">
      <c r="C3083"/>
      <c r="M3083"/>
    </row>
    <row r="3084" spans="3:13" ht="12.75" customHeight="1">
      <c r="C3084"/>
      <c r="M3084"/>
    </row>
    <row r="3085" spans="3:13" ht="12.75" customHeight="1">
      <c r="C3085"/>
      <c r="M3085"/>
    </row>
    <row r="3086" spans="3:13" ht="12.75" customHeight="1">
      <c r="C3086"/>
      <c r="M3086"/>
    </row>
    <row r="3087" spans="3:13" ht="12.75" customHeight="1">
      <c r="C3087"/>
      <c r="M3087"/>
    </row>
    <row r="3088" spans="3:13" ht="12.75" customHeight="1">
      <c r="C3088"/>
      <c r="M3088"/>
    </row>
    <row r="3089" spans="3:13" ht="12.75" customHeight="1">
      <c r="C3089"/>
      <c r="M3089"/>
    </row>
    <row r="3090" spans="3:13" ht="12.75" customHeight="1">
      <c r="C3090"/>
      <c r="M3090"/>
    </row>
    <row r="3091" spans="3:13" ht="12.75" customHeight="1">
      <c r="C3091"/>
      <c r="M3091"/>
    </row>
    <row r="3092" spans="3:13" ht="12.75" customHeight="1">
      <c r="C3092"/>
      <c r="M3092"/>
    </row>
    <row r="3093" spans="3:13" ht="12.75" customHeight="1">
      <c r="C3093"/>
      <c r="M3093"/>
    </row>
    <row r="3094" spans="3:13" ht="12.75" customHeight="1">
      <c r="C3094"/>
      <c r="M3094"/>
    </row>
    <row r="3095" spans="3:13" ht="12.75" customHeight="1">
      <c r="C3095"/>
      <c r="M3095"/>
    </row>
    <row r="3096" spans="3:13" ht="12.75" customHeight="1">
      <c r="C3096"/>
      <c r="M3096"/>
    </row>
    <row r="3097" spans="3:13" ht="12.75" customHeight="1">
      <c r="C3097"/>
      <c r="M3097"/>
    </row>
    <row r="3098" spans="3:13" ht="12.75" customHeight="1">
      <c r="C3098"/>
      <c r="M3098"/>
    </row>
    <row r="3099" spans="3:13" ht="12.75" customHeight="1">
      <c r="C3099"/>
      <c r="M3099"/>
    </row>
    <row r="3100" spans="3:13" ht="12.75" customHeight="1">
      <c r="C3100"/>
      <c r="M3100"/>
    </row>
    <row r="3101" spans="3:13" ht="12.75" customHeight="1">
      <c r="C3101"/>
      <c r="M3101"/>
    </row>
    <row r="3102" spans="3:13" ht="12.75" customHeight="1">
      <c r="C3102"/>
      <c r="M3102"/>
    </row>
    <row r="3103" spans="3:13" ht="12.75" customHeight="1">
      <c r="C3103"/>
      <c r="M3103"/>
    </row>
    <row r="3104" spans="3:13" ht="12.75" customHeight="1">
      <c r="C3104"/>
      <c r="M3104"/>
    </row>
    <row r="3105" spans="3:13" ht="12.75" customHeight="1">
      <c r="C3105"/>
      <c r="M3105"/>
    </row>
    <row r="3106" spans="3:13" ht="12.75" customHeight="1">
      <c r="C3106"/>
      <c r="M3106"/>
    </row>
    <row r="3107" spans="3:13" ht="12.75" customHeight="1">
      <c r="C3107"/>
      <c r="M3107"/>
    </row>
    <row r="3108" spans="3:13" ht="12.75" customHeight="1">
      <c r="C3108"/>
      <c r="M3108"/>
    </row>
    <row r="3109" spans="3:13" ht="12.75" customHeight="1">
      <c r="C3109"/>
      <c r="M3109"/>
    </row>
    <row r="3110" spans="3:13" ht="12.75" customHeight="1">
      <c r="C3110"/>
      <c r="M3110"/>
    </row>
    <row r="3111" spans="3:13" ht="12.75" customHeight="1">
      <c r="C3111"/>
      <c r="M3111"/>
    </row>
    <row r="3112" spans="3:13" ht="12.75" customHeight="1">
      <c r="C3112"/>
      <c r="M3112"/>
    </row>
    <row r="3113" spans="3:13" ht="12.75" customHeight="1">
      <c r="C3113"/>
      <c r="M3113"/>
    </row>
    <row r="3114" spans="3:13" ht="12.75" customHeight="1">
      <c r="C3114"/>
      <c r="M3114"/>
    </row>
    <row r="3115" spans="3:13" ht="12.75" customHeight="1">
      <c r="C3115"/>
      <c r="M3115"/>
    </row>
    <row r="3116" spans="3:13" ht="12.75" customHeight="1">
      <c r="C3116"/>
      <c r="M3116"/>
    </row>
    <row r="3117" spans="3:13" ht="12.75" customHeight="1">
      <c r="C3117"/>
      <c r="M3117"/>
    </row>
    <row r="3118" spans="3:13" ht="12.75" customHeight="1">
      <c r="C3118"/>
      <c r="M3118"/>
    </row>
    <row r="3119" spans="3:13" ht="12.75" customHeight="1">
      <c r="C3119"/>
      <c r="M3119"/>
    </row>
    <row r="3120" spans="3:13" ht="12.75" customHeight="1">
      <c r="C3120"/>
      <c r="M3120"/>
    </row>
    <row r="3121" spans="3:13" ht="12.75" customHeight="1">
      <c r="C3121"/>
      <c r="M3121"/>
    </row>
    <row r="3122" spans="3:13" ht="12.75" customHeight="1">
      <c r="C3122"/>
      <c r="M3122"/>
    </row>
    <row r="3123" spans="3:13" ht="12.75" customHeight="1">
      <c r="C3123"/>
      <c r="M3123"/>
    </row>
    <row r="3124" spans="3:13" ht="12.75" customHeight="1">
      <c r="C3124"/>
      <c r="M3124"/>
    </row>
    <row r="3125" spans="3:13" ht="12.75" customHeight="1">
      <c r="C3125"/>
      <c r="M3125"/>
    </row>
    <row r="3126" spans="3:13" ht="12.75" customHeight="1">
      <c r="C3126"/>
      <c r="M3126"/>
    </row>
    <row r="3127" spans="3:13" ht="12.75" customHeight="1">
      <c r="C3127"/>
      <c r="M3127"/>
    </row>
    <row r="3128" spans="3:13" ht="12.75" customHeight="1">
      <c r="C3128"/>
      <c r="M3128"/>
    </row>
    <row r="3129" spans="3:13" ht="12.75" customHeight="1">
      <c r="C3129"/>
      <c r="M3129"/>
    </row>
    <row r="3130" spans="3:13" ht="12.75" customHeight="1">
      <c r="C3130"/>
      <c r="M3130"/>
    </row>
    <row r="3131" spans="3:13" ht="12.75" customHeight="1">
      <c r="C3131"/>
      <c r="M3131"/>
    </row>
    <row r="3132" spans="3:13" ht="12.75" customHeight="1">
      <c r="C3132"/>
      <c r="M3132"/>
    </row>
    <row r="3133" spans="3:13" ht="12.75" customHeight="1">
      <c r="C3133"/>
      <c r="M3133"/>
    </row>
    <row r="3134" spans="3:13" ht="12.75" customHeight="1">
      <c r="C3134"/>
      <c r="M3134"/>
    </row>
    <row r="3135" spans="3:13" ht="12.75" customHeight="1">
      <c r="C3135"/>
      <c r="M3135"/>
    </row>
    <row r="3136" spans="3:13" ht="12.75" customHeight="1">
      <c r="C3136"/>
      <c r="M3136"/>
    </row>
    <row r="3137" spans="3:13" ht="12.75" customHeight="1">
      <c r="C3137"/>
      <c r="M3137"/>
    </row>
    <row r="3138" spans="3:13" ht="12.75" customHeight="1">
      <c r="C3138"/>
      <c r="M3138"/>
    </row>
    <row r="3139" spans="3:13" ht="12.75" customHeight="1">
      <c r="C3139"/>
      <c r="M3139"/>
    </row>
    <row r="3140" spans="3:13" ht="12.75" customHeight="1">
      <c r="C3140"/>
      <c r="M3140"/>
    </row>
    <row r="3141" spans="3:13" ht="12.75" customHeight="1">
      <c r="C3141"/>
      <c r="M3141"/>
    </row>
    <row r="3142" spans="3:13" ht="12.75" customHeight="1">
      <c r="C3142"/>
      <c r="M3142"/>
    </row>
    <row r="3143" spans="3:13" ht="12.75" customHeight="1">
      <c r="C3143"/>
      <c r="M3143"/>
    </row>
    <row r="3144" spans="3:13" ht="12.75" customHeight="1">
      <c r="C3144"/>
      <c r="M3144"/>
    </row>
    <row r="3145" spans="3:13" ht="12.75" customHeight="1">
      <c r="C3145"/>
      <c r="M3145"/>
    </row>
    <row r="3146" spans="3:13" ht="12.75" customHeight="1">
      <c r="C3146"/>
      <c r="M3146"/>
    </row>
    <row r="3147" spans="3:13" ht="12.75" customHeight="1">
      <c r="C3147"/>
      <c r="M3147"/>
    </row>
    <row r="3148" spans="3:13" ht="12.75" customHeight="1">
      <c r="C3148"/>
      <c r="M3148"/>
    </row>
    <row r="3149" spans="3:13" ht="12.75" customHeight="1">
      <c r="C3149"/>
      <c r="M3149"/>
    </row>
    <row r="3150" spans="3:13" ht="12.75" customHeight="1">
      <c r="C3150"/>
      <c r="M3150"/>
    </row>
    <row r="3151" spans="3:13" ht="12.75" customHeight="1">
      <c r="C3151"/>
      <c r="M3151"/>
    </row>
    <row r="3152" spans="3:13" ht="12.75" customHeight="1">
      <c r="C3152"/>
      <c r="M3152"/>
    </row>
    <row r="3153" spans="3:13" ht="12.75" customHeight="1">
      <c r="C3153"/>
      <c r="M3153"/>
    </row>
    <row r="3154" spans="3:13" ht="12.75" customHeight="1">
      <c r="C3154"/>
      <c r="M3154"/>
    </row>
    <row r="3155" spans="3:13" ht="12.75" customHeight="1">
      <c r="C3155"/>
      <c r="M3155"/>
    </row>
    <row r="3156" spans="3:13" ht="12.75" customHeight="1">
      <c r="C3156"/>
      <c r="M3156"/>
    </row>
    <row r="3157" spans="3:13" ht="12.75" customHeight="1">
      <c r="C3157"/>
      <c r="M3157"/>
    </row>
    <row r="3158" spans="3:13" ht="12.75" customHeight="1">
      <c r="C3158"/>
      <c r="M3158"/>
    </row>
    <row r="3159" spans="3:13" ht="12.75" customHeight="1">
      <c r="C3159"/>
      <c r="M3159"/>
    </row>
    <row r="3160" spans="3:13" ht="12.75" customHeight="1">
      <c r="C3160"/>
      <c r="M3160"/>
    </row>
    <row r="3161" spans="3:13" ht="12.75" customHeight="1">
      <c r="C3161"/>
      <c r="M3161"/>
    </row>
    <row r="3162" spans="3:13" ht="12.75" customHeight="1">
      <c r="C3162"/>
      <c r="M3162"/>
    </row>
    <row r="3163" spans="3:13" ht="12.75" customHeight="1">
      <c r="C3163"/>
      <c r="M3163"/>
    </row>
    <row r="3164" spans="3:13" ht="12.75" customHeight="1">
      <c r="C3164"/>
      <c r="M3164"/>
    </row>
    <row r="3165" spans="3:13" ht="12.75" customHeight="1">
      <c r="C3165"/>
      <c r="M3165"/>
    </row>
    <row r="3166" spans="3:13" ht="12.75" customHeight="1">
      <c r="C3166"/>
      <c r="M3166"/>
    </row>
    <row r="3167" spans="3:13" ht="12.75" customHeight="1">
      <c r="C3167"/>
      <c r="M3167"/>
    </row>
    <row r="3168" spans="3:13" ht="12.75" customHeight="1">
      <c r="C3168"/>
      <c r="M3168"/>
    </row>
    <row r="3169" spans="3:13" ht="12.75" customHeight="1">
      <c r="C3169"/>
      <c r="M3169"/>
    </row>
    <row r="3170" spans="3:13" ht="12.75" customHeight="1">
      <c r="C3170"/>
      <c r="M3170"/>
    </row>
    <row r="3171" spans="3:13" ht="12.75" customHeight="1">
      <c r="C3171"/>
      <c r="M3171"/>
    </row>
    <row r="3172" spans="3:13" ht="12.75" customHeight="1">
      <c r="C3172"/>
      <c r="M3172"/>
    </row>
    <row r="3173" spans="3:13" ht="12.75" customHeight="1">
      <c r="C3173"/>
      <c r="M3173"/>
    </row>
    <row r="3174" spans="3:13" ht="12.75" customHeight="1">
      <c r="C3174"/>
      <c r="M3174"/>
    </row>
    <row r="3175" spans="3:13" ht="12.75" customHeight="1">
      <c r="C3175"/>
      <c r="M3175"/>
    </row>
    <row r="3176" spans="3:13" ht="12.75" customHeight="1">
      <c r="C3176"/>
      <c r="M3176"/>
    </row>
    <row r="3177" spans="3:13" ht="12.75" customHeight="1">
      <c r="C3177"/>
      <c r="M3177"/>
    </row>
    <row r="3178" spans="3:13" ht="12.75" customHeight="1">
      <c r="C3178"/>
      <c r="M3178"/>
    </row>
    <row r="3179" spans="3:13" ht="12.75" customHeight="1">
      <c r="C3179"/>
      <c r="M3179"/>
    </row>
    <row r="3180" spans="3:13" ht="12.75" customHeight="1">
      <c r="C3180"/>
      <c r="M3180"/>
    </row>
    <row r="3181" spans="3:13" ht="12.75" customHeight="1">
      <c r="C3181"/>
      <c r="M3181"/>
    </row>
    <row r="3182" spans="3:13" ht="12.75" customHeight="1">
      <c r="C3182"/>
      <c r="M3182"/>
    </row>
    <row r="3183" spans="3:13" ht="12.75" customHeight="1">
      <c r="C3183"/>
      <c r="M3183"/>
    </row>
    <row r="3184" spans="3:13" ht="12.75" customHeight="1">
      <c r="C3184"/>
      <c r="M3184"/>
    </row>
    <row r="3185" spans="3:13" ht="12.75" customHeight="1">
      <c r="C3185"/>
      <c r="M3185"/>
    </row>
    <row r="3186" spans="3:13" ht="12.75" customHeight="1">
      <c r="C3186"/>
      <c r="M3186"/>
    </row>
    <row r="3187" spans="3:13" ht="12.75" customHeight="1">
      <c r="C3187"/>
      <c r="M3187"/>
    </row>
    <row r="3188" spans="3:13" ht="12.75" customHeight="1">
      <c r="C3188"/>
      <c r="M3188"/>
    </row>
    <row r="3189" spans="3:13" ht="12.75" customHeight="1">
      <c r="C3189"/>
      <c r="M3189"/>
    </row>
    <row r="3190" spans="3:13" ht="12.75" customHeight="1">
      <c r="C3190"/>
      <c r="M3190"/>
    </row>
    <row r="3191" spans="3:13" ht="12.75" customHeight="1">
      <c r="C3191"/>
      <c r="M3191"/>
    </row>
    <row r="3192" spans="3:13" ht="12.75" customHeight="1">
      <c r="C3192"/>
      <c r="M3192"/>
    </row>
    <row r="3193" spans="3:13" ht="12.75" customHeight="1">
      <c r="C3193"/>
      <c r="M3193"/>
    </row>
    <row r="3194" spans="3:13" ht="12.75" customHeight="1">
      <c r="C3194"/>
      <c r="M3194"/>
    </row>
    <row r="3195" spans="3:13" ht="12.75" customHeight="1">
      <c r="C3195"/>
      <c r="M3195"/>
    </row>
    <row r="3196" spans="3:13" ht="12.75" customHeight="1">
      <c r="C3196"/>
      <c r="M3196"/>
    </row>
    <row r="3197" spans="3:13" ht="12.75" customHeight="1">
      <c r="C3197"/>
      <c r="M3197"/>
    </row>
    <row r="3198" spans="3:13" ht="12.75" customHeight="1">
      <c r="C3198"/>
      <c r="M3198"/>
    </row>
    <row r="3199" spans="3:13" ht="12.75" customHeight="1">
      <c r="C3199"/>
      <c r="M3199"/>
    </row>
    <row r="3200" spans="3:13" ht="12.75" customHeight="1">
      <c r="C3200"/>
      <c r="M3200"/>
    </row>
    <row r="3201" spans="3:13" ht="12.75" customHeight="1">
      <c r="C3201"/>
      <c r="M3201"/>
    </row>
    <row r="3202" spans="3:13" ht="12.75" customHeight="1">
      <c r="C3202"/>
      <c r="M3202"/>
    </row>
    <row r="3203" spans="3:13" ht="12.75" customHeight="1">
      <c r="C3203"/>
      <c r="M3203"/>
    </row>
    <row r="3204" spans="3:13" ht="12.75" customHeight="1">
      <c r="C3204"/>
      <c r="M3204"/>
    </row>
    <row r="3205" spans="3:13" ht="12.75" customHeight="1">
      <c r="C3205"/>
      <c r="M3205"/>
    </row>
    <row r="3206" spans="3:13" ht="12.75" customHeight="1">
      <c r="C3206"/>
      <c r="M3206"/>
    </row>
    <row r="3207" spans="3:13" ht="12.75" customHeight="1">
      <c r="C3207"/>
      <c r="M3207"/>
    </row>
    <row r="3208" spans="3:13" ht="12.75" customHeight="1">
      <c r="C3208"/>
      <c r="M3208"/>
    </row>
    <row r="3209" spans="3:13" ht="12.75" customHeight="1">
      <c r="C3209"/>
      <c r="M3209"/>
    </row>
    <row r="3210" spans="3:13" ht="12.75" customHeight="1">
      <c r="C3210"/>
      <c r="M3210"/>
    </row>
    <row r="3211" spans="3:13" ht="12.75" customHeight="1">
      <c r="C3211"/>
      <c r="M3211"/>
    </row>
    <row r="3212" spans="3:13" ht="12.75" customHeight="1">
      <c r="C3212"/>
      <c r="M3212"/>
    </row>
    <row r="3213" spans="3:13" ht="12.75" customHeight="1">
      <c r="C3213"/>
      <c r="M3213"/>
    </row>
    <row r="3214" spans="3:13" ht="12.75" customHeight="1">
      <c r="C3214"/>
      <c r="M3214"/>
    </row>
    <row r="3215" spans="3:13" ht="12.75" customHeight="1">
      <c r="C3215"/>
      <c r="M3215"/>
    </row>
    <row r="3216" spans="3:13" ht="12.75" customHeight="1">
      <c r="C3216"/>
      <c r="M3216"/>
    </row>
    <row r="3217" spans="3:13" ht="12.75" customHeight="1">
      <c r="C3217"/>
      <c r="M3217"/>
    </row>
    <row r="3218" spans="3:13" ht="12.75" customHeight="1">
      <c r="C3218"/>
      <c r="M3218"/>
    </row>
    <row r="3219" spans="3:13" ht="12.75" customHeight="1">
      <c r="C3219"/>
      <c r="M3219"/>
    </row>
    <row r="3220" spans="3:13" ht="12.75" customHeight="1">
      <c r="C3220"/>
      <c r="M3220"/>
    </row>
    <row r="3221" spans="3:13" ht="12.75" customHeight="1">
      <c r="C3221"/>
      <c r="M3221"/>
    </row>
    <row r="3222" spans="3:13" ht="12.75" customHeight="1">
      <c r="C3222"/>
      <c r="M3222"/>
    </row>
    <row r="3223" spans="3:13" ht="12.75" customHeight="1">
      <c r="C3223"/>
      <c r="M3223"/>
    </row>
    <row r="3224" spans="3:13" ht="12.75" customHeight="1">
      <c r="C3224"/>
      <c r="M3224"/>
    </row>
    <row r="3225" spans="3:13" ht="12.75" customHeight="1">
      <c r="C3225"/>
      <c r="M3225"/>
    </row>
    <row r="3226" spans="3:13" ht="12.75" customHeight="1">
      <c r="C3226"/>
      <c r="M3226"/>
    </row>
    <row r="3227" spans="3:13" ht="12.75" customHeight="1">
      <c r="C3227"/>
      <c r="M3227"/>
    </row>
    <row r="3228" spans="3:13" ht="12.75" customHeight="1">
      <c r="C3228"/>
      <c r="M3228"/>
    </row>
    <row r="3229" spans="3:13" ht="12.75" customHeight="1">
      <c r="C3229"/>
      <c r="M3229"/>
    </row>
    <row r="3230" spans="3:13" ht="12.75" customHeight="1">
      <c r="C3230"/>
      <c r="M3230"/>
    </row>
    <row r="3231" spans="3:13" ht="12.75" customHeight="1">
      <c r="C3231"/>
      <c r="M3231"/>
    </row>
    <row r="3232" spans="3:13" ht="12.75" customHeight="1">
      <c r="C3232"/>
      <c r="M3232"/>
    </row>
    <row r="3233" spans="3:13" ht="12.75" customHeight="1">
      <c r="C3233"/>
      <c r="M3233"/>
    </row>
    <row r="3234" spans="3:13" ht="12.75" customHeight="1">
      <c r="C3234"/>
      <c r="M3234"/>
    </row>
    <row r="3235" spans="3:13" ht="12.75" customHeight="1">
      <c r="C3235"/>
      <c r="M3235"/>
    </row>
    <row r="3236" spans="3:13" ht="12.75" customHeight="1">
      <c r="C3236"/>
      <c r="M3236"/>
    </row>
    <row r="3237" spans="3:13" ht="12.75" customHeight="1">
      <c r="C3237"/>
      <c r="M3237"/>
    </row>
    <row r="3238" spans="3:13" ht="12.75" customHeight="1">
      <c r="C3238"/>
      <c r="M3238"/>
    </row>
    <row r="3239" spans="3:13" ht="12.75" customHeight="1">
      <c r="C3239"/>
      <c r="M3239"/>
    </row>
    <row r="3240" spans="3:13" ht="12.75" customHeight="1">
      <c r="C3240"/>
      <c r="M3240"/>
    </row>
    <row r="3241" spans="3:13" ht="12.75" customHeight="1">
      <c r="C3241"/>
      <c r="M3241"/>
    </row>
    <row r="3242" spans="3:13" ht="12.75" customHeight="1">
      <c r="C3242"/>
      <c r="M3242"/>
    </row>
    <row r="3243" spans="3:13" ht="12.75" customHeight="1">
      <c r="C3243"/>
      <c r="M3243"/>
    </row>
    <row r="3244" spans="3:13" ht="12.75" customHeight="1">
      <c r="C3244"/>
      <c r="M3244"/>
    </row>
    <row r="3245" spans="3:13" ht="12.75" customHeight="1">
      <c r="C3245"/>
      <c r="M3245"/>
    </row>
    <row r="3246" spans="3:13" ht="12.75" customHeight="1">
      <c r="C3246"/>
      <c r="M3246"/>
    </row>
    <row r="3247" spans="3:13" ht="12.75" customHeight="1">
      <c r="C3247"/>
      <c r="M3247"/>
    </row>
    <row r="3248" spans="3:13" ht="12.75" customHeight="1">
      <c r="C3248"/>
      <c r="M3248"/>
    </row>
    <row r="3249" spans="3:13" ht="12.75" customHeight="1">
      <c r="C3249"/>
      <c r="M3249"/>
    </row>
    <row r="3250" spans="3:13" ht="12.75" customHeight="1">
      <c r="C3250"/>
      <c r="M3250"/>
    </row>
    <row r="3251" spans="3:13" ht="12.75" customHeight="1">
      <c r="C3251"/>
      <c r="M3251"/>
    </row>
    <row r="3252" spans="3:13" ht="12.75" customHeight="1">
      <c r="C3252"/>
      <c r="M3252"/>
    </row>
    <row r="3253" spans="3:13" ht="12.75" customHeight="1">
      <c r="C3253"/>
      <c r="M3253"/>
    </row>
    <row r="3254" spans="3:13" ht="12.75" customHeight="1">
      <c r="C3254"/>
      <c r="M3254"/>
    </row>
    <row r="3255" spans="3:13" ht="12.75" customHeight="1">
      <c r="C3255"/>
      <c r="M3255"/>
    </row>
    <row r="3256" spans="3:13" ht="12.75" customHeight="1">
      <c r="C3256"/>
      <c r="M3256"/>
    </row>
    <row r="3257" spans="3:13" ht="12.75" customHeight="1">
      <c r="C3257"/>
      <c r="M3257"/>
    </row>
    <row r="3258" spans="3:13" ht="12.75" customHeight="1">
      <c r="C3258"/>
      <c r="M3258"/>
    </row>
    <row r="3259" spans="3:13" ht="12.75" customHeight="1">
      <c r="C3259"/>
      <c r="M3259"/>
    </row>
    <row r="3260" spans="3:13" ht="12.75" customHeight="1">
      <c r="C3260"/>
      <c r="M3260"/>
    </row>
    <row r="3261" spans="3:13" ht="12.75" customHeight="1">
      <c r="C3261"/>
      <c r="M3261"/>
    </row>
    <row r="3262" spans="3:13" ht="12.75" customHeight="1">
      <c r="C3262"/>
      <c r="M3262"/>
    </row>
    <row r="3263" spans="3:13" ht="12.75" customHeight="1">
      <c r="C3263"/>
      <c r="M3263"/>
    </row>
    <row r="3264" spans="3:13" ht="12.75" customHeight="1">
      <c r="C3264"/>
      <c r="M3264"/>
    </row>
    <row r="3265" spans="3:13" ht="12.75" customHeight="1">
      <c r="C3265"/>
      <c r="M3265"/>
    </row>
    <row r="3266" spans="3:13" ht="12.75" customHeight="1">
      <c r="C3266"/>
      <c r="M3266"/>
    </row>
    <row r="3267" spans="3:13" ht="12.75" customHeight="1">
      <c r="C3267"/>
      <c r="M3267"/>
    </row>
    <row r="3268" spans="3:13" ht="12.75" customHeight="1">
      <c r="C3268"/>
      <c r="M3268"/>
    </row>
    <row r="3269" spans="3:13" ht="12.75" customHeight="1">
      <c r="C3269"/>
      <c r="M3269"/>
    </row>
    <row r="3270" spans="3:13" ht="12.75" customHeight="1">
      <c r="C3270"/>
      <c r="M3270"/>
    </row>
    <row r="3271" spans="3:13" ht="12.75" customHeight="1">
      <c r="C3271"/>
      <c r="M3271"/>
    </row>
    <row r="3272" spans="3:13" ht="12.75" customHeight="1">
      <c r="C3272"/>
      <c r="M3272"/>
    </row>
    <row r="3273" spans="3:13" ht="12.75" customHeight="1">
      <c r="C3273"/>
      <c r="M3273"/>
    </row>
    <row r="3274" spans="3:13" ht="12.75" customHeight="1">
      <c r="C3274"/>
      <c r="M3274"/>
    </row>
    <row r="3275" spans="3:13" ht="12.75" customHeight="1">
      <c r="C3275"/>
      <c r="M3275"/>
    </row>
    <row r="3276" spans="3:13" ht="12.75" customHeight="1">
      <c r="C3276"/>
      <c r="M3276"/>
    </row>
    <row r="3277" spans="3:13" ht="12.75" customHeight="1">
      <c r="C3277"/>
      <c r="M3277"/>
    </row>
    <row r="3278" spans="3:13" ht="12.75" customHeight="1">
      <c r="C3278"/>
      <c r="M3278"/>
    </row>
    <row r="3279" spans="3:13" ht="12.75" customHeight="1">
      <c r="C3279"/>
      <c r="M3279"/>
    </row>
    <row r="3280" spans="3:13" ht="12.75" customHeight="1">
      <c r="C3280"/>
      <c r="M3280"/>
    </row>
    <row r="3281" spans="3:13" ht="12.75" customHeight="1">
      <c r="C3281"/>
      <c r="M3281"/>
    </row>
    <row r="3282" spans="3:13" ht="12.75" customHeight="1">
      <c r="C3282"/>
      <c r="M3282"/>
    </row>
    <row r="3283" spans="3:13" ht="12.75" customHeight="1">
      <c r="C3283"/>
      <c r="M3283"/>
    </row>
    <row r="3284" spans="3:13" ht="12.75" customHeight="1">
      <c r="C3284"/>
      <c r="M3284"/>
    </row>
    <row r="3285" spans="3:13" ht="12.75" customHeight="1">
      <c r="C3285"/>
      <c r="M3285"/>
    </row>
    <row r="3286" spans="3:13" ht="12.75" customHeight="1">
      <c r="C3286"/>
      <c r="M3286"/>
    </row>
    <row r="3287" spans="3:13" ht="12.75" customHeight="1">
      <c r="C3287"/>
      <c r="M3287"/>
    </row>
    <row r="3288" spans="3:13" ht="12.75" customHeight="1">
      <c r="C3288"/>
      <c r="M3288"/>
    </row>
    <row r="3289" spans="3:13" ht="12.75" customHeight="1">
      <c r="C3289"/>
      <c r="M3289"/>
    </row>
    <row r="3290" spans="3:13" ht="12.75" customHeight="1">
      <c r="C3290"/>
      <c r="M3290"/>
    </row>
    <row r="3291" spans="3:13" ht="12.75" customHeight="1">
      <c r="C3291"/>
      <c r="M3291"/>
    </row>
    <row r="3292" spans="3:13" ht="12.75" customHeight="1">
      <c r="C3292"/>
      <c r="M3292"/>
    </row>
    <row r="3293" spans="3:13" ht="12.75" customHeight="1">
      <c r="C3293"/>
      <c r="M3293"/>
    </row>
    <row r="3294" spans="3:13" ht="12.75" customHeight="1">
      <c r="C3294"/>
      <c r="M3294"/>
    </row>
    <row r="3295" spans="3:13" ht="12.75" customHeight="1">
      <c r="C3295"/>
      <c r="M3295"/>
    </row>
    <row r="3296" spans="3:13" ht="12.75" customHeight="1">
      <c r="C3296"/>
      <c r="M3296"/>
    </row>
    <row r="3297" spans="3:13" ht="12.75" customHeight="1">
      <c r="C3297"/>
      <c r="M3297"/>
    </row>
    <row r="3298" spans="3:13" ht="12.75" customHeight="1">
      <c r="C3298"/>
      <c r="M3298"/>
    </row>
    <row r="3299" spans="3:13" ht="12.75" customHeight="1">
      <c r="C3299"/>
      <c r="M3299"/>
    </row>
    <row r="3300" spans="3:13" ht="12.75" customHeight="1">
      <c r="C3300"/>
      <c r="M3300"/>
    </row>
    <row r="3301" spans="3:13" ht="12.75" customHeight="1">
      <c r="C3301"/>
      <c r="M3301"/>
    </row>
    <row r="3302" spans="3:13" ht="12.75" customHeight="1">
      <c r="C3302"/>
      <c r="M3302"/>
    </row>
    <row r="3303" spans="3:13" ht="12.75" customHeight="1">
      <c r="C3303"/>
      <c r="M3303"/>
    </row>
    <row r="3304" spans="3:13" ht="12.75" customHeight="1">
      <c r="C3304"/>
      <c r="M3304"/>
    </row>
    <row r="3305" spans="3:13" ht="12.75" customHeight="1">
      <c r="C3305"/>
      <c r="M3305"/>
    </row>
    <row r="3306" spans="3:13" ht="12.75" customHeight="1">
      <c r="C3306"/>
      <c r="M3306"/>
    </row>
    <row r="3307" spans="3:13" ht="12.75" customHeight="1">
      <c r="C3307"/>
      <c r="M3307"/>
    </row>
    <row r="3308" spans="3:13" ht="12.75" customHeight="1">
      <c r="C3308"/>
      <c r="M3308"/>
    </row>
    <row r="3309" spans="3:13" ht="12.75" customHeight="1">
      <c r="C3309"/>
      <c r="M3309"/>
    </row>
    <row r="3310" spans="3:13" ht="12.75" customHeight="1">
      <c r="C3310"/>
      <c r="M3310"/>
    </row>
    <row r="3311" spans="3:13" ht="12.75" customHeight="1">
      <c r="C3311"/>
      <c r="M3311"/>
    </row>
    <row r="3312" spans="3:13" ht="12.75" customHeight="1">
      <c r="C3312"/>
      <c r="M3312"/>
    </row>
    <row r="3313" spans="3:13" ht="12.75" customHeight="1">
      <c r="C3313"/>
      <c r="M3313"/>
    </row>
    <row r="3314" spans="3:13" ht="12.75" customHeight="1">
      <c r="C3314"/>
      <c r="M3314"/>
    </row>
    <row r="3315" spans="3:13" ht="12.75" customHeight="1">
      <c r="C3315"/>
      <c r="M3315"/>
    </row>
    <row r="3316" spans="3:13" ht="12.75" customHeight="1">
      <c r="C3316"/>
      <c r="M3316"/>
    </row>
    <row r="3317" spans="3:13" ht="12.75" customHeight="1">
      <c r="C3317"/>
      <c r="M3317"/>
    </row>
    <row r="3318" spans="3:13" ht="12.75" customHeight="1">
      <c r="C3318"/>
      <c r="M3318"/>
    </row>
    <row r="3319" spans="3:13" ht="12.75" customHeight="1">
      <c r="C3319"/>
      <c r="M3319"/>
    </row>
    <row r="3320" spans="3:13" ht="12.75" customHeight="1">
      <c r="C3320"/>
      <c r="M3320"/>
    </row>
    <row r="3321" spans="3:13" ht="12.75" customHeight="1">
      <c r="C3321"/>
      <c r="M3321"/>
    </row>
    <row r="3322" spans="3:13" ht="12.75" customHeight="1">
      <c r="C3322"/>
      <c r="M3322"/>
    </row>
    <row r="3323" spans="3:13" ht="12.75" customHeight="1">
      <c r="C3323"/>
      <c r="M3323"/>
    </row>
    <row r="3324" spans="3:13" ht="12.75" customHeight="1">
      <c r="C3324"/>
      <c r="M3324"/>
    </row>
    <row r="3325" spans="3:13" ht="12.75" customHeight="1">
      <c r="C3325"/>
      <c r="M3325"/>
    </row>
    <row r="3326" spans="3:13" ht="12.75" customHeight="1">
      <c r="C3326"/>
      <c r="M3326"/>
    </row>
    <row r="3327" spans="3:13" ht="12.75" customHeight="1">
      <c r="C3327"/>
      <c r="M3327"/>
    </row>
    <row r="3328" spans="3:13" ht="12.75" customHeight="1">
      <c r="C3328"/>
      <c r="M3328"/>
    </row>
    <row r="3329" spans="3:13" ht="12.75" customHeight="1">
      <c r="C3329"/>
      <c r="M3329"/>
    </row>
    <row r="3330" spans="3:13" ht="12.75" customHeight="1">
      <c r="C3330"/>
      <c r="M3330"/>
    </row>
    <row r="3331" spans="3:13" ht="12.75" customHeight="1">
      <c r="C3331"/>
      <c r="M3331"/>
    </row>
    <row r="3332" spans="3:13" ht="12.75" customHeight="1">
      <c r="C3332"/>
      <c r="M3332"/>
    </row>
    <row r="3333" spans="3:13" ht="12.75" customHeight="1">
      <c r="C3333"/>
      <c r="M3333"/>
    </row>
    <row r="3334" spans="3:13" ht="12.75" customHeight="1">
      <c r="C3334"/>
      <c r="M3334"/>
    </row>
    <row r="3335" spans="3:13" ht="12.75" customHeight="1">
      <c r="C3335"/>
      <c r="M3335"/>
    </row>
    <row r="3336" spans="3:13" ht="12.75" customHeight="1">
      <c r="C3336"/>
      <c r="M3336"/>
    </row>
    <row r="3337" spans="3:13" ht="12.75" customHeight="1">
      <c r="C3337"/>
      <c r="M3337"/>
    </row>
    <row r="3338" spans="3:13" ht="12.75" customHeight="1">
      <c r="C3338"/>
      <c r="M3338"/>
    </row>
    <row r="3339" spans="3:13" ht="12.75" customHeight="1">
      <c r="C3339"/>
      <c r="M3339"/>
    </row>
    <row r="3340" spans="3:13" ht="12.75" customHeight="1">
      <c r="C3340"/>
      <c r="M3340"/>
    </row>
    <row r="3341" spans="3:13" ht="12.75" customHeight="1">
      <c r="C3341"/>
      <c r="M3341"/>
    </row>
    <row r="3342" spans="3:13" ht="12.75" customHeight="1">
      <c r="C3342"/>
      <c r="M3342"/>
    </row>
    <row r="3343" spans="3:13" ht="12.75" customHeight="1">
      <c r="C3343"/>
      <c r="M3343"/>
    </row>
    <row r="3344" spans="3:13" ht="12.75" customHeight="1">
      <c r="C3344"/>
      <c r="M3344"/>
    </row>
    <row r="3345" spans="3:13" ht="12.75" customHeight="1">
      <c r="C3345"/>
      <c r="M3345"/>
    </row>
    <row r="3346" spans="3:13" ht="12.75" customHeight="1">
      <c r="C3346"/>
      <c r="M3346"/>
    </row>
    <row r="3347" spans="3:13" ht="12.75" customHeight="1">
      <c r="C3347"/>
      <c r="M3347"/>
    </row>
    <row r="3348" spans="3:13" ht="12.75" customHeight="1">
      <c r="C3348"/>
      <c r="M3348"/>
    </row>
    <row r="3349" spans="3:13" ht="12.75" customHeight="1">
      <c r="C3349"/>
      <c r="M3349"/>
    </row>
    <row r="3350" spans="3:13" ht="12.75" customHeight="1">
      <c r="C3350"/>
      <c r="M3350"/>
    </row>
    <row r="3351" spans="3:13" ht="12.75" customHeight="1">
      <c r="C3351"/>
      <c r="M3351"/>
    </row>
    <row r="3352" spans="3:13" ht="12.75" customHeight="1">
      <c r="C3352"/>
      <c r="M3352"/>
    </row>
    <row r="3353" spans="3:13" ht="12.75" customHeight="1">
      <c r="C3353"/>
      <c r="M3353"/>
    </row>
    <row r="3354" spans="3:13" ht="12.75" customHeight="1">
      <c r="C3354"/>
      <c r="M3354"/>
    </row>
    <row r="3355" spans="3:13" ht="12.75" customHeight="1">
      <c r="C3355"/>
      <c r="M3355"/>
    </row>
    <row r="3356" spans="3:13" ht="12.75" customHeight="1">
      <c r="C3356"/>
      <c r="M3356"/>
    </row>
    <row r="3357" spans="3:13" ht="12.75" customHeight="1">
      <c r="C3357"/>
      <c r="M3357"/>
    </row>
    <row r="3358" spans="3:13" ht="12.75" customHeight="1">
      <c r="C3358"/>
      <c r="M3358"/>
    </row>
    <row r="3359" spans="3:13" ht="12.75" customHeight="1">
      <c r="C3359"/>
      <c r="M3359"/>
    </row>
    <row r="3360" spans="3:13" ht="12.75" customHeight="1">
      <c r="C3360"/>
      <c r="M3360"/>
    </row>
    <row r="3361" spans="3:13" ht="12.75" customHeight="1">
      <c r="C3361"/>
      <c r="M3361"/>
    </row>
    <row r="3362" spans="3:13" ht="12.75" customHeight="1">
      <c r="C3362"/>
      <c r="M3362"/>
    </row>
    <row r="3363" spans="3:13" ht="12.75" customHeight="1">
      <c r="C3363"/>
      <c r="M3363"/>
    </row>
    <row r="3364" spans="3:13" ht="12.75" customHeight="1">
      <c r="C3364"/>
      <c r="M3364"/>
    </row>
    <row r="3365" spans="3:13" ht="12.75" customHeight="1">
      <c r="C3365"/>
      <c r="M3365"/>
    </row>
    <row r="3366" spans="3:13" ht="12.75" customHeight="1">
      <c r="C3366"/>
      <c r="M3366"/>
    </row>
    <row r="3367" spans="3:13" ht="12.75" customHeight="1">
      <c r="C3367"/>
      <c r="M3367"/>
    </row>
    <row r="3368" spans="3:13" ht="12.75" customHeight="1">
      <c r="C3368"/>
      <c r="M3368"/>
    </row>
    <row r="3369" spans="3:13" ht="12.75" customHeight="1">
      <c r="C3369"/>
      <c r="M3369"/>
    </row>
    <row r="3370" spans="3:13" ht="12.75" customHeight="1">
      <c r="C3370"/>
      <c r="M3370"/>
    </row>
    <row r="3371" spans="3:13" ht="12.75" customHeight="1">
      <c r="C3371"/>
      <c r="M3371"/>
    </row>
    <row r="3372" spans="3:13" ht="12.75" customHeight="1">
      <c r="C3372"/>
      <c r="M3372"/>
    </row>
    <row r="3373" spans="3:13" ht="12.75" customHeight="1">
      <c r="C3373"/>
      <c r="M3373"/>
    </row>
    <row r="3374" spans="3:13" ht="12.75" customHeight="1">
      <c r="C3374"/>
      <c r="M3374"/>
    </row>
    <row r="3375" spans="3:13" ht="12.75" customHeight="1">
      <c r="C3375"/>
      <c r="M3375"/>
    </row>
    <row r="3376" spans="3:13" ht="12.75" customHeight="1">
      <c r="C3376"/>
      <c r="M3376"/>
    </row>
    <row r="3377" spans="3:13" ht="12.75" customHeight="1">
      <c r="C3377"/>
      <c r="M3377"/>
    </row>
    <row r="3378" spans="3:13" ht="12.75" customHeight="1">
      <c r="C3378"/>
      <c r="M3378"/>
    </row>
    <row r="3379" spans="3:13" ht="12.75" customHeight="1">
      <c r="C3379"/>
      <c r="M3379"/>
    </row>
    <row r="3380" spans="3:13" ht="12.75" customHeight="1">
      <c r="C3380"/>
      <c r="M3380"/>
    </row>
    <row r="3381" spans="3:13" ht="12.75" customHeight="1">
      <c r="C3381"/>
      <c r="M3381"/>
    </row>
    <row r="3382" spans="3:13" ht="12.75" customHeight="1">
      <c r="C3382"/>
      <c r="M3382"/>
    </row>
    <row r="3383" spans="3:13" ht="12.75" customHeight="1">
      <c r="C3383"/>
      <c r="M3383"/>
    </row>
    <row r="3384" spans="3:13" ht="12.75" customHeight="1">
      <c r="C3384"/>
      <c r="M3384"/>
    </row>
    <row r="3385" spans="3:13" ht="12.75" customHeight="1">
      <c r="C3385"/>
      <c r="M3385"/>
    </row>
    <row r="3386" spans="3:13" ht="12.75" customHeight="1">
      <c r="C3386"/>
      <c r="M3386"/>
    </row>
    <row r="3387" spans="3:13" ht="12.75" customHeight="1">
      <c r="C3387"/>
      <c r="M3387"/>
    </row>
    <row r="3388" spans="3:13" ht="12.75" customHeight="1">
      <c r="C3388"/>
      <c r="M3388"/>
    </row>
    <row r="3389" spans="3:13" ht="12.75" customHeight="1">
      <c r="C3389"/>
      <c r="M3389"/>
    </row>
    <row r="3390" spans="3:13" ht="12.75" customHeight="1">
      <c r="C3390"/>
      <c r="M3390"/>
    </row>
    <row r="3391" spans="3:13" ht="12.75" customHeight="1">
      <c r="C3391"/>
      <c r="M3391"/>
    </row>
    <row r="3392" spans="3:13" ht="12.75" customHeight="1">
      <c r="C3392"/>
      <c r="M3392"/>
    </row>
    <row r="3393" spans="3:13" ht="12.75" customHeight="1">
      <c r="C3393"/>
      <c r="M3393"/>
    </row>
    <row r="3394" spans="3:13" ht="12.75" customHeight="1">
      <c r="C3394"/>
      <c r="M3394"/>
    </row>
    <row r="3395" spans="3:13" ht="12.75" customHeight="1">
      <c r="C3395"/>
      <c r="M3395"/>
    </row>
    <row r="3396" spans="3:13" ht="12.75" customHeight="1">
      <c r="C3396"/>
      <c r="M3396"/>
    </row>
    <row r="3397" spans="3:13" ht="12.75" customHeight="1">
      <c r="C3397"/>
      <c r="M3397"/>
    </row>
    <row r="3398" spans="3:13" ht="12.75" customHeight="1">
      <c r="C3398"/>
      <c r="M3398"/>
    </row>
    <row r="3399" spans="3:13" ht="12.75" customHeight="1">
      <c r="C3399"/>
      <c r="M3399"/>
    </row>
    <row r="3400" spans="3:13" ht="12.75" customHeight="1">
      <c r="C3400"/>
      <c r="M3400"/>
    </row>
    <row r="3401" spans="3:13" ht="12.75" customHeight="1">
      <c r="C3401"/>
      <c r="M3401"/>
    </row>
    <row r="3402" spans="3:13" ht="12.75" customHeight="1">
      <c r="C3402"/>
      <c r="M3402"/>
    </row>
    <row r="3403" spans="3:13" ht="12.75" customHeight="1">
      <c r="C3403"/>
      <c r="M3403"/>
    </row>
    <row r="3404" spans="3:13" ht="12.75" customHeight="1">
      <c r="C3404"/>
      <c r="M3404"/>
    </row>
    <row r="3405" spans="3:13" ht="12.75" customHeight="1">
      <c r="C3405"/>
      <c r="M3405"/>
    </row>
    <row r="3406" spans="3:13" ht="12.75" customHeight="1">
      <c r="C3406"/>
      <c r="M3406"/>
    </row>
    <row r="3407" spans="3:13" ht="12.75" customHeight="1">
      <c r="C3407"/>
      <c r="M3407"/>
    </row>
    <row r="3408" spans="3:13" ht="12.75" customHeight="1">
      <c r="C3408"/>
      <c r="M3408"/>
    </row>
    <row r="3409" spans="3:13" ht="12.75" customHeight="1">
      <c r="C3409"/>
      <c r="M3409"/>
    </row>
    <row r="3410" spans="3:13" ht="12.75" customHeight="1">
      <c r="C3410"/>
      <c r="M3410"/>
    </row>
    <row r="3411" spans="3:13" ht="12.75" customHeight="1">
      <c r="C3411"/>
      <c r="M3411"/>
    </row>
    <row r="3412" spans="3:13" ht="12.75" customHeight="1">
      <c r="C3412"/>
      <c r="M3412"/>
    </row>
    <row r="3413" spans="3:13" ht="12.75" customHeight="1">
      <c r="C3413"/>
      <c r="M3413"/>
    </row>
    <row r="3414" spans="3:13" ht="12.75" customHeight="1">
      <c r="C3414"/>
      <c r="M3414"/>
    </row>
    <row r="3415" spans="3:13" ht="12.75" customHeight="1">
      <c r="C3415"/>
      <c r="M3415"/>
    </row>
    <row r="3416" spans="3:13" ht="12.75" customHeight="1">
      <c r="C3416"/>
      <c r="M3416"/>
    </row>
    <row r="3417" spans="3:13" ht="12.75" customHeight="1">
      <c r="C3417"/>
      <c r="M3417"/>
    </row>
    <row r="3418" spans="3:13" ht="12.75" customHeight="1">
      <c r="C3418"/>
      <c r="M3418"/>
    </row>
    <row r="3419" spans="3:13" ht="12.75" customHeight="1">
      <c r="C3419"/>
      <c r="M3419"/>
    </row>
    <row r="3420" spans="3:13" ht="12.75" customHeight="1">
      <c r="C3420"/>
      <c r="M3420"/>
    </row>
    <row r="3421" spans="3:13" ht="12.75" customHeight="1">
      <c r="C3421"/>
      <c r="M3421"/>
    </row>
    <row r="3422" spans="3:13" ht="12.75" customHeight="1">
      <c r="C3422"/>
      <c r="M3422"/>
    </row>
    <row r="3423" spans="3:13" ht="12.75" customHeight="1">
      <c r="C3423"/>
      <c r="M3423"/>
    </row>
    <row r="3424" spans="3:13" ht="12.75" customHeight="1">
      <c r="C3424"/>
      <c r="M3424"/>
    </row>
    <row r="3425" spans="3:13" ht="12.75" customHeight="1">
      <c r="C3425"/>
      <c r="M3425"/>
    </row>
    <row r="3426" spans="3:13" ht="12.75" customHeight="1">
      <c r="C3426"/>
      <c r="M3426"/>
    </row>
    <row r="3427" spans="3:13" ht="12.75" customHeight="1">
      <c r="C3427"/>
      <c r="M3427"/>
    </row>
    <row r="3428" spans="3:13" ht="12.75" customHeight="1">
      <c r="C3428"/>
      <c r="M3428"/>
    </row>
    <row r="3429" spans="3:13" ht="12.75" customHeight="1">
      <c r="C3429"/>
      <c r="M3429"/>
    </row>
    <row r="3430" spans="3:13" ht="12.75" customHeight="1">
      <c r="C3430"/>
      <c r="M3430"/>
    </row>
    <row r="3431" spans="3:13" ht="12.75" customHeight="1">
      <c r="C3431"/>
      <c r="M3431"/>
    </row>
    <row r="3432" spans="3:13" ht="12.75" customHeight="1">
      <c r="C3432"/>
      <c r="M3432"/>
    </row>
    <row r="3433" spans="3:13" ht="12.75" customHeight="1">
      <c r="C3433"/>
      <c r="M3433"/>
    </row>
    <row r="3434" spans="3:13" ht="12.75" customHeight="1">
      <c r="C3434"/>
      <c r="M3434"/>
    </row>
    <row r="3435" spans="3:13" ht="12.75" customHeight="1">
      <c r="C3435"/>
      <c r="M3435"/>
    </row>
    <row r="3436" spans="3:13" ht="12.75" customHeight="1">
      <c r="C3436"/>
      <c r="M3436"/>
    </row>
    <row r="3437" spans="3:13" ht="12.75" customHeight="1">
      <c r="C3437"/>
      <c r="M3437"/>
    </row>
    <row r="3438" spans="3:13" ht="12.75" customHeight="1">
      <c r="C3438"/>
      <c r="M3438"/>
    </row>
    <row r="3439" spans="3:13" ht="12.75" customHeight="1">
      <c r="C3439"/>
      <c r="M3439"/>
    </row>
    <row r="3440" spans="3:13" ht="12.75" customHeight="1">
      <c r="C3440"/>
      <c r="M3440"/>
    </row>
    <row r="3441" spans="3:13" ht="12.75" customHeight="1">
      <c r="C3441"/>
      <c r="M3441"/>
    </row>
    <row r="3442" spans="3:13" ht="12.75" customHeight="1">
      <c r="C3442"/>
      <c r="M3442"/>
    </row>
    <row r="3443" spans="3:13" ht="12.75" customHeight="1">
      <c r="C3443"/>
      <c r="M3443"/>
    </row>
    <row r="3444" spans="3:13" ht="12.75" customHeight="1">
      <c r="C3444"/>
      <c r="M3444"/>
    </row>
    <row r="3445" spans="3:13" ht="12.75" customHeight="1">
      <c r="C3445"/>
      <c r="M3445"/>
    </row>
    <row r="3446" spans="3:13" ht="12.75" customHeight="1">
      <c r="C3446"/>
      <c r="M3446"/>
    </row>
    <row r="3447" spans="3:13" ht="12.75" customHeight="1">
      <c r="C3447"/>
      <c r="M3447"/>
    </row>
    <row r="3448" spans="3:13" ht="12.75" customHeight="1">
      <c r="C3448"/>
      <c r="M3448"/>
    </row>
    <row r="3449" spans="3:13" ht="12.75" customHeight="1">
      <c r="C3449"/>
      <c r="M3449"/>
    </row>
    <row r="3450" spans="3:13" ht="12.75" customHeight="1">
      <c r="C3450"/>
      <c r="M3450"/>
    </row>
    <row r="3451" spans="3:13" ht="12.75" customHeight="1">
      <c r="C3451"/>
      <c r="M3451"/>
    </row>
    <row r="3452" spans="3:13" ht="12.75" customHeight="1">
      <c r="C3452"/>
      <c r="M3452"/>
    </row>
    <row r="3453" spans="3:13" ht="12.75" customHeight="1">
      <c r="C3453"/>
      <c r="M3453"/>
    </row>
    <row r="3454" spans="3:13" ht="12.75" customHeight="1">
      <c r="C3454"/>
      <c r="M3454"/>
    </row>
    <row r="3455" spans="3:13" ht="12.75" customHeight="1">
      <c r="C3455"/>
      <c r="M3455"/>
    </row>
    <row r="3456" spans="3:13" ht="12.75" customHeight="1">
      <c r="C3456"/>
      <c r="M3456"/>
    </row>
    <row r="3457" spans="3:13" ht="12.75" customHeight="1">
      <c r="C3457"/>
      <c r="M3457"/>
    </row>
    <row r="3458" spans="3:13" ht="12.75" customHeight="1">
      <c r="C3458"/>
      <c r="M3458"/>
    </row>
    <row r="3459" spans="3:13" ht="12.75" customHeight="1">
      <c r="C3459"/>
      <c r="M3459"/>
    </row>
    <row r="3460" spans="3:13" ht="12.75" customHeight="1">
      <c r="C3460"/>
      <c r="M3460"/>
    </row>
    <row r="3461" spans="3:13" ht="12.75" customHeight="1">
      <c r="C3461"/>
      <c r="M3461"/>
    </row>
    <row r="3462" spans="3:13" ht="12.75" customHeight="1">
      <c r="C3462"/>
      <c r="M3462"/>
    </row>
    <row r="3463" spans="3:13" ht="12.75" customHeight="1">
      <c r="C3463"/>
      <c r="M3463"/>
    </row>
    <row r="3464" spans="3:13" ht="12.75" customHeight="1">
      <c r="C3464"/>
      <c r="M3464"/>
    </row>
    <row r="3465" spans="3:13" ht="12.75" customHeight="1">
      <c r="C3465"/>
      <c r="M3465"/>
    </row>
    <row r="3466" spans="3:13" ht="12.75" customHeight="1">
      <c r="C3466"/>
      <c r="M3466"/>
    </row>
    <row r="3467" spans="3:13" ht="12.75" customHeight="1">
      <c r="C3467"/>
      <c r="M3467"/>
    </row>
    <row r="3468" spans="3:13" ht="12.75" customHeight="1">
      <c r="C3468"/>
      <c r="M3468"/>
    </row>
    <row r="3469" spans="3:13" ht="12.75" customHeight="1">
      <c r="C3469"/>
      <c r="M3469"/>
    </row>
    <row r="3470" spans="3:13" ht="12.75" customHeight="1">
      <c r="C3470"/>
      <c r="M3470"/>
    </row>
    <row r="3471" spans="3:13" ht="12.75" customHeight="1">
      <c r="C3471"/>
      <c r="M3471"/>
    </row>
    <row r="3472" spans="3:13" ht="12.75" customHeight="1">
      <c r="C3472"/>
      <c r="M3472"/>
    </row>
    <row r="3473" spans="3:13" ht="12.75" customHeight="1">
      <c r="C3473"/>
      <c r="M3473"/>
    </row>
    <row r="3474" spans="3:13" ht="12.75" customHeight="1">
      <c r="C3474"/>
      <c r="M3474"/>
    </row>
    <row r="3475" spans="3:13" ht="12.75" customHeight="1">
      <c r="C3475"/>
      <c r="M3475"/>
    </row>
    <row r="3476" spans="3:13" ht="12.75" customHeight="1">
      <c r="C3476"/>
      <c r="M3476"/>
    </row>
    <row r="3477" spans="3:13" ht="12.75" customHeight="1">
      <c r="C3477"/>
      <c r="M3477"/>
    </row>
    <row r="3478" spans="3:13" ht="12.75" customHeight="1">
      <c r="C3478"/>
      <c r="M3478"/>
    </row>
    <row r="3479" spans="3:13" ht="12.75" customHeight="1">
      <c r="C3479"/>
      <c r="M3479"/>
    </row>
    <row r="3480" spans="3:13" ht="12.75" customHeight="1">
      <c r="C3480"/>
      <c r="M3480"/>
    </row>
    <row r="3481" spans="3:13" ht="12.75" customHeight="1">
      <c r="C3481"/>
      <c r="M3481"/>
    </row>
    <row r="3482" spans="3:13" ht="12.75" customHeight="1">
      <c r="C3482"/>
      <c r="M3482"/>
    </row>
    <row r="3483" spans="3:13" ht="12.75" customHeight="1">
      <c r="C3483"/>
      <c r="M3483"/>
    </row>
    <row r="3484" spans="3:13" ht="12.75" customHeight="1">
      <c r="C3484"/>
      <c r="M3484"/>
    </row>
    <row r="3485" spans="3:13" ht="12.75" customHeight="1">
      <c r="C3485"/>
      <c r="M3485"/>
    </row>
    <row r="3486" spans="3:13" ht="12.75" customHeight="1">
      <c r="C3486"/>
      <c r="M3486"/>
    </row>
    <row r="3487" spans="3:13" ht="12.75" customHeight="1">
      <c r="C3487"/>
      <c r="M3487"/>
    </row>
    <row r="3488" spans="3:13" ht="12.75" customHeight="1">
      <c r="C3488"/>
      <c r="M3488"/>
    </row>
    <row r="3489" spans="3:13" ht="12.75" customHeight="1">
      <c r="C3489"/>
      <c r="M3489"/>
    </row>
    <row r="3490" spans="3:13" ht="12.75" customHeight="1">
      <c r="C3490"/>
      <c r="M3490"/>
    </row>
    <row r="3491" spans="3:13" ht="12.75" customHeight="1">
      <c r="C3491"/>
      <c r="M3491"/>
    </row>
    <row r="3492" spans="3:13" ht="12.75" customHeight="1">
      <c r="C3492"/>
      <c r="M3492"/>
    </row>
    <row r="3493" spans="3:13" ht="12.75" customHeight="1">
      <c r="C3493"/>
      <c r="M3493"/>
    </row>
    <row r="3494" spans="3:13" ht="12.75" customHeight="1">
      <c r="C3494"/>
      <c r="M3494"/>
    </row>
    <row r="3495" spans="3:13" ht="12.75" customHeight="1">
      <c r="C3495"/>
      <c r="M3495"/>
    </row>
    <row r="3496" spans="3:13" ht="12.75" customHeight="1">
      <c r="C3496"/>
      <c r="M3496"/>
    </row>
    <row r="3497" spans="3:13" ht="12.75" customHeight="1">
      <c r="C3497"/>
      <c r="M3497"/>
    </row>
    <row r="3498" spans="3:13" ht="12.75" customHeight="1">
      <c r="C3498"/>
      <c r="M3498"/>
    </row>
    <row r="3499" spans="3:13" ht="12.75" customHeight="1">
      <c r="C3499"/>
      <c r="M3499"/>
    </row>
    <row r="3500" spans="3:13" ht="12.75" customHeight="1">
      <c r="C3500"/>
      <c r="M3500"/>
    </row>
    <row r="3501" spans="3:13" ht="12.75" customHeight="1">
      <c r="C3501"/>
      <c r="M3501"/>
    </row>
    <row r="3502" spans="3:13" ht="12.75" customHeight="1">
      <c r="C3502"/>
      <c r="M3502"/>
    </row>
    <row r="3503" spans="3:13" ht="12.75" customHeight="1">
      <c r="C3503"/>
      <c r="M3503"/>
    </row>
    <row r="3504" spans="3:13" ht="12.75" customHeight="1">
      <c r="C3504"/>
      <c r="M3504"/>
    </row>
    <row r="3505" spans="3:13" ht="12.75" customHeight="1">
      <c r="C3505"/>
      <c r="M3505"/>
    </row>
    <row r="3506" spans="3:13" ht="12.75" customHeight="1">
      <c r="C3506"/>
      <c r="M3506"/>
    </row>
    <row r="3507" spans="3:13" ht="12.75" customHeight="1">
      <c r="C3507"/>
      <c r="M3507"/>
    </row>
    <row r="3508" spans="3:13" ht="12.75" customHeight="1">
      <c r="C3508"/>
      <c r="M3508"/>
    </row>
    <row r="3509" spans="3:13" ht="12.75" customHeight="1">
      <c r="C3509"/>
      <c r="M3509"/>
    </row>
    <row r="3510" spans="3:13" ht="12.75" customHeight="1">
      <c r="C3510"/>
      <c r="M3510"/>
    </row>
    <row r="3511" spans="3:13" ht="12.75" customHeight="1">
      <c r="C3511"/>
      <c r="M3511"/>
    </row>
    <row r="3512" spans="3:13" ht="12.75" customHeight="1">
      <c r="C3512"/>
      <c r="M3512"/>
    </row>
    <row r="3513" spans="3:13" ht="12.75" customHeight="1">
      <c r="C3513"/>
      <c r="M3513"/>
    </row>
    <row r="3514" spans="3:13" ht="12.75" customHeight="1">
      <c r="C3514"/>
      <c r="M3514"/>
    </row>
    <row r="3515" spans="3:13" ht="12.75" customHeight="1">
      <c r="C3515"/>
      <c r="M3515"/>
    </row>
    <row r="3516" spans="3:13" ht="12.75" customHeight="1">
      <c r="C3516"/>
      <c r="M3516"/>
    </row>
    <row r="3517" spans="3:13" ht="12.75" customHeight="1">
      <c r="C3517"/>
      <c r="M3517"/>
    </row>
    <row r="3518" spans="3:13" ht="12.75" customHeight="1">
      <c r="C3518"/>
      <c r="M3518"/>
    </row>
    <row r="3519" spans="3:13" ht="12.75" customHeight="1">
      <c r="C3519"/>
      <c r="M3519"/>
    </row>
    <row r="3520" spans="3:13" ht="12.75" customHeight="1">
      <c r="C3520"/>
      <c r="M3520"/>
    </row>
    <row r="3521" spans="3:13" ht="12.75" customHeight="1">
      <c r="C3521"/>
      <c r="M3521"/>
    </row>
    <row r="3522" spans="3:13" ht="12.75" customHeight="1">
      <c r="C3522"/>
      <c r="M3522"/>
    </row>
    <row r="3523" spans="3:13" ht="12.75" customHeight="1">
      <c r="C3523"/>
      <c r="M3523"/>
    </row>
    <row r="3524" spans="3:13" ht="12.75" customHeight="1">
      <c r="C3524"/>
      <c r="M3524"/>
    </row>
    <row r="3525" spans="3:13" ht="12.75" customHeight="1">
      <c r="C3525"/>
      <c r="M3525"/>
    </row>
    <row r="3526" spans="3:13" ht="12.75" customHeight="1">
      <c r="C3526"/>
      <c r="M3526"/>
    </row>
    <row r="3527" spans="3:13" ht="12.75" customHeight="1">
      <c r="C3527"/>
      <c r="M3527"/>
    </row>
    <row r="3528" spans="3:13" ht="12.75" customHeight="1">
      <c r="C3528"/>
      <c r="M3528"/>
    </row>
    <row r="3529" spans="3:13" ht="12.75" customHeight="1">
      <c r="C3529"/>
      <c r="M3529"/>
    </row>
    <row r="3530" spans="3:13" ht="12.75" customHeight="1">
      <c r="C3530"/>
      <c r="M3530"/>
    </row>
    <row r="3531" spans="3:13" ht="12.75" customHeight="1">
      <c r="C3531"/>
      <c r="M3531"/>
    </row>
    <row r="3532" spans="3:13" ht="12.75" customHeight="1">
      <c r="C3532"/>
      <c r="M3532"/>
    </row>
    <row r="3533" spans="3:13" ht="12.75" customHeight="1">
      <c r="C3533"/>
      <c r="M3533"/>
    </row>
    <row r="3534" spans="3:13" ht="12.75" customHeight="1">
      <c r="C3534"/>
      <c r="M3534"/>
    </row>
    <row r="3535" spans="3:13" ht="12.75" customHeight="1">
      <c r="C3535"/>
      <c r="M3535"/>
    </row>
    <row r="3536" spans="3:13" ht="12.75" customHeight="1">
      <c r="C3536"/>
      <c r="M3536"/>
    </row>
    <row r="3537" spans="3:13" ht="12.75" customHeight="1">
      <c r="C3537"/>
      <c r="M3537"/>
    </row>
    <row r="3538" spans="3:13" ht="12.75" customHeight="1">
      <c r="C3538"/>
      <c r="M3538"/>
    </row>
    <row r="3539" spans="3:13" ht="12.75" customHeight="1">
      <c r="C3539"/>
      <c r="M3539"/>
    </row>
    <row r="3540" spans="3:13" ht="12.75" customHeight="1">
      <c r="C3540"/>
      <c r="M3540"/>
    </row>
    <row r="3541" spans="3:13" ht="12.75" customHeight="1">
      <c r="C3541"/>
      <c r="M3541"/>
    </row>
    <row r="3542" spans="3:13" ht="12.75" customHeight="1">
      <c r="C3542"/>
      <c r="M3542"/>
    </row>
    <row r="3543" spans="3:13" ht="12.75" customHeight="1">
      <c r="C3543"/>
      <c r="M3543"/>
    </row>
    <row r="3544" spans="3:13" ht="12.75" customHeight="1">
      <c r="C3544"/>
      <c r="M3544"/>
    </row>
    <row r="3545" spans="3:13" ht="12.75" customHeight="1">
      <c r="C3545"/>
      <c r="M3545"/>
    </row>
    <row r="3546" spans="3:13" ht="12.75" customHeight="1">
      <c r="C3546"/>
      <c r="M3546"/>
    </row>
    <row r="3547" spans="3:13" ht="12.75" customHeight="1">
      <c r="C3547"/>
      <c r="M3547"/>
    </row>
    <row r="3548" spans="3:13" ht="12.75" customHeight="1">
      <c r="C3548"/>
      <c r="M3548"/>
    </row>
    <row r="3549" spans="3:13" ht="12.75" customHeight="1">
      <c r="C3549"/>
      <c r="M3549"/>
    </row>
    <row r="3550" spans="3:13" ht="12.75" customHeight="1">
      <c r="C3550"/>
      <c r="M3550"/>
    </row>
    <row r="3551" spans="3:13" ht="12.75" customHeight="1">
      <c r="C3551"/>
      <c r="M3551"/>
    </row>
    <row r="3552" spans="3:13" ht="12.75" customHeight="1">
      <c r="C3552"/>
      <c r="M3552"/>
    </row>
    <row r="3553" spans="3:13" ht="12.75" customHeight="1">
      <c r="C3553"/>
      <c r="M3553"/>
    </row>
    <row r="3554" spans="3:13" ht="12.75" customHeight="1">
      <c r="C3554"/>
      <c r="M3554"/>
    </row>
    <row r="3555" spans="3:13" ht="12.75" customHeight="1">
      <c r="C3555"/>
      <c r="M3555"/>
    </row>
    <row r="3556" spans="3:13" ht="12.75" customHeight="1">
      <c r="C3556"/>
      <c r="M3556"/>
    </row>
    <row r="3557" spans="3:13" ht="12.75" customHeight="1">
      <c r="C3557"/>
      <c r="M3557"/>
    </row>
    <row r="3558" spans="3:13" ht="12.75" customHeight="1">
      <c r="C3558"/>
      <c r="M3558"/>
    </row>
    <row r="3559" spans="3:13" ht="12.75" customHeight="1">
      <c r="C3559"/>
      <c r="M3559"/>
    </row>
    <row r="3560" spans="3:13" ht="12.75" customHeight="1">
      <c r="C3560"/>
      <c r="M3560"/>
    </row>
    <row r="3561" spans="3:13" ht="12.75" customHeight="1">
      <c r="C3561"/>
      <c r="M3561"/>
    </row>
    <row r="3562" spans="3:13" ht="12.75" customHeight="1">
      <c r="C3562"/>
      <c r="M3562"/>
    </row>
    <row r="3563" spans="3:13" ht="12.75" customHeight="1">
      <c r="C3563"/>
      <c r="M3563"/>
    </row>
    <row r="3564" spans="3:13" ht="12.75" customHeight="1">
      <c r="C3564"/>
      <c r="M3564"/>
    </row>
    <row r="3565" spans="3:13" ht="12.75" customHeight="1">
      <c r="C3565"/>
      <c r="M3565"/>
    </row>
    <row r="3566" spans="3:13" ht="12.75" customHeight="1">
      <c r="C3566"/>
      <c r="M3566"/>
    </row>
    <row r="3567" spans="3:13" ht="12.75" customHeight="1">
      <c r="C3567"/>
      <c r="M3567"/>
    </row>
    <row r="3568" spans="3:13" ht="12.75" customHeight="1">
      <c r="C3568"/>
      <c r="M3568"/>
    </row>
    <row r="3569" spans="3:13" ht="12.75" customHeight="1">
      <c r="C3569"/>
      <c r="M3569"/>
    </row>
    <row r="3570" spans="3:13" ht="12.75" customHeight="1">
      <c r="C3570"/>
      <c r="M3570"/>
    </row>
    <row r="3571" spans="3:13" ht="12.75" customHeight="1">
      <c r="C3571"/>
      <c r="M3571"/>
    </row>
    <row r="3572" spans="3:13" ht="12.75" customHeight="1">
      <c r="C3572"/>
      <c r="M3572"/>
    </row>
    <row r="3573" spans="3:13" ht="12.75" customHeight="1">
      <c r="C3573"/>
      <c r="M3573"/>
    </row>
    <row r="3574" spans="3:13" ht="12.75" customHeight="1">
      <c r="C3574"/>
      <c r="M3574"/>
    </row>
    <row r="3575" spans="3:13" ht="12.75" customHeight="1">
      <c r="C3575"/>
      <c r="M3575"/>
    </row>
    <row r="3576" spans="3:13" ht="12.75" customHeight="1">
      <c r="C3576"/>
      <c r="M3576"/>
    </row>
    <row r="3577" spans="3:13" ht="12.75" customHeight="1">
      <c r="C3577"/>
      <c r="M3577"/>
    </row>
    <row r="3578" spans="3:13" ht="12.75" customHeight="1">
      <c r="C3578"/>
      <c r="M3578"/>
    </row>
    <row r="3579" spans="3:13" ht="12.75" customHeight="1">
      <c r="C3579"/>
      <c r="M3579"/>
    </row>
    <row r="3580" spans="3:13" ht="12.75" customHeight="1">
      <c r="C3580"/>
      <c r="M3580"/>
    </row>
    <row r="3581" spans="3:13" ht="12.75" customHeight="1">
      <c r="C3581"/>
      <c r="M3581"/>
    </row>
    <row r="3582" spans="3:13" ht="12.75" customHeight="1">
      <c r="C3582"/>
      <c r="M3582"/>
    </row>
    <row r="3583" spans="3:13" ht="12.75" customHeight="1">
      <c r="C3583"/>
      <c r="M3583"/>
    </row>
    <row r="3584" spans="3:13" ht="12.75" customHeight="1">
      <c r="C3584"/>
      <c r="M3584"/>
    </row>
    <row r="3585" spans="3:13" ht="12.75" customHeight="1">
      <c r="C3585"/>
      <c r="M3585"/>
    </row>
    <row r="3586" spans="3:13" ht="12.75" customHeight="1">
      <c r="C3586"/>
      <c r="M3586"/>
    </row>
    <row r="3587" spans="3:13" ht="12.75" customHeight="1">
      <c r="C3587"/>
      <c r="M3587"/>
    </row>
    <row r="3588" spans="3:13" ht="12.75" customHeight="1">
      <c r="C3588"/>
      <c r="M3588"/>
    </row>
    <row r="3589" spans="3:13" ht="12.75" customHeight="1">
      <c r="C3589"/>
      <c r="M3589"/>
    </row>
    <row r="3590" spans="3:13" ht="12.75" customHeight="1">
      <c r="C3590"/>
      <c r="M3590"/>
    </row>
    <row r="3591" spans="3:13" ht="12.75" customHeight="1">
      <c r="C3591"/>
      <c r="M3591"/>
    </row>
    <row r="3592" spans="3:13" ht="12.75" customHeight="1">
      <c r="C3592"/>
      <c r="M3592"/>
    </row>
    <row r="3593" spans="3:13" ht="12.75" customHeight="1">
      <c r="C3593"/>
      <c r="M3593"/>
    </row>
    <row r="3594" spans="3:13" ht="12.75" customHeight="1">
      <c r="C3594"/>
      <c r="M3594"/>
    </row>
    <row r="3595" spans="3:13" ht="12.75" customHeight="1">
      <c r="C3595"/>
      <c r="M3595"/>
    </row>
    <row r="3596" spans="3:13" ht="12.75" customHeight="1">
      <c r="C3596"/>
      <c r="M3596"/>
    </row>
    <row r="3597" spans="3:13" ht="12.75" customHeight="1">
      <c r="C3597"/>
      <c r="M3597"/>
    </row>
    <row r="3598" spans="3:13" ht="12.75" customHeight="1">
      <c r="C3598"/>
      <c r="M3598"/>
    </row>
    <row r="3599" spans="3:13" ht="12.75" customHeight="1">
      <c r="C3599"/>
      <c r="M3599"/>
    </row>
    <row r="3600" spans="3:13" ht="12.75" customHeight="1">
      <c r="C3600"/>
      <c r="M3600"/>
    </row>
    <row r="3601" spans="3:13" ht="12.75" customHeight="1">
      <c r="C3601"/>
      <c r="M3601"/>
    </row>
    <row r="3602" spans="3:13" ht="12.75" customHeight="1">
      <c r="C3602"/>
      <c r="M3602"/>
    </row>
    <row r="3603" spans="3:13" ht="12.75" customHeight="1">
      <c r="C3603"/>
      <c r="M3603"/>
    </row>
    <row r="3604" spans="3:13" ht="12.75" customHeight="1">
      <c r="C3604"/>
      <c r="M3604"/>
    </row>
    <row r="3605" spans="3:13" ht="12.75" customHeight="1">
      <c r="C3605"/>
      <c r="M3605"/>
    </row>
    <row r="3606" spans="3:13" ht="12.75" customHeight="1">
      <c r="C3606"/>
      <c r="M3606"/>
    </row>
    <row r="3607" spans="3:13" ht="12.75" customHeight="1">
      <c r="C3607"/>
      <c r="M3607"/>
    </row>
    <row r="3608" spans="3:13" ht="12.75" customHeight="1">
      <c r="C3608"/>
      <c r="M3608"/>
    </row>
    <row r="3609" spans="3:13" ht="12.75" customHeight="1">
      <c r="C3609"/>
      <c r="M3609"/>
    </row>
    <row r="3610" spans="3:13" ht="12.75" customHeight="1">
      <c r="C3610"/>
      <c r="M3610"/>
    </row>
    <row r="3611" spans="3:13" ht="12.75" customHeight="1">
      <c r="C3611"/>
      <c r="M3611"/>
    </row>
    <row r="3612" spans="3:13" ht="12.75" customHeight="1">
      <c r="C3612"/>
      <c r="M3612"/>
    </row>
    <row r="3613" spans="3:13" ht="12.75" customHeight="1">
      <c r="C3613"/>
      <c r="M3613"/>
    </row>
    <row r="3614" spans="3:13" ht="12.75" customHeight="1">
      <c r="C3614"/>
      <c r="M3614"/>
    </row>
    <row r="3615" spans="3:13" ht="12.75" customHeight="1">
      <c r="C3615"/>
      <c r="M3615"/>
    </row>
    <row r="3616" spans="3:13" ht="12.75" customHeight="1">
      <c r="C3616"/>
      <c r="M3616"/>
    </row>
    <row r="3617" spans="3:13" ht="12.75" customHeight="1">
      <c r="C3617"/>
      <c r="M3617"/>
    </row>
    <row r="3618" spans="3:13" ht="12.75" customHeight="1">
      <c r="C3618"/>
      <c r="M3618"/>
    </row>
    <row r="3619" spans="3:13" ht="12.75" customHeight="1">
      <c r="C3619"/>
      <c r="M3619"/>
    </row>
    <row r="3620" spans="3:13" ht="12.75" customHeight="1">
      <c r="C3620"/>
      <c r="M3620"/>
    </row>
    <row r="3621" spans="3:13" ht="12.75" customHeight="1">
      <c r="C3621"/>
      <c r="M3621"/>
    </row>
    <row r="3622" spans="3:13" ht="12.75" customHeight="1">
      <c r="C3622"/>
      <c r="M3622"/>
    </row>
    <row r="3623" spans="3:13" ht="12.75" customHeight="1">
      <c r="C3623"/>
      <c r="M3623"/>
    </row>
    <row r="3624" spans="3:13" ht="12.75" customHeight="1">
      <c r="C3624"/>
      <c r="M3624"/>
    </row>
    <row r="3625" spans="3:13" ht="12.75" customHeight="1">
      <c r="C3625"/>
      <c r="M3625"/>
    </row>
    <row r="3626" spans="3:13" ht="12.75" customHeight="1">
      <c r="C3626"/>
      <c r="M3626"/>
    </row>
    <row r="3627" spans="3:13" ht="12.75" customHeight="1">
      <c r="C3627"/>
      <c r="M3627"/>
    </row>
    <row r="3628" spans="3:13" ht="12.75" customHeight="1">
      <c r="C3628"/>
      <c r="M3628"/>
    </row>
    <row r="3629" spans="3:13" ht="12.75" customHeight="1">
      <c r="C3629"/>
      <c r="M3629"/>
    </row>
    <row r="3630" spans="3:13" ht="12.75" customHeight="1">
      <c r="C3630"/>
      <c r="M3630"/>
    </row>
    <row r="3631" spans="3:13" ht="12.75" customHeight="1">
      <c r="C3631"/>
      <c r="M3631"/>
    </row>
    <row r="3632" spans="3:13" ht="12.75" customHeight="1">
      <c r="C3632"/>
      <c r="M3632"/>
    </row>
    <row r="3633" spans="3:13" ht="12.75" customHeight="1">
      <c r="C3633"/>
      <c r="M3633"/>
    </row>
    <row r="3634" spans="3:13" ht="12.75" customHeight="1">
      <c r="C3634"/>
      <c r="M3634"/>
    </row>
    <row r="3635" spans="3:13" ht="12.75" customHeight="1">
      <c r="C3635"/>
      <c r="M3635"/>
    </row>
    <row r="3636" spans="3:13" ht="12.75" customHeight="1">
      <c r="C3636"/>
      <c r="M3636"/>
    </row>
    <row r="3637" spans="3:13" ht="12.75" customHeight="1">
      <c r="C3637"/>
      <c r="M3637"/>
    </row>
    <row r="3638" spans="3:13" ht="12.75" customHeight="1">
      <c r="C3638"/>
      <c r="M3638"/>
    </row>
    <row r="3639" spans="3:13" ht="12.75" customHeight="1">
      <c r="C3639"/>
      <c r="M3639"/>
    </row>
    <row r="3640" spans="3:13" ht="12.75" customHeight="1">
      <c r="C3640"/>
      <c r="M3640"/>
    </row>
    <row r="3641" spans="3:13" ht="12.75" customHeight="1">
      <c r="C3641"/>
      <c r="M3641"/>
    </row>
    <row r="3642" spans="3:13" ht="12.75" customHeight="1">
      <c r="C3642"/>
      <c r="M3642"/>
    </row>
    <row r="3643" spans="3:13" ht="12.75" customHeight="1">
      <c r="C3643"/>
      <c r="M3643"/>
    </row>
    <row r="3644" spans="3:13" ht="12.75" customHeight="1">
      <c r="C3644"/>
      <c r="M3644"/>
    </row>
    <row r="3645" spans="3:13" ht="12.75" customHeight="1">
      <c r="C3645"/>
      <c r="M3645"/>
    </row>
    <row r="3646" spans="3:13" ht="12.75" customHeight="1">
      <c r="C3646"/>
      <c r="M3646"/>
    </row>
    <row r="3647" spans="3:13" ht="12.75" customHeight="1">
      <c r="C3647"/>
      <c r="M3647"/>
    </row>
    <row r="3648" spans="3:13" ht="12.75" customHeight="1">
      <c r="C3648"/>
      <c r="M3648"/>
    </row>
    <row r="3649" spans="3:13" ht="12.75" customHeight="1">
      <c r="C3649"/>
      <c r="M3649"/>
    </row>
    <row r="3650" spans="3:13" ht="12.75" customHeight="1">
      <c r="C3650"/>
      <c r="M3650"/>
    </row>
    <row r="3651" spans="3:13" ht="12.75" customHeight="1">
      <c r="C3651"/>
      <c r="M3651"/>
    </row>
    <row r="3652" spans="3:13" ht="12.75" customHeight="1">
      <c r="C3652"/>
      <c r="M3652"/>
    </row>
    <row r="3653" spans="3:13" ht="12.75" customHeight="1">
      <c r="C3653"/>
      <c r="M3653"/>
    </row>
    <row r="3654" spans="3:13" ht="12.75" customHeight="1">
      <c r="C3654"/>
      <c r="M3654"/>
    </row>
    <row r="3655" spans="3:13" ht="12.75" customHeight="1">
      <c r="C3655"/>
      <c r="M3655"/>
    </row>
    <row r="3656" spans="3:13" ht="12.75" customHeight="1">
      <c r="C3656"/>
      <c r="M3656"/>
    </row>
    <row r="3657" spans="3:13" ht="12.75" customHeight="1">
      <c r="C3657"/>
      <c r="M3657"/>
    </row>
    <row r="3658" spans="3:13" ht="12.75" customHeight="1">
      <c r="C3658"/>
      <c r="M3658"/>
    </row>
    <row r="3659" spans="3:13" ht="12.75" customHeight="1">
      <c r="C3659"/>
      <c r="M3659"/>
    </row>
    <row r="3660" spans="3:13" ht="12.75" customHeight="1">
      <c r="C3660"/>
      <c r="M3660"/>
    </row>
    <row r="3661" spans="3:13" ht="12.75" customHeight="1">
      <c r="C3661"/>
      <c r="M3661"/>
    </row>
    <row r="3662" spans="3:13" ht="12.75" customHeight="1">
      <c r="C3662"/>
      <c r="M3662"/>
    </row>
    <row r="3663" spans="3:13" ht="12.75" customHeight="1">
      <c r="C3663"/>
      <c r="M3663"/>
    </row>
    <row r="3664" spans="3:13" ht="12.75" customHeight="1">
      <c r="C3664"/>
      <c r="M3664"/>
    </row>
    <row r="3665" spans="3:13" ht="12.75" customHeight="1">
      <c r="C3665"/>
      <c r="M3665"/>
    </row>
    <row r="3666" spans="3:13" ht="12.75" customHeight="1">
      <c r="C3666"/>
      <c r="M3666"/>
    </row>
    <row r="3667" spans="3:13" ht="12.75" customHeight="1">
      <c r="C3667"/>
      <c r="M3667"/>
    </row>
    <row r="3668" spans="3:13" ht="12.75" customHeight="1">
      <c r="C3668"/>
      <c r="M3668"/>
    </row>
    <row r="3669" spans="3:13" ht="12.75" customHeight="1">
      <c r="C3669"/>
      <c r="M3669"/>
    </row>
    <row r="3670" spans="3:13" ht="12.75" customHeight="1">
      <c r="C3670"/>
      <c r="M3670"/>
    </row>
    <row r="3671" spans="3:13" ht="12.75" customHeight="1">
      <c r="C3671"/>
      <c r="M3671"/>
    </row>
    <row r="3672" spans="3:13" ht="12.75" customHeight="1">
      <c r="C3672"/>
      <c r="M3672"/>
    </row>
    <row r="3673" spans="3:13" ht="12.75" customHeight="1">
      <c r="C3673"/>
      <c r="M3673"/>
    </row>
    <row r="3674" spans="3:13" ht="12.75" customHeight="1">
      <c r="C3674"/>
      <c r="M3674"/>
    </row>
    <row r="3675" spans="3:13" ht="12.75" customHeight="1">
      <c r="C3675"/>
      <c r="M3675"/>
    </row>
    <row r="3676" spans="3:13" ht="12.75" customHeight="1">
      <c r="C3676"/>
      <c r="M3676"/>
    </row>
    <row r="3677" spans="3:13" ht="12.75" customHeight="1">
      <c r="C3677"/>
      <c r="M3677"/>
    </row>
    <row r="3678" spans="3:13" ht="12.75" customHeight="1">
      <c r="C3678"/>
      <c r="M3678"/>
    </row>
    <row r="3679" spans="3:13" ht="12.75" customHeight="1">
      <c r="C3679"/>
      <c r="M3679"/>
    </row>
    <row r="3680" spans="3:13" ht="12.75" customHeight="1">
      <c r="C3680"/>
      <c r="M3680"/>
    </row>
    <row r="3681" spans="3:13" ht="12.75" customHeight="1">
      <c r="C3681"/>
      <c r="M3681"/>
    </row>
    <row r="3682" spans="3:13" ht="12.75" customHeight="1">
      <c r="C3682"/>
      <c r="M3682"/>
    </row>
    <row r="3683" spans="3:13" ht="12.75" customHeight="1">
      <c r="C3683"/>
      <c r="M3683"/>
    </row>
    <row r="3684" spans="3:13" ht="12.75" customHeight="1">
      <c r="C3684"/>
      <c r="M3684"/>
    </row>
    <row r="3685" spans="3:13" ht="12.75" customHeight="1">
      <c r="C3685"/>
      <c r="M3685"/>
    </row>
    <row r="3686" spans="3:13" ht="12.75" customHeight="1">
      <c r="C3686"/>
      <c r="M3686"/>
    </row>
    <row r="3687" spans="3:13" ht="12.75" customHeight="1">
      <c r="C3687"/>
      <c r="M3687"/>
    </row>
    <row r="3688" spans="3:13" ht="12.75" customHeight="1">
      <c r="C3688"/>
      <c r="M3688"/>
    </row>
    <row r="3689" spans="3:13" ht="12.75" customHeight="1">
      <c r="C3689"/>
      <c r="M3689"/>
    </row>
    <row r="3690" spans="3:13" ht="12.75" customHeight="1">
      <c r="C3690"/>
      <c r="M3690"/>
    </row>
    <row r="3691" spans="3:13" ht="12.75" customHeight="1">
      <c r="C3691"/>
      <c r="M3691"/>
    </row>
    <row r="3692" spans="3:13" ht="12.75" customHeight="1">
      <c r="C3692"/>
      <c r="M3692"/>
    </row>
    <row r="3693" spans="3:13" ht="12.75" customHeight="1">
      <c r="C3693"/>
      <c r="M3693"/>
    </row>
    <row r="3694" spans="3:13" ht="12.75" customHeight="1">
      <c r="C3694"/>
      <c r="M3694"/>
    </row>
    <row r="3695" spans="3:13" ht="12.75" customHeight="1">
      <c r="C3695"/>
      <c r="M3695"/>
    </row>
    <row r="3696" spans="3:13" ht="12.75" customHeight="1">
      <c r="C3696"/>
      <c r="M3696"/>
    </row>
    <row r="3697" spans="3:13" ht="12.75" customHeight="1">
      <c r="C3697"/>
      <c r="M3697"/>
    </row>
    <row r="3698" spans="3:13" ht="12.75" customHeight="1">
      <c r="C3698"/>
      <c r="M3698"/>
    </row>
    <row r="3699" spans="3:13" ht="12.75" customHeight="1">
      <c r="C3699"/>
      <c r="M3699"/>
    </row>
    <row r="3700" spans="3:13" ht="12.75" customHeight="1">
      <c r="C3700"/>
      <c r="M3700"/>
    </row>
    <row r="3701" spans="3:13" ht="12.75" customHeight="1">
      <c r="C3701"/>
      <c r="M3701"/>
    </row>
    <row r="3702" spans="3:13" ht="12.75" customHeight="1">
      <c r="C3702"/>
      <c r="M3702"/>
    </row>
    <row r="3703" spans="3:13" ht="12.75" customHeight="1">
      <c r="C3703"/>
      <c r="M3703"/>
    </row>
    <row r="3704" spans="3:13" ht="12.75" customHeight="1">
      <c r="C3704"/>
      <c r="M3704"/>
    </row>
    <row r="3705" spans="3:13" ht="12.75" customHeight="1">
      <c r="C3705"/>
      <c r="M3705"/>
    </row>
    <row r="3706" spans="3:13" ht="12.75" customHeight="1">
      <c r="C3706"/>
      <c r="M3706"/>
    </row>
    <row r="3707" spans="3:13" ht="12.75" customHeight="1">
      <c r="C3707"/>
      <c r="M3707"/>
    </row>
    <row r="3708" spans="3:13" ht="12.75" customHeight="1">
      <c r="C3708"/>
      <c r="M3708"/>
    </row>
    <row r="3709" spans="3:13" ht="12.75" customHeight="1">
      <c r="C3709"/>
      <c r="M3709"/>
    </row>
    <row r="3710" spans="3:13" ht="12.75" customHeight="1">
      <c r="C3710"/>
      <c r="M3710"/>
    </row>
    <row r="3711" spans="3:13" ht="12.75" customHeight="1">
      <c r="C3711"/>
      <c r="M3711"/>
    </row>
    <row r="3712" spans="3:13" ht="12.75" customHeight="1">
      <c r="C3712"/>
      <c r="M3712"/>
    </row>
    <row r="3713" spans="3:13" ht="12.75" customHeight="1">
      <c r="C3713"/>
      <c r="M3713"/>
    </row>
    <row r="3714" spans="3:13" ht="12.75" customHeight="1">
      <c r="C3714"/>
      <c r="M3714"/>
    </row>
    <row r="3715" spans="3:13" ht="12.75" customHeight="1">
      <c r="C3715"/>
      <c r="M3715"/>
    </row>
    <row r="3716" spans="3:13" ht="12.75" customHeight="1">
      <c r="C3716"/>
      <c r="M3716"/>
    </row>
    <row r="3717" spans="3:13" ht="12.75" customHeight="1">
      <c r="C3717"/>
      <c r="M3717"/>
    </row>
    <row r="3718" spans="3:13" ht="12.75" customHeight="1">
      <c r="C3718"/>
      <c r="M3718"/>
    </row>
    <row r="3719" spans="3:13" ht="12.75" customHeight="1">
      <c r="C3719"/>
      <c r="M3719"/>
    </row>
    <row r="3720" spans="3:13" ht="12.75" customHeight="1">
      <c r="C3720"/>
      <c r="M3720"/>
    </row>
    <row r="3721" spans="3:13" ht="12.75" customHeight="1">
      <c r="C3721"/>
      <c r="M3721"/>
    </row>
    <row r="3722" spans="3:13" ht="12.75" customHeight="1">
      <c r="C3722"/>
      <c r="M3722"/>
    </row>
    <row r="3723" spans="3:13" ht="12.75" customHeight="1">
      <c r="C3723"/>
      <c r="M3723"/>
    </row>
    <row r="3724" spans="3:13" ht="12.75" customHeight="1">
      <c r="C3724"/>
      <c r="M3724"/>
    </row>
    <row r="3725" spans="3:13" ht="12.75" customHeight="1">
      <c r="C3725"/>
      <c r="M3725"/>
    </row>
    <row r="3726" spans="3:13" ht="12.75" customHeight="1">
      <c r="C3726"/>
      <c r="M3726"/>
    </row>
    <row r="3727" spans="3:13" ht="12.75" customHeight="1">
      <c r="C3727"/>
      <c r="M3727"/>
    </row>
    <row r="3728" spans="3:13" ht="12.75" customHeight="1">
      <c r="C3728"/>
      <c r="M3728"/>
    </row>
    <row r="3729" spans="3:13" ht="12.75" customHeight="1">
      <c r="C3729"/>
      <c r="M3729"/>
    </row>
    <row r="3730" spans="3:13" ht="12.75" customHeight="1">
      <c r="C3730"/>
      <c r="M3730"/>
    </row>
    <row r="3731" spans="3:13" ht="12.75" customHeight="1">
      <c r="C3731"/>
      <c r="M3731"/>
    </row>
    <row r="3732" spans="3:13" ht="12.75" customHeight="1">
      <c r="C3732"/>
      <c r="M3732"/>
    </row>
    <row r="3733" spans="3:13" ht="12.75" customHeight="1">
      <c r="C3733"/>
      <c r="M3733"/>
    </row>
    <row r="3734" spans="3:13" ht="12.75" customHeight="1">
      <c r="C3734"/>
      <c r="M3734"/>
    </row>
    <row r="3735" spans="3:13" ht="12.75" customHeight="1">
      <c r="C3735"/>
      <c r="M3735"/>
    </row>
    <row r="3736" spans="3:13" ht="12.75" customHeight="1">
      <c r="C3736"/>
      <c r="M3736"/>
    </row>
    <row r="3737" spans="3:13" ht="12.75" customHeight="1">
      <c r="C3737"/>
      <c r="M3737"/>
    </row>
    <row r="3738" spans="3:13" ht="12.75" customHeight="1">
      <c r="C3738"/>
      <c r="M3738"/>
    </row>
    <row r="3739" spans="3:13" ht="12.75" customHeight="1">
      <c r="C3739"/>
      <c r="M3739"/>
    </row>
    <row r="3740" spans="3:13" ht="12.75" customHeight="1">
      <c r="C3740"/>
      <c r="M3740"/>
    </row>
    <row r="3741" spans="3:13" ht="12.75" customHeight="1">
      <c r="C3741"/>
      <c r="M3741"/>
    </row>
    <row r="3742" spans="3:13" ht="12.75" customHeight="1">
      <c r="C3742"/>
      <c r="M3742"/>
    </row>
    <row r="3743" spans="3:13" ht="12.75" customHeight="1">
      <c r="C3743"/>
      <c r="M3743"/>
    </row>
    <row r="3744" spans="3:13" ht="12.75" customHeight="1">
      <c r="C3744"/>
      <c r="M3744"/>
    </row>
    <row r="3745" spans="3:13" ht="12.75" customHeight="1">
      <c r="C3745"/>
      <c r="M3745"/>
    </row>
    <row r="3746" spans="3:13" ht="12.75" customHeight="1">
      <c r="C3746"/>
      <c r="M3746"/>
    </row>
    <row r="3747" spans="3:13" ht="12.75" customHeight="1">
      <c r="C3747"/>
      <c r="M3747"/>
    </row>
    <row r="3748" spans="3:13" ht="12.75" customHeight="1">
      <c r="C3748"/>
      <c r="M3748"/>
    </row>
    <row r="3749" spans="3:13" ht="12.75" customHeight="1">
      <c r="C3749"/>
      <c r="M3749"/>
    </row>
    <row r="3750" spans="3:13" ht="12.75" customHeight="1">
      <c r="C3750"/>
      <c r="M3750"/>
    </row>
    <row r="3751" spans="3:13" ht="12.75" customHeight="1">
      <c r="C3751"/>
      <c r="M3751"/>
    </row>
    <row r="3752" spans="3:13" ht="12.75" customHeight="1">
      <c r="C3752"/>
      <c r="M3752"/>
    </row>
    <row r="3753" spans="3:13" ht="12.75" customHeight="1">
      <c r="C3753"/>
      <c r="M3753"/>
    </row>
    <row r="3754" spans="3:13" ht="12.75" customHeight="1">
      <c r="C3754"/>
      <c r="M3754"/>
    </row>
    <row r="3755" spans="3:13" ht="12.75" customHeight="1">
      <c r="C3755"/>
      <c r="M3755"/>
    </row>
    <row r="3756" spans="3:13" ht="12.75" customHeight="1">
      <c r="C3756"/>
      <c r="M3756"/>
    </row>
    <row r="3757" spans="3:13" ht="12.75" customHeight="1">
      <c r="C3757"/>
      <c r="M3757"/>
    </row>
    <row r="3758" spans="3:13" ht="12.75" customHeight="1">
      <c r="C3758"/>
      <c r="M3758"/>
    </row>
    <row r="3759" spans="3:13" ht="12.75" customHeight="1">
      <c r="C3759"/>
      <c r="M3759"/>
    </row>
    <row r="3760" spans="3:13" ht="12.75" customHeight="1">
      <c r="C3760"/>
      <c r="M3760"/>
    </row>
    <row r="3761" spans="3:13" ht="12.75" customHeight="1">
      <c r="C3761"/>
      <c r="M3761"/>
    </row>
    <row r="3762" spans="3:13" ht="12.75" customHeight="1">
      <c r="C3762"/>
      <c r="M3762"/>
    </row>
    <row r="3763" spans="3:13" ht="12.75" customHeight="1">
      <c r="C3763"/>
      <c r="M3763"/>
    </row>
    <row r="3764" spans="3:13" ht="12.75" customHeight="1">
      <c r="C3764"/>
      <c r="M3764"/>
    </row>
    <row r="3765" spans="3:13" ht="12.75" customHeight="1">
      <c r="C3765"/>
      <c r="M3765"/>
    </row>
    <row r="3766" spans="3:13" ht="12.75" customHeight="1">
      <c r="C3766"/>
      <c r="M3766"/>
    </row>
    <row r="3767" spans="3:13" ht="12.75" customHeight="1">
      <c r="C3767"/>
      <c r="M3767"/>
    </row>
    <row r="3768" spans="3:13" ht="12.75" customHeight="1">
      <c r="C3768"/>
      <c r="M3768"/>
    </row>
    <row r="3769" spans="3:13" ht="12.75" customHeight="1">
      <c r="C3769"/>
      <c r="M3769"/>
    </row>
    <row r="3770" spans="3:13" ht="12.75" customHeight="1">
      <c r="C3770"/>
      <c r="M3770"/>
    </row>
    <row r="3771" spans="3:13" ht="12.75" customHeight="1">
      <c r="C3771"/>
      <c r="M3771"/>
    </row>
    <row r="3772" spans="3:13" ht="12.75" customHeight="1">
      <c r="C3772"/>
      <c r="M3772"/>
    </row>
    <row r="3773" spans="3:13" ht="12.75" customHeight="1">
      <c r="C3773"/>
      <c r="M3773"/>
    </row>
    <row r="3774" spans="3:13" ht="12.75" customHeight="1">
      <c r="C3774"/>
      <c r="M3774"/>
    </row>
    <row r="3775" spans="3:13" ht="12.75" customHeight="1">
      <c r="C3775"/>
      <c r="M3775"/>
    </row>
    <row r="3776" spans="3:13" ht="12.75" customHeight="1">
      <c r="C3776"/>
      <c r="M3776"/>
    </row>
    <row r="3777" spans="3:13" ht="12.75" customHeight="1">
      <c r="C3777"/>
      <c r="M3777"/>
    </row>
    <row r="3778" spans="3:13" ht="12.75" customHeight="1">
      <c r="C3778"/>
      <c r="M3778"/>
    </row>
    <row r="3779" spans="3:13" ht="12.75" customHeight="1">
      <c r="C3779"/>
      <c r="M3779"/>
    </row>
    <row r="3780" spans="3:13" ht="12.75" customHeight="1">
      <c r="C3780"/>
      <c r="M3780"/>
    </row>
    <row r="3781" spans="3:13" ht="12.75" customHeight="1">
      <c r="C3781"/>
      <c r="M3781"/>
    </row>
    <row r="3782" spans="3:13" ht="12.75" customHeight="1">
      <c r="C3782"/>
      <c r="M3782"/>
    </row>
    <row r="3783" spans="3:13" ht="12.75" customHeight="1">
      <c r="C3783"/>
      <c r="M3783"/>
    </row>
    <row r="3784" spans="3:13" ht="12.75" customHeight="1">
      <c r="C3784"/>
      <c r="M3784"/>
    </row>
    <row r="3785" spans="3:13" ht="12.75" customHeight="1">
      <c r="C3785"/>
      <c r="M3785"/>
    </row>
    <row r="3786" spans="3:13" ht="12.75" customHeight="1">
      <c r="C3786"/>
      <c r="M3786"/>
    </row>
    <row r="3787" spans="3:13" ht="12.75" customHeight="1">
      <c r="C3787"/>
      <c r="M3787"/>
    </row>
    <row r="3788" spans="3:13" ht="12.75" customHeight="1">
      <c r="C3788"/>
      <c r="M3788"/>
    </row>
    <row r="3789" spans="3:13" ht="12.75" customHeight="1">
      <c r="C3789"/>
      <c r="M3789"/>
    </row>
    <row r="3790" spans="3:13" ht="12.75" customHeight="1">
      <c r="C3790"/>
      <c r="M3790"/>
    </row>
    <row r="3791" spans="3:13" ht="12.75" customHeight="1">
      <c r="C3791"/>
      <c r="M3791"/>
    </row>
    <row r="3792" spans="3:13" ht="12.75" customHeight="1">
      <c r="C3792"/>
      <c r="M3792"/>
    </row>
    <row r="3793" spans="3:13" ht="12.75" customHeight="1">
      <c r="C3793"/>
      <c r="M3793"/>
    </row>
    <row r="3794" spans="3:13" ht="12.75" customHeight="1">
      <c r="C3794"/>
      <c r="M3794"/>
    </row>
    <row r="3795" spans="3:13" ht="12.75" customHeight="1">
      <c r="C3795"/>
      <c r="M3795"/>
    </row>
    <row r="3796" spans="3:13" ht="12.75" customHeight="1">
      <c r="C3796"/>
      <c r="M3796"/>
    </row>
    <row r="3797" spans="3:13" ht="12.75" customHeight="1">
      <c r="C3797"/>
      <c r="M3797"/>
    </row>
    <row r="3798" spans="3:13" ht="12.75" customHeight="1">
      <c r="C3798"/>
      <c r="M3798"/>
    </row>
    <row r="3799" spans="3:13" ht="12.75" customHeight="1">
      <c r="C3799"/>
      <c r="M3799"/>
    </row>
    <row r="3800" spans="3:13" ht="12.75" customHeight="1">
      <c r="C3800"/>
      <c r="M3800"/>
    </row>
    <row r="3801" spans="3:13" ht="12.75" customHeight="1">
      <c r="C3801"/>
      <c r="M3801"/>
    </row>
    <row r="3802" spans="3:13" ht="12.75" customHeight="1">
      <c r="C3802"/>
      <c r="M3802"/>
    </row>
    <row r="3803" spans="3:13" ht="12.75" customHeight="1">
      <c r="C3803"/>
      <c r="M3803"/>
    </row>
    <row r="3804" spans="3:13" ht="12.75" customHeight="1">
      <c r="C3804"/>
      <c r="M3804"/>
    </row>
    <row r="3805" spans="3:13" ht="12.75" customHeight="1">
      <c r="C3805"/>
      <c r="M3805"/>
    </row>
    <row r="3806" spans="3:13" ht="12.75" customHeight="1">
      <c r="C3806"/>
      <c r="M3806"/>
    </row>
    <row r="3807" spans="3:13" ht="12.75" customHeight="1">
      <c r="C3807"/>
      <c r="M3807"/>
    </row>
    <row r="3808" spans="3:13" ht="12.75" customHeight="1">
      <c r="C3808"/>
      <c r="M3808"/>
    </row>
    <row r="3809" spans="3:13" ht="12.75" customHeight="1">
      <c r="C3809"/>
      <c r="M3809"/>
    </row>
    <row r="3810" spans="3:13" ht="12.75" customHeight="1">
      <c r="C3810"/>
      <c r="M3810"/>
    </row>
    <row r="3811" spans="3:13" ht="12.75" customHeight="1">
      <c r="C3811"/>
      <c r="M3811"/>
    </row>
    <row r="3812" spans="3:13" ht="12.75" customHeight="1">
      <c r="C3812"/>
      <c r="M3812"/>
    </row>
    <row r="3813" spans="3:13" ht="12.75" customHeight="1">
      <c r="C3813"/>
      <c r="M3813"/>
    </row>
    <row r="3814" spans="3:13" ht="12.75" customHeight="1">
      <c r="C3814"/>
      <c r="M3814"/>
    </row>
    <row r="3815" spans="3:13" ht="12.75" customHeight="1">
      <c r="C3815"/>
      <c r="M3815"/>
    </row>
    <row r="3816" spans="3:13" ht="12.75" customHeight="1">
      <c r="C3816"/>
      <c r="M3816"/>
    </row>
    <row r="3817" spans="3:13" ht="12.75" customHeight="1">
      <c r="C3817"/>
      <c r="M3817"/>
    </row>
    <row r="3818" spans="3:13" ht="12.75" customHeight="1">
      <c r="C3818"/>
      <c r="M3818"/>
    </row>
    <row r="3819" spans="3:13" ht="12.75" customHeight="1">
      <c r="C3819"/>
      <c r="M3819"/>
    </row>
    <row r="3820" spans="3:13" ht="12.75" customHeight="1">
      <c r="C3820"/>
      <c r="M3820"/>
    </row>
    <row r="3821" spans="3:13" ht="12.75" customHeight="1">
      <c r="C3821"/>
      <c r="M3821"/>
    </row>
    <row r="3822" spans="3:13" ht="12.75" customHeight="1">
      <c r="C3822"/>
      <c r="M3822"/>
    </row>
    <row r="3823" spans="3:13" ht="12.75" customHeight="1">
      <c r="C3823"/>
      <c r="M3823"/>
    </row>
    <row r="3824" spans="3:13" ht="12.75" customHeight="1">
      <c r="C3824"/>
      <c r="M3824"/>
    </row>
    <row r="3825" spans="3:13" ht="12.75" customHeight="1">
      <c r="C3825"/>
      <c r="M3825"/>
    </row>
    <row r="3826" spans="3:13" ht="12.75" customHeight="1">
      <c r="C3826"/>
      <c r="M3826"/>
    </row>
    <row r="3827" spans="3:13" ht="12.75" customHeight="1">
      <c r="C3827"/>
      <c r="M3827"/>
    </row>
    <row r="3828" spans="3:13" ht="12.75" customHeight="1">
      <c r="C3828"/>
      <c r="M3828"/>
    </row>
    <row r="3829" spans="3:13" ht="12.75" customHeight="1">
      <c r="C3829"/>
      <c r="M3829"/>
    </row>
    <row r="3830" spans="3:13" ht="12.75" customHeight="1">
      <c r="C3830"/>
      <c r="M3830"/>
    </row>
    <row r="3831" spans="3:13" ht="12.75" customHeight="1">
      <c r="C3831"/>
      <c r="M3831"/>
    </row>
    <row r="3832" spans="3:13" ht="12.75" customHeight="1">
      <c r="C3832"/>
      <c r="M3832"/>
    </row>
    <row r="3833" spans="3:13" ht="12.75" customHeight="1">
      <c r="C3833"/>
      <c r="M3833"/>
    </row>
    <row r="3834" spans="3:13" ht="12.75" customHeight="1">
      <c r="C3834"/>
      <c r="M3834"/>
    </row>
    <row r="3835" spans="3:13" ht="12.75" customHeight="1">
      <c r="C3835"/>
      <c r="M3835"/>
    </row>
    <row r="3836" spans="3:13" ht="12.75" customHeight="1">
      <c r="C3836"/>
      <c r="M3836"/>
    </row>
    <row r="3837" spans="3:13" ht="12.75" customHeight="1">
      <c r="C3837"/>
      <c r="M3837"/>
    </row>
    <row r="3838" spans="3:13" ht="12.75" customHeight="1">
      <c r="C3838"/>
      <c r="M3838"/>
    </row>
    <row r="3839" spans="3:13" ht="12.75" customHeight="1">
      <c r="C3839"/>
      <c r="M3839"/>
    </row>
    <row r="3840" spans="3:13" ht="12.75" customHeight="1">
      <c r="C3840"/>
      <c r="M3840"/>
    </row>
    <row r="3841" spans="3:13" ht="12.75" customHeight="1">
      <c r="C3841"/>
      <c r="M3841"/>
    </row>
    <row r="3842" spans="3:13" ht="12.75" customHeight="1">
      <c r="C3842"/>
      <c r="M3842"/>
    </row>
    <row r="3843" spans="3:13" ht="12.75" customHeight="1">
      <c r="C3843"/>
      <c r="M3843"/>
    </row>
    <row r="3844" spans="3:13" ht="12.75" customHeight="1">
      <c r="C3844"/>
      <c r="M3844"/>
    </row>
    <row r="3845" spans="3:13" ht="12.75" customHeight="1">
      <c r="C3845"/>
      <c r="M3845"/>
    </row>
    <row r="3846" spans="3:13" ht="12.75" customHeight="1">
      <c r="C3846"/>
      <c r="M3846"/>
    </row>
    <row r="3847" spans="3:13" ht="12.75" customHeight="1">
      <c r="C3847"/>
      <c r="M3847"/>
    </row>
    <row r="3848" spans="3:13" ht="12.75" customHeight="1">
      <c r="C3848"/>
      <c r="M3848"/>
    </row>
    <row r="3849" spans="3:13" ht="12.75" customHeight="1">
      <c r="C3849"/>
      <c r="M3849"/>
    </row>
    <row r="3850" spans="3:13" ht="12.75" customHeight="1">
      <c r="C3850"/>
      <c r="M3850"/>
    </row>
    <row r="3851" spans="3:13" ht="12.75" customHeight="1">
      <c r="C3851"/>
      <c r="M3851"/>
    </row>
    <row r="3852" spans="3:13" ht="12.75" customHeight="1">
      <c r="C3852"/>
      <c r="M3852"/>
    </row>
    <row r="3853" spans="3:13" ht="12.75" customHeight="1">
      <c r="C3853"/>
      <c r="M3853"/>
    </row>
    <row r="3854" spans="3:13" ht="12.75" customHeight="1">
      <c r="C3854"/>
      <c r="M3854"/>
    </row>
    <row r="3855" spans="3:13" ht="12.75" customHeight="1">
      <c r="C3855"/>
      <c r="M3855"/>
    </row>
    <row r="3856" spans="3:13" ht="12.75" customHeight="1">
      <c r="C3856"/>
      <c r="M3856"/>
    </row>
    <row r="3857" spans="3:13" ht="12.75" customHeight="1">
      <c r="C3857"/>
      <c r="M3857"/>
    </row>
    <row r="3858" spans="3:13" ht="12.75" customHeight="1">
      <c r="C3858"/>
      <c r="M3858"/>
    </row>
    <row r="3859" spans="3:13" ht="12.75" customHeight="1">
      <c r="C3859"/>
      <c r="M3859"/>
    </row>
    <row r="3860" spans="3:13" ht="12.75" customHeight="1">
      <c r="C3860"/>
      <c r="M3860"/>
    </row>
    <row r="3861" spans="3:13" ht="12.75" customHeight="1">
      <c r="C3861"/>
      <c r="M3861"/>
    </row>
    <row r="3862" spans="3:13" ht="12.75" customHeight="1">
      <c r="C3862"/>
      <c r="M3862"/>
    </row>
    <row r="3863" spans="3:13" ht="12.75" customHeight="1">
      <c r="C3863"/>
      <c r="M3863"/>
    </row>
    <row r="3864" spans="3:13" ht="12.75" customHeight="1">
      <c r="C3864"/>
      <c r="M3864"/>
    </row>
    <row r="3865" spans="3:13" ht="12.75" customHeight="1">
      <c r="C3865"/>
      <c r="M3865"/>
    </row>
    <row r="3866" spans="3:13" ht="12.75" customHeight="1">
      <c r="C3866"/>
      <c r="M3866"/>
    </row>
    <row r="3867" spans="3:13" ht="12.75" customHeight="1">
      <c r="C3867"/>
      <c r="M3867"/>
    </row>
    <row r="3868" spans="3:13" ht="12.75" customHeight="1">
      <c r="C3868"/>
      <c r="M3868"/>
    </row>
    <row r="3869" spans="3:13" ht="12.75" customHeight="1">
      <c r="C3869"/>
      <c r="M3869"/>
    </row>
    <row r="3870" spans="3:13" ht="12.75" customHeight="1">
      <c r="C3870"/>
      <c r="M3870"/>
    </row>
    <row r="3871" spans="3:13" ht="12.75" customHeight="1">
      <c r="C3871"/>
      <c r="M3871"/>
    </row>
    <row r="3872" spans="3:13" ht="12.75" customHeight="1">
      <c r="C3872"/>
      <c r="M3872"/>
    </row>
    <row r="3873" spans="3:13" ht="12.75" customHeight="1">
      <c r="C3873"/>
      <c r="M3873"/>
    </row>
    <row r="3874" spans="3:13" ht="12.75" customHeight="1">
      <c r="C3874"/>
      <c r="M3874"/>
    </row>
    <row r="3875" spans="3:13" ht="12.75" customHeight="1">
      <c r="C3875"/>
      <c r="M3875"/>
    </row>
    <row r="3876" spans="3:13" ht="12.75" customHeight="1">
      <c r="C3876"/>
      <c r="M3876"/>
    </row>
    <row r="3877" spans="3:13" ht="12.75" customHeight="1">
      <c r="C3877"/>
      <c r="M3877"/>
    </row>
    <row r="3878" spans="3:13" ht="12.75" customHeight="1">
      <c r="C3878"/>
      <c r="M3878"/>
    </row>
    <row r="3879" spans="3:13" ht="12.75" customHeight="1">
      <c r="C3879"/>
      <c r="M3879"/>
    </row>
    <row r="3880" spans="3:13" ht="12.75" customHeight="1">
      <c r="C3880"/>
      <c r="M3880"/>
    </row>
    <row r="3881" spans="3:13" ht="12.75" customHeight="1">
      <c r="C3881"/>
      <c r="M3881"/>
    </row>
    <row r="3882" spans="3:13" ht="12.75" customHeight="1">
      <c r="C3882"/>
      <c r="M3882"/>
    </row>
    <row r="3883" spans="3:13" ht="12.75" customHeight="1">
      <c r="C3883"/>
      <c r="M3883"/>
    </row>
    <row r="3884" spans="3:13" ht="12.75" customHeight="1">
      <c r="C3884"/>
      <c r="M3884"/>
    </row>
    <row r="3885" spans="3:13" ht="12.75" customHeight="1">
      <c r="C3885"/>
      <c r="M3885"/>
    </row>
    <row r="3886" spans="3:13" ht="12.75" customHeight="1">
      <c r="C3886"/>
      <c r="M3886"/>
    </row>
    <row r="3887" spans="3:13" ht="12.75" customHeight="1">
      <c r="C3887"/>
      <c r="M3887"/>
    </row>
    <row r="3888" spans="3:13" ht="12.75" customHeight="1">
      <c r="C3888"/>
      <c r="M3888"/>
    </row>
    <row r="3889" spans="3:13" ht="12.75" customHeight="1">
      <c r="C3889"/>
      <c r="M3889"/>
    </row>
    <row r="3890" spans="3:13" ht="12.75" customHeight="1">
      <c r="C3890"/>
      <c r="M3890"/>
    </row>
    <row r="3891" spans="3:13" ht="12.75" customHeight="1">
      <c r="C3891"/>
      <c r="M3891"/>
    </row>
    <row r="3892" spans="3:13" ht="12.75" customHeight="1">
      <c r="C3892"/>
      <c r="M3892"/>
    </row>
    <row r="3893" spans="3:13" ht="12.75" customHeight="1">
      <c r="C3893"/>
      <c r="M3893"/>
    </row>
    <row r="3894" spans="3:13" ht="12.75" customHeight="1">
      <c r="C3894"/>
      <c r="M3894"/>
    </row>
    <row r="3895" spans="3:13" ht="12.75" customHeight="1">
      <c r="C3895"/>
      <c r="M3895"/>
    </row>
    <row r="3896" spans="3:13" ht="12.75" customHeight="1">
      <c r="C3896"/>
      <c r="M3896"/>
    </row>
    <row r="3897" spans="3:13" ht="12.75" customHeight="1">
      <c r="C3897"/>
      <c r="M3897"/>
    </row>
    <row r="3898" spans="3:13" ht="12.75" customHeight="1">
      <c r="C3898"/>
      <c r="M3898"/>
    </row>
    <row r="3899" spans="3:13" ht="12.75" customHeight="1">
      <c r="C3899"/>
      <c r="M3899"/>
    </row>
    <row r="3900" spans="3:13" ht="12.75" customHeight="1">
      <c r="C3900"/>
      <c r="M3900"/>
    </row>
    <row r="3901" spans="3:13" ht="12.75" customHeight="1">
      <c r="C3901"/>
      <c r="M3901"/>
    </row>
    <row r="3902" spans="3:13" ht="12.75" customHeight="1">
      <c r="C3902"/>
      <c r="M3902"/>
    </row>
    <row r="3903" spans="3:13" ht="12.75" customHeight="1">
      <c r="C3903"/>
      <c r="M3903"/>
    </row>
    <row r="3904" spans="3:13" ht="12.75" customHeight="1">
      <c r="C3904"/>
      <c r="M3904"/>
    </row>
    <row r="3905" spans="3:13" ht="12.75" customHeight="1">
      <c r="C3905"/>
      <c r="M3905"/>
    </row>
    <row r="3906" spans="3:13" ht="12.75" customHeight="1">
      <c r="C3906"/>
      <c r="M3906"/>
    </row>
    <row r="3907" spans="3:13" ht="12.75" customHeight="1">
      <c r="C3907"/>
      <c r="M3907"/>
    </row>
    <row r="3908" spans="3:13" ht="12.75" customHeight="1">
      <c r="C3908"/>
      <c r="M3908"/>
    </row>
    <row r="3909" spans="3:13" ht="12.75" customHeight="1">
      <c r="C3909"/>
      <c r="M3909"/>
    </row>
    <row r="3910" spans="3:13" ht="12.75" customHeight="1">
      <c r="C3910"/>
      <c r="M3910"/>
    </row>
    <row r="3911" spans="3:13" ht="12.75" customHeight="1">
      <c r="C3911"/>
      <c r="M3911"/>
    </row>
    <row r="3912" spans="3:13" ht="12.75" customHeight="1">
      <c r="C3912"/>
      <c r="M3912"/>
    </row>
    <row r="3913" spans="3:13" ht="12.75" customHeight="1">
      <c r="C3913"/>
      <c r="M3913"/>
    </row>
    <row r="3914" spans="3:13" ht="12.75" customHeight="1">
      <c r="C3914"/>
      <c r="M3914"/>
    </row>
    <row r="3915" spans="3:13" ht="12.75" customHeight="1">
      <c r="C3915"/>
      <c r="M3915"/>
    </row>
    <row r="3916" spans="3:13" ht="12.75" customHeight="1">
      <c r="C3916"/>
      <c r="M3916"/>
    </row>
    <row r="3917" spans="3:13" ht="12.75" customHeight="1">
      <c r="C3917"/>
      <c r="M3917"/>
    </row>
    <row r="3918" spans="3:13" ht="12.75" customHeight="1">
      <c r="C3918"/>
      <c r="M3918"/>
    </row>
    <row r="3919" spans="3:13" ht="12.75" customHeight="1">
      <c r="C3919"/>
      <c r="M3919"/>
    </row>
    <row r="3920" spans="3:13" ht="12.75" customHeight="1">
      <c r="C3920"/>
      <c r="M3920"/>
    </row>
    <row r="3921" spans="3:13" ht="12.75" customHeight="1">
      <c r="C3921"/>
      <c r="M3921"/>
    </row>
    <row r="3922" spans="3:13" ht="12.75" customHeight="1">
      <c r="C3922"/>
      <c r="M3922"/>
    </row>
    <row r="3923" spans="3:13" ht="12.75" customHeight="1">
      <c r="C3923"/>
      <c r="M3923"/>
    </row>
    <row r="3924" spans="3:13" ht="12.75" customHeight="1">
      <c r="C3924"/>
      <c r="M3924"/>
    </row>
    <row r="3925" spans="3:13" ht="12.75" customHeight="1">
      <c r="C3925"/>
      <c r="M3925"/>
    </row>
    <row r="3926" spans="3:13" ht="12.75" customHeight="1">
      <c r="C3926"/>
      <c r="M3926"/>
    </row>
    <row r="3927" spans="3:13" ht="12.75" customHeight="1">
      <c r="C3927"/>
      <c r="M3927"/>
    </row>
    <row r="3928" spans="3:13" ht="12.75" customHeight="1">
      <c r="C3928"/>
      <c r="M3928"/>
    </row>
    <row r="3929" spans="3:13" ht="12.75" customHeight="1">
      <c r="C3929"/>
      <c r="M3929"/>
    </row>
    <row r="3930" spans="3:13" ht="12.75" customHeight="1">
      <c r="C3930"/>
      <c r="M3930"/>
    </row>
    <row r="3931" spans="3:13" ht="12.75" customHeight="1">
      <c r="C3931"/>
      <c r="M3931"/>
    </row>
    <row r="3932" spans="3:13" ht="12.75" customHeight="1">
      <c r="C3932"/>
      <c r="M3932"/>
    </row>
    <row r="3933" spans="3:13" ht="12.75" customHeight="1">
      <c r="C3933"/>
      <c r="M3933"/>
    </row>
    <row r="3934" spans="3:13" ht="12.75" customHeight="1">
      <c r="C3934"/>
      <c r="M3934"/>
    </row>
    <row r="3935" spans="3:13" ht="12.75" customHeight="1">
      <c r="C3935"/>
      <c r="M3935"/>
    </row>
    <row r="3936" spans="3:13" ht="12.75" customHeight="1">
      <c r="C3936"/>
      <c r="M3936"/>
    </row>
    <row r="3937" spans="3:13" ht="12.75" customHeight="1">
      <c r="C3937"/>
      <c r="M3937"/>
    </row>
    <row r="3938" spans="3:13" ht="12.75" customHeight="1">
      <c r="C3938"/>
      <c r="M3938"/>
    </row>
    <row r="3939" spans="3:13" ht="12.75" customHeight="1">
      <c r="C3939"/>
      <c r="M3939"/>
    </row>
    <row r="3940" spans="3:13" ht="12.75" customHeight="1">
      <c r="C3940"/>
      <c r="M3940"/>
    </row>
    <row r="3941" spans="3:13" ht="12.75" customHeight="1">
      <c r="C3941"/>
      <c r="M3941"/>
    </row>
    <row r="3942" spans="3:13" ht="12.75" customHeight="1">
      <c r="C3942"/>
      <c r="M3942"/>
    </row>
    <row r="3943" spans="3:13" ht="12.75" customHeight="1">
      <c r="C3943"/>
      <c r="M3943"/>
    </row>
    <row r="3944" spans="3:13" ht="12.75" customHeight="1">
      <c r="C3944"/>
      <c r="M3944"/>
    </row>
    <row r="3945" spans="3:13" ht="12.75" customHeight="1">
      <c r="C3945"/>
      <c r="M3945"/>
    </row>
    <row r="3946" spans="3:13" ht="12.75" customHeight="1">
      <c r="C3946"/>
      <c r="M3946"/>
    </row>
    <row r="3947" spans="3:13" ht="12.75" customHeight="1">
      <c r="C3947"/>
      <c r="M3947"/>
    </row>
    <row r="3948" spans="3:13" ht="12.75" customHeight="1">
      <c r="C3948"/>
      <c r="M3948"/>
    </row>
    <row r="3949" spans="3:13" ht="12.75" customHeight="1">
      <c r="C3949"/>
      <c r="M3949"/>
    </row>
    <row r="3950" spans="3:13" ht="12.75" customHeight="1">
      <c r="C3950"/>
      <c r="M3950"/>
    </row>
    <row r="3951" spans="3:13" ht="12.75" customHeight="1">
      <c r="C3951"/>
      <c r="M3951"/>
    </row>
    <row r="3952" spans="3:13" ht="12.75" customHeight="1">
      <c r="C3952"/>
      <c r="M3952"/>
    </row>
    <row r="3953" spans="3:13" ht="12.75" customHeight="1">
      <c r="C3953"/>
      <c r="M3953"/>
    </row>
    <row r="3954" spans="3:13" ht="12.75" customHeight="1">
      <c r="C3954"/>
      <c r="M3954"/>
    </row>
    <row r="3955" spans="3:13" ht="12.75" customHeight="1">
      <c r="C3955"/>
      <c r="M3955"/>
    </row>
    <row r="3956" spans="3:13" ht="12.75" customHeight="1">
      <c r="C3956"/>
      <c r="M3956"/>
    </row>
    <row r="3957" spans="3:13" ht="12.75" customHeight="1">
      <c r="C3957"/>
      <c r="M3957"/>
    </row>
    <row r="3958" spans="3:13" ht="12.75" customHeight="1">
      <c r="C3958"/>
      <c r="M3958"/>
    </row>
    <row r="3959" spans="3:13" ht="12.75" customHeight="1">
      <c r="C3959"/>
      <c r="M3959"/>
    </row>
    <row r="3960" spans="3:13" ht="12.75" customHeight="1">
      <c r="C3960"/>
      <c r="M3960"/>
    </row>
    <row r="3961" spans="3:13" ht="12.75" customHeight="1">
      <c r="C3961"/>
      <c r="M3961"/>
    </row>
    <row r="3962" spans="3:13" ht="12.75" customHeight="1">
      <c r="C3962"/>
      <c r="M3962"/>
    </row>
    <row r="3963" spans="3:13" ht="12.75" customHeight="1">
      <c r="C3963"/>
      <c r="M3963"/>
    </row>
    <row r="3964" spans="3:13" ht="12.75" customHeight="1">
      <c r="C3964"/>
      <c r="M3964"/>
    </row>
    <row r="3965" spans="3:13" ht="12.75" customHeight="1">
      <c r="C3965"/>
      <c r="M3965"/>
    </row>
    <row r="3966" spans="3:13" ht="12.75" customHeight="1">
      <c r="C3966"/>
      <c r="M3966"/>
    </row>
    <row r="3967" spans="3:13" ht="12.75" customHeight="1">
      <c r="C3967"/>
      <c r="M3967"/>
    </row>
    <row r="3968" spans="3:13" ht="12.75" customHeight="1">
      <c r="C3968"/>
      <c r="M3968"/>
    </row>
    <row r="3969" spans="3:13" ht="12.75" customHeight="1">
      <c r="C3969"/>
      <c r="M3969"/>
    </row>
    <row r="3970" spans="3:13" ht="12.75" customHeight="1">
      <c r="C3970"/>
      <c r="M3970"/>
    </row>
    <row r="3971" spans="3:13" ht="12.75" customHeight="1">
      <c r="C3971"/>
      <c r="M3971"/>
    </row>
    <row r="3972" spans="3:13" ht="12.75" customHeight="1">
      <c r="C3972"/>
      <c r="M3972"/>
    </row>
    <row r="3973" spans="3:13" ht="12.75" customHeight="1">
      <c r="C3973"/>
      <c r="M3973"/>
    </row>
    <row r="3974" spans="3:13" ht="12.75" customHeight="1">
      <c r="C3974"/>
      <c r="M3974"/>
    </row>
    <row r="3975" spans="3:13" ht="12.75" customHeight="1">
      <c r="C3975"/>
      <c r="M3975"/>
    </row>
    <row r="3976" spans="3:13" ht="12.75" customHeight="1">
      <c r="C3976"/>
      <c r="M3976"/>
    </row>
    <row r="3977" spans="3:13" ht="12.75" customHeight="1">
      <c r="C3977"/>
      <c r="M3977"/>
    </row>
    <row r="3978" spans="3:13" ht="12.75" customHeight="1">
      <c r="C3978"/>
      <c r="M3978"/>
    </row>
    <row r="3979" spans="3:13" ht="12.75" customHeight="1">
      <c r="C3979"/>
      <c r="M3979"/>
    </row>
    <row r="3980" spans="3:13" ht="12.75" customHeight="1">
      <c r="C3980"/>
      <c r="M3980"/>
    </row>
    <row r="3981" spans="3:13" ht="12.75" customHeight="1">
      <c r="C3981"/>
      <c r="M3981"/>
    </row>
    <row r="3982" spans="3:13" ht="12.75" customHeight="1">
      <c r="C3982"/>
      <c r="M3982"/>
    </row>
    <row r="3983" spans="3:13" ht="12.75" customHeight="1">
      <c r="C3983"/>
      <c r="M3983"/>
    </row>
    <row r="3984" spans="3:13" ht="12.75" customHeight="1">
      <c r="C3984"/>
      <c r="M3984"/>
    </row>
    <row r="3985" spans="3:13" ht="12.75" customHeight="1">
      <c r="C3985"/>
      <c r="M3985"/>
    </row>
    <row r="3986" spans="3:13" ht="12.75" customHeight="1">
      <c r="C3986"/>
      <c r="M3986"/>
    </row>
    <row r="3987" spans="3:13" ht="12.75" customHeight="1">
      <c r="C3987"/>
      <c r="M3987"/>
    </row>
    <row r="3988" spans="3:13" ht="12.75" customHeight="1">
      <c r="C3988"/>
      <c r="M3988"/>
    </row>
    <row r="3989" spans="3:13" ht="12.75" customHeight="1">
      <c r="C3989"/>
      <c r="M3989"/>
    </row>
    <row r="3990" spans="3:13" ht="12.75" customHeight="1">
      <c r="C3990"/>
      <c r="M3990"/>
    </row>
    <row r="3991" spans="3:13" ht="12.75" customHeight="1">
      <c r="C3991"/>
      <c r="M3991"/>
    </row>
    <row r="3992" spans="3:13" ht="12.75" customHeight="1">
      <c r="C3992"/>
      <c r="M3992"/>
    </row>
    <row r="3993" spans="3:13" ht="12.75" customHeight="1">
      <c r="C3993"/>
      <c r="M3993"/>
    </row>
    <row r="3994" spans="3:13" ht="12.75" customHeight="1">
      <c r="C3994"/>
      <c r="M3994"/>
    </row>
    <row r="3995" spans="3:13" ht="12.75" customHeight="1">
      <c r="C3995"/>
      <c r="M3995"/>
    </row>
    <row r="3996" spans="3:13" ht="12.75" customHeight="1">
      <c r="C3996"/>
      <c r="M3996"/>
    </row>
    <row r="3997" spans="3:13" ht="12.75" customHeight="1">
      <c r="C3997"/>
      <c r="M3997"/>
    </row>
    <row r="3998" spans="3:13" ht="12.75" customHeight="1">
      <c r="C3998"/>
      <c r="M3998"/>
    </row>
    <row r="3999" spans="3:13" ht="12.75" customHeight="1">
      <c r="C3999"/>
      <c r="M3999"/>
    </row>
    <row r="4000" spans="3:13" ht="12.75" customHeight="1">
      <c r="C4000"/>
      <c r="M4000"/>
    </row>
    <row r="4001" spans="3:13" ht="12.75" customHeight="1">
      <c r="C4001"/>
      <c r="M4001"/>
    </row>
    <row r="4002" spans="3:13" ht="12.75" customHeight="1">
      <c r="C4002"/>
      <c r="M4002"/>
    </row>
    <row r="4003" spans="3:13" ht="12.75" customHeight="1">
      <c r="C4003"/>
      <c r="M4003"/>
    </row>
    <row r="4004" spans="3:13" ht="12.75" customHeight="1">
      <c r="C4004"/>
      <c r="M4004"/>
    </row>
    <row r="4005" spans="3:13" ht="12.75" customHeight="1">
      <c r="C4005"/>
      <c r="M4005"/>
    </row>
    <row r="4006" spans="3:13" ht="12.75" customHeight="1">
      <c r="C4006"/>
      <c r="M4006"/>
    </row>
    <row r="4007" spans="3:13" ht="12.75" customHeight="1">
      <c r="C4007"/>
      <c r="M4007"/>
    </row>
    <row r="4008" spans="3:13" ht="12.75" customHeight="1">
      <c r="C4008"/>
      <c r="M4008"/>
    </row>
    <row r="4009" spans="3:13" ht="12.75" customHeight="1">
      <c r="C4009"/>
      <c r="M4009"/>
    </row>
    <row r="4010" spans="3:13" ht="12.75" customHeight="1">
      <c r="C4010"/>
      <c r="M4010"/>
    </row>
    <row r="4011" spans="3:13" ht="12.75" customHeight="1">
      <c r="C4011"/>
      <c r="M4011"/>
    </row>
    <row r="4012" spans="3:13" ht="12.75" customHeight="1">
      <c r="C4012"/>
      <c r="M4012"/>
    </row>
    <row r="4013" spans="3:13" ht="12.75" customHeight="1">
      <c r="C4013"/>
      <c r="M4013"/>
    </row>
    <row r="4014" spans="3:13" ht="12.75" customHeight="1">
      <c r="C4014"/>
      <c r="M4014"/>
    </row>
    <row r="4015" spans="3:13" ht="12.75" customHeight="1">
      <c r="C4015"/>
      <c r="M4015"/>
    </row>
    <row r="4016" spans="3:13" ht="12.75" customHeight="1">
      <c r="C4016"/>
      <c r="M4016"/>
    </row>
    <row r="4017" spans="3:13" ht="12.75" customHeight="1">
      <c r="C4017"/>
      <c r="M4017"/>
    </row>
    <row r="4018" spans="3:13" ht="12.75" customHeight="1">
      <c r="C4018"/>
      <c r="M4018"/>
    </row>
    <row r="4019" spans="3:13" ht="12.75" customHeight="1">
      <c r="C4019"/>
      <c r="M4019"/>
    </row>
    <row r="4020" spans="3:13" ht="12.75" customHeight="1">
      <c r="C4020"/>
      <c r="M4020"/>
    </row>
    <row r="4021" spans="3:13" ht="12.75" customHeight="1">
      <c r="C4021"/>
      <c r="M4021"/>
    </row>
    <row r="4022" spans="3:13" ht="12.75" customHeight="1">
      <c r="C4022"/>
      <c r="M4022"/>
    </row>
    <row r="4023" spans="3:13" ht="12.75" customHeight="1">
      <c r="C4023"/>
      <c r="M4023"/>
    </row>
    <row r="4024" spans="3:13" ht="12.75" customHeight="1">
      <c r="C4024"/>
      <c r="M4024"/>
    </row>
    <row r="4025" spans="3:13" ht="12.75" customHeight="1">
      <c r="C4025"/>
      <c r="M4025"/>
    </row>
    <row r="4026" spans="3:13" ht="12.75" customHeight="1">
      <c r="C4026"/>
      <c r="M4026"/>
    </row>
    <row r="4027" spans="3:13" ht="12.75" customHeight="1">
      <c r="C4027"/>
      <c r="M4027"/>
    </row>
    <row r="4028" spans="3:13" ht="12.75" customHeight="1">
      <c r="C4028"/>
      <c r="M4028"/>
    </row>
    <row r="4029" spans="3:13" ht="12.75" customHeight="1">
      <c r="C4029"/>
      <c r="M4029"/>
    </row>
    <row r="4030" spans="3:13" ht="12.75" customHeight="1">
      <c r="C4030"/>
      <c r="M4030"/>
    </row>
    <row r="4031" spans="3:13" ht="12.75" customHeight="1">
      <c r="C4031"/>
      <c r="M4031"/>
    </row>
    <row r="4032" spans="3:13" ht="12.75" customHeight="1">
      <c r="C4032"/>
      <c r="M4032"/>
    </row>
    <row r="4033" spans="3:13" ht="12.75" customHeight="1">
      <c r="C4033"/>
      <c r="M4033"/>
    </row>
    <row r="4034" spans="3:13" ht="12.75" customHeight="1">
      <c r="C4034"/>
      <c r="M4034"/>
    </row>
    <row r="4035" spans="3:13" ht="12.75" customHeight="1">
      <c r="C4035"/>
      <c r="M4035"/>
    </row>
    <row r="4036" spans="3:13" ht="12.75" customHeight="1">
      <c r="C4036"/>
      <c r="M4036"/>
    </row>
    <row r="4037" spans="3:13" ht="12.75" customHeight="1">
      <c r="C4037"/>
      <c r="M4037"/>
    </row>
    <row r="4038" spans="3:13" ht="12.75" customHeight="1">
      <c r="C4038"/>
      <c r="M4038"/>
    </row>
    <row r="4039" spans="3:13" ht="12.75" customHeight="1">
      <c r="C4039"/>
      <c r="M4039"/>
    </row>
    <row r="4040" spans="3:13" ht="12.75" customHeight="1">
      <c r="C4040"/>
      <c r="M4040"/>
    </row>
    <row r="4041" spans="3:13" ht="12.75" customHeight="1">
      <c r="C4041"/>
      <c r="M4041"/>
    </row>
    <row r="4042" spans="3:13" ht="12.75" customHeight="1">
      <c r="C4042"/>
      <c r="M4042"/>
    </row>
    <row r="4043" spans="3:13" ht="12.75" customHeight="1">
      <c r="C4043"/>
      <c r="M4043"/>
    </row>
    <row r="4044" spans="3:13" ht="12.75" customHeight="1">
      <c r="C4044"/>
      <c r="M4044"/>
    </row>
    <row r="4045" spans="3:13" ht="12.75" customHeight="1">
      <c r="C4045"/>
      <c r="M4045"/>
    </row>
    <row r="4046" spans="3:13" ht="12.75" customHeight="1">
      <c r="C4046"/>
      <c r="M4046"/>
    </row>
    <row r="4047" spans="3:13" ht="12.75" customHeight="1">
      <c r="C4047"/>
      <c r="M4047"/>
    </row>
    <row r="4048" spans="3:13" ht="12.75" customHeight="1">
      <c r="C4048"/>
      <c r="M4048"/>
    </row>
    <row r="4049" spans="3:13" ht="12.75" customHeight="1">
      <c r="C4049"/>
      <c r="M4049"/>
    </row>
    <row r="4050" spans="3:13" ht="12.75" customHeight="1">
      <c r="C4050"/>
      <c r="M4050"/>
    </row>
    <row r="4051" spans="3:13" ht="12.75" customHeight="1">
      <c r="C4051"/>
      <c r="M4051"/>
    </row>
    <row r="4052" spans="3:13" ht="12.75" customHeight="1">
      <c r="C4052"/>
      <c r="M4052"/>
    </row>
    <row r="4053" spans="3:13" ht="12.75" customHeight="1">
      <c r="C4053"/>
      <c r="M4053"/>
    </row>
    <row r="4054" spans="3:13" ht="12.75" customHeight="1">
      <c r="C4054"/>
      <c r="M4054"/>
    </row>
    <row r="4055" spans="3:13" ht="12.75" customHeight="1">
      <c r="C4055"/>
      <c r="M4055"/>
    </row>
    <row r="4056" spans="3:13" ht="12.75" customHeight="1">
      <c r="C4056"/>
      <c r="M4056"/>
    </row>
    <row r="4057" spans="3:13" ht="12.75" customHeight="1">
      <c r="C4057"/>
      <c r="M4057"/>
    </row>
    <row r="4058" spans="3:13" ht="12.75" customHeight="1">
      <c r="C4058"/>
      <c r="M4058"/>
    </row>
    <row r="4059" spans="3:13" ht="12.75" customHeight="1">
      <c r="C4059"/>
      <c r="M4059"/>
    </row>
    <row r="4060" spans="3:13" ht="12.75" customHeight="1">
      <c r="C4060"/>
      <c r="M4060"/>
    </row>
    <row r="4061" spans="3:13" ht="12.75" customHeight="1">
      <c r="C4061"/>
      <c r="M4061"/>
    </row>
    <row r="4062" spans="3:13" ht="12.75" customHeight="1">
      <c r="C4062"/>
      <c r="M4062"/>
    </row>
    <row r="4063" spans="3:13" ht="12.75" customHeight="1">
      <c r="C4063"/>
      <c r="M4063"/>
    </row>
    <row r="4064" spans="3:13" ht="12.75" customHeight="1">
      <c r="C4064"/>
      <c r="M4064"/>
    </row>
    <row r="4065" spans="3:13" ht="12.75" customHeight="1">
      <c r="C4065"/>
      <c r="M4065"/>
    </row>
    <row r="4066" spans="3:13" ht="12.75" customHeight="1">
      <c r="C4066"/>
      <c r="M4066"/>
    </row>
    <row r="4067" spans="3:13" ht="12.75" customHeight="1">
      <c r="C4067"/>
      <c r="M4067"/>
    </row>
    <row r="4068" spans="3:13" ht="12.75" customHeight="1">
      <c r="C4068"/>
      <c r="M4068"/>
    </row>
    <row r="4069" spans="3:13" ht="12.75" customHeight="1">
      <c r="C4069"/>
      <c r="M4069"/>
    </row>
    <row r="4070" spans="3:13" ht="12.75" customHeight="1">
      <c r="C4070"/>
      <c r="M4070"/>
    </row>
    <row r="4071" spans="3:13" ht="12.75" customHeight="1">
      <c r="C4071"/>
      <c r="M4071"/>
    </row>
    <row r="4072" spans="3:13" ht="12.75" customHeight="1">
      <c r="C4072"/>
      <c r="M4072"/>
    </row>
    <row r="4073" spans="3:13" ht="12.75" customHeight="1">
      <c r="C4073"/>
      <c r="M4073"/>
    </row>
    <row r="4074" spans="3:13" ht="12.75" customHeight="1">
      <c r="C4074"/>
      <c r="M4074"/>
    </row>
    <row r="4075" spans="3:13" ht="12.75" customHeight="1">
      <c r="C4075"/>
      <c r="M4075"/>
    </row>
    <row r="4076" spans="3:13" ht="12.75" customHeight="1">
      <c r="C4076"/>
      <c r="M4076"/>
    </row>
    <row r="4077" spans="3:13" ht="12.75" customHeight="1">
      <c r="C4077"/>
      <c r="M4077"/>
    </row>
    <row r="4078" spans="3:13" ht="12.75" customHeight="1">
      <c r="C4078"/>
      <c r="M4078"/>
    </row>
    <row r="4079" spans="3:13" ht="12.75" customHeight="1">
      <c r="C4079"/>
      <c r="M4079"/>
    </row>
    <row r="4080" spans="3:13" ht="12.75" customHeight="1">
      <c r="C4080"/>
      <c r="M4080"/>
    </row>
    <row r="4081" spans="3:13" ht="12.75" customHeight="1">
      <c r="C4081"/>
      <c r="M4081"/>
    </row>
    <row r="4082" spans="3:13" ht="12.75" customHeight="1">
      <c r="C4082"/>
      <c r="M4082"/>
    </row>
    <row r="4083" spans="3:13" ht="12.75" customHeight="1">
      <c r="C4083"/>
      <c r="M4083"/>
    </row>
    <row r="4084" spans="3:13" ht="12.75" customHeight="1">
      <c r="C4084"/>
      <c r="M4084"/>
    </row>
    <row r="4085" spans="3:13" ht="12.75" customHeight="1">
      <c r="C4085"/>
      <c r="M4085"/>
    </row>
    <row r="4086" spans="3:13" ht="12.75" customHeight="1">
      <c r="C4086"/>
      <c r="M4086"/>
    </row>
    <row r="4087" spans="3:13" ht="12.75" customHeight="1">
      <c r="C4087"/>
      <c r="M4087"/>
    </row>
    <row r="4088" spans="3:13" ht="12.75" customHeight="1">
      <c r="C4088"/>
      <c r="M4088"/>
    </row>
    <row r="4089" spans="3:13" ht="12.75" customHeight="1">
      <c r="C4089"/>
      <c r="M4089"/>
    </row>
    <row r="4090" spans="3:13" ht="12.75" customHeight="1">
      <c r="C4090"/>
      <c r="M4090"/>
    </row>
    <row r="4091" spans="3:13" ht="12.75" customHeight="1">
      <c r="C4091"/>
      <c r="M4091"/>
    </row>
    <row r="4092" spans="3:13" ht="12.75" customHeight="1">
      <c r="C4092"/>
      <c r="M4092"/>
    </row>
    <row r="4093" spans="3:13" ht="12.75" customHeight="1">
      <c r="C4093"/>
      <c r="M4093"/>
    </row>
    <row r="4094" spans="3:13" ht="12.75" customHeight="1">
      <c r="C4094"/>
      <c r="M4094"/>
    </row>
    <row r="4095" spans="3:13" ht="12.75" customHeight="1">
      <c r="C4095"/>
      <c r="M4095"/>
    </row>
    <row r="4096" spans="3:13" ht="12.75" customHeight="1">
      <c r="C4096"/>
      <c r="M4096"/>
    </row>
    <row r="4097" spans="3:13" ht="12.75" customHeight="1">
      <c r="C4097"/>
      <c r="M4097"/>
    </row>
    <row r="4098" spans="3:13" ht="12.75" customHeight="1">
      <c r="C4098"/>
      <c r="M4098"/>
    </row>
    <row r="4099" spans="3:13" ht="12.75" customHeight="1">
      <c r="C4099"/>
      <c r="M4099"/>
    </row>
    <row r="4100" spans="3:13" ht="12.75" customHeight="1">
      <c r="C4100"/>
      <c r="M4100"/>
    </row>
    <row r="4101" spans="3:13" ht="12.75" customHeight="1">
      <c r="C4101"/>
      <c r="M4101"/>
    </row>
    <row r="4102" spans="3:13" ht="12.75" customHeight="1">
      <c r="C4102"/>
      <c r="M4102"/>
    </row>
    <row r="4103" spans="3:13" ht="12.75" customHeight="1">
      <c r="C4103"/>
      <c r="M4103"/>
    </row>
    <row r="4104" spans="3:13" ht="12.75" customHeight="1">
      <c r="C4104"/>
      <c r="M4104"/>
    </row>
    <row r="4105" spans="3:13" ht="12.75" customHeight="1">
      <c r="C4105"/>
      <c r="M4105"/>
    </row>
    <row r="4106" spans="3:13" ht="12.75" customHeight="1">
      <c r="C4106"/>
      <c r="M4106"/>
    </row>
    <row r="4107" spans="3:13" ht="12.75" customHeight="1">
      <c r="C4107"/>
      <c r="M4107"/>
    </row>
    <row r="4108" spans="3:13" ht="12.75" customHeight="1">
      <c r="C4108"/>
      <c r="M4108"/>
    </row>
    <row r="4109" spans="3:13" ht="12.75" customHeight="1">
      <c r="C4109"/>
      <c r="M4109"/>
    </row>
    <row r="4110" spans="3:13" ht="12.75" customHeight="1">
      <c r="C4110"/>
      <c r="M4110"/>
    </row>
    <row r="4111" spans="3:13" ht="12.75" customHeight="1">
      <c r="C4111"/>
      <c r="M4111"/>
    </row>
    <row r="4112" spans="3:13" ht="12.75" customHeight="1">
      <c r="C4112"/>
      <c r="M4112"/>
    </row>
    <row r="4113" spans="3:13" ht="12.75" customHeight="1">
      <c r="C4113"/>
      <c r="M4113"/>
    </row>
    <row r="4114" spans="3:13" ht="12.75" customHeight="1">
      <c r="C4114"/>
      <c r="M4114"/>
    </row>
    <row r="4115" spans="3:13" ht="12.75" customHeight="1">
      <c r="C4115"/>
      <c r="M4115"/>
    </row>
    <row r="4116" spans="3:13" ht="12.75" customHeight="1">
      <c r="C4116"/>
      <c r="M4116"/>
    </row>
    <row r="4117" spans="3:13" ht="12.75" customHeight="1">
      <c r="C4117"/>
      <c r="M4117"/>
    </row>
    <row r="4118" spans="3:13" ht="12.75" customHeight="1">
      <c r="C4118"/>
      <c r="M4118"/>
    </row>
    <row r="4119" spans="3:13" ht="12.75" customHeight="1">
      <c r="C4119"/>
      <c r="M4119"/>
    </row>
    <row r="4120" spans="3:13" ht="12.75" customHeight="1">
      <c r="C4120"/>
      <c r="M4120"/>
    </row>
    <row r="4121" spans="3:13" ht="12.75" customHeight="1">
      <c r="C4121"/>
      <c r="M4121"/>
    </row>
    <row r="4122" spans="3:13" ht="12.75" customHeight="1">
      <c r="C4122"/>
      <c r="M4122"/>
    </row>
    <row r="4123" spans="3:13" ht="12.75" customHeight="1">
      <c r="C4123"/>
      <c r="M4123"/>
    </row>
    <row r="4124" spans="3:13" ht="12.75" customHeight="1">
      <c r="C4124"/>
      <c r="M4124"/>
    </row>
    <row r="4125" spans="3:13" ht="12.75" customHeight="1">
      <c r="C4125"/>
      <c r="M4125"/>
    </row>
    <row r="4126" spans="3:13" ht="12.75" customHeight="1">
      <c r="C4126"/>
      <c r="M4126"/>
    </row>
    <row r="4127" spans="3:13" ht="12.75" customHeight="1">
      <c r="C4127"/>
      <c r="M4127"/>
    </row>
    <row r="4128" spans="3:13" ht="12.75" customHeight="1">
      <c r="C4128"/>
      <c r="M4128"/>
    </row>
    <row r="4129" spans="3:13" ht="12.75" customHeight="1">
      <c r="C4129"/>
      <c r="M4129"/>
    </row>
    <row r="4130" spans="3:13" ht="12.75" customHeight="1">
      <c r="C4130"/>
      <c r="M4130"/>
    </row>
    <row r="4131" spans="3:13" ht="12.75" customHeight="1">
      <c r="C4131"/>
      <c r="M4131"/>
    </row>
    <row r="4132" spans="3:13" ht="12.75" customHeight="1">
      <c r="C4132"/>
      <c r="M4132"/>
    </row>
    <row r="4133" spans="3:13" ht="12.75" customHeight="1">
      <c r="C4133"/>
      <c r="M4133"/>
    </row>
    <row r="4134" spans="3:13" ht="12.75" customHeight="1">
      <c r="C4134"/>
      <c r="M4134"/>
    </row>
    <row r="4135" spans="3:13" ht="12.75" customHeight="1">
      <c r="C4135"/>
      <c r="M4135"/>
    </row>
    <row r="4136" spans="3:13" ht="12.75" customHeight="1">
      <c r="C4136"/>
      <c r="M4136"/>
    </row>
    <row r="4137" spans="3:13" ht="12.75" customHeight="1">
      <c r="C4137"/>
      <c r="M4137"/>
    </row>
    <row r="4138" spans="3:13" ht="12.75" customHeight="1">
      <c r="C4138"/>
      <c r="M4138"/>
    </row>
    <row r="4139" spans="3:13" ht="12.75" customHeight="1">
      <c r="C4139"/>
      <c r="M4139"/>
    </row>
    <row r="4140" spans="3:13" ht="12.75" customHeight="1">
      <c r="C4140"/>
      <c r="M4140"/>
    </row>
    <row r="4141" spans="3:13" ht="12.75" customHeight="1">
      <c r="C4141"/>
      <c r="M4141"/>
    </row>
    <row r="4142" spans="3:13" ht="12.75" customHeight="1">
      <c r="C4142"/>
      <c r="M4142"/>
    </row>
    <row r="4143" spans="3:13" ht="12.75" customHeight="1">
      <c r="C4143"/>
      <c r="M4143"/>
    </row>
    <row r="4144" spans="3:13" ht="12.75" customHeight="1">
      <c r="C4144"/>
      <c r="M4144"/>
    </row>
    <row r="4145" spans="3:13" ht="12.75" customHeight="1">
      <c r="C4145"/>
      <c r="M4145"/>
    </row>
    <row r="4146" spans="3:13" ht="12.75" customHeight="1">
      <c r="C4146"/>
      <c r="M4146"/>
    </row>
    <row r="4147" spans="3:13" ht="12.75" customHeight="1">
      <c r="C4147"/>
      <c r="M4147"/>
    </row>
    <row r="4148" spans="3:13" ht="12.75" customHeight="1">
      <c r="C4148"/>
      <c r="M4148"/>
    </row>
    <row r="4149" spans="3:13" ht="12.75" customHeight="1">
      <c r="C4149"/>
      <c r="M4149"/>
    </row>
    <row r="4150" spans="3:13" ht="12.75" customHeight="1">
      <c r="C4150"/>
      <c r="M4150"/>
    </row>
    <row r="4151" spans="3:13" ht="12.75" customHeight="1">
      <c r="C4151"/>
      <c r="M4151"/>
    </row>
    <row r="4152" spans="3:13" ht="12.75" customHeight="1">
      <c r="C4152"/>
      <c r="M4152"/>
    </row>
    <row r="4153" spans="3:13" ht="12.75" customHeight="1">
      <c r="C4153"/>
      <c r="M4153"/>
    </row>
    <row r="4154" spans="3:13" ht="12.75" customHeight="1">
      <c r="C4154"/>
      <c r="M4154"/>
    </row>
    <row r="4155" spans="3:13" ht="12.75" customHeight="1">
      <c r="C4155"/>
      <c r="M4155"/>
    </row>
    <row r="4156" spans="3:13" ht="12.75" customHeight="1">
      <c r="C4156"/>
      <c r="M4156"/>
    </row>
    <row r="4157" spans="3:13" ht="12.75" customHeight="1">
      <c r="C4157"/>
      <c r="M4157"/>
    </row>
    <row r="4158" spans="3:13" ht="12.75" customHeight="1">
      <c r="C4158"/>
      <c r="M4158"/>
    </row>
    <row r="4159" spans="3:13" ht="12.75" customHeight="1">
      <c r="C4159"/>
      <c r="M4159"/>
    </row>
    <row r="4160" spans="3:13" ht="12.75" customHeight="1">
      <c r="C4160"/>
      <c r="M4160"/>
    </row>
    <row r="4161" spans="3:13" ht="12.75" customHeight="1">
      <c r="C4161"/>
      <c r="M4161"/>
    </row>
    <row r="4162" spans="3:13" ht="12.75" customHeight="1">
      <c r="C4162"/>
      <c r="M4162"/>
    </row>
    <row r="4163" spans="3:13" ht="12.75" customHeight="1">
      <c r="C4163"/>
      <c r="M4163"/>
    </row>
    <row r="4164" spans="3:13" ht="12.75" customHeight="1">
      <c r="C4164"/>
      <c r="M4164"/>
    </row>
    <row r="4165" spans="3:13" ht="12.75" customHeight="1">
      <c r="C4165"/>
      <c r="M4165"/>
    </row>
    <row r="4166" spans="3:13" ht="12.75" customHeight="1">
      <c r="C4166"/>
      <c r="M4166"/>
    </row>
    <row r="4167" spans="3:13" ht="12.75" customHeight="1">
      <c r="C4167"/>
      <c r="M4167"/>
    </row>
    <row r="4168" spans="3:13" ht="12.75" customHeight="1">
      <c r="C4168"/>
      <c r="M4168"/>
    </row>
    <row r="4169" spans="3:13" ht="12.75" customHeight="1">
      <c r="C4169"/>
      <c r="M4169"/>
    </row>
    <row r="4170" spans="3:13" ht="12.75" customHeight="1">
      <c r="C4170"/>
      <c r="M4170"/>
    </row>
    <row r="4171" spans="3:13" ht="12.75" customHeight="1">
      <c r="C4171"/>
      <c r="M4171"/>
    </row>
    <row r="4172" spans="3:13" ht="12.75" customHeight="1">
      <c r="C4172"/>
      <c r="M4172"/>
    </row>
    <row r="4173" spans="3:13" ht="12.75" customHeight="1">
      <c r="C4173"/>
      <c r="M4173"/>
    </row>
    <row r="4174" spans="3:13" ht="12.75" customHeight="1">
      <c r="C4174"/>
      <c r="M4174"/>
    </row>
    <row r="4175" spans="3:13" ht="12.75" customHeight="1">
      <c r="C4175"/>
      <c r="M4175"/>
    </row>
    <row r="4176" spans="3:13" ht="12.75" customHeight="1">
      <c r="C4176"/>
      <c r="M4176"/>
    </row>
    <row r="4177" spans="3:13" ht="12.75" customHeight="1">
      <c r="C4177"/>
      <c r="M4177"/>
    </row>
    <row r="4178" spans="3:13" ht="12.75" customHeight="1">
      <c r="C4178"/>
      <c r="M4178"/>
    </row>
    <row r="4179" spans="3:13" ht="12.75" customHeight="1">
      <c r="C4179"/>
      <c r="M4179"/>
    </row>
    <row r="4180" spans="3:13" ht="12.75" customHeight="1">
      <c r="C4180"/>
      <c r="M4180"/>
    </row>
    <row r="4181" spans="3:13" ht="12.75" customHeight="1">
      <c r="C4181"/>
      <c r="M4181"/>
    </row>
    <row r="4182" spans="3:13" ht="12.75" customHeight="1">
      <c r="C4182"/>
      <c r="M4182"/>
    </row>
    <row r="4183" spans="3:13" ht="12.75" customHeight="1">
      <c r="C4183"/>
      <c r="M4183"/>
    </row>
    <row r="4184" spans="3:13" ht="12.75" customHeight="1">
      <c r="C4184"/>
      <c r="M4184"/>
    </row>
    <row r="4185" spans="3:13" ht="12.75" customHeight="1">
      <c r="C4185"/>
      <c r="M4185"/>
    </row>
    <row r="4186" spans="3:13" ht="12.75" customHeight="1">
      <c r="C4186"/>
      <c r="M4186"/>
    </row>
    <row r="4187" spans="3:13" ht="12.75" customHeight="1">
      <c r="C4187"/>
      <c r="M4187"/>
    </row>
    <row r="4188" spans="3:13" ht="12.75" customHeight="1">
      <c r="C4188"/>
      <c r="M4188"/>
    </row>
    <row r="4189" spans="3:13" ht="12.75" customHeight="1">
      <c r="C4189"/>
      <c r="M4189"/>
    </row>
    <row r="4190" spans="3:13" ht="12.75" customHeight="1">
      <c r="C4190"/>
      <c r="M4190"/>
    </row>
    <row r="4191" spans="3:13" ht="12.75" customHeight="1">
      <c r="C4191"/>
      <c r="M4191"/>
    </row>
    <row r="4192" spans="3:13" ht="12.75" customHeight="1">
      <c r="C4192"/>
      <c r="M4192"/>
    </row>
    <row r="4193" spans="3:13" ht="12.75" customHeight="1">
      <c r="C4193"/>
      <c r="M4193"/>
    </row>
    <row r="4194" spans="3:13" ht="12.75" customHeight="1">
      <c r="C4194"/>
      <c r="M4194"/>
    </row>
    <row r="4195" spans="3:13" ht="12.75" customHeight="1">
      <c r="C4195"/>
      <c r="M4195"/>
    </row>
    <row r="4196" spans="3:13" ht="12.75" customHeight="1">
      <c r="C4196"/>
      <c r="M4196"/>
    </row>
    <row r="4197" spans="3:13" ht="12.75" customHeight="1">
      <c r="C4197"/>
      <c r="M4197"/>
    </row>
    <row r="4198" spans="3:13" ht="12.75" customHeight="1">
      <c r="C4198"/>
      <c r="M4198"/>
    </row>
    <row r="4199" spans="3:13" ht="12.75" customHeight="1">
      <c r="C4199"/>
      <c r="M4199"/>
    </row>
    <row r="4200" spans="3:13" ht="12.75" customHeight="1">
      <c r="C4200"/>
      <c r="M4200"/>
    </row>
    <row r="4201" spans="3:13" ht="12.75" customHeight="1">
      <c r="C4201"/>
      <c r="M4201"/>
    </row>
    <row r="4202" spans="3:13" ht="12.75" customHeight="1">
      <c r="C4202"/>
      <c r="M4202"/>
    </row>
    <row r="4203" spans="3:13" ht="12.75" customHeight="1">
      <c r="C4203"/>
      <c r="M4203"/>
    </row>
    <row r="4204" spans="3:13" ht="12.75" customHeight="1">
      <c r="C4204"/>
      <c r="M4204"/>
    </row>
    <row r="4205" spans="3:13" ht="12.75" customHeight="1">
      <c r="C4205"/>
      <c r="M4205"/>
    </row>
    <row r="4206" spans="3:13" ht="12.75" customHeight="1">
      <c r="C4206"/>
      <c r="M4206"/>
    </row>
    <row r="4207" spans="3:13" ht="12.75" customHeight="1">
      <c r="C4207"/>
      <c r="M4207"/>
    </row>
    <row r="4208" spans="3:13" ht="12.75" customHeight="1">
      <c r="C4208"/>
      <c r="M4208"/>
    </row>
    <row r="4209" spans="3:13" ht="12.75" customHeight="1">
      <c r="C4209"/>
      <c r="M4209"/>
    </row>
    <row r="4210" spans="3:13" ht="12.75" customHeight="1">
      <c r="C4210"/>
      <c r="M4210"/>
    </row>
    <row r="4211" spans="3:13" ht="12.75" customHeight="1">
      <c r="C4211"/>
      <c r="M4211"/>
    </row>
    <row r="4212" spans="3:13" ht="12.75" customHeight="1">
      <c r="C4212"/>
      <c r="M4212"/>
    </row>
    <row r="4213" spans="3:13" ht="12.75" customHeight="1">
      <c r="C4213"/>
      <c r="M4213"/>
    </row>
    <row r="4214" spans="3:13" ht="12.75" customHeight="1">
      <c r="C4214"/>
      <c r="M4214"/>
    </row>
    <row r="4215" spans="3:13" ht="12.75" customHeight="1">
      <c r="C4215"/>
      <c r="M4215"/>
    </row>
    <row r="4216" spans="3:13" ht="12.75" customHeight="1">
      <c r="C4216"/>
      <c r="M4216"/>
    </row>
    <row r="4217" spans="3:13" ht="12.75" customHeight="1">
      <c r="C4217"/>
      <c r="M4217"/>
    </row>
    <row r="4218" spans="3:13" ht="12.75" customHeight="1">
      <c r="C4218"/>
      <c r="M4218"/>
    </row>
    <row r="4219" spans="3:13" ht="12.75" customHeight="1">
      <c r="C4219"/>
      <c r="M4219"/>
    </row>
    <row r="4220" spans="3:13" ht="12.75" customHeight="1">
      <c r="C4220"/>
      <c r="M4220"/>
    </row>
    <row r="4221" spans="3:13" ht="12.75" customHeight="1">
      <c r="C4221"/>
      <c r="M4221"/>
    </row>
    <row r="4222" spans="3:13" ht="12.75" customHeight="1">
      <c r="C4222"/>
      <c r="M4222"/>
    </row>
    <row r="4223" spans="3:13" ht="12.75" customHeight="1">
      <c r="C4223"/>
      <c r="M4223"/>
    </row>
    <row r="4224" spans="3:13" ht="12.75" customHeight="1">
      <c r="C4224"/>
      <c r="M4224"/>
    </row>
    <row r="4225" spans="3:13" ht="12.75" customHeight="1">
      <c r="C4225"/>
      <c r="M4225"/>
    </row>
    <row r="4226" spans="3:13" ht="12.75" customHeight="1">
      <c r="C4226"/>
      <c r="M4226"/>
    </row>
    <row r="4227" spans="3:13" ht="12.75" customHeight="1">
      <c r="C4227"/>
      <c r="M4227"/>
    </row>
    <row r="4228" spans="3:13" ht="12.75" customHeight="1">
      <c r="C4228"/>
      <c r="M4228"/>
    </row>
    <row r="4229" spans="3:13" ht="12.75" customHeight="1">
      <c r="C4229"/>
      <c r="M4229"/>
    </row>
    <row r="4230" spans="3:13" ht="12.75" customHeight="1">
      <c r="C4230"/>
      <c r="M4230"/>
    </row>
    <row r="4231" spans="3:13" ht="12.75" customHeight="1">
      <c r="C4231"/>
      <c r="M4231"/>
    </row>
    <row r="4232" spans="3:13" ht="12.75" customHeight="1">
      <c r="C4232"/>
      <c r="M4232"/>
    </row>
    <row r="4233" spans="3:13" ht="12.75" customHeight="1">
      <c r="C4233"/>
      <c r="M4233"/>
    </row>
    <row r="4234" spans="3:13" ht="12.75" customHeight="1">
      <c r="C4234"/>
      <c r="M4234"/>
    </row>
    <row r="4235" spans="3:13" ht="12.75" customHeight="1">
      <c r="C4235"/>
      <c r="M4235"/>
    </row>
    <row r="4236" spans="3:13" ht="12.75" customHeight="1">
      <c r="C4236"/>
      <c r="M4236"/>
    </row>
    <row r="4237" spans="3:13" ht="12.75" customHeight="1">
      <c r="C4237"/>
      <c r="M4237"/>
    </row>
    <row r="4238" spans="3:13" ht="12.75" customHeight="1">
      <c r="C4238"/>
      <c r="M4238"/>
    </row>
    <row r="4239" spans="3:13" ht="12.75" customHeight="1">
      <c r="C4239"/>
      <c r="M4239"/>
    </row>
    <row r="4240" spans="3:13" ht="12.75" customHeight="1">
      <c r="C4240"/>
      <c r="M4240"/>
    </row>
    <row r="4241" spans="3:13" ht="12.75" customHeight="1">
      <c r="C4241"/>
      <c r="M4241"/>
    </row>
    <row r="4242" spans="3:13" ht="12.75" customHeight="1">
      <c r="C4242"/>
      <c r="M4242"/>
    </row>
    <row r="4243" spans="3:13" ht="12.75" customHeight="1">
      <c r="C4243"/>
      <c r="M4243"/>
    </row>
    <row r="4244" spans="3:13" ht="12.75" customHeight="1">
      <c r="C4244"/>
      <c r="M4244"/>
    </row>
    <row r="4245" spans="3:13" ht="12.75" customHeight="1">
      <c r="C4245"/>
      <c r="M4245"/>
    </row>
    <row r="4246" spans="3:13" ht="12.75" customHeight="1">
      <c r="C4246"/>
      <c r="M4246"/>
    </row>
    <row r="4247" spans="3:13" ht="12.75" customHeight="1">
      <c r="C4247"/>
      <c r="M4247"/>
    </row>
    <row r="4248" spans="3:13" ht="12.75" customHeight="1">
      <c r="C4248"/>
      <c r="M4248"/>
    </row>
    <row r="4249" spans="3:13" ht="12.75" customHeight="1">
      <c r="C4249"/>
      <c r="M4249"/>
    </row>
    <row r="4250" spans="3:13" ht="12.75" customHeight="1">
      <c r="C4250"/>
      <c r="M4250"/>
    </row>
    <row r="4251" spans="3:13" ht="12.75" customHeight="1">
      <c r="C4251"/>
      <c r="M4251"/>
    </row>
    <row r="4252" spans="3:13" ht="12.75" customHeight="1">
      <c r="C4252"/>
      <c r="M4252"/>
    </row>
    <row r="4253" spans="3:13" ht="12.75" customHeight="1">
      <c r="C4253"/>
      <c r="M4253"/>
    </row>
    <row r="4254" spans="3:13" ht="12.75" customHeight="1">
      <c r="C4254"/>
      <c r="M4254"/>
    </row>
    <row r="4255" spans="3:13" ht="12.75" customHeight="1">
      <c r="C4255"/>
      <c r="M4255"/>
    </row>
    <row r="4256" spans="3:13" ht="12.75" customHeight="1">
      <c r="C4256"/>
      <c r="M4256"/>
    </row>
    <row r="4257" spans="3:13" ht="12.75" customHeight="1">
      <c r="C4257"/>
      <c r="M4257"/>
    </row>
    <row r="4258" spans="3:13" ht="12.75" customHeight="1">
      <c r="C4258"/>
      <c r="M4258"/>
    </row>
    <row r="4259" spans="3:13" ht="12.75" customHeight="1">
      <c r="C4259"/>
      <c r="M4259"/>
    </row>
    <row r="4260" spans="3:13" ht="12.75" customHeight="1">
      <c r="C4260"/>
      <c r="M4260"/>
    </row>
    <row r="4261" spans="3:13" ht="12.75" customHeight="1">
      <c r="C4261"/>
      <c r="M4261"/>
    </row>
    <row r="4262" spans="3:13" ht="12.75" customHeight="1">
      <c r="C4262"/>
      <c r="M4262"/>
    </row>
    <row r="4263" spans="3:13" ht="12.75" customHeight="1">
      <c r="C4263"/>
      <c r="M4263"/>
    </row>
    <row r="4264" spans="3:13" ht="12.75" customHeight="1">
      <c r="C4264"/>
      <c r="M4264"/>
    </row>
    <row r="4265" spans="3:13" ht="12.75" customHeight="1">
      <c r="C4265"/>
      <c r="M4265"/>
    </row>
    <row r="4266" spans="3:13" ht="12.75" customHeight="1">
      <c r="C4266"/>
      <c r="M4266"/>
    </row>
    <row r="4267" spans="3:13" ht="12.75" customHeight="1">
      <c r="C4267"/>
      <c r="M4267"/>
    </row>
    <row r="4268" spans="3:13" ht="12.75" customHeight="1">
      <c r="C4268"/>
      <c r="M4268"/>
    </row>
    <row r="4269" spans="3:13" ht="12.75" customHeight="1">
      <c r="C4269"/>
      <c r="M4269"/>
    </row>
    <row r="4270" spans="3:13" ht="12.75" customHeight="1">
      <c r="C4270"/>
      <c r="M4270"/>
    </row>
    <row r="4271" spans="3:13" ht="12.75" customHeight="1">
      <c r="C4271"/>
      <c r="M4271"/>
    </row>
    <row r="4272" spans="3:13" ht="12.75" customHeight="1">
      <c r="C4272"/>
      <c r="M4272"/>
    </row>
    <row r="4273" spans="3:13" ht="12.75" customHeight="1">
      <c r="C4273"/>
      <c r="M4273"/>
    </row>
    <row r="4274" spans="3:13" ht="12.75" customHeight="1">
      <c r="C4274"/>
      <c r="M4274"/>
    </row>
    <row r="4275" spans="3:13" ht="12.75" customHeight="1">
      <c r="C4275"/>
      <c r="M4275"/>
    </row>
    <row r="4276" spans="3:13" ht="12.75" customHeight="1">
      <c r="C4276"/>
      <c r="M4276"/>
    </row>
    <row r="4277" spans="3:13" ht="12.75" customHeight="1">
      <c r="C4277"/>
      <c r="M4277"/>
    </row>
    <row r="4278" spans="3:13" ht="12.75" customHeight="1">
      <c r="C4278"/>
      <c r="M4278"/>
    </row>
    <row r="4279" spans="3:13" ht="12.75" customHeight="1">
      <c r="C4279"/>
      <c r="M4279"/>
    </row>
    <row r="4280" spans="3:13" ht="12.75" customHeight="1">
      <c r="C4280"/>
      <c r="M4280"/>
    </row>
    <row r="4281" spans="3:13" ht="12.75" customHeight="1">
      <c r="C4281"/>
      <c r="M4281"/>
    </row>
    <row r="4282" spans="3:13" ht="12.75" customHeight="1">
      <c r="C4282"/>
      <c r="M4282"/>
    </row>
    <row r="4283" spans="3:13" ht="12.75" customHeight="1">
      <c r="C4283"/>
      <c r="M4283"/>
    </row>
    <row r="4284" spans="3:13" ht="12.75" customHeight="1">
      <c r="C4284"/>
      <c r="M4284"/>
    </row>
    <row r="4285" spans="3:13" ht="12.75" customHeight="1">
      <c r="C4285"/>
      <c r="M4285"/>
    </row>
    <row r="4286" spans="3:13" ht="12.75" customHeight="1">
      <c r="C4286"/>
      <c r="M4286"/>
    </row>
    <row r="4287" spans="3:13" ht="12.75" customHeight="1">
      <c r="C4287"/>
      <c r="M4287"/>
    </row>
    <row r="4288" spans="3:13" ht="12.75" customHeight="1">
      <c r="C4288"/>
      <c r="M4288"/>
    </row>
    <row r="4289" spans="3:13" ht="12.75" customHeight="1">
      <c r="C4289"/>
      <c r="M4289"/>
    </row>
    <row r="4290" spans="3:13" ht="12.75" customHeight="1">
      <c r="C4290"/>
      <c r="M4290"/>
    </row>
    <row r="4291" spans="3:13" ht="12.75" customHeight="1">
      <c r="C4291"/>
      <c r="M4291"/>
    </row>
    <row r="4292" spans="3:13" ht="12.75" customHeight="1">
      <c r="C4292"/>
      <c r="M4292"/>
    </row>
    <row r="4293" spans="3:13" ht="12.75" customHeight="1">
      <c r="C4293"/>
      <c r="M4293"/>
    </row>
    <row r="4294" spans="3:13" ht="12.75" customHeight="1">
      <c r="C4294"/>
      <c r="M4294"/>
    </row>
    <row r="4295" spans="3:13" ht="12.75" customHeight="1">
      <c r="C4295"/>
      <c r="M4295"/>
    </row>
    <row r="4296" spans="3:13" ht="12.75" customHeight="1">
      <c r="C4296"/>
      <c r="M4296"/>
    </row>
    <row r="4297" spans="3:13" ht="12.75" customHeight="1">
      <c r="C4297"/>
      <c r="M4297"/>
    </row>
    <row r="4298" spans="3:13" ht="12.75" customHeight="1">
      <c r="C4298"/>
      <c r="M4298"/>
    </row>
    <row r="4299" spans="3:13" ht="12.75" customHeight="1">
      <c r="C4299"/>
      <c r="M4299"/>
    </row>
    <row r="4300" spans="3:13" ht="12.75" customHeight="1">
      <c r="C4300"/>
      <c r="M4300"/>
    </row>
    <row r="4301" spans="3:13" ht="12.75" customHeight="1">
      <c r="C4301"/>
      <c r="M4301"/>
    </row>
    <row r="4302" spans="3:13" ht="12.75" customHeight="1">
      <c r="C4302"/>
      <c r="M4302"/>
    </row>
    <row r="4303" spans="3:13" ht="12.75" customHeight="1">
      <c r="C4303"/>
      <c r="M4303"/>
    </row>
    <row r="4304" spans="3:13" ht="12.75" customHeight="1">
      <c r="C4304"/>
      <c r="M4304"/>
    </row>
    <row r="4305" spans="3:13" ht="12.75" customHeight="1">
      <c r="C4305"/>
      <c r="M4305"/>
    </row>
    <row r="4306" spans="3:13" ht="12.75" customHeight="1">
      <c r="C4306"/>
      <c r="M4306"/>
    </row>
    <row r="4307" spans="3:13" ht="12.75" customHeight="1">
      <c r="C4307"/>
      <c r="M4307"/>
    </row>
    <row r="4308" spans="3:13" ht="12.75" customHeight="1">
      <c r="C4308"/>
      <c r="M4308"/>
    </row>
    <row r="4309" spans="3:13" ht="12.75" customHeight="1">
      <c r="C4309"/>
      <c r="M4309"/>
    </row>
    <row r="4310" spans="3:13" ht="12.75" customHeight="1">
      <c r="C4310"/>
      <c r="M4310"/>
    </row>
    <row r="4311" spans="3:13" ht="12.75" customHeight="1">
      <c r="C4311"/>
      <c r="M4311"/>
    </row>
    <row r="4312" spans="3:13" ht="12.75" customHeight="1">
      <c r="C4312"/>
      <c r="M4312"/>
    </row>
    <row r="4313" spans="3:13" ht="12.75" customHeight="1">
      <c r="C4313"/>
      <c r="M4313"/>
    </row>
    <row r="4314" spans="3:13" ht="12.75" customHeight="1">
      <c r="C4314"/>
      <c r="M4314"/>
    </row>
    <row r="4315" spans="3:13" ht="12.75" customHeight="1">
      <c r="C4315"/>
      <c r="M4315"/>
    </row>
    <row r="4316" spans="3:13" ht="12.75" customHeight="1">
      <c r="C4316"/>
      <c r="M4316"/>
    </row>
    <row r="4317" spans="3:13" ht="12.75" customHeight="1">
      <c r="C4317"/>
      <c r="M4317"/>
    </row>
    <row r="4318" spans="3:13" ht="12.75" customHeight="1">
      <c r="C4318"/>
      <c r="M4318"/>
    </row>
    <row r="4319" spans="3:13" ht="12.75" customHeight="1">
      <c r="C4319"/>
      <c r="M4319"/>
    </row>
    <row r="4320" spans="3:13" ht="12.75" customHeight="1">
      <c r="C4320"/>
      <c r="M4320"/>
    </row>
    <row r="4321" spans="3:13" ht="12.75" customHeight="1">
      <c r="C4321"/>
      <c r="M4321"/>
    </row>
    <row r="4322" spans="3:13" ht="12.75" customHeight="1">
      <c r="C4322"/>
      <c r="M4322"/>
    </row>
    <row r="4323" spans="3:13" ht="12.75" customHeight="1">
      <c r="C4323"/>
      <c r="M4323"/>
    </row>
    <row r="4324" spans="3:13" ht="12.75" customHeight="1">
      <c r="C4324"/>
      <c r="M4324"/>
    </row>
    <row r="4325" spans="3:13" ht="12.75" customHeight="1">
      <c r="C4325"/>
      <c r="M4325"/>
    </row>
    <row r="4326" spans="3:13" ht="12.75" customHeight="1">
      <c r="C4326"/>
      <c r="M4326"/>
    </row>
    <row r="4327" spans="3:13" ht="12.75" customHeight="1">
      <c r="C4327"/>
      <c r="M4327"/>
    </row>
    <row r="4328" spans="3:13" ht="12.75" customHeight="1">
      <c r="C4328"/>
      <c r="M4328"/>
    </row>
    <row r="4329" spans="3:13" ht="12.75" customHeight="1">
      <c r="C4329"/>
      <c r="M4329"/>
    </row>
    <row r="4330" spans="3:13" ht="12.75" customHeight="1">
      <c r="C4330"/>
      <c r="M4330"/>
    </row>
    <row r="4331" spans="3:13" ht="12.75" customHeight="1">
      <c r="C4331"/>
      <c r="M4331"/>
    </row>
    <row r="4332" spans="3:13" ht="12.75" customHeight="1">
      <c r="C4332"/>
      <c r="M4332"/>
    </row>
    <row r="4333" spans="3:13" ht="12.75" customHeight="1">
      <c r="C4333"/>
      <c r="M4333"/>
    </row>
    <row r="4334" spans="3:13" ht="12.75" customHeight="1">
      <c r="C4334"/>
      <c r="M4334"/>
    </row>
    <row r="4335" spans="3:13" ht="12.75" customHeight="1">
      <c r="C4335"/>
      <c r="M4335"/>
    </row>
    <row r="4336" spans="3:13" ht="12.75" customHeight="1">
      <c r="C4336"/>
      <c r="M4336"/>
    </row>
    <row r="4337" spans="3:13" ht="12.75" customHeight="1">
      <c r="C4337"/>
      <c r="M4337"/>
    </row>
    <row r="4338" spans="3:13" ht="12.75" customHeight="1">
      <c r="C4338"/>
      <c r="M4338"/>
    </row>
    <row r="4339" spans="3:13" ht="12.75" customHeight="1">
      <c r="C4339"/>
      <c r="M4339"/>
    </row>
    <row r="4340" spans="3:13" ht="12.75" customHeight="1">
      <c r="C4340"/>
      <c r="M4340"/>
    </row>
    <row r="4341" spans="3:13" ht="12.75" customHeight="1">
      <c r="C4341"/>
      <c r="M4341"/>
    </row>
    <row r="4342" spans="3:13" ht="12.75" customHeight="1">
      <c r="C4342"/>
      <c r="M4342"/>
    </row>
    <row r="4343" spans="3:13" ht="12.75" customHeight="1">
      <c r="C4343"/>
      <c r="M4343"/>
    </row>
    <row r="4344" spans="3:13" ht="12.75" customHeight="1">
      <c r="C4344"/>
      <c r="M4344"/>
    </row>
    <row r="4345" spans="3:13" ht="12.75" customHeight="1">
      <c r="C4345"/>
      <c r="M4345"/>
    </row>
    <row r="4346" spans="3:13" ht="12.75" customHeight="1">
      <c r="C4346"/>
      <c r="M4346"/>
    </row>
    <row r="4347" spans="3:13" ht="12.75" customHeight="1">
      <c r="C4347"/>
      <c r="M4347"/>
    </row>
    <row r="4348" spans="3:13" ht="12.75" customHeight="1">
      <c r="C4348"/>
      <c r="M4348"/>
    </row>
    <row r="4349" spans="3:13" ht="12.75" customHeight="1">
      <c r="C4349"/>
      <c r="M4349"/>
    </row>
    <row r="4350" spans="3:13" ht="12.75" customHeight="1">
      <c r="C4350"/>
      <c r="M4350"/>
    </row>
    <row r="4351" spans="3:13" ht="12.75" customHeight="1">
      <c r="C4351"/>
      <c r="M4351"/>
    </row>
    <row r="4352" spans="3:13" ht="12.75" customHeight="1">
      <c r="C4352"/>
      <c r="M4352"/>
    </row>
    <row r="4353" spans="3:13" ht="12.75" customHeight="1">
      <c r="C4353"/>
      <c r="M4353"/>
    </row>
    <row r="4354" spans="3:13" ht="12.75" customHeight="1">
      <c r="C4354"/>
      <c r="M4354"/>
    </row>
    <row r="4355" spans="3:13" ht="12.75" customHeight="1">
      <c r="C4355"/>
      <c r="M4355"/>
    </row>
    <row r="4356" spans="3:13" ht="12.75" customHeight="1">
      <c r="C4356"/>
      <c r="M4356"/>
    </row>
    <row r="4357" spans="3:13" ht="12.75" customHeight="1">
      <c r="C4357"/>
      <c r="M4357"/>
    </row>
    <row r="4358" spans="3:13" ht="12.75" customHeight="1">
      <c r="C4358"/>
      <c r="M4358"/>
    </row>
    <row r="4359" spans="3:13" ht="12.75" customHeight="1">
      <c r="C4359"/>
      <c r="M4359"/>
    </row>
    <row r="4360" spans="3:13" ht="12.75" customHeight="1">
      <c r="C4360"/>
      <c r="M4360"/>
    </row>
    <row r="4361" spans="3:13" ht="12.75" customHeight="1">
      <c r="C4361"/>
      <c r="M4361"/>
    </row>
    <row r="4362" spans="3:13" ht="12.75" customHeight="1">
      <c r="C4362"/>
      <c r="M4362"/>
    </row>
    <row r="4363" spans="3:13" ht="12.75" customHeight="1">
      <c r="C4363"/>
      <c r="M4363"/>
    </row>
    <row r="4364" spans="3:13" ht="12.75" customHeight="1">
      <c r="C4364"/>
      <c r="M4364"/>
    </row>
    <row r="4365" spans="3:13" ht="12.75" customHeight="1">
      <c r="C4365"/>
      <c r="M4365"/>
    </row>
    <row r="4366" spans="3:13" ht="12.75" customHeight="1">
      <c r="C4366"/>
      <c r="M4366"/>
    </row>
    <row r="4367" spans="3:13" ht="12.75" customHeight="1">
      <c r="C4367"/>
      <c r="M4367"/>
    </row>
    <row r="4368" spans="3:13" ht="12.75" customHeight="1">
      <c r="C4368"/>
      <c r="M4368"/>
    </row>
    <row r="4369" spans="3:13" ht="12.75" customHeight="1">
      <c r="C4369"/>
      <c r="M4369"/>
    </row>
    <row r="4370" spans="3:13" ht="12.75" customHeight="1">
      <c r="C4370"/>
      <c r="M4370"/>
    </row>
    <row r="4371" spans="3:13" ht="12.75" customHeight="1">
      <c r="C4371"/>
      <c r="M4371"/>
    </row>
    <row r="4372" spans="3:13" ht="12.75" customHeight="1">
      <c r="C4372"/>
      <c r="M4372"/>
    </row>
    <row r="4373" spans="3:13" ht="12.75" customHeight="1">
      <c r="C4373"/>
      <c r="M4373"/>
    </row>
    <row r="4374" spans="3:13" ht="12.75" customHeight="1">
      <c r="C4374"/>
      <c r="M4374"/>
    </row>
    <row r="4375" spans="3:13" ht="12.75" customHeight="1">
      <c r="C4375"/>
      <c r="M4375"/>
    </row>
    <row r="4376" spans="3:13" ht="12.75" customHeight="1">
      <c r="C4376"/>
      <c r="M4376"/>
    </row>
    <row r="4377" spans="3:13" ht="12.75" customHeight="1">
      <c r="C4377"/>
      <c r="M4377"/>
    </row>
    <row r="4378" spans="3:13" ht="12.75" customHeight="1">
      <c r="C4378"/>
      <c r="M4378"/>
    </row>
    <row r="4379" spans="3:13" ht="12.75" customHeight="1">
      <c r="C4379"/>
      <c r="M4379"/>
    </row>
    <row r="4380" spans="3:13" ht="12.75" customHeight="1">
      <c r="C4380"/>
      <c r="M4380"/>
    </row>
    <row r="4381" spans="3:13" ht="12.75" customHeight="1">
      <c r="C4381"/>
      <c r="M4381"/>
    </row>
    <row r="4382" spans="3:13" ht="12.75" customHeight="1">
      <c r="C4382"/>
      <c r="M4382"/>
    </row>
    <row r="4383" spans="3:13" ht="12.75" customHeight="1">
      <c r="C4383"/>
      <c r="M4383"/>
    </row>
    <row r="4384" spans="3:13" ht="12.75" customHeight="1">
      <c r="C4384"/>
      <c r="M4384"/>
    </row>
    <row r="4385" spans="3:13" ht="12.75" customHeight="1">
      <c r="C4385"/>
      <c r="M4385"/>
    </row>
    <row r="4386" spans="3:13" ht="12.75" customHeight="1">
      <c r="C4386"/>
      <c r="M4386"/>
    </row>
    <row r="4387" spans="3:13" ht="12.75" customHeight="1">
      <c r="C4387"/>
      <c r="M4387"/>
    </row>
    <row r="4388" spans="3:13" ht="12.75" customHeight="1">
      <c r="C4388"/>
      <c r="M4388"/>
    </row>
    <row r="4389" spans="3:13" ht="12.75" customHeight="1">
      <c r="C4389"/>
      <c r="M4389"/>
    </row>
    <row r="4390" spans="3:13" ht="12.75" customHeight="1">
      <c r="C4390"/>
      <c r="M4390"/>
    </row>
    <row r="4391" spans="3:13" ht="12.75" customHeight="1">
      <c r="C4391"/>
      <c r="M4391"/>
    </row>
    <row r="4392" spans="3:13" ht="12.75" customHeight="1">
      <c r="C4392"/>
      <c r="M4392"/>
    </row>
    <row r="4393" spans="3:13" ht="12.75" customHeight="1">
      <c r="C4393"/>
      <c r="M4393"/>
    </row>
    <row r="4394" spans="3:13" ht="12.75" customHeight="1">
      <c r="C4394"/>
      <c r="M4394"/>
    </row>
    <row r="4395" spans="3:13" ht="12.75" customHeight="1">
      <c r="C4395"/>
      <c r="M4395"/>
    </row>
    <row r="4396" spans="3:13" ht="12.75" customHeight="1">
      <c r="C4396"/>
      <c r="M4396"/>
    </row>
    <row r="4397" spans="3:13" ht="12.75" customHeight="1">
      <c r="C4397"/>
      <c r="M4397"/>
    </row>
    <row r="4398" spans="3:13" ht="12.75" customHeight="1">
      <c r="C4398"/>
      <c r="M4398"/>
    </row>
    <row r="4399" spans="3:13" ht="12.75" customHeight="1">
      <c r="C4399"/>
      <c r="M4399"/>
    </row>
    <row r="4400" spans="3:13" ht="12.75" customHeight="1">
      <c r="C4400"/>
      <c r="M4400"/>
    </row>
    <row r="4401" spans="3:13" ht="12.75" customHeight="1">
      <c r="C4401"/>
      <c r="M4401"/>
    </row>
    <row r="4402" spans="3:13" ht="12.75" customHeight="1">
      <c r="C4402"/>
      <c r="M4402"/>
    </row>
    <row r="4403" spans="3:13" ht="12.75" customHeight="1">
      <c r="C4403"/>
      <c r="M4403"/>
    </row>
    <row r="4404" spans="3:13" ht="12.75" customHeight="1">
      <c r="C4404"/>
      <c r="M4404"/>
    </row>
    <row r="4405" spans="3:13" ht="12.75" customHeight="1">
      <c r="C4405"/>
      <c r="M4405"/>
    </row>
    <row r="4406" spans="3:13" ht="12.75" customHeight="1">
      <c r="C4406"/>
      <c r="M4406"/>
    </row>
    <row r="4407" spans="3:13" ht="12.75" customHeight="1">
      <c r="C4407"/>
      <c r="M4407"/>
    </row>
    <row r="4408" spans="3:13" ht="12.75" customHeight="1">
      <c r="C4408"/>
      <c r="M4408"/>
    </row>
    <row r="4409" spans="3:13" ht="12.75" customHeight="1">
      <c r="C4409"/>
      <c r="M4409"/>
    </row>
    <row r="4410" spans="3:13" ht="12.75" customHeight="1">
      <c r="C4410"/>
      <c r="M4410"/>
    </row>
    <row r="4411" spans="3:13" ht="12.75" customHeight="1">
      <c r="C4411"/>
      <c r="M4411"/>
    </row>
    <row r="4412" spans="3:13" ht="12.75" customHeight="1">
      <c r="C4412"/>
      <c r="M4412"/>
    </row>
    <row r="4413" spans="3:13" ht="12.75" customHeight="1">
      <c r="C4413"/>
      <c r="M4413"/>
    </row>
    <row r="4414" spans="3:13" ht="12.75" customHeight="1">
      <c r="C4414"/>
      <c r="M4414"/>
    </row>
    <row r="4415" spans="3:13" ht="12.75" customHeight="1">
      <c r="C4415"/>
      <c r="M4415"/>
    </row>
    <row r="4416" spans="3:13" ht="12.75" customHeight="1">
      <c r="C4416"/>
      <c r="M4416"/>
    </row>
    <row r="4417" spans="3:13" ht="12.75" customHeight="1">
      <c r="C4417"/>
      <c r="M4417"/>
    </row>
    <row r="4418" spans="3:13" ht="12.75" customHeight="1">
      <c r="C4418"/>
      <c r="M4418"/>
    </row>
    <row r="4419" spans="3:13" ht="12.75" customHeight="1">
      <c r="C4419"/>
      <c r="M4419"/>
    </row>
    <row r="4420" spans="3:13" ht="12.75" customHeight="1">
      <c r="C4420"/>
      <c r="M4420"/>
    </row>
    <row r="4421" spans="3:13" ht="12.75" customHeight="1">
      <c r="C4421"/>
      <c r="M4421"/>
    </row>
    <row r="4422" spans="3:13" ht="12.75" customHeight="1">
      <c r="C4422"/>
      <c r="M4422"/>
    </row>
    <row r="4423" spans="3:13" ht="12.75" customHeight="1">
      <c r="C4423"/>
      <c r="M4423"/>
    </row>
    <row r="4424" spans="3:13" ht="12.75" customHeight="1">
      <c r="C4424"/>
      <c r="M4424"/>
    </row>
    <row r="4425" spans="3:13" ht="12.75" customHeight="1">
      <c r="C4425"/>
      <c r="M4425"/>
    </row>
    <row r="4426" spans="3:13" ht="12.75" customHeight="1">
      <c r="C4426"/>
      <c r="M4426"/>
    </row>
    <row r="4427" spans="3:13" ht="12.75" customHeight="1">
      <c r="C4427"/>
      <c r="M4427"/>
    </row>
    <row r="4428" spans="3:13" ht="12.75" customHeight="1">
      <c r="C4428"/>
      <c r="M4428"/>
    </row>
    <row r="4429" spans="3:13" ht="12.75" customHeight="1">
      <c r="C4429"/>
      <c r="M4429"/>
    </row>
    <row r="4430" spans="3:13" ht="12.75" customHeight="1">
      <c r="C4430"/>
      <c r="M4430"/>
    </row>
    <row r="4431" spans="3:13" ht="12.75" customHeight="1">
      <c r="C4431"/>
      <c r="M4431"/>
    </row>
    <row r="4432" spans="3:13" ht="12.75" customHeight="1">
      <c r="C4432"/>
      <c r="M4432"/>
    </row>
    <row r="4433" spans="3:13" ht="12.75" customHeight="1">
      <c r="C4433"/>
      <c r="M4433"/>
    </row>
    <row r="4434" spans="3:13" ht="12.75" customHeight="1">
      <c r="C4434"/>
      <c r="M4434"/>
    </row>
    <row r="4435" spans="3:13" ht="12.75" customHeight="1">
      <c r="C4435"/>
      <c r="M4435"/>
    </row>
    <row r="4436" spans="3:13" ht="12.75" customHeight="1">
      <c r="C4436"/>
      <c r="M4436"/>
    </row>
    <row r="4437" spans="3:13" ht="12.75" customHeight="1">
      <c r="C4437"/>
      <c r="M4437"/>
    </row>
    <row r="4438" spans="3:13" ht="12.75" customHeight="1">
      <c r="C4438"/>
      <c r="M4438"/>
    </row>
    <row r="4439" spans="3:13" ht="12.75" customHeight="1">
      <c r="C4439"/>
      <c r="M4439"/>
    </row>
    <row r="4440" spans="3:13" ht="12.75" customHeight="1">
      <c r="C4440"/>
      <c r="M4440"/>
    </row>
    <row r="4441" spans="3:13" ht="12.75" customHeight="1">
      <c r="C4441"/>
      <c r="M4441"/>
    </row>
    <row r="4442" spans="3:13" ht="12.75" customHeight="1">
      <c r="C4442"/>
      <c r="M4442"/>
    </row>
    <row r="4443" spans="3:13" ht="12.75" customHeight="1">
      <c r="C4443"/>
      <c r="M4443"/>
    </row>
    <row r="4444" spans="3:13" ht="12.75" customHeight="1">
      <c r="C4444"/>
      <c r="M4444"/>
    </row>
    <row r="4445" spans="3:13" ht="12.75" customHeight="1">
      <c r="C4445"/>
      <c r="M4445"/>
    </row>
    <row r="4446" spans="3:13" ht="12.75" customHeight="1">
      <c r="C4446"/>
      <c r="M4446"/>
    </row>
    <row r="4447" spans="3:13" ht="12.75" customHeight="1">
      <c r="C4447"/>
      <c r="M4447"/>
    </row>
    <row r="4448" spans="3:13" ht="12.75" customHeight="1">
      <c r="C4448"/>
      <c r="M4448"/>
    </row>
    <row r="4449" spans="3:13" ht="12.75" customHeight="1">
      <c r="C4449"/>
      <c r="M4449"/>
    </row>
    <row r="4450" spans="3:13" ht="12.75" customHeight="1">
      <c r="C4450"/>
      <c r="M4450"/>
    </row>
    <row r="4451" spans="3:13" ht="12.75" customHeight="1">
      <c r="C4451"/>
      <c r="M4451"/>
    </row>
    <row r="4452" spans="3:13" ht="12.75" customHeight="1">
      <c r="C4452"/>
      <c r="M4452"/>
    </row>
    <row r="4453" spans="3:13" ht="12.75" customHeight="1">
      <c r="C4453"/>
      <c r="M4453"/>
    </row>
    <row r="4454" spans="3:13" ht="12.75" customHeight="1">
      <c r="C4454"/>
      <c r="M4454"/>
    </row>
    <row r="4455" spans="3:13" ht="12.75" customHeight="1">
      <c r="C4455"/>
      <c r="M4455"/>
    </row>
    <row r="4456" spans="3:13" ht="12.75" customHeight="1">
      <c r="C4456"/>
      <c r="M4456"/>
    </row>
    <row r="4457" spans="3:13" ht="12.75" customHeight="1">
      <c r="C4457"/>
      <c r="M4457"/>
    </row>
    <row r="4458" spans="3:13" ht="12.75" customHeight="1">
      <c r="C4458"/>
      <c r="M4458"/>
    </row>
    <row r="4459" spans="3:13" ht="12.75" customHeight="1">
      <c r="C4459"/>
      <c r="M4459"/>
    </row>
    <row r="4460" spans="3:13" ht="12.75" customHeight="1">
      <c r="C4460"/>
      <c r="M4460"/>
    </row>
    <row r="4461" spans="3:13" ht="12.75" customHeight="1">
      <c r="C4461"/>
      <c r="M4461"/>
    </row>
    <row r="4462" spans="3:13" ht="12.75" customHeight="1">
      <c r="C4462"/>
      <c r="M4462"/>
    </row>
    <row r="4463" spans="3:13" ht="12.75" customHeight="1">
      <c r="C4463"/>
      <c r="M4463"/>
    </row>
    <row r="4464" spans="3:13" ht="12.75" customHeight="1">
      <c r="C4464"/>
      <c r="M4464"/>
    </row>
    <row r="4465" spans="3:13" ht="12.75" customHeight="1">
      <c r="C4465"/>
      <c r="M4465"/>
    </row>
    <row r="4466" spans="3:13" ht="12.75" customHeight="1">
      <c r="C4466"/>
      <c r="M4466"/>
    </row>
    <row r="4467" spans="3:13" ht="12.75" customHeight="1">
      <c r="C4467"/>
      <c r="M4467"/>
    </row>
    <row r="4468" spans="3:13" ht="12.75" customHeight="1">
      <c r="C4468"/>
      <c r="M4468"/>
    </row>
    <row r="4469" spans="3:13" ht="12.75" customHeight="1">
      <c r="C4469"/>
      <c r="M4469"/>
    </row>
    <row r="4470" spans="3:13" ht="12.75" customHeight="1">
      <c r="C4470"/>
      <c r="M4470"/>
    </row>
    <row r="4471" spans="3:13" ht="12.75" customHeight="1">
      <c r="C4471"/>
      <c r="M4471"/>
    </row>
    <row r="4472" spans="3:13" ht="12.75" customHeight="1">
      <c r="C4472"/>
      <c r="M4472"/>
    </row>
    <row r="4473" spans="3:13" ht="12.75" customHeight="1">
      <c r="C4473"/>
      <c r="M4473"/>
    </row>
    <row r="4474" spans="3:13" ht="12.75" customHeight="1">
      <c r="C4474"/>
      <c r="M4474"/>
    </row>
    <row r="4475" spans="3:13" ht="12.75" customHeight="1">
      <c r="C4475"/>
      <c r="M4475"/>
    </row>
    <row r="4476" spans="3:13" ht="12.75" customHeight="1">
      <c r="C4476"/>
      <c r="M4476"/>
    </row>
    <row r="4477" spans="3:13" ht="12.75" customHeight="1">
      <c r="C4477"/>
      <c r="M4477"/>
    </row>
    <row r="4478" spans="3:13" ht="12.75" customHeight="1">
      <c r="C4478"/>
      <c r="M4478"/>
    </row>
    <row r="4479" spans="3:13" ht="12.75" customHeight="1">
      <c r="C4479"/>
      <c r="M4479"/>
    </row>
    <row r="4480" spans="3:13" ht="12.75" customHeight="1">
      <c r="C4480"/>
      <c r="M4480"/>
    </row>
    <row r="4481" spans="3:13" ht="12.75" customHeight="1">
      <c r="C4481"/>
      <c r="M4481"/>
    </row>
    <row r="4482" spans="3:13" ht="12.75" customHeight="1">
      <c r="C4482"/>
      <c r="M4482"/>
    </row>
    <row r="4483" spans="3:13" ht="12.75" customHeight="1">
      <c r="C4483"/>
      <c r="M4483"/>
    </row>
    <row r="4484" spans="3:13" ht="12.75" customHeight="1">
      <c r="C4484"/>
      <c r="M4484"/>
    </row>
    <row r="4485" spans="3:13" ht="12.75" customHeight="1">
      <c r="C4485"/>
      <c r="M4485"/>
    </row>
    <row r="4486" spans="3:13" ht="12.75" customHeight="1">
      <c r="C4486"/>
      <c r="M4486"/>
    </row>
    <row r="4487" spans="3:13" ht="12.75" customHeight="1">
      <c r="C4487"/>
      <c r="M4487"/>
    </row>
    <row r="4488" spans="3:13" ht="12.75" customHeight="1">
      <c r="C4488"/>
      <c r="M4488"/>
    </row>
    <row r="4489" spans="3:13" ht="12.75" customHeight="1">
      <c r="C4489"/>
      <c r="M4489"/>
    </row>
    <row r="4490" spans="3:13" ht="12.75" customHeight="1">
      <c r="C4490"/>
      <c r="M4490"/>
    </row>
    <row r="4491" spans="3:13" ht="12.75" customHeight="1">
      <c r="C4491"/>
      <c r="M4491"/>
    </row>
    <row r="4492" spans="3:13" ht="12.75" customHeight="1">
      <c r="C4492"/>
      <c r="M4492"/>
    </row>
    <row r="4493" spans="3:13" ht="12.75" customHeight="1">
      <c r="C4493"/>
      <c r="M4493"/>
    </row>
    <row r="4494" spans="3:13" ht="12.75" customHeight="1">
      <c r="C4494"/>
      <c r="M4494"/>
    </row>
    <row r="4495" spans="3:13" ht="12.75" customHeight="1">
      <c r="C4495"/>
      <c r="M4495"/>
    </row>
    <row r="4496" spans="3:13" ht="12.75" customHeight="1">
      <c r="C4496"/>
      <c r="M4496"/>
    </row>
    <row r="4497" spans="3:13" ht="12.75" customHeight="1">
      <c r="C4497"/>
      <c r="M4497"/>
    </row>
    <row r="4498" spans="3:13" ht="12.75" customHeight="1">
      <c r="C4498"/>
      <c r="M4498"/>
    </row>
    <row r="4499" spans="3:13" ht="12.75" customHeight="1">
      <c r="C4499"/>
      <c r="M4499"/>
    </row>
    <row r="4500" spans="3:13" ht="12.75" customHeight="1">
      <c r="C4500"/>
      <c r="M4500"/>
    </row>
    <row r="4501" spans="3:13" ht="12.75" customHeight="1">
      <c r="C4501"/>
      <c r="M4501"/>
    </row>
    <row r="4502" spans="3:13" ht="12.75" customHeight="1">
      <c r="C4502"/>
      <c r="M4502"/>
    </row>
    <row r="4503" spans="3:13" ht="12.75" customHeight="1">
      <c r="C4503"/>
      <c r="M4503"/>
    </row>
    <row r="4504" spans="3:13" ht="12.75" customHeight="1">
      <c r="C4504"/>
      <c r="M4504"/>
    </row>
    <row r="4505" spans="3:13" ht="12.75" customHeight="1">
      <c r="C4505"/>
      <c r="M4505"/>
    </row>
    <row r="4515" spans="3:13" ht="12.75" customHeight="1">
      <c r="C4515"/>
      <c r="M4515"/>
    </row>
    <row r="4516" spans="3:13" ht="12.75" customHeight="1">
      <c r="C4516"/>
      <c r="M4516"/>
    </row>
    <row r="4517" spans="3:13" ht="12.75" customHeight="1">
      <c r="C4517"/>
      <c r="M4517"/>
    </row>
    <row r="4518" spans="3:13" ht="12.75" customHeight="1">
      <c r="C4518"/>
      <c r="M4518"/>
    </row>
    <row r="61176" spans="3:13" ht="12.75" customHeight="1">
      <c r="C61176"/>
      <c r="M61176"/>
    </row>
    <row r="61192" spans="3:13" ht="12.75" customHeight="1">
      <c r="C61192"/>
      <c r="M61192"/>
    </row>
    <row r="61208" spans="3:13" ht="12.75" customHeight="1">
      <c r="C61208"/>
      <c r="M61208"/>
    </row>
    <row r="61224" spans="3:13" ht="12.75" customHeight="1">
      <c r="C61224"/>
      <c r="M61224"/>
    </row>
    <row r="61237" spans="3:13" ht="12.75" customHeight="1">
      <c r="C61237"/>
      <c r="M61237"/>
    </row>
    <row r="61238" spans="3:13" ht="12.75" customHeight="1">
      <c r="C61238"/>
      <c r="M61238"/>
    </row>
    <row r="61240" spans="3:13" ht="12.75" customHeight="1">
      <c r="C61240"/>
      <c r="M61240"/>
    </row>
    <row r="61251" spans="3:13" ht="12.75" customHeight="1">
      <c r="C61251"/>
      <c r="M61251"/>
    </row>
    <row r="61252" spans="3:13" ht="12.75" customHeight="1">
      <c r="C61252"/>
      <c r="M61252"/>
    </row>
    <row r="61253" spans="3:13" ht="12.75" customHeight="1">
      <c r="C61253"/>
      <c r="M61253"/>
    </row>
    <row r="61254" spans="3:13" ht="12.75" customHeight="1">
      <c r="C61254"/>
      <c r="M61254"/>
    </row>
    <row r="61256" spans="3:13" ht="12.75" customHeight="1">
      <c r="C61256"/>
      <c r="M61256"/>
    </row>
    <row r="61267" spans="3:13" ht="12.75" customHeight="1">
      <c r="C61267"/>
      <c r="M61267"/>
    </row>
    <row r="61268" spans="3:13" ht="12.75" customHeight="1">
      <c r="C61268"/>
      <c r="M61268"/>
    </row>
    <row r="61269" spans="3:13" ht="12.75" customHeight="1">
      <c r="C61269"/>
      <c r="M61269"/>
    </row>
    <row r="61270" spans="3:13" ht="12.75" customHeight="1">
      <c r="C61270"/>
      <c r="M61270"/>
    </row>
    <row r="61272" spans="3:13" ht="12.75" customHeight="1">
      <c r="C61272"/>
      <c r="M61272"/>
    </row>
    <row r="61283" spans="3:13" ht="12.75" customHeight="1">
      <c r="C61283"/>
      <c r="M61283"/>
    </row>
    <row r="61284" spans="3:13" ht="12.75" customHeight="1">
      <c r="C61284"/>
      <c r="M61284"/>
    </row>
    <row r="61285" spans="3:13" ht="12.75" customHeight="1">
      <c r="C61285"/>
      <c r="M61285"/>
    </row>
    <row r="61286" spans="3:13" ht="12.75" customHeight="1">
      <c r="C61286"/>
      <c r="M61286"/>
    </row>
    <row r="61288" spans="3:13" ht="12.75" customHeight="1">
      <c r="C61288"/>
      <c r="M61288"/>
    </row>
    <row r="61299" spans="3:13" ht="12.75" customHeight="1">
      <c r="C61299"/>
      <c r="M61299"/>
    </row>
    <row r="61300" spans="3:13" ht="12.75" customHeight="1">
      <c r="C61300"/>
      <c r="M61300"/>
    </row>
    <row r="61301" spans="3:13" ht="12.75" customHeight="1">
      <c r="C61301"/>
      <c r="M61301"/>
    </row>
    <row r="61302" spans="3:13" ht="12.75" customHeight="1">
      <c r="C61302"/>
      <c r="M61302"/>
    </row>
    <row r="61304" spans="3:13" ht="12.75" customHeight="1">
      <c r="C61304"/>
      <c r="M61304"/>
    </row>
    <row r="61315" spans="3:13" ht="12.75" customHeight="1">
      <c r="C61315"/>
      <c r="M61315"/>
    </row>
    <row r="61316" spans="3:13" ht="12.75" customHeight="1">
      <c r="C61316"/>
      <c r="M61316"/>
    </row>
    <row r="61317" spans="3:13" ht="12.75" customHeight="1">
      <c r="C61317"/>
      <c r="M61317"/>
    </row>
    <row r="61318" spans="3:13" ht="12.75" customHeight="1">
      <c r="C61318"/>
      <c r="M61318"/>
    </row>
    <row r="61320" spans="3:13" ht="12.75" customHeight="1">
      <c r="C61320"/>
      <c r="M61320"/>
    </row>
    <row r="61331" spans="3:13" ht="12.75" customHeight="1">
      <c r="C61331"/>
      <c r="M61331"/>
    </row>
    <row r="61332" spans="3:13" ht="12.75" customHeight="1">
      <c r="C61332"/>
      <c r="M61332"/>
    </row>
    <row r="61333" spans="3:13" ht="12.75" customHeight="1">
      <c r="C61333"/>
      <c r="M61333"/>
    </row>
    <row r="61334" spans="3:13" ht="12.75" customHeight="1">
      <c r="C61334"/>
      <c r="M61334"/>
    </row>
    <row r="61336" spans="3:13" ht="12.75" customHeight="1">
      <c r="C61336"/>
      <c r="M61336"/>
    </row>
    <row r="61347" spans="3:13" ht="12.75" customHeight="1">
      <c r="C61347"/>
      <c r="M61347"/>
    </row>
    <row r="61348" spans="3:13" ht="12.75" customHeight="1">
      <c r="C61348"/>
      <c r="M61348"/>
    </row>
    <row r="61349" spans="3:13" ht="12.75" customHeight="1">
      <c r="C61349"/>
      <c r="M61349"/>
    </row>
    <row r="61350" spans="3:13" ht="12.75" customHeight="1">
      <c r="C61350"/>
      <c r="M61350"/>
    </row>
    <row r="61352" spans="3:13" ht="12.75" customHeight="1">
      <c r="C61352"/>
      <c r="M61352"/>
    </row>
    <row r="61363" spans="3:13" ht="12.75" customHeight="1">
      <c r="C61363"/>
      <c r="M61363"/>
    </row>
    <row r="61364" spans="3:13" ht="12.75" customHeight="1">
      <c r="C61364"/>
      <c r="M61364"/>
    </row>
    <row r="61365" spans="3:13" ht="12.75" customHeight="1">
      <c r="C61365"/>
      <c r="M61365"/>
    </row>
    <row r="61366" spans="3:13" ht="12.75" customHeight="1">
      <c r="C61366"/>
      <c r="M61366"/>
    </row>
    <row r="61368" spans="3:13" ht="12.75" customHeight="1">
      <c r="C61368"/>
      <c r="M61368"/>
    </row>
    <row r="61376" spans="3:13" ht="12.75" customHeight="1">
      <c r="C61376"/>
      <c r="M61376"/>
    </row>
    <row r="61379" spans="3:13" ht="12.75" customHeight="1">
      <c r="C61379"/>
      <c r="M61379"/>
    </row>
    <row r="61380" spans="3:13" ht="12.75" customHeight="1">
      <c r="C61380"/>
      <c r="M61380"/>
    </row>
    <row r="61381" spans="3:13" ht="12.75" customHeight="1">
      <c r="C61381"/>
      <c r="M61381"/>
    </row>
    <row r="61382" spans="3:13" ht="12.75" customHeight="1">
      <c r="C61382"/>
      <c r="M61382"/>
    </row>
    <row r="61384" spans="3:13" ht="12.75" customHeight="1">
      <c r="C61384"/>
      <c r="M61384"/>
    </row>
    <row r="61392" spans="3:13" ht="12.75" customHeight="1">
      <c r="C61392"/>
      <c r="M61392"/>
    </row>
    <row r="61395" spans="3:13" ht="12.75" customHeight="1">
      <c r="C61395"/>
      <c r="M61395"/>
    </row>
    <row r="61396" spans="3:13" ht="12.75" customHeight="1">
      <c r="C61396"/>
      <c r="M61396"/>
    </row>
    <row r="61397" spans="3:13" ht="12.75" customHeight="1">
      <c r="C61397"/>
      <c r="M61397"/>
    </row>
    <row r="61398" spans="3:13" ht="12.75" customHeight="1">
      <c r="C61398"/>
      <c r="M61398"/>
    </row>
    <row r="61400" spans="3:13" ht="12.75" customHeight="1">
      <c r="C61400"/>
      <c r="M61400"/>
    </row>
    <row r="61408" spans="3:13" ht="12.75" customHeight="1">
      <c r="C61408"/>
      <c r="M61408"/>
    </row>
    <row r="61409" spans="3:13" ht="12.75" customHeight="1">
      <c r="C61409"/>
      <c r="M61409"/>
    </row>
    <row r="61411" spans="3:13" ht="12.75" customHeight="1">
      <c r="C61411"/>
      <c r="M61411"/>
    </row>
    <row r="61412" spans="3:13" ht="12.75" customHeight="1">
      <c r="C61412"/>
      <c r="M61412"/>
    </row>
    <row r="61413" spans="3:13" ht="12.75" customHeight="1">
      <c r="C61413"/>
      <c r="M61413"/>
    </row>
    <row r="61414" spans="3:13" ht="12.75" customHeight="1">
      <c r="C61414"/>
      <c r="M61414"/>
    </row>
    <row r="61416" spans="3:13" ht="12.75" customHeight="1">
      <c r="C61416"/>
      <c r="M61416"/>
    </row>
    <row r="61424" spans="3:13" ht="12.75" customHeight="1">
      <c r="C61424"/>
      <c r="M61424"/>
    </row>
    <row r="61425" spans="3:13" ht="12.75" customHeight="1">
      <c r="C61425"/>
      <c r="M61425"/>
    </row>
    <row r="61426" spans="3:13" ht="12.75" customHeight="1">
      <c r="C61426"/>
      <c r="M61426"/>
    </row>
    <row r="61427" spans="3:13" ht="12.75" customHeight="1">
      <c r="C61427"/>
      <c r="M61427"/>
    </row>
    <row r="61428" spans="3:13" ht="12.75" customHeight="1">
      <c r="C61428"/>
      <c r="M61428"/>
    </row>
    <row r="61429" spans="3:13" ht="12.75" customHeight="1">
      <c r="C61429"/>
      <c r="M61429"/>
    </row>
    <row r="61430" spans="3:13" ht="12.75" customHeight="1">
      <c r="C61430"/>
      <c r="M61430"/>
    </row>
    <row r="61432" spans="3:13" ht="12.75" customHeight="1">
      <c r="C61432"/>
      <c r="M61432"/>
    </row>
    <row r="61440" spans="3:13" ht="12.75" customHeight="1">
      <c r="C61440"/>
      <c r="M61440"/>
    </row>
    <row r="61441" spans="3:13" ht="12.75" customHeight="1">
      <c r="C61441"/>
      <c r="M61441"/>
    </row>
    <row r="61442" spans="3:13" ht="12.75" customHeight="1">
      <c r="C61442"/>
      <c r="M61442"/>
    </row>
    <row r="61443" spans="3:13" ht="12.75" customHeight="1">
      <c r="C61443"/>
      <c r="M61443"/>
    </row>
    <row r="61444" spans="3:13" ht="12.75" customHeight="1">
      <c r="C61444"/>
      <c r="M61444"/>
    </row>
    <row r="61445" spans="3:13" ht="12.75" customHeight="1">
      <c r="C61445"/>
      <c r="M61445"/>
    </row>
    <row r="61446" spans="3:13" ht="12.75" customHeight="1">
      <c r="C61446"/>
      <c r="M61446"/>
    </row>
    <row r="61448" spans="3:13" ht="12.75" customHeight="1">
      <c r="C61448"/>
      <c r="M61448"/>
    </row>
    <row r="61454" spans="3:13" ht="12.75" customHeight="1">
      <c r="C61454"/>
      <c r="M61454"/>
    </row>
    <row r="61455" spans="3:13" ht="12.75" customHeight="1">
      <c r="C61455"/>
      <c r="M61455"/>
    </row>
    <row r="61456" spans="3:13" ht="12.75" customHeight="1">
      <c r="C61456"/>
      <c r="M61456"/>
    </row>
    <row r="61457" spans="3:13" ht="12.75" customHeight="1">
      <c r="C61457"/>
      <c r="M61457"/>
    </row>
    <row r="61458" spans="3:13" ht="12.75" customHeight="1">
      <c r="C61458"/>
      <c r="M61458"/>
    </row>
    <row r="61459" spans="3:13" ht="12.75" customHeight="1">
      <c r="C61459"/>
      <c r="M61459"/>
    </row>
    <row r="61460" spans="3:13" ht="12.75" customHeight="1">
      <c r="C61460"/>
      <c r="M61460"/>
    </row>
    <row r="61461" spans="3:13" ht="12.75" customHeight="1">
      <c r="C61461"/>
      <c r="M61461"/>
    </row>
    <row r="61462" spans="3:13" ht="12.75" customHeight="1">
      <c r="C61462"/>
      <c r="M61462"/>
    </row>
    <row r="61463" spans="3:13" ht="12.75" customHeight="1">
      <c r="C61463"/>
      <c r="M61463"/>
    </row>
    <row r="61464" spans="3:13" ht="12.75" customHeight="1">
      <c r="C61464"/>
      <c r="M61464"/>
    </row>
    <row r="61465" spans="3:13" ht="12.75" customHeight="1">
      <c r="C61465"/>
      <c r="M61465"/>
    </row>
    <row r="61470" spans="3:13" ht="12.75" customHeight="1">
      <c r="C61470"/>
      <c r="M61470"/>
    </row>
    <row r="61471" spans="3:13" ht="12.75" customHeight="1">
      <c r="C61471"/>
      <c r="M61471"/>
    </row>
    <row r="61472" spans="3:13" ht="12.75" customHeight="1">
      <c r="C61472"/>
      <c r="M61472"/>
    </row>
    <row r="61473" spans="3:13" ht="12.75" customHeight="1">
      <c r="C61473"/>
      <c r="M61473"/>
    </row>
    <row r="61474" spans="3:13" ht="12.75" customHeight="1">
      <c r="C61474"/>
      <c r="M61474"/>
    </row>
    <row r="61475" spans="3:13" ht="12.75" customHeight="1">
      <c r="C61475"/>
      <c r="M61475"/>
    </row>
    <row r="61476" spans="3:13" ht="12.75" customHeight="1">
      <c r="C61476"/>
      <c r="M61476"/>
    </row>
    <row r="61477" spans="3:13" ht="12.75" customHeight="1">
      <c r="C61477"/>
      <c r="M61477"/>
    </row>
    <row r="61478" spans="3:13" ht="12.75" customHeight="1">
      <c r="C61478"/>
      <c r="M61478"/>
    </row>
    <row r="61479" spans="3:13" ht="12.75" customHeight="1">
      <c r="C61479"/>
      <c r="M61479"/>
    </row>
    <row r="61480" spans="3:13" ht="12.75" customHeight="1">
      <c r="C61480"/>
      <c r="M61480"/>
    </row>
    <row r="61481" spans="3:13" ht="12.75" customHeight="1">
      <c r="C61481"/>
      <c r="M61481"/>
    </row>
    <row r="61486" spans="3:13" ht="12.75" customHeight="1">
      <c r="C61486"/>
      <c r="M61486"/>
    </row>
    <row r="61487" spans="3:13" ht="12.75" customHeight="1">
      <c r="C61487"/>
      <c r="M61487"/>
    </row>
    <row r="61488" spans="3:13" ht="12.75" customHeight="1">
      <c r="C61488"/>
      <c r="M61488"/>
    </row>
    <row r="61489" spans="3:13" ht="12.75" customHeight="1">
      <c r="C61489"/>
      <c r="M61489"/>
    </row>
    <row r="61490" spans="3:13" ht="12.75" customHeight="1">
      <c r="C61490"/>
      <c r="M61490"/>
    </row>
    <row r="61491" spans="3:13" ht="12.75" customHeight="1">
      <c r="C61491"/>
      <c r="M61491"/>
    </row>
    <row r="61492" spans="3:13" ht="12.75" customHeight="1">
      <c r="C61492"/>
      <c r="M61492"/>
    </row>
    <row r="61493" spans="3:13" ht="12.75" customHeight="1">
      <c r="C61493"/>
      <c r="M61493"/>
    </row>
    <row r="61494" spans="3:13" ht="12.75" customHeight="1">
      <c r="C61494"/>
      <c r="M61494"/>
    </row>
    <row r="61495" spans="3:13" ht="12.75" customHeight="1">
      <c r="C61495"/>
      <c r="M61495"/>
    </row>
    <row r="61496" spans="3:13" ht="12.75" customHeight="1">
      <c r="C61496"/>
      <c r="M61496"/>
    </row>
    <row r="61497" spans="3:13" ht="12.75" customHeight="1">
      <c r="C61497"/>
      <c r="M61497"/>
    </row>
    <row r="61502" spans="3:13" ht="12.75" customHeight="1">
      <c r="C61502"/>
      <c r="M61502"/>
    </row>
    <row r="61503" spans="3:13" ht="12.75" customHeight="1">
      <c r="C61503"/>
      <c r="M61503"/>
    </row>
    <row r="61504" spans="3:13" ht="12.75" customHeight="1">
      <c r="C61504"/>
      <c r="M61504"/>
    </row>
    <row r="61505" spans="3:13" ht="12.75" customHeight="1">
      <c r="C61505"/>
      <c r="M61505"/>
    </row>
    <row r="61506" spans="3:13" ht="12.75" customHeight="1">
      <c r="C61506"/>
      <c r="M61506"/>
    </row>
    <row r="61507" spans="3:13" ht="12.75" customHeight="1">
      <c r="C61507"/>
      <c r="M61507"/>
    </row>
    <row r="61508" spans="3:13" ht="12.75" customHeight="1">
      <c r="C61508"/>
      <c r="M61508"/>
    </row>
    <row r="61509" spans="3:13" ht="12.75" customHeight="1">
      <c r="C61509"/>
      <c r="M61509"/>
    </row>
    <row r="61510" spans="3:13" ht="12.75" customHeight="1">
      <c r="C61510"/>
      <c r="M61510"/>
    </row>
    <row r="61511" spans="3:13" ht="12.75" customHeight="1">
      <c r="C61511"/>
      <c r="M61511"/>
    </row>
    <row r="61512" spans="3:13" ht="12.75" customHeight="1">
      <c r="C61512"/>
      <c r="M61512"/>
    </row>
    <row r="61513" spans="3:13" ht="12.75" customHeight="1">
      <c r="C61513"/>
      <c r="M61513"/>
    </row>
    <row r="61517" spans="3:13" ht="12.75" customHeight="1">
      <c r="C61517"/>
      <c r="M61517"/>
    </row>
    <row r="61518" spans="3:13" ht="12.75" customHeight="1">
      <c r="C61518"/>
      <c r="M61518"/>
    </row>
    <row r="61519" spans="3:13" ht="12.75" customHeight="1">
      <c r="C61519"/>
      <c r="M61519"/>
    </row>
    <row r="61520" spans="3:13" ht="12.75" customHeight="1">
      <c r="C61520"/>
      <c r="M61520"/>
    </row>
    <row r="61521" spans="3:13" ht="12.75" customHeight="1">
      <c r="C61521"/>
      <c r="M61521"/>
    </row>
    <row r="61522" spans="3:13" ht="12.75" customHeight="1">
      <c r="C61522"/>
      <c r="M61522"/>
    </row>
    <row r="61523" spans="3:13" ht="12.75" customHeight="1">
      <c r="C61523"/>
      <c r="M61523"/>
    </row>
    <row r="61524" spans="3:13" ht="12.75" customHeight="1">
      <c r="C61524"/>
      <c r="M61524"/>
    </row>
    <row r="61525" spans="3:13" ht="12.75" customHeight="1">
      <c r="C61525"/>
      <c r="M61525"/>
    </row>
    <row r="61526" spans="3:13" ht="12.75" customHeight="1">
      <c r="C61526"/>
      <c r="M61526"/>
    </row>
    <row r="61527" spans="3:13" ht="12.75" customHeight="1">
      <c r="C61527"/>
      <c r="M61527"/>
    </row>
    <row r="61528" spans="3:13" ht="12.75" customHeight="1">
      <c r="C61528"/>
      <c r="M61528"/>
    </row>
    <row r="61529" spans="3:13" ht="12.75" customHeight="1">
      <c r="C61529"/>
      <c r="M61529"/>
    </row>
    <row r="61533" spans="3:13" ht="12.75" customHeight="1">
      <c r="C61533"/>
      <c r="M61533"/>
    </row>
    <row r="61534" spans="3:13" ht="12.75" customHeight="1">
      <c r="C61534"/>
      <c r="M61534"/>
    </row>
    <row r="61535" spans="3:13" ht="12.75" customHeight="1">
      <c r="C61535"/>
      <c r="M61535"/>
    </row>
    <row r="61536" spans="3:13" ht="12.75" customHeight="1">
      <c r="C61536"/>
      <c r="M61536"/>
    </row>
    <row r="61537" spans="3:13" ht="12.75" customHeight="1">
      <c r="C61537"/>
      <c r="M61537"/>
    </row>
    <row r="61538" spans="3:13" ht="12.75" customHeight="1">
      <c r="C61538"/>
      <c r="M61538"/>
    </row>
    <row r="61539" spans="3:13" ht="12.75" customHeight="1">
      <c r="C61539"/>
      <c r="M61539"/>
    </row>
    <row r="61540" spans="3:13" ht="12.75" customHeight="1">
      <c r="C61540"/>
      <c r="M61540"/>
    </row>
    <row r="61541" spans="3:13" ht="12.75" customHeight="1">
      <c r="C61541"/>
      <c r="M61541"/>
    </row>
    <row r="61542" spans="3:13" ht="12.75" customHeight="1">
      <c r="C61542"/>
      <c r="M61542"/>
    </row>
    <row r="61543" spans="3:13" ht="12.75" customHeight="1">
      <c r="C61543"/>
      <c r="M61543"/>
    </row>
    <row r="61544" spans="3:13" ht="12.75" customHeight="1">
      <c r="C61544"/>
      <c r="M61544"/>
    </row>
    <row r="61545" spans="3:13" ht="12.75" customHeight="1">
      <c r="C61545"/>
      <c r="M61545"/>
    </row>
    <row r="61549" spans="3:13" ht="12.75" customHeight="1">
      <c r="C61549"/>
      <c r="M61549"/>
    </row>
    <row r="61550" spans="3:13" ht="12.75" customHeight="1">
      <c r="C61550"/>
      <c r="M61550"/>
    </row>
    <row r="61551" spans="3:13" ht="12.75" customHeight="1">
      <c r="C61551"/>
      <c r="M61551"/>
    </row>
    <row r="61552" spans="3:13" ht="12.75" customHeight="1">
      <c r="C61552"/>
      <c r="M61552"/>
    </row>
    <row r="61553" spans="3:13" ht="12.75" customHeight="1">
      <c r="C61553"/>
      <c r="M61553"/>
    </row>
    <row r="61554" spans="3:13" ht="12.75" customHeight="1">
      <c r="C61554"/>
      <c r="M61554"/>
    </row>
    <row r="61555" spans="3:13" ht="12.75" customHeight="1">
      <c r="C61555"/>
      <c r="M61555"/>
    </row>
    <row r="61556" spans="3:13" ht="12.75" customHeight="1">
      <c r="C61556"/>
      <c r="M61556"/>
    </row>
    <row r="61557" spans="3:13" ht="12.75" customHeight="1">
      <c r="C61557"/>
      <c r="M61557"/>
    </row>
    <row r="61558" spans="3:13" ht="12.75" customHeight="1">
      <c r="C61558"/>
      <c r="M61558"/>
    </row>
    <row r="61559" spans="3:13" ht="12.75" customHeight="1">
      <c r="C61559"/>
      <c r="M61559"/>
    </row>
    <row r="61560" spans="3:13" ht="12.75" customHeight="1">
      <c r="C61560"/>
      <c r="M61560"/>
    </row>
    <row r="61561" spans="3:13" ht="12.75" customHeight="1">
      <c r="C61561"/>
      <c r="M61561"/>
    </row>
    <row r="61565" spans="3:13" ht="12.75" customHeight="1">
      <c r="C61565"/>
      <c r="M61565"/>
    </row>
    <row r="61566" spans="3:13" ht="12.75" customHeight="1">
      <c r="C61566"/>
      <c r="M61566"/>
    </row>
    <row r="61567" spans="3:13" ht="12.75" customHeight="1">
      <c r="C61567"/>
      <c r="M61567"/>
    </row>
    <row r="61568" spans="3:13" ht="12.75" customHeight="1">
      <c r="C61568"/>
      <c r="M61568"/>
    </row>
    <row r="61569" spans="3:13" ht="12.75" customHeight="1">
      <c r="C61569"/>
      <c r="M61569"/>
    </row>
    <row r="61570" spans="3:13" ht="12.75" customHeight="1">
      <c r="C61570"/>
      <c r="M61570"/>
    </row>
    <row r="61571" spans="3:13" ht="12.75" customHeight="1">
      <c r="C61571"/>
      <c r="M61571"/>
    </row>
    <row r="61572" spans="3:13" ht="12.75" customHeight="1">
      <c r="C61572"/>
      <c r="M61572"/>
    </row>
    <row r="61573" spans="3:13" ht="12.75" customHeight="1">
      <c r="C61573"/>
      <c r="M61573"/>
    </row>
    <row r="61574" spans="3:13" ht="12.75" customHeight="1">
      <c r="C61574"/>
      <c r="M61574"/>
    </row>
    <row r="61575" spans="3:13" ht="12.75" customHeight="1">
      <c r="C61575"/>
      <c r="M61575"/>
    </row>
    <row r="61576" spans="3:13" ht="12.75" customHeight="1">
      <c r="C61576"/>
      <c r="M61576"/>
    </row>
    <row r="61577" spans="3:13" ht="12.75" customHeight="1">
      <c r="C61577"/>
      <c r="M61577"/>
    </row>
    <row r="61581" spans="3:13" ht="12.75" customHeight="1">
      <c r="C61581"/>
      <c r="M61581"/>
    </row>
    <row r="61582" spans="3:13" ht="12.75" customHeight="1">
      <c r="C61582"/>
      <c r="M61582"/>
    </row>
    <row r="61583" spans="3:13" ht="12.75" customHeight="1">
      <c r="C61583"/>
      <c r="M61583"/>
    </row>
    <row r="61584" spans="3:13" ht="12.75" customHeight="1">
      <c r="C61584"/>
      <c r="M61584"/>
    </row>
    <row r="61585" spans="3:13" ht="12.75" customHeight="1">
      <c r="C61585"/>
      <c r="M61585"/>
    </row>
    <row r="61586" spans="3:13" ht="12.75" customHeight="1">
      <c r="C61586"/>
      <c r="M61586"/>
    </row>
    <row r="61587" spans="3:13" ht="12.75" customHeight="1">
      <c r="C61587"/>
      <c r="M61587"/>
    </row>
    <row r="61588" spans="3:13" ht="12.75" customHeight="1">
      <c r="C61588"/>
      <c r="M61588"/>
    </row>
    <row r="61589" spans="3:13" ht="12.75" customHeight="1">
      <c r="C61589"/>
      <c r="M61589"/>
    </row>
    <row r="61590" spans="3:13" ht="12.75" customHeight="1">
      <c r="C61590"/>
      <c r="M61590"/>
    </row>
    <row r="61591" spans="3:13" ht="12.75" customHeight="1">
      <c r="C61591"/>
      <c r="M61591"/>
    </row>
    <row r="61592" spans="3:13" ht="12.75" customHeight="1">
      <c r="C61592"/>
      <c r="M61592"/>
    </row>
    <row r="61593" spans="3:13" ht="12.75" customHeight="1">
      <c r="C61593"/>
      <c r="M61593"/>
    </row>
    <row r="61597" spans="3:13" ht="12.75" customHeight="1">
      <c r="C61597"/>
      <c r="M61597"/>
    </row>
    <row r="61598" spans="3:13" ht="12.75" customHeight="1">
      <c r="C61598"/>
      <c r="M61598"/>
    </row>
    <row r="61599" spans="3:13" ht="12.75" customHeight="1">
      <c r="C61599"/>
      <c r="M61599"/>
    </row>
    <row r="61600" spans="3:13" ht="12.75" customHeight="1">
      <c r="C61600"/>
      <c r="M61600"/>
    </row>
    <row r="61601" spans="3:13" ht="12.75" customHeight="1">
      <c r="C61601"/>
      <c r="M61601"/>
    </row>
    <row r="61602" spans="3:13" ht="12.75" customHeight="1">
      <c r="C61602"/>
      <c r="M61602"/>
    </row>
    <row r="61603" spans="3:13" ht="12.75" customHeight="1">
      <c r="C61603"/>
      <c r="M61603"/>
    </row>
    <row r="61604" spans="3:13" ht="12.75" customHeight="1">
      <c r="C61604"/>
      <c r="M61604"/>
    </row>
    <row r="61605" spans="3:13" ht="12.75" customHeight="1">
      <c r="C61605"/>
      <c r="M61605"/>
    </row>
    <row r="61606" spans="3:13" ht="12.75" customHeight="1">
      <c r="C61606"/>
      <c r="M61606"/>
    </row>
    <row r="61607" spans="3:13" ht="12.75" customHeight="1">
      <c r="C61607"/>
      <c r="M61607"/>
    </row>
    <row r="61608" spans="3:13" ht="12.75" customHeight="1">
      <c r="C61608"/>
      <c r="M61608"/>
    </row>
    <row r="61609" spans="3:13" ht="12.75" customHeight="1">
      <c r="C61609"/>
      <c r="M61609"/>
    </row>
    <row r="61613" spans="3:13" ht="12.75" customHeight="1">
      <c r="C61613"/>
      <c r="M61613"/>
    </row>
    <row r="61614" spans="3:13" ht="12.75" customHeight="1">
      <c r="C61614"/>
      <c r="M61614"/>
    </row>
    <row r="61615" spans="3:13" ht="12.75" customHeight="1">
      <c r="C61615"/>
      <c r="M61615"/>
    </row>
    <row r="61616" spans="3:13" ht="12.75" customHeight="1">
      <c r="C61616"/>
      <c r="M61616"/>
    </row>
    <row r="61617" spans="3:13" ht="12.75" customHeight="1">
      <c r="C61617"/>
      <c r="M61617"/>
    </row>
    <row r="61618" spans="3:13" ht="12.75" customHeight="1">
      <c r="C61618"/>
      <c r="M61618"/>
    </row>
    <row r="61619" spans="3:13" ht="12.75" customHeight="1">
      <c r="C61619"/>
      <c r="M61619"/>
    </row>
    <row r="61620" spans="3:13" ht="12.75" customHeight="1">
      <c r="C61620"/>
      <c r="M61620"/>
    </row>
    <row r="61621" spans="3:13" ht="12.75" customHeight="1">
      <c r="C61621"/>
      <c r="M61621"/>
    </row>
    <row r="61622" spans="3:13" ht="12.75" customHeight="1">
      <c r="C61622"/>
      <c r="M61622"/>
    </row>
    <row r="61623" spans="3:13" ht="12.75" customHeight="1">
      <c r="C61623"/>
      <c r="M61623"/>
    </row>
    <row r="61624" spans="3:13" ht="12.75" customHeight="1">
      <c r="C61624"/>
      <c r="M61624"/>
    </row>
    <row r="61625" spans="3:13" ht="12.75" customHeight="1">
      <c r="C61625"/>
      <c r="M61625"/>
    </row>
    <row r="61629" spans="3:13" ht="12.75" customHeight="1">
      <c r="C61629"/>
      <c r="M61629"/>
    </row>
    <row r="61630" spans="3:13" ht="12.75" customHeight="1">
      <c r="C61630"/>
      <c r="M61630"/>
    </row>
    <row r="61631" spans="3:13" ht="12.75" customHeight="1">
      <c r="C61631"/>
      <c r="M61631"/>
    </row>
    <row r="61632" spans="3:13" ht="12.75" customHeight="1">
      <c r="C61632"/>
      <c r="M61632"/>
    </row>
    <row r="61633" spans="3:13" ht="12.75" customHeight="1">
      <c r="C61633"/>
      <c r="M61633"/>
    </row>
    <row r="61634" spans="3:13" ht="12.75" customHeight="1">
      <c r="C61634"/>
      <c r="M61634"/>
    </row>
    <row r="61635" spans="3:13" ht="12.75" customHeight="1">
      <c r="C61635"/>
      <c r="M61635"/>
    </row>
    <row r="61636" spans="3:13" ht="12.75" customHeight="1">
      <c r="C61636"/>
      <c r="M61636"/>
    </row>
    <row r="61637" spans="3:13" ht="12.75" customHeight="1">
      <c r="C61637"/>
      <c r="M61637"/>
    </row>
    <row r="61638" spans="3:13" ht="12.75" customHeight="1">
      <c r="C61638"/>
      <c r="M61638"/>
    </row>
    <row r="61639" spans="3:13" ht="12.75" customHeight="1">
      <c r="C61639"/>
      <c r="M61639"/>
    </row>
    <row r="61640" spans="3:13" ht="12.75" customHeight="1">
      <c r="C61640"/>
      <c r="M61640"/>
    </row>
    <row r="61641" spans="3:13" ht="12.75" customHeight="1">
      <c r="C61641"/>
      <c r="M61641"/>
    </row>
    <row r="61642" spans="3:13" ht="12.75" customHeight="1">
      <c r="C61642"/>
      <c r="M61642"/>
    </row>
    <row r="61645" spans="3:13" ht="12.75" customHeight="1">
      <c r="C61645"/>
      <c r="M61645"/>
    </row>
    <row r="61646" spans="3:13" ht="12.75" customHeight="1">
      <c r="C61646"/>
      <c r="M61646"/>
    </row>
    <row r="61647" spans="3:13" ht="12.75" customHeight="1">
      <c r="C61647"/>
      <c r="M61647"/>
    </row>
    <row r="61648" spans="3:13" ht="12.75" customHeight="1">
      <c r="C61648"/>
      <c r="M61648"/>
    </row>
    <row r="61649" spans="3:13" ht="12.75" customHeight="1">
      <c r="C61649"/>
      <c r="M61649"/>
    </row>
    <row r="61650" spans="3:13" ht="12.75" customHeight="1">
      <c r="C61650"/>
      <c r="M61650"/>
    </row>
    <row r="61651" spans="3:13" ht="12.75" customHeight="1">
      <c r="C61651"/>
      <c r="M61651"/>
    </row>
    <row r="61652" spans="3:13" ht="12.75" customHeight="1">
      <c r="C61652"/>
      <c r="M61652"/>
    </row>
    <row r="61653" spans="3:13" ht="12.75" customHeight="1">
      <c r="C61653"/>
      <c r="M61653"/>
    </row>
    <row r="61654" spans="3:13" ht="12.75" customHeight="1">
      <c r="C61654"/>
      <c r="M61654"/>
    </row>
    <row r="61655" spans="3:13" ht="12.75" customHeight="1">
      <c r="C61655"/>
      <c r="M61655"/>
    </row>
    <row r="61656" spans="3:13" ht="12.75" customHeight="1">
      <c r="C61656"/>
      <c r="M61656"/>
    </row>
    <row r="61657" spans="3:13" ht="12.75" customHeight="1">
      <c r="C61657"/>
      <c r="M61657"/>
    </row>
    <row r="61658" spans="3:13" ht="12.75" customHeight="1">
      <c r="C61658"/>
      <c r="M61658"/>
    </row>
    <row r="61661" spans="3:13" ht="12.75" customHeight="1">
      <c r="C61661"/>
      <c r="M61661"/>
    </row>
    <row r="61662" spans="3:13" ht="12.75" customHeight="1">
      <c r="C61662"/>
      <c r="M61662"/>
    </row>
    <row r="61663" spans="3:13" ht="12.75" customHeight="1">
      <c r="C61663"/>
      <c r="M61663"/>
    </row>
    <row r="61664" spans="3:13" ht="12.75" customHeight="1">
      <c r="C61664"/>
      <c r="M61664"/>
    </row>
    <row r="61665" spans="3:13" ht="12.75" customHeight="1">
      <c r="C61665"/>
      <c r="M61665"/>
    </row>
    <row r="61666" spans="3:13" ht="12.75" customHeight="1">
      <c r="C61666"/>
      <c r="M61666"/>
    </row>
    <row r="61667" spans="3:13" ht="12.75" customHeight="1">
      <c r="C61667"/>
      <c r="M61667"/>
    </row>
    <row r="61668" spans="3:13" ht="12.75" customHeight="1">
      <c r="C61668"/>
      <c r="M61668"/>
    </row>
    <row r="61669" spans="3:13" ht="12.75" customHeight="1">
      <c r="C61669"/>
      <c r="M61669"/>
    </row>
    <row r="61670" spans="3:13" ht="12.75" customHeight="1">
      <c r="C61670"/>
      <c r="M61670"/>
    </row>
    <row r="61671" spans="3:13" ht="12.75" customHeight="1">
      <c r="C61671"/>
      <c r="M61671"/>
    </row>
    <row r="61672" spans="3:13" ht="12.75" customHeight="1">
      <c r="C61672"/>
      <c r="M61672"/>
    </row>
    <row r="61673" spans="3:13" ht="12.75" customHeight="1">
      <c r="C61673"/>
      <c r="M61673"/>
    </row>
    <row r="61674" spans="3:13" ht="12.75" customHeight="1">
      <c r="C61674"/>
      <c r="M61674"/>
    </row>
    <row r="61675" spans="3:13" ht="12.75" customHeight="1">
      <c r="C61675"/>
      <c r="M61675"/>
    </row>
    <row r="61677" spans="3:13" ht="12.75" customHeight="1">
      <c r="C61677"/>
      <c r="M61677"/>
    </row>
    <row r="61678" spans="3:13" ht="12.75" customHeight="1">
      <c r="C61678"/>
      <c r="M61678"/>
    </row>
    <row r="61679" spans="3:13" ht="12.75" customHeight="1">
      <c r="C61679"/>
      <c r="M61679"/>
    </row>
    <row r="61680" spans="3:13" ht="12.75" customHeight="1">
      <c r="C61680"/>
      <c r="M61680"/>
    </row>
    <row r="61681" spans="3:13" ht="12.75" customHeight="1">
      <c r="C61681"/>
      <c r="M61681"/>
    </row>
    <row r="61682" spans="3:13" ht="12.75" customHeight="1">
      <c r="C61682"/>
      <c r="M61682"/>
    </row>
    <row r="61683" spans="3:13" ht="12.75" customHeight="1">
      <c r="C61683"/>
      <c r="M61683"/>
    </row>
    <row r="61684" spans="3:13" ht="12.75" customHeight="1">
      <c r="C61684"/>
      <c r="M61684"/>
    </row>
    <row r="61685" spans="3:13" ht="12.75" customHeight="1">
      <c r="C61685"/>
      <c r="M61685"/>
    </row>
    <row r="61686" spans="3:13" ht="12.75" customHeight="1">
      <c r="C61686"/>
      <c r="M61686"/>
    </row>
    <row r="61687" spans="3:13" ht="12.75" customHeight="1">
      <c r="C61687"/>
      <c r="M61687"/>
    </row>
    <row r="61688" spans="3:13" ht="12.75" customHeight="1">
      <c r="C61688"/>
      <c r="M61688"/>
    </row>
    <row r="61689" spans="3:13" ht="12.75" customHeight="1">
      <c r="C61689"/>
      <c r="M61689"/>
    </row>
    <row r="61690" spans="3:13" ht="12.75" customHeight="1">
      <c r="C61690"/>
      <c r="M61690"/>
    </row>
    <row r="61691" spans="3:13" ht="12.75" customHeight="1">
      <c r="C61691"/>
      <c r="M61691"/>
    </row>
    <row r="61692" spans="3:13" ht="12.75" customHeight="1">
      <c r="C61692"/>
      <c r="M61692"/>
    </row>
    <row r="61693" spans="3:13" ht="12.75" customHeight="1">
      <c r="C61693"/>
      <c r="M61693"/>
    </row>
    <row r="61694" spans="3:13" ht="12.75" customHeight="1">
      <c r="C61694"/>
      <c r="M61694"/>
    </row>
    <row r="61695" spans="3:13" ht="12.75" customHeight="1">
      <c r="C61695"/>
      <c r="M61695"/>
    </row>
    <row r="61696" spans="3:13" ht="12.75" customHeight="1">
      <c r="C61696"/>
      <c r="M61696"/>
    </row>
    <row r="61697" spans="3:13" ht="12.75" customHeight="1">
      <c r="C61697"/>
      <c r="M61697"/>
    </row>
    <row r="61698" spans="3:13" ht="12.75" customHeight="1">
      <c r="C61698"/>
      <c r="M61698"/>
    </row>
    <row r="61699" spans="3:13" ht="12.75" customHeight="1">
      <c r="C61699"/>
      <c r="M61699"/>
    </row>
    <row r="61700" spans="3:13" ht="12.75" customHeight="1">
      <c r="C61700"/>
      <c r="M61700"/>
    </row>
    <row r="61701" spans="3:13" ht="12.75" customHeight="1">
      <c r="C61701"/>
      <c r="M61701"/>
    </row>
    <row r="61702" spans="3:13" ht="12.75" customHeight="1">
      <c r="C61702"/>
      <c r="M61702"/>
    </row>
    <row r="61703" spans="3:13" ht="12.75" customHeight="1">
      <c r="C61703"/>
      <c r="M61703"/>
    </row>
    <row r="61704" spans="3:13" ht="12.75" customHeight="1">
      <c r="C61704"/>
      <c r="M61704"/>
    </row>
    <row r="61705" spans="3:13" ht="12.75" customHeight="1">
      <c r="C61705"/>
      <c r="M61705"/>
    </row>
    <row r="61706" spans="3:13" ht="12.75" customHeight="1">
      <c r="C61706"/>
      <c r="M61706"/>
    </row>
    <row r="61707" spans="3:13" ht="12.75" customHeight="1">
      <c r="C61707"/>
      <c r="M61707"/>
    </row>
    <row r="61708" spans="3:13" ht="12.75" customHeight="1">
      <c r="C61708"/>
      <c r="M61708"/>
    </row>
    <row r="61709" spans="3:13" ht="12.75" customHeight="1">
      <c r="C61709"/>
      <c r="M61709"/>
    </row>
    <row r="61710" spans="3:13" ht="12.75" customHeight="1">
      <c r="C61710"/>
      <c r="M61710"/>
    </row>
    <row r="61711" spans="3:13" ht="12.75" customHeight="1">
      <c r="C61711"/>
      <c r="M61711"/>
    </row>
    <row r="61712" spans="3:13" ht="12.75" customHeight="1">
      <c r="C61712"/>
      <c r="M61712"/>
    </row>
    <row r="61713" spans="3:13" ht="12.75" customHeight="1">
      <c r="C61713"/>
      <c r="M61713"/>
    </row>
    <row r="61714" spans="3:13" ht="12.75" customHeight="1">
      <c r="C61714"/>
      <c r="M61714"/>
    </row>
    <row r="61715" spans="3:13" ht="12.75" customHeight="1">
      <c r="C61715"/>
      <c r="M61715"/>
    </row>
    <row r="61716" spans="3:13" ht="12.75" customHeight="1">
      <c r="C61716"/>
      <c r="M61716"/>
    </row>
    <row r="61717" spans="3:13" ht="12.75" customHeight="1">
      <c r="C61717"/>
      <c r="M61717"/>
    </row>
    <row r="61718" spans="3:13" ht="12.75" customHeight="1">
      <c r="C61718"/>
      <c r="M61718"/>
    </row>
    <row r="61719" spans="3:13" ht="12.75" customHeight="1">
      <c r="C61719"/>
      <c r="M61719"/>
    </row>
    <row r="61720" spans="3:13" ht="12.75" customHeight="1">
      <c r="C61720"/>
      <c r="M61720"/>
    </row>
    <row r="61721" spans="3:13" ht="12.75" customHeight="1">
      <c r="C61721"/>
      <c r="M61721"/>
    </row>
    <row r="61722" spans="3:13" ht="12.75" customHeight="1">
      <c r="C61722"/>
      <c r="M61722"/>
    </row>
    <row r="61723" spans="3:13" ht="12.75" customHeight="1">
      <c r="C61723"/>
      <c r="M61723"/>
    </row>
    <row r="61724" spans="3:13" ht="12.75" customHeight="1">
      <c r="C61724"/>
      <c r="M61724"/>
    </row>
    <row r="61725" spans="3:13" ht="12.75" customHeight="1">
      <c r="C61725"/>
      <c r="M61725"/>
    </row>
    <row r="61726" spans="3:13" ht="12.75" customHeight="1">
      <c r="C61726"/>
      <c r="M61726"/>
    </row>
    <row r="61727" spans="3:13" ht="12.75" customHeight="1">
      <c r="C61727"/>
      <c r="M61727"/>
    </row>
    <row r="61728" spans="3:13" ht="12.75" customHeight="1">
      <c r="C61728"/>
      <c r="M61728"/>
    </row>
    <row r="61729" spans="3:13" ht="12.75" customHeight="1">
      <c r="C61729"/>
      <c r="M61729"/>
    </row>
    <row r="61730" spans="3:13" ht="12.75" customHeight="1">
      <c r="C61730"/>
      <c r="M61730"/>
    </row>
    <row r="61731" spans="3:13" ht="12.75" customHeight="1">
      <c r="C61731"/>
      <c r="M61731"/>
    </row>
    <row r="61732" spans="3:13" ht="12.75" customHeight="1">
      <c r="C61732"/>
      <c r="M61732"/>
    </row>
    <row r="61733" spans="3:13" ht="12.75" customHeight="1">
      <c r="C61733"/>
      <c r="M61733"/>
    </row>
    <row r="61734" spans="3:13" ht="12.75" customHeight="1">
      <c r="C61734"/>
      <c r="M61734"/>
    </row>
    <row r="61735" spans="3:13" ht="12.75" customHeight="1">
      <c r="C61735"/>
      <c r="M61735"/>
    </row>
    <row r="61736" spans="3:13" ht="12.75" customHeight="1">
      <c r="C61736"/>
      <c r="M61736"/>
    </row>
    <row r="61737" spans="3:13" ht="12.75" customHeight="1">
      <c r="C61737"/>
      <c r="M61737"/>
    </row>
    <row r="61738" spans="3:13" ht="12.75" customHeight="1">
      <c r="C61738"/>
      <c r="M61738"/>
    </row>
    <row r="61739" spans="3:13" ht="12.75" customHeight="1">
      <c r="C61739"/>
      <c r="M61739"/>
    </row>
    <row r="61740" spans="3:13" ht="12.75" customHeight="1">
      <c r="C61740"/>
      <c r="M61740"/>
    </row>
    <row r="61741" spans="3:13" ht="12.75" customHeight="1">
      <c r="C61741"/>
      <c r="M61741"/>
    </row>
    <row r="61742" spans="3:13" ht="12.75" customHeight="1">
      <c r="C61742"/>
      <c r="M61742"/>
    </row>
    <row r="61743" spans="3:13" ht="12.75" customHeight="1">
      <c r="C61743"/>
      <c r="M61743"/>
    </row>
    <row r="61744" spans="3:13" ht="12.75" customHeight="1">
      <c r="C61744"/>
      <c r="M61744"/>
    </row>
    <row r="61745" spans="3:13" ht="12.75" customHeight="1">
      <c r="C61745"/>
      <c r="M61745"/>
    </row>
    <row r="61746" spans="3:13" ht="12.75" customHeight="1">
      <c r="C61746"/>
      <c r="M61746"/>
    </row>
    <row r="61747" spans="3:13" ht="12.75" customHeight="1">
      <c r="C61747"/>
      <c r="M61747"/>
    </row>
    <row r="61748" spans="3:13" ht="12.75" customHeight="1">
      <c r="C61748"/>
      <c r="M61748"/>
    </row>
    <row r="61749" spans="3:13" ht="12.75" customHeight="1">
      <c r="C61749"/>
      <c r="M61749"/>
    </row>
    <row r="61750" spans="3:13" ht="12.75" customHeight="1">
      <c r="C61750"/>
      <c r="M61750"/>
    </row>
    <row r="61751" spans="3:13" ht="12.75" customHeight="1">
      <c r="C61751"/>
      <c r="M61751"/>
    </row>
    <row r="61752" spans="3:13" ht="12.75" customHeight="1">
      <c r="C61752"/>
      <c r="M61752"/>
    </row>
    <row r="61753" spans="3:13" ht="12.75" customHeight="1">
      <c r="C61753"/>
      <c r="M61753"/>
    </row>
    <row r="61754" spans="3:13" ht="12.75" customHeight="1">
      <c r="C61754"/>
      <c r="M61754"/>
    </row>
    <row r="61755" spans="3:13" ht="12.75" customHeight="1">
      <c r="C61755"/>
      <c r="M61755"/>
    </row>
    <row r="61756" spans="3:13" ht="12.75" customHeight="1">
      <c r="C61756"/>
      <c r="M61756"/>
    </row>
    <row r="61757" spans="3:13" ht="12.75" customHeight="1">
      <c r="C61757"/>
      <c r="M61757"/>
    </row>
    <row r="61758" spans="3:13" ht="12.75" customHeight="1">
      <c r="C61758"/>
      <c r="M61758"/>
    </row>
    <row r="61759" spans="3:13" ht="12.75" customHeight="1">
      <c r="C61759"/>
      <c r="M61759"/>
    </row>
    <row r="61760" spans="3:13" ht="12.75" customHeight="1">
      <c r="C61760"/>
      <c r="M61760"/>
    </row>
    <row r="61761" spans="3:13" ht="12.75" customHeight="1">
      <c r="C61761"/>
      <c r="M61761"/>
    </row>
    <row r="61762" spans="3:13" ht="12.75" customHeight="1">
      <c r="C61762"/>
      <c r="M61762"/>
    </row>
    <row r="61763" spans="3:13" ht="12.75" customHeight="1">
      <c r="C61763"/>
      <c r="M61763"/>
    </row>
    <row r="61764" spans="3:13" ht="12.75" customHeight="1">
      <c r="C61764"/>
      <c r="M61764"/>
    </row>
    <row r="61765" spans="3:13" ht="12.75" customHeight="1">
      <c r="C61765"/>
      <c r="M61765"/>
    </row>
    <row r="61766" spans="3:13" ht="12.75" customHeight="1">
      <c r="C61766"/>
      <c r="M61766"/>
    </row>
    <row r="61767" spans="3:13" ht="12.75" customHeight="1">
      <c r="C61767"/>
      <c r="M61767"/>
    </row>
    <row r="61768" spans="3:13" ht="12.75" customHeight="1">
      <c r="C61768"/>
      <c r="M61768"/>
    </row>
    <row r="61769" spans="3:13" ht="12.75" customHeight="1">
      <c r="C61769"/>
      <c r="M61769"/>
    </row>
    <row r="61770" spans="3:13" ht="12.75" customHeight="1">
      <c r="C61770"/>
      <c r="M61770"/>
    </row>
    <row r="61771" spans="3:13" ht="12.75" customHeight="1">
      <c r="C61771"/>
      <c r="M61771"/>
    </row>
    <row r="61772" spans="3:13" ht="12.75" customHeight="1">
      <c r="C61772"/>
      <c r="M61772"/>
    </row>
    <row r="61773" spans="3:13" ht="12.75" customHeight="1">
      <c r="C61773"/>
      <c r="M61773"/>
    </row>
    <row r="61774" spans="3:13" ht="12.75" customHeight="1">
      <c r="C61774"/>
      <c r="M61774"/>
    </row>
    <row r="61775" spans="3:13" ht="12.75" customHeight="1">
      <c r="C61775"/>
      <c r="M61775"/>
    </row>
    <row r="61776" spans="3:13" ht="12.75" customHeight="1">
      <c r="C61776"/>
      <c r="M61776"/>
    </row>
    <row r="61777" spans="3:13" ht="12.75" customHeight="1">
      <c r="C61777"/>
      <c r="M61777"/>
    </row>
    <row r="61778" spans="3:13" ht="12.75" customHeight="1">
      <c r="C61778"/>
      <c r="M61778"/>
    </row>
    <row r="61779" spans="3:13" ht="12.75" customHeight="1">
      <c r="C61779"/>
      <c r="M61779"/>
    </row>
    <row r="61780" spans="3:13" ht="12.75" customHeight="1">
      <c r="C61780"/>
      <c r="M61780"/>
    </row>
    <row r="61781" spans="3:13" ht="12.75" customHeight="1">
      <c r="C61781"/>
      <c r="M61781"/>
    </row>
    <row r="61782" spans="3:13" ht="12.75" customHeight="1">
      <c r="C61782"/>
      <c r="M61782"/>
    </row>
    <row r="61783" spans="3:13" ht="12.75" customHeight="1">
      <c r="C61783"/>
      <c r="M61783"/>
    </row>
    <row r="61784" spans="3:13" ht="12.75" customHeight="1">
      <c r="C61784"/>
      <c r="M61784"/>
    </row>
    <row r="61785" spans="3:13" ht="12.75" customHeight="1">
      <c r="C61785"/>
      <c r="M61785"/>
    </row>
    <row r="61786" spans="3:13" ht="12.75" customHeight="1">
      <c r="C61786"/>
      <c r="M61786"/>
    </row>
    <row r="61787" spans="3:13" ht="12.75" customHeight="1">
      <c r="C61787"/>
      <c r="M61787"/>
    </row>
    <row r="61788" spans="3:13" ht="12.75" customHeight="1">
      <c r="C61788"/>
      <c r="M61788"/>
    </row>
    <row r="61789" spans="3:13" ht="12.75" customHeight="1">
      <c r="C61789"/>
      <c r="M61789"/>
    </row>
    <row r="61790" spans="3:13" ht="12.75" customHeight="1">
      <c r="C61790"/>
      <c r="M61790"/>
    </row>
    <row r="61791" spans="3:13" ht="12.75" customHeight="1">
      <c r="C61791"/>
      <c r="M61791"/>
    </row>
    <row r="61792" spans="3:13" ht="12.75" customHeight="1">
      <c r="C61792"/>
      <c r="M61792"/>
    </row>
    <row r="61793" spans="3:13" ht="12.75" customHeight="1">
      <c r="C61793"/>
      <c r="M61793"/>
    </row>
    <row r="61794" spans="3:13" ht="12.75" customHeight="1">
      <c r="C61794"/>
      <c r="M61794"/>
    </row>
    <row r="61795" spans="3:13" ht="12.75" customHeight="1">
      <c r="C61795"/>
      <c r="M61795"/>
    </row>
    <row r="61796" spans="3:13" ht="12.75" customHeight="1">
      <c r="C61796"/>
      <c r="M61796"/>
    </row>
    <row r="61797" spans="3:13" ht="12.75" customHeight="1">
      <c r="C61797"/>
      <c r="M61797"/>
    </row>
    <row r="61798" spans="3:13" ht="12.75" customHeight="1">
      <c r="C61798"/>
      <c r="M61798"/>
    </row>
    <row r="61799" spans="3:13" ht="12.75" customHeight="1">
      <c r="C61799"/>
      <c r="M61799"/>
    </row>
    <row r="61800" spans="3:13" ht="12.75" customHeight="1">
      <c r="C61800"/>
      <c r="M61800"/>
    </row>
    <row r="61801" spans="3:13" ht="12.75" customHeight="1">
      <c r="C61801"/>
      <c r="M61801"/>
    </row>
    <row r="61802" spans="3:13" ht="12.75" customHeight="1">
      <c r="C61802"/>
      <c r="M61802"/>
    </row>
    <row r="61803" spans="3:13" ht="12.75" customHeight="1">
      <c r="C61803"/>
      <c r="M61803"/>
    </row>
    <row r="61804" spans="3:13" ht="12.75" customHeight="1">
      <c r="C61804"/>
      <c r="M61804"/>
    </row>
    <row r="61805" spans="3:13" ht="12.75" customHeight="1">
      <c r="C61805"/>
      <c r="M61805"/>
    </row>
    <row r="61806" spans="3:13" ht="12.75" customHeight="1">
      <c r="C61806"/>
      <c r="M61806"/>
    </row>
    <row r="61807" spans="3:13" ht="12.75" customHeight="1">
      <c r="C61807"/>
      <c r="M61807"/>
    </row>
    <row r="61808" spans="3:13" ht="12.75" customHeight="1">
      <c r="C61808"/>
      <c r="M61808"/>
    </row>
    <row r="61809" spans="3:13" ht="12.75" customHeight="1">
      <c r="C61809"/>
      <c r="M61809"/>
    </row>
    <row r="61810" spans="3:13" ht="12.75" customHeight="1">
      <c r="C61810"/>
      <c r="M61810"/>
    </row>
    <row r="61811" spans="3:13" ht="12.75" customHeight="1">
      <c r="C61811"/>
      <c r="M61811"/>
    </row>
    <row r="61812" spans="3:13" ht="12.75" customHeight="1">
      <c r="C61812"/>
      <c r="M61812"/>
    </row>
    <row r="61813" spans="3:13" ht="12.75" customHeight="1">
      <c r="C61813"/>
      <c r="M61813"/>
    </row>
    <row r="61814" spans="3:13" ht="12.75" customHeight="1">
      <c r="C61814"/>
      <c r="M61814"/>
    </row>
    <row r="61815" spans="3:13" ht="12.75" customHeight="1">
      <c r="C61815"/>
      <c r="M61815"/>
    </row>
    <row r="61816" spans="3:13" ht="12.75" customHeight="1">
      <c r="C61816"/>
      <c r="M61816"/>
    </row>
    <row r="61817" spans="3:13" ht="12.75" customHeight="1">
      <c r="C61817"/>
      <c r="M61817"/>
    </row>
    <row r="61818" spans="3:13" ht="12.75" customHeight="1">
      <c r="C61818"/>
      <c r="M61818"/>
    </row>
    <row r="61819" spans="3:13" ht="12.75" customHeight="1">
      <c r="C61819"/>
      <c r="M61819"/>
    </row>
    <row r="61820" spans="3:13" ht="12.75" customHeight="1">
      <c r="C61820"/>
      <c r="M61820"/>
    </row>
    <row r="61821" spans="3:13" ht="12.75" customHeight="1">
      <c r="C61821"/>
      <c r="M61821"/>
    </row>
    <row r="61822" spans="3:13" ht="12.75" customHeight="1">
      <c r="C61822"/>
      <c r="M61822"/>
    </row>
    <row r="61823" spans="3:13" ht="12.75" customHeight="1">
      <c r="C61823"/>
      <c r="M61823"/>
    </row>
    <row r="61824" spans="3:13" ht="12.75" customHeight="1">
      <c r="C61824"/>
      <c r="M61824"/>
    </row>
    <row r="61825" spans="3:13" ht="12.75" customHeight="1">
      <c r="C61825"/>
      <c r="M61825"/>
    </row>
    <row r="61826" spans="3:13" ht="12.75" customHeight="1">
      <c r="C61826"/>
      <c r="M61826"/>
    </row>
    <row r="61827" spans="3:13" ht="12.75" customHeight="1">
      <c r="C61827"/>
      <c r="M61827"/>
    </row>
    <row r="61828" spans="3:13" ht="12.75" customHeight="1">
      <c r="C61828"/>
      <c r="M61828"/>
    </row>
    <row r="61829" spans="3:13" ht="12.75" customHeight="1">
      <c r="C61829"/>
      <c r="M61829"/>
    </row>
    <row r="61830" spans="3:13" ht="12.75" customHeight="1">
      <c r="C61830"/>
      <c r="M61830"/>
    </row>
    <row r="61831" spans="3:13" ht="12.75" customHeight="1">
      <c r="C61831"/>
      <c r="M61831"/>
    </row>
    <row r="61832" spans="3:13" ht="12.75" customHeight="1">
      <c r="C61832"/>
      <c r="M61832"/>
    </row>
    <row r="61833" spans="3:13" ht="12.75" customHeight="1">
      <c r="C61833"/>
      <c r="M61833"/>
    </row>
    <row r="61834" spans="3:13" ht="12.75" customHeight="1">
      <c r="C61834"/>
      <c r="M61834"/>
    </row>
    <row r="61835" spans="3:13" ht="12.75" customHeight="1">
      <c r="C61835"/>
      <c r="M61835"/>
    </row>
    <row r="61836" spans="3:13" ht="12.75" customHeight="1">
      <c r="C61836"/>
      <c r="M61836"/>
    </row>
    <row r="61837" spans="3:13" ht="12.75" customHeight="1">
      <c r="C61837"/>
      <c r="M61837"/>
    </row>
    <row r="61838" spans="3:13" ht="12.75" customHeight="1">
      <c r="C61838"/>
      <c r="M61838"/>
    </row>
    <row r="61839" spans="3:13" ht="12.75" customHeight="1">
      <c r="C61839"/>
      <c r="M61839"/>
    </row>
    <row r="61840" spans="3:13" ht="12.75" customHeight="1">
      <c r="C61840"/>
      <c r="M61840"/>
    </row>
    <row r="61841" spans="3:13" ht="12.75" customHeight="1">
      <c r="C61841"/>
      <c r="M61841"/>
    </row>
    <row r="61842" spans="3:13" ht="12.75" customHeight="1">
      <c r="C61842"/>
      <c r="M61842"/>
    </row>
    <row r="61843" spans="3:13" ht="12.75" customHeight="1">
      <c r="C61843"/>
      <c r="M61843"/>
    </row>
    <row r="61844" spans="3:13" ht="12.75" customHeight="1">
      <c r="C61844"/>
      <c r="M61844"/>
    </row>
    <row r="61845" spans="3:13" ht="12.75" customHeight="1">
      <c r="C61845"/>
      <c r="M61845"/>
    </row>
    <row r="61846" spans="3:13" ht="12.75" customHeight="1">
      <c r="C61846"/>
      <c r="M61846"/>
    </row>
    <row r="61847" spans="3:13" ht="12.75" customHeight="1">
      <c r="C61847"/>
      <c r="M61847"/>
    </row>
    <row r="61848" spans="3:13" ht="12.75" customHeight="1">
      <c r="C61848"/>
      <c r="M61848"/>
    </row>
    <row r="61849" spans="3:13" ht="12.75" customHeight="1">
      <c r="C61849"/>
      <c r="M61849"/>
    </row>
    <row r="61850" spans="3:13" ht="12.75" customHeight="1">
      <c r="C61850"/>
      <c r="M61850"/>
    </row>
    <row r="61851" spans="3:13" ht="12.75" customHeight="1">
      <c r="C61851"/>
      <c r="M61851"/>
    </row>
    <row r="61852" spans="3:13" ht="12.75" customHeight="1">
      <c r="C61852"/>
      <c r="M61852"/>
    </row>
    <row r="61853" spans="3:13" ht="12.75" customHeight="1">
      <c r="C61853"/>
      <c r="M61853"/>
    </row>
    <row r="61854" spans="3:13" ht="12.75" customHeight="1">
      <c r="C61854"/>
      <c r="M61854"/>
    </row>
    <row r="61855" spans="3:13" ht="12.75" customHeight="1">
      <c r="C61855"/>
      <c r="M61855"/>
    </row>
    <row r="61856" spans="3:13" ht="12.75" customHeight="1">
      <c r="C61856"/>
      <c r="M61856"/>
    </row>
    <row r="61857" spans="3:13" ht="12.75" customHeight="1">
      <c r="C61857"/>
      <c r="M61857"/>
    </row>
    <row r="61858" spans="3:13" ht="12.75" customHeight="1">
      <c r="C61858"/>
      <c r="M61858"/>
    </row>
    <row r="61859" spans="3:13" ht="12.75" customHeight="1">
      <c r="C61859"/>
      <c r="M61859"/>
    </row>
    <row r="61860" spans="3:13" ht="12.75" customHeight="1">
      <c r="C61860"/>
      <c r="M61860"/>
    </row>
    <row r="61861" spans="3:13" ht="12.75" customHeight="1">
      <c r="C61861"/>
      <c r="M61861"/>
    </row>
    <row r="61862" spans="3:13" ht="12.75" customHeight="1">
      <c r="C61862"/>
      <c r="M61862"/>
    </row>
    <row r="61863" spans="3:13" ht="12.75" customHeight="1">
      <c r="C61863"/>
      <c r="M61863"/>
    </row>
    <row r="61864" spans="3:13" ht="12.75" customHeight="1">
      <c r="C61864"/>
      <c r="M61864"/>
    </row>
    <row r="61865" spans="3:13" ht="12.75" customHeight="1">
      <c r="C61865"/>
      <c r="M61865"/>
    </row>
    <row r="61866" spans="3:13" ht="12.75" customHeight="1">
      <c r="C61866"/>
      <c r="M61866"/>
    </row>
    <row r="61867" spans="3:13" ht="12.75" customHeight="1">
      <c r="C61867"/>
      <c r="M61867"/>
    </row>
    <row r="61868" spans="3:13" ht="12.75" customHeight="1">
      <c r="C61868"/>
      <c r="M61868"/>
    </row>
    <row r="61869" spans="3:13" ht="12.75" customHeight="1">
      <c r="C61869"/>
      <c r="M61869"/>
    </row>
    <row r="61870" spans="3:13" ht="12.75" customHeight="1">
      <c r="C61870"/>
      <c r="M61870"/>
    </row>
    <row r="61871" spans="3:13" ht="12.75" customHeight="1">
      <c r="C61871"/>
      <c r="M61871"/>
    </row>
    <row r="61872" spans="3:13" ht="12.75" customHeight="1">
      <c r="C61872"/>
      <c r="M61872"/>
    </row>
    <row r="61873" spans="3:13" ht="12.75" customHeight="1">
      <c r="C61873"/>
      <c r="M61873"/>
    </row>
    <row r="61874" spans="3:13" ht="12.75" customHeight="1">
      <c r="C61874"/>
      <c r="M61874"/>
    </row>
    <row r="61875" spans="3:13" ht="12.75" customHeight="1">
      <c r="C61875"/>
      <c r="M61875"/>
    </row>
    <row r="61876" spans="3:13" ht="12.75" customHeight="1">
      <c r="C61876"/>
      <c r="M61876"/>
    </row>
    <row r="61877" spans="3:13" ht="12.75" customHeight="1">
      <c r="C61877"/>
      <c r="M61877"/>
    </row>
    <row r="61878" spans="3:13" ht="12.75" customHeight="1">
      <c r="C61878"/>
      <c r="M61878"/>
    </row>
    <row r="61879" spans="3:13" ht="12.75" customHeight="1">
      <c r="C61879"/>
      <c r="M61879"/>
    </row>
    <row r="61880" spans="3:13" ht="12.75" customHeight="1">
      <c r="C61880"/>
      <c r="M61880"/>
    </row>
    <row r="61881" spans="3:13" ht="12.75" customHeight="1">
      <c r="C61881"/>
      <c r="M61881"/>
    </row>
    <row r="61882" spans="3:13" ht="12.75" customHeight="1">
      <c r="C61882"/>
      <c r="M61882"/>
    </row>
    <row r="61883" spans="3:13" ht="12.75" customHeight="1">
      <c r="C61883"/>
      <c r="M61883"/>
    </row>
    <row r="61884" spans="3:13" ht="12.75" customHeight="1">
      <c r="C61884"/>
      <c r="M61884"/>
    </row>
    <row r="61885" spans="3:13" ht="12.75" customHeight="1">
      <c r="C61885"/>
      <c r="M61885"/>
    </row>
    <row r="61886" spans="3:13" ht="12.75" customHeight="1">
      <c r="C61886"/>
      <c r="M61886"/>
    </row>
    <row r="61887" spans="3:13" ht="12.75" customHeight="1">
      <c r="C61887"/>
      <c r="M61887"/>
    </row>
    <row r="61888" spans="3:13" ht="12.75" customHeight="1">
      <c r="C61888"/>
      <c r="M61888"/>
    </row>
    <row r="61889" spans="3:13" ht="12.75" customHeight="1">
      <c r="C61889"/>
      <c r="M61889"/>
    </row>
    <row r="61890" spans="3:13" ht="12.75" customHeight="1">
      <c r="C61890"/>
      <c r="M61890"/>
    </row>
    <row r="61891" spans="3:13" ht="12.75" customHeight="1">
      <c r="C61891"/>
      <c r="M61891"/>
    </row>
    <row r="61892" spans="3:13" ht="12.75" customHeight="1">
      <c r="C61892"/>
      <c r="M61892"/>
    </row>
    <row r="61893" spans="3:13" ht="12.75" customHeight="1">
      <c r="C61893"/>
      <c r="M61893"/>
    </row>
    <row r="61894" spans="3:13" ht="12.75" customHeight="1">
      <c r="C61894"/>
      <c r="M61894"/>
    </row>
    <row r="61895" spans="3:13" ht="12.75" customHeight="1">
      <c r="C61895"/>
      <c r="M61895"/>
    </row>
    <row r="61896" spans="3:13" ht="12.75" customHeight="1">
      <c r="C61896"/>
      <c r="M61896"/>
    </row>
    <row r="61897" spans="3:13" ht="12.75" customHeight="1">
      <c r="C61897"/>
      <c r="M61897"/>
    </row>
    <row r="61898" spans="3:13" ht="12.75" customHeight="1">
      <c r="C61898"/>
      <c r="M61898"/>
    </row>
    <row r="61899" spans="3:13" ht="12.75" customHeight="1">
      <c r="C61899"/>
      <c r="M61899"/>
    </row>
    <row r="61900" spans="3:13" ht="12.75" customHeight="1">
      <c r="C61900"/>
      <c r="M61900"/>
    </row>
    <row r="61901" spans="3:13" ht="12.75" customHeight="1">
      <c r="C61901"/>
      <c r="M61901"/>
    </row>
    <row r="61902" spans="3:13" ht="12.75" customHeight="1">
      <c r="C61902"/>
      <c r="M61902"/>
    </row>
    <row r="61903" spans="3:13" ht="12.75" customHeight="1">
      <c r="C61903"/>
      <c r="M61903"/>
    </row>
    <row r="61904" spans="3:13" ht="12.75" customHeight="1">
      <c r="C61904"/>
      <c r="M61904"/>
    </row>
    <row r="61905" spans="3:13" ht="12.75" customHeight="1">
      <c r="C61905"/>
      <c r="M61905"/>
    </row>
    <row r="61906" spans="3:13" ht="12.75" customHeight="1">
      <c r="C61906"/>
      <c r="M61906"/>
    </row>
    <row r="61907" spans="3:13" ht="12.75" customHeight="1">
      <c r="C61907"/>
      <c r="M61907"/>
    </row>
    <row r="61908" spans="3:13" ht="12.75" customHeight="1">
      <c r="C61908"/>
      <c r="M61908"/>
    </row>
    <row r="61909" spans="3:13" ht="12.75" customHeight="1">
      <c r="C61909"/>
      <c r="M61909"/>
    </row>
    <row r="61910" spans="3:13" ht="12.75" customHeight="1">
      <c r="C61910"/>
      <c r="M61910"/>
    </row>
    <row r="61911" spans="3:13" ht="12.75" customHeight="1">
      <c r="C61911"/>
      <c r="M61911"/>
    </row>
    <row r="61912" spans="3:13" ht="12.75" customHeight="1">
      <c r="C61912"/>
      <c r="M61912"/>
    </row>
    <row r="61913" spans="3:13" ht="12.75" customHeight="1">
      <c r="C61913"/>
      <c r="M61913"/>
    </row>
    <row r="61914" spans="3:13" ht="12.75" customHeight="1">
      <c r="C61914"/>
      <c r="M61914"/>
    </row>
    <row r="61915" spans="3:13" ht="12.75" customHeight="1">
      <c r="C61915"/>
      <c r="M61915"/>
    </row>
    <row r="61916" spans="3:13" ht="12.75" customHeight="1">
      <c r="C61916"/>
      <c r="M61916"/>
    </row>
    <row r="61917" spans="3:13" ht="12.75" customHeight="1">
      <c r="C61917"/>
      <c r="M61917"/>
    </row>
    <row r="61918" spans="3:13" ht="12.75" customHeight="1">
      <c r="C61918"/>
      <c r="M61918"/>
    </row>
    <row r="61919" spans="3:13" ht="12.75" customHeight="1">
      <c r="C61919"/>
      <c r="M61919"/>
    </row>
    <row r="61920" spans="3:13" ht="12.75" customHeight="1">
      <c r="C61920"/>
      <c r="M61920"/>
    </row>
    <row r="61921" spans="3:13" ht="12.75" customHeight="1">
      <c r="C61921"/>
      <c r="M61921"/>
    </row>
    <row r="61922" spans="3:13" ht="12.75" customHeight="1">
      <c r="C61922"/>
      <c r="M61922"/>
    </row>
    <row r="61923" spans="3:13" ht="12.75" customHeight="1">
      <c r="C61923"/>
      <c r="M61923"/>
    </row>
    <row r="61924" spans="3:13" ht="12.75" customHeight="1">
      <c r="C61924"/>
      <c r="M61924"/>
    </row>
    <row r="61925" spans="3:13" ht="12.75" customHeight="1">
      <c r="C61925"/>
      <c r="M61925"/>
    </row>
    <row r="61926" spans="3:13" ht="12.75" customHeight="1">
      <c r="C61926"/>
      <c r="M61926"/>
    </row>
    <row r="61927" spans="3:13" ht="12.75" customHeight="1">
      <c r="C61927"/>
      <c r="M61927"/>
    </row>
    <row r="61928" spans="3:13" ht="12.75" customHeight="1">
      <c r="C61928"/>
      <c r="M61928"/>
    </row>
    <row r="61929" spans="3:13" ht="12.75" customHeight="1">
      <c r="C61929"/>
      <c r="M61929"/>
    </row>
    <row r="61930" spans="3:13" ht="12.75" customHeight="1">
      <c r="C61930"/>
      <c r="M61930"/>
    </row>
    <row r="61931" spans="3:13" ht="12.75" customHeight="1">
      <c r="C61931"/>
      <c r="M61931"/>
    </row>
    <row r="61932" spans="3:13" ht="12.75" customHeight="1">
      <c r="C61932"/>
      <c r="M61932"/>
    </row>
    <row r="61933" spans="3:13" ht="12.75" customHeight="1">
      <c r="C61933"/>
      <c r="M61933"/>
    </row>
    <row r="61934" spans="3:13" ht="12.75" customHeight="1">
      <c r="C61934"/>
      <c r="M61934"/>
    </row>
    <row r="61935" spans="3:13" ht="12.75" customHeight="1">
      <c r="C61935"/>
      <c r="M61935"/>
    </row>
    <row r="61936" spans="3:13" ht="12.75" customHeight="1">
      <c r="C61936"/>
      <c r="M61936"/>
    </row>
    <row r="61937" spans="3:13" ht="12.75" customHeight="1">
      <c r="C61937"/>
      <c r="M61937"/>
    </row>
    <row r="61938" spans="3:13" ht="12.75" customHeight="1">
      <c r="C61938"/>
      <c r="M61938"/>
    </row>
    <row r="61939" spans="3:13" ht="12.75" customHeight="1">
      <c r="C61939"/>
      <c r="M61939"/>
    </row>
    <row r="61940" spans="3:13" ht="12.75" customHeight="1">
      <c r="C61940"/>
      <c r="M61940"/>
    </row>
    <row r="61941" spans="3:13" ht="12.75" customHeight="1">
      <c r="C61941"/>
      <c r="M61941"/>
    </row>
    <row r="61942" spans="3:13" ht="12.75" customHeight="1">
      <c r="C61942"/>
      <c r="M61942"/>
    </row>
    <row r="61943" spans="3:13" ht="12.75" customHeight="1">
      <c r="C61943"/>
      <c r="M61943"/>
    </row>
    <row r="61944" spans="3:13" ht="12.75" customHeight="1">
      <c r="C61944"/>
      <c r="M61944"/>
    </row>
    <row r="61945" spans="3:13" ht="12.75" customHeight="1">
      <c r="C61945"/>
      <c r="M61945"/>
    </row>
    <row r="61946" spans="3:13" ht="12.75" customHeight="1">
      <c r="C61946"/>
      <c r="M61946"/>
    </row>
    <row r="61947" spans="3:13" ht="12.75" customHeight="1">
      <c r="C61947"/>
      <c r="M61947"/>
    </row>
    <row r="61948" spans="3:13" ht="12.75" customHeight="1">
      <c r="C61948"/>
      <c r="M61948"/>
    </row>
    <row r="61949" spans="3:13" ht="12.75" customHeight="1">
      <c r="C61949"/>
      <c r="M61949"/>
    </row>
    <row r="61950" spans="3:13" ht="12.75" customHeight="1">
      <c r="C61950"/>
      <c r="M61950"/>
    </row>
    <row r="61951" spans="3:13" ht="12.75" customHeight="1">
      <c r="C61951"/>
      <c r="M61951"/>
    </row>
    <row r="61952" spans="3:13" ht="12.75" customHeight="1">
      <c r="C61952"/>
      <c r="M61952"/>
    </row>
    <row r="61953" spans="3:13" ht="12.75" customHeight="1">
      <c r="C61953"/>
      <c r="M61953"/>
    </row>
    <row r="61954" spans="3:13" ht="12.75" customHeight="1">
      <c r="C61954"/>
      <c r="M61954"/>
    </row>
    <row r="61955" spans="3:13" ht="12.75" customHeight="1">
      <c r="C61955"/>
      <c r="M61955"/>
    </row>
    <row r="61956" spans="3:13" ht="12.75" customHeight="1">
      <c r="C61956"/>
      <c r="M61956"/>
    </row>
    <row r="61957" spans="3:13" ht="12.75" customHeight="1">
      <c r="C61957"/>
      <c r="M61957"/>
    </row>
    <row r="61958" spans="3:13" ht="12.75" customHeight="1">
      <c r="C61958"/>
      <c r="M61958"/>
    </row>
    <row r="61959" spans="3:13" ht="12.75" customHeight="1">
      <c r="C61959"/>
      <c r="M61959"/>
    </row>
    <row r="61960" spans="3:13" ht="12.75" customHeight="1">
      <c r="C61960"/>
      <c r="M61960"/>
    </row>
    <row r="61961" spans="3:13" ht="12.75" customHeight="1">
      <c r="C61961"/>
      <c r="M61961"/>
    </row>
    <row r="61962" spans="3:13" ht="12.75" customHeight="1">
      <c r="C61962"/>
      <c r="M61962"/>
    </row>
    <row r="61963" spans="3:13" ht="12.75" customHeight="1">
      <c r="C61963"/>
      <c r="M61963"/>
    </row>
    <row r="61964" spans="3:13" ht="12.75" customHeight="1">
      <c r="C61964"/>
      <c r="M61964"/>
    </row>
    <row r="61965" spans="3:13" ht="12.75" customHeight="1">
      <c r="C61965"/>
      <c r="M61965"/>
    </row>
    <row r="61966" spans="3:13" ht="12.75" customHeight="1">
      <c r="C61966"/>
      <c r="M61966"/>
    </row>
    <row r="61967" spans="3:13" ht="12.75" customHeight="1">
      <c r="C61967"/>
      <c r="M61967"/>
    </row>
    <row r="61968" spans="3:13" ht="12.75" customHeight="1">
      <c r="C61968"/>
      <c r="M61968"/>
    </row>
    <row r="61969" spans="3:13" ht="12.75" customHeight="1">
      <c r="C61969"/>
      <c r="M61969"/>
    </row>
    <row r="61970" spans="3:13" ht="12.75" customHeight="1">
      <c r="C61970"/>
      <c r="M61970"/>
    </row>
    <row r="61971" spans="3:13" ht="12.75" customHeight="1">
      <c r="C61971"/>
      <c r="M61971"/>
    </row>
    <row r="61972" spans="3:13" ht="12.75" customHeight="1">
      <c r="C61972"/>
      <c r="M61972"/>
    </row>
    <row r="61973" spans="3:13" ht="12.75" customHeight="1">
      <c r="C61973"/>
      <c r="M61973"/>
    </row>
    <row r="61974" spans="3:13" ht="12.75" customHeight="1">
      <c r="C61974"/>
      <c r="M61974"/>
    </row>
    <row r="61975" spans="3:13" ht="12.75" customHeight="1">
      <c r="C61975"/>
      <c r="M61975"/>
    </row>
    <row r="61976" spans="3:13" ht="12.75" customHeight="1">
      <c r="C61976"/>
      <c r="M61976"/>
    </row>
    <row r="61977" spans="3:13" ht="12.75" customHeight="1">
      <c r="C61977"/>
      <c r="M61977"/>
    </row>
    <row r="61978" spans="3:13" ht="12.75" customHeight="1">
      <c r="C61978"/>
      <c r="M61978"/>
    </row>
    <row r="61979" spans="3:13" ht="12.75" customHeight="1">
      <c r="C61979"/>
      <c r="M61979"/>
    </row>
    <row r="61980" spans="3:13" ht="12.75" customHeight="1">
      <c r="C61980"/>
      <c r="M61980"/>
    </row>
    <row r="61981" spans="3:13" ht="12.75" customHeight="1">
      <c r="C61981"/>
      <c r="M61981"/>
    </row>
    <row r="61982" spans="3:13" ht="12.75" customHeight="1">
      <c r="C61982"/>
      <c r="M61982"/>
    </row>
    <row r="61983" spans="3:13" ht="12.75" customHeight="1">
      <c r="C61983"/>
      <c r="M61983"/>
    </row>
    <row r="61984" spans="3:13" ht="12.75" customHeight="1">
      <c r="C61984"/>
      <c r="M61984"/>
    </row>
    <row r="61985" spans="3:13" ht="12.75" customHeight="1">
      <c r="C61985"/>
      <c r="M61985"/>
    </row>
    <row r="61986" spans="3:13" ht="12.75" customHeight="1">
      <c r="C61986"/>
      <c r="M61986"/>
    </row>
    <row r="61987" spans="3:13" ht="12.75" customHeight="1">
      <c r="C61987"/>
      <c r="M61987"/>
    </row>
    <row r="61988" spans="3:13" ht="12.75" customHeight="1">
      <c r="C61988"/>
      <c r="M61988"/>
    </row>
    <row r="61989" spans="3:13" ht="12.75" customHeight="1">
      <c r="C61989"/>
      <c r="M61989"/>
    </row>
    <row r="61990" spans="3:13" ht="12.75" customHeight="1">
      <c r="C61990"/>
      <c r="M61990"/>
    </row>
    <row r="61991" spans="3:13" ht="12.75" customHeight="1">
      <c r="C61991"/>
      <c r="M61991"/>
    </row>
    <row r="61992" spans="3:13" ht="12.75" customHeight="1">
      <c r="C61992"/>
      <c r="M61992"/>
    </row>
    <row r="61993" spans="3:13" ht="12.75" customHeight="1">
      <c r="C61993"/>
      <c r="M61993"/>
    </row>
    <row r="61994" spans="3:13" ht="12.75" customHeight="1">
      <c r="C61994"/>
      <c r="M61994"/>
    </row>
    <row r="61995" spans="3:13" ht="12.75" customHeight="1">
      <c r="C61995"/>
      <c r="M61995"/>
    </row>
    <row r="61996" spans="3:13" ht="12.75" customHeight="1">
      <c r="C61996"/>
      <c r="M61996"/>
    </row>
    <row r="61997" spans="3:13" ht="12.75" customHeight="1">
      <c r="C61997"/>
      <c r="M61997"/>
    </row>
    <row r="61998" spans="3:13" ht="12.75" customHeight="1">
      <c r="C61998"/>
      <c r="M61998"/>
    </row>
    <row r="61999" spans="3:13" ht="12.75" customHeight="1">
      <c r="C61999"/>
      <c r="M61999"/>
    </row>
    <row r="62000" spans="3:13" ht="12.75" customHeight="1">
      <c r="C62000"/>
      <c r="M62000"/>
    </row>
    <row r="62001" spans="3:13" ht="12.75" customHeight="1">
      <c r="C62001"/>
      <c r="M62001"/>
    </row>
    <row r="62002" spans="3:13" ht="12.75" customHeight="1">
      <c r="C62002"/>
      <c r="M62002"/>
    </row>
    <row r="62003" spans="3:13" ht="12.75" customHeight="1">
      <c r="C62003"/>
      <c r="M62003"/>
    </row>
    <row r="62004" spans="3:13" ht="12.75" customHeight="1">
      <c r="C62004"/>
      <c r="M62004"/>
    </row>
    <row r="62005" spans="3:13" ht="12.75" customHeight="1">
      <c r="C62005"/>
      <c r="M62005"/>
    </row>
    <row r="62006" spans="3:13" ht="12.75" customHeight="1">
      <c r="C62006"/>
      <c r="M62006"/>
    </row>
    <row r="62007" spans="3:13" ht="12.75" customHeight="1">
      <c r="C62007"/>
      <c r="M62007"/>
    </row>
    <row r="62008" spans="3:13" ht="12.75" customHeight="1">
      <c r="C62008"/>
      <c r="M62008"/>
    </row>
    <row r="62009" spans="3:13" ht="12.75" customHeight="1">
      <c r="C62009"/>
      <c r="M62009"/>
    </row>
    <row r="62010" spans="3:13" ht="12.75" customHeight="1">
      <c r="C62010"/>
      <c r="M62010"/>
    </row>
    <row r="62011" spans="3:13" ht="12.75" customHeight="1">
      <c r="C62011"/>
      <c r="M62011"/>
    </row>
    <row r="62012" spans="3:13" ht="12.75" customHeight="1">
      <c r="C62012"/>
      <c r="M62012"/>
    </row>
    <row r="62013" spans="3:13" ht="12.75" customHeight="1">
      <c r="C62013"/>
      <c r="M62013"/>
    </row>
    <row r="62014" spans="3:13" ht="12.75" customHeight="1">
      <c r="C62014"/>
      <c r="M62014"/>
    </row>
    <row r="62015" spans="3:13" ht="12.75" customHeight="1">
      <c r="C62015"/>
      <c r="M62015"/>
    </row>
    <row r="62016" spans="3:13" ht="12.75" customHeight="1">
      <c r="C62016"/>
      <c r="M62016"/>
    </row>
    <row r="62017" spans="3:13" ht="12.75" customHeight="1">
      <c r="C62017"/>
      <c r="M62017"/>
    </row>
    <row r="62018" spans="3:13" ht="12.75" customHeight="1">
      <c r="C62018"/>
      <c r="M62018"/>
    </row>
    <row r="62019" spans="3:13" ht="12.75" customHeight="1">
      <c r="C62019"/>
      <c r="M62019"/>
    </row>
    <row r="62020" spans="3:13" ht="12.75" customHeight="1">
      <c r="C62020"/>
      <c r="M62020"/>
    </row>
    <row r="62021" spans="3:13" ht="12.75" customHeight="1">
      <c r="C62021"/>
      <c r="M62021"/>
    </row>
    <row r="62022" spans="3:13" ht="12.75" customHeight="1">
      <c r="C62022"/>
      <c r="M62022"/>
    </row>
    <row r="62023" spans="3:13" ht="12.75" customHeight="1">
      <c r="C62023"/>
      <c r="M62023"/>
    </row>
    <row r="62024" spans="3:13" ht="12.75" customHeight="1">
      <c r="C62024"/>
      <c r="M62024"/>
    </row>
    <row r="62025" spans="3:13" ht="12.75" customHeight="1">
      <c r="C62025"/>
      <c r="M62025"/>
    </row>
    <row r="62026" spans="3:13" ht="12.75" customHeight="1">
      <c r="C62026"/>
      <c r="M62026"/>
    </row>
    <row r="62027" spans="3:13" ht="12.75" customHeight="1">
      <c r="C62027"/>
      <c r="M62027"/>
    </row>
    <row r="62028" spans="3:13" ht="12.75" customHeight="1">
      <c r="C62028"/>
      <c r="M62028"/>
    </row>
    <row r="62029" spans="3:13" ht="12.75" customHeight="1">
      <c r="C62029"/>
      <c r="M62029"/>
    </row>
    <row r="62030" spans="3:13" ht="12.75" customHeight="1">
      <c r="C62030"/>
      <c r="M62030"/>
    </row>
    <row r="62031" spans="3:13" ht="12.75" customHeight="1">
      <c r="C62031"/>
      <c r="M62031"/>
    </row>
    <row r="62032" spans="3:13" ht="12.75" customHeight="1">
      <c r="C62032"/>
      <c r="M62032"/>
    </row>
    <row r="62033" spans="3:13" ht="12.75" customHeight="1">
      <c r="C62033"/>
      <c r="M62033"/>
    </row>
    <row r="62034" spans="3:13" ht="12.75" customHeight="1">
      <c r="C62034"/>
      <c r="M62034"/>
    </row>
    <row r="62035" spans="3:13" ht="12.75" customHeight="1">
      <c r="C62035"/>
      <c r="M62035"/>
    </row>
    <row r="62036" spans="3:13" ht="12.75" customHeight="1">
      <c r="C62036"/>
      <c r="M62036"/>
    </row>
    <row r="62037" spans="3:13" ht="12.75" customHeight="1">
      <c r="C62037"/>
      <c r="M62037"/>
    </row>
    <row r="62038" spans="3:13" ht="12.75" customHeight="1">
      <c r="C62038"/>
      <c r="M62038"/>
    </row>
    <row r="62039" spans="3:13" ht="12.75" customHeight="1">
      <c r="C62039"/>
      <c r="M62039"/>
    </row>
    <row r="62040" spans="3:13" ht="12.75" customHeight="1">
      <c r="C62040"/>
      <c r="M62040"/>
    </row>
    <row r="62041" spans="3:13" ht="12.75" customHeight="1">
      <c r="C62041"/>
      <c r="M62041"/>
    </row>
    <row r="62042" spans="3:13" ht="12.75" customHeight="1">
      <c r="C62042"/>
      <c r="M62042"/>
    </row>
    <row r="62043" spans="3:13" ht="12.75" customHeight="1">
      <c r="C62043"/>
      <c r="M62043"/>
    </row>
    <row r="62044" spans="3:13" ht="12.75" customHeight="1">
      <c r="C62044"/>
      <c r="M62044"/>
    </row>
    <row r="62045" spans="3:13" ht="12.75" customHeight="1">
      <c r="C62045"/>
      <c r="M62045"/>
    </row>
    <row r="62046" spans="3:13" ht="12.75" customHeight="1">
      <c r="C62046"/>
      <c r="M62046"/>
    </row>
    <row r="62047" spans="3:13" ht="12.75" customHeight="1">
      <c r="C62047"/>
      <c r="M62047"/>
    </row>
    <row r="62048" spans="3:13" ht="12.75" customHeight="1">
      <c r="C62048"/>
      <c r="M62048"/>
    </row>
    <row r="62049" spans="3:13" ht="12.75" customHeight="1">
      <c r="C62049"/>
      <c r="M62049"/>
    </row>
    <row r="62050" spans="3:13" ht="12.75" customHeight="1">
      <c r="C62050"/>
      <c r="M62050"/>
    </row>
    <row r="62051" spans="3:13" ht="12.75" customHeight="1">
      <c r="C62051"/>
      <c r="M62051"/>
    </row>
    <row r="62052" spans="3:13" ht="12.75" customHeight="1">
      <c r="C62052"/>
      <c r="M62052"/>
    </row>
    <row r="62053" spans="3:13" ht="12.75" customHeight="1">
      <c r="C62053"/>
      <c r="M62053"/>
    </row>
    <row r="62054" spans="3:13" ht="12.75" customHeight="1">
      <c r="C62054"/>
      <c r="M62054"/>
    </row>
    <row r="62055" spans="3:13" ht="12.75" customHeight="1">
      <c r="C62055"/>
      <c r="M62055"/>
    </row>
    <row r="62056" spans="3:13" ht="12.75" customHeight="1">
      <c r="C62056"/>
      <c r="M62056"/>
    </row>
    <row r="62057" spans="3:13" ht="12.75" customHeight="1">
      <c r="C62057"/>
      <c r="M62057"/>
    </row>
    <row r="62058" spans="3:13" ht="12.75" customHeight="1">
      <c r="C62058"/>
      <c r="M62058"/>
    </row>
    <row r="62059" spans="3:13" ht="12.75" customHeight="1">
      <c r="C62059"/>
      <c r="M62059"/>
    </row>
    <row r="62060" spans="3:13" ht="12.75" customHeight="1">
      <c r="C62060"/>
      <c r="M62060"/>
    </row>
    <row r="62061" spans="3:13" ht="12.75" customHeight="1">
      <c r="C62061"/>
      <c r="M62061"/>
    </row>
    <row r="62062" spans="3:13" ht="12.75" customHeight="1">
      <c r="C62062"/>
      <c r="M62062"/>
    </row>
    <row r="62063" spans="3:13" ht="12.75" customHeight="1">
      <c r="C62063"/>
      <c r="M62063"/>
    </row>
    <row r="62064" spans="3:13" ht="12.75" customHeight="1">
      <c r="C62064"/>
      <c r="M62064"/>
    </row>
    <row r="62065" spans="3:13" ht="12.75" customHeight="1">
      <c r="C62065"/>
      <c r="M62065"/>
    </row>
    <row r="62066" spans="3:13" ht="12.75" customHeight="1">
      <c r="C62066"/>
      <c r="M62066"/>
    </row>
    <row r="62067" spans="3:13" ht="12.75" customHeight="1">
      <c r="C62067"/>
      <c r="M62067"/>
    </row>
    <row r="62068" spans="3:13" ht="12.75" customHeight="1">
      <c r="C62068"/>
      <c r="M62068"/>
    </row>
    <row r="62069" spans="3:13" ht="12.75" customHeight="1">
      <c r="C62069"/>
      <c r="M62069"/>
    </row>
    <row r="62070" spans="3:13" ht="12.75" customHeight="1">
      <c r="C62070"/>
      <c r="M62070"/>
    </row>
    <row r="62071" spans="3:13" ht="12.75" customHeight="1">
      <c r="C62071"/>
      <c r="M62071"/>
    </row>
    <row r="62072" spans="3:13" ht="12.75" customHeight="1">
      <c r="C62072"/>
      <c r="M62072"/>
    </row>
    <row r="62073" spans="3:13" ht="12.75" customHeight="1">
      <c r="C62073"/>
      <c r="M62073"/>
    </row>
    <row r="62074" spans="3:13" ht="12.75" customHeight="1">
      <c r="C62074"/>
      <c r="M62074"/>
    </row>
    <row r="62075" spans="3:13" ht="12.75" customHeight="1">
      <c r="C62075"/>
      <c r="M62075"/>
    </row>
    <row r="62076" spans="3:13" ht="12.75" customHeight="1">
      <c r="C62076"/>
      <c r="M62076"/>
    </row>
    <row r="62077" spans="3:13" ht="12.75" customHeight="1">
      <c r="C62077"/>
      <c r="M62077"/>
    </row>
    <row r="62078" spans="3:13" ht="12.75" customHeight="1">
      <c r="C62078"/>
      <c r="M62078"/>
    </row>
    <row r="62079" spans="3:13" ht="12.75" customHeight="1">
      <c r="C62079"/>
      <c r="M62079"/>
    </row>
    <row r="62080" spans="3:13" ht="12.75" customHeight="1">
      <c r="C62080"/>
      <c r="M62080"/>
    </row>
    <row r="62081" spans="3:13" ht="12.75" customHeight="1">
      <c r="C62081"/>
      <c r="M62081"/>
    </row>
    <row r="62082" spans="3:13" ht="12.75" customHeight="1">
      <c r="C62082"/>
      <c r="M62082"/>
    </row>
    <row r="62083" spans="3:13" ht="12.75" customHeight="1">
      <c r="C62083"/>
      <c r="M62083"/>
    </row>
    <row r="62084" spans="3:13" ht="12.75" customHeight="1">
      <c r="C62084"/>
      <c r="M62084"/>
    </row>
    <row r="62085" spans="3:13" ht="12.75" customHeight="1">
      <c r="C62085"/>
      <c r="M62085"/>
    </row>
    <row r="62086" spans="3:13" ht="12.75" customHeight="1">
      <c r="C62086"/>
      <c r="M62086"/>
    </row>
    <row r="62087" spans="3:13" ht="12.75" customHeight="1">
      <c r="C62087"/>
      <c r="M62087"/>
    </row>
    <row r="62088" spans="3:13" ht="12.75" customHeight="1">
      <c r="C62088"/>
      <c r="M62088"/>
    </row>
    <row r="62089" spans="3:13" ht="12.75" customHeight="1">
      <c r="C62089"/>
      <c r="M62089"/>
    </row>
    <row r="62090" spans="3:13" ht="12.75" customHeight="1">
      <c r="C62090"/>
      <c r="M62090"/>
    </row>
    <row r="62091" spans="3:13" ht="12.75" customHeight="1">
      <c r="C62091"/>
      <c r="M62091"/>
    </row>
    <row r="62092" spans="3:13" ht="12.75" customHeight="1">
      <c r="C62092"/>
      <c r="M62092"/>
    </row>
    <row r="62093" spans="3:13" ht="12.75" customHeight="1">
      <c r="C62093"/>
      <c r="M62093"/>
    </row>
    <row r="62094" spans="3:13" ht="12.75" customHeight="1">
      <c r="C62094"/>
      <c r="M62094"/>
    </row>
    <row r="62095" spans="3:13" ht="12.75" customHeight="1">
      <c r="C62095"/>
      <c r="M62095"/>
    </row>
    <row r="62096" spans="3:13" ht="12.75" customHeight="1">
      <c r="C62096"/>
      <c r="M62096"/>
    </row>
    <row r="62097" spans="3:13" ht="12.75" customHeight="1">
      <c r="C62097"/>
      <c r="M62097"/>
    </row>
    <row r="62098" spans="3:13" ht="12.75" customHeight="1">
      <c r="C62098"/>
      <c r="M62098"/>
    </row>
    <row r="62099" spans="3:13" ht="12.75" customHeight="1">
      <c r="C62099"/>
      <c r="M62099"/>
    </row>
    <row r="62100" spans="3:13" ht="12.75" customHeight="1">
      <c r="C62100"/>
      <c r="M62100"/>
    </row>
    <row r="62101" spans="3:13" ht="12.75" customHeight="1">
      <c r="C62101"/>
      <c r="M62101"/>
    </row>
    <row r="62102" spans="3:13" ht="12.75" customHeight="1">
      <c r="C62102"/>
      <c r="M62102"/>
    </row>
    <row r="62103" spans="3:13" ht="12.75" customHeight="1">
      <c r="C62103"/>
      <c r="M62103"/>
    </row>
    <row r="62104" spans="3:13" ht="12.75" customHeight="1">
      <c r="C62104"/>
      <c r="M62104"/>
    </row>
    <row r="62105" spans="3:13" ht="12.75" customHeight="1">
      <c r="C62105"/>
      <c r="M62105"/>
    </row>
    <row r="62106" spans="3:13" ht="12.75" customHeight="1">
      <c r="C62106"/>
      <c r="M62106"/>
    </row>
    <row r="62107" spans="3:13" ht="12.75" customHeight="1">
      <c r="C62107"/>
      <c r="M62107"/>
    </row>
    <row r="62108" spans="3:13" ht="12.75" customHeight="1">
      <c r="C62108"/>
      <c r="M62108"/>
    </row>
    <row r="62109" spans="3:13" ht="12.75" customHeight="1">
      <c r="C62109"/>
      <c r="M62109"/>
    </row>
    <row r="62110" spans="3:13" ht="12.75" customHeight="1">
      <c r="C62110"/>
      <c r="M62110"/>
    </row>
    <row r="62111" spans="3:13" ht="12.75" customHeight="1">
      <c r="C62111"/>
      <c r="M62111"/>
    </row>
    <row r="62112" spans="3:13" ht="12.75" customHeight="1">
      <c r="C62112"/>
      <c r="M62112"/>
    </row>
    <row r="62113" spans="3:13" ht="12.75" customHeight="1">
      <c r="C62113"/>
      <c r="M62113"/>
    </row>
    <row r="62114" spans="3:13" ht="12.75" customHeight="1">
      <c r="C62114"/>
      <c r="M62114"/>
    </row>
    <row r="62115" spans="3:13" ht="12.75" customHeight="1">
      <c r="C62115"/>
      <c r="M62115"/>
    </row>
    <row r="62116" spans="3:13" ht="12.75" customHeight="1">
      <c r="C62116"/>
      <c r="M62116"/>
    </row>
    <row r="62117" spans="3:13" ht="12.75" customHeight="1">
      <c r="C62117"/>
      <c r="M62117"/>
    </row>
    <row r="62118" spans="3:13" ht="12.75" customHeight="1">
      <c r="C62118"/>
      <c r="M62118"/>
    </row>
    <row r="62119" spans="3:13" ht="12.75" customHeight="1">
      <c r="C62119"/>
      <c r="M62119"/>
    </row>
    <row r="62120" spans="3:13" ht="12.75" customHeight="1">
      <c r="C62120"/>
      <c r="M62120"/>
    </row>
    <row r="62121" spans="3:13" ht="12.75" customHeight="1">
      <c r="C62121"/>
      <c r="M62121"/>
    </row>
    <row r="62122" spans="3:13" ht="12.75" customHeight="1">
      <c r="C62122"/>
      <c r="M62122"/>
    </row>
    <row r="62123" spans="3:13" ht="12.75" customHeight="1">
      <c r="C62123"/>
      <c r="M62123"/>
    </row>
    <row r="62124" spans="3:13" ht="12.75" customHeight="1">
      <c r="C62124"/>
      <c r="M62124"/>
    </row>
    <row r="62125" spans="3:13" ht="12.75" customHeight="1">
      <c r="C62125"/>
      <c r="M62125"/>
    </row>
    <row r="62126" spans="3:13" ht="12.75" customHeight="1">
      <c r="C62126"/>
      <c r="M62126"/>
    </row>
    <row r="62127" spans="3:13" ht="12.75" customHeight="1">
      <c r="C62127"/>
      <c r="M62127"/>
    </row>
    <row r="62128" spans="3:13" ht="12.75" customHeight="1">
      <c r="C62128"/>
      <c r="M62128"/>
    </row>
    <row r="62129" spans="3:13" ht="12.75" customHeight="1">
      <c r="C62129"/>
      <c r="M62129"/>
    </row>
    <row r="62130" spans="3:13" ht="12.75" customHeight="1">
      <c r="C62130"/>
      <c r="M62130"/>
    </row>
    <row r="62131" spans="3:13" ht="12.75" customHeight="1">
      <c r="C62131"/>
      <c r="M62131"/>
    </row>
    <row r="62132" spans="3:13" ht="12.75" customHeight="1">
      <c r="C62132"/>
      <c r="M62132"/>
    </row>
    <row r="62133" spans="3:13" ht="12.75" customHeight="1">
      <c r="C62133"/>
      <c r="M62133"/>
    </row>
    <row r="62134" spans="3:13" ht="12.75" customHeight="1">
      <c r="C62134"/>
      <c r="M62134"/>
    </row>
    <row r="62135" spans="3:13" ht="12.75" customHeight="1">
      <c r="C62135"/>
      <c r="M62135"/>
    </row>
    <row r="62136" spans="3:13" ht="12.75" customHeight="1">
      <c r="C62136"/>
      <c r="M62136"/>
    </row>
    <row r="62137" spans="3:13" ht="12.75" customHeight="1">
      <c r="C62137"/>
      <c r="M62137"/>
    </row>
    <row r="62138" spans="3:13" ht="12.75" customHeight="1">
      <c r="C62138"/>
      <c r="M62138"/>
    </row>
    <row r="62139" spans="3:13" ht="12.75" customHeight="1">
      <c r="C62139"/>
      <c r="M62139"/>
    </row>
    <row r="62140" spans="3:13" ht="12.75" customHeight="1">
      <c r="C62140"/>
      <c r="M62140"/>
    </row>
    <row r="62141" spans="3:13" ht="12.75" customHeight="1">
      <c r="C62141"/>
      <c r="M62141"/>
    </row>
    <row r="62142" spans="3:13" ht="12.75" customHeight="1">
      <c r="C62142"/>
      <c r="M62142"/>
    </row>
    <row r="62143" spans="3:13" ht="12.75" customHeight="1">
      <c r="C62143"/>
      <c r="M62143"/>
    </row>
    <row r="62144" spans="3:13" ht="12.75" customHeight="1">
      <c r="C62144"/>
      <c r="M62144"/>
    </row>
    <row r="62145" spans="3:13" ht="12.75" customHeight="1">
      <c r="C62145"/>
      <c r="M62145"/>
    </row>
    <row r="62146" spans="3:13" ht="12.75" customHeight="1">
      <c r="C62146"/>
      <c r="M62146"/>
    </row>
    <row r="62147" spans="3:13" ht="12.75" customHeight="1">
      <c r="C62147"/>
      <c r="M62147"/>
    </row>
    <row r="62148" spans="3:13" ht="12.75" customHeight="1">
      <c r="C62148"/>
      <c r="M62148"/>
    </row>
    <row r="62149" spans="3:13" ht="12.75" customHeight="1">
      <c r="C62149"/>
      <c r="M62149"/>
    </row>
    <row r="62150" spans="3:13" ht="12.75" customHeight="1">
      <c r="C62150"/>
      <c r="M62150"/>
    </row>
    <row r="62151" spans="3:13" ht="12.75" customHeight="1">
      <c r="C62151"/>
      <c r="M62151"/>
    </row>
    <row r="62152" spans="3:13" ht="12.75" customHeight="1">
      <c r="C62152"/>
      <c r="M62152"/>
    </row>
    <row r="62153" spans="3:13" ht="12.75" customHeight="1">
      <c r="C62153"/>
      <c r="M62153"/>
    </row>
    <row r="62154" spans="3:13" ht="12.75" customHeight="1">
      <c r="C62154"/>
      <c r="M62154"/>
    </row>
    <row r="62155" spans="3:13" ht="12.75" customHeight="1">
      <c r="C62155"/>
      <c r="M62155"/>
    </row>
    <row r="62156" spans="3:13" ht="12.75" customHeight="1">
      <c r="C62156"/>
      <c r="M62156"/>
    </row>
    <row r="62157" spans="3:13" ht="12.75" customHeight="1">
      <c r="C62157"/>
      <c r="M62157"/>
    </row>
    <row r="62158" spans="3:13" ht="12.75" customHeight="1">
      <c r="C62158"/>
      <c r="M62158"/>
    </row>
    <row r="62159" spans="3:13" ht="12.75" customHeight="1">
      <c r="C62159"/>
      <c r="M62159"/>
    </row>
    <row r="62160" spans="3:13" ht="12.75" customHeight="1">
      <c r="C62160"/>
      <c r="M62160"/>
    </row>
    <row r="62161" spans="3:13" ht="12.75" customHeight="1">
      <c r="C62161"/>
      <c r="M62161"/>
    </row>
    <row r="62162" spans="3:13" ht="12.75" customHeight="1">
      <c r="C62162"/>
      <c r="M62162"/>
    </row>
    <row r="62163" spans="3:13" ht="12.75" customHeight="1">
      <c r="C62163"/>
      <c r="M62163"/>
    </row>
    <row r="62164" spans="3:13" ht="12.75" customHeight="1">
      <c r="C62164"/>
      <c r="M62164"/>
    </row>
    <row r="62165" spans="3:13" ht="12.75" customHeight="1">
      <c r="C62165"/>
      <c r="M62165"/>
    </row>
    <row r="62166" spans="3:13" ht="12.75" customHeight="1">
      <c r="C62166"/>
      <c r="M62166"/>
    </row>
    <row r="62167" spans="3:13" ht="12.75" customHeight="1">
      <c r="C62167"/>
      <c r="M62167"/>
    </row>
    <row r="62168" spans="3:13" ht="12.75" customHeight="1">
      <c r="C62168"/>
      <c r="M62168"/>
    </row>
    <row r="62169" spans="3:13" ht="12.75" customHeight="1">
      <c r="C62169"/>
      <c r="M62169"/>
    </row>
    <row r="62170" spans="3:13" ht="12.75" customHeight="1">
      <c r="C62170"/>
      <c r="M62170"/>
    </row>
    <row r="62171" spans="3:13" ht="12.75" customHeight="1">
      <c r="C62171"/>
      <c r="M62171"/>
    </row>
    <row r="62172" spans="3:13" ht="12.75" customHeight="1">
      <c r="C62172"/>
      <c r="M62172"/>
    </row>
    <row r="62173" spans="3:13" ht="12.75" customHeight="1">
      <c r="C62173"/>
      <c r="M62173"/>
    </row>
    <row r="62174" spans="3:13" ht="12.75" customHeight="1">
      <c r="C62174"/>
      <c r="M62174"/>
    </row>
    <row r="62175" spans="3:13" ht="12.75" customHeight="1">
      <c r="C62175"/>
      <c r="M62175"/>
    </row>
    <row r="62176" spans="3:13" ht="12.75" customHeight="1">
      <c r="C62176"/>
      <c r="M62176"/>
    </row>
    <row r="62177" spans="3:13" ht="12.75" customHeight="1">
      <c r="C62177"/>
      <c r="M62177"/>
    </row>
    <row r="62178" spans="3:13" ht="12.75" customHeight="1">
      <c r="C62178"/>
      <c r="M62178"/>
    </row>
    <row r="62179" spans="3:13" ht="12.75" customHeight="1">
      <c r="C62179"/>
      <c r="M62179"/>
    </row>
    <row r="62180" spans="3:13" ht="12.75" customHeight="1">
      <c r="C62180"/>
      <c r="M62180"/>
    </row>
    <row r="62181" spans="3:13" ht="12.75" customHeight="1">
      <c r="C62181"/>
      <c r="M62181"/>
    </row>
    <row r="62182" spans="3:13" ht="12.75" customHeight="1">
      <c r="C62182"/>
      <c r="M62182"/>
    </row>
    <row r="62183" spans="3:13" ht="12.75" customHeight="1">
      <c r="C62183"/>
      <c r="M62183"/>
    </row>
    <row r="62184" spans="3:13" ht="12.75" customHeight="1">
      <c r="C62184"/>
      <c r="M62184"/>
    </row>
    <row r="62185" spans="3:13" ht="12.75" customHeight="1">
      <c r="C62185"/>
      <c r="M62185"/>
    </row>
    <row r="62186" spans="3:13" ht="12.75" customHeight="1">
      <c r="C62186"/>
      <c r="M62186"/>
    </row>
    <row r="62187" spans="3:13" ht="12.75" customHeight="1">
      <c r="C62187"/>
      <c r="M62187"/>
    </row>
    <row r="62188" spans="3:13" ht="12.75" customHeight="1">
      <c r="C62188"/>
      <c r="M62188"/>
    </row>
    <row r="62189" spans="3:13" ht="12.75" customHeight="1">
      <c r="C62189"/>
      <c r="M62189"/>
    </row>
    <row r="62190" spans="3:13" ht="12.75" customHeight="1">
      <c r="C62190"/>
      <c r="M62190"/>
    </row>
    <row r="62191" spans="3:13" ht="12.75" customHeight="1">
      <c r="C62191"/>
      <c r="M62191"/>
    </row>
    <row r="62192" spans="3:13" ht="12.75" customHeight="1">
      <c r="C62192"/>
      <c r="M62192"/>
    </row>
    <row r="62193" spans="3:13" ht="12.75" customHeight="1">
      <c r="C62193"/>
      <c r="M62193"/>
    </row>
    <row r="62194" spans="3:13" ht="12.75" customHeight="1">
      <c r="C62194"/>
      <c r="M62194"/>
    </row>
    <row r="62195" spans="3:13" ht="12.75" customHeight="1">
      <c r="C62195"/>
      <c r="M62195"/>
    </row>
    <row r="62196" spans="3:13" ht="12.75" customHeight="1">
      <c r="C62196"/>
      <c r="M62196"/>
    </row>
    <row r="62197" spans="3:13" ht="12.75" customHeight="1">
      <c r="C62197"/>
      <c r="M62197"/>
    </row>
    <row r="62198" spans="3:13" ht="12.75" customHeight="1">
      <c r="C62198"/>
      <c r="M62198"/>
    </row>
    <row r="62199" spans="3:13" ht="12.75" customHeight="1">
      <c r="C62199"/>
      <c r="M62199"/>
    </row>
    <row r="62200" spans="3:13" ht="12.75" customHeight="1">
      <c r="C62200"/>
      <c r="M62200"/>
    </row>
    <row r="62201" spans="3:13" ht="12.75" customHeight="1">
      <c r="C62201"/>
      <c r="M62201"/>
    </row>
    <row r="62202" spans="3:13" ht="12.75" customHeight="1">
      <c r="C62202"/>
      <c r="M62202"/>
    </row>
    <row r="62203" spans="3:13" ht="12.75" customHeight="1">
      <c r="C62203"/>
      <c r="M62203"/>
    </row>
    <row r="62204" spans="3:13" ht="12.75" customHeight="1">
      <c r="C62204"/>
      <c r="M62204"/>
    </row>
    <row r="62205" spans="3:13" ht="12.75" customHeight="1">
      <c r="C62205"/>
      <c r="M62205"/>
    </row>
    <row r="62206" spans="3:13" ht="12.75" customHeight="1">
      <c r="C62206"/>
      <c r="M62206"/>
    </row>
    <row r="62207" spans="3:13" ht="12.75" customHeight="1">
      <c r="C62207"/>
      <c r="M62207"/>
    </row>
    <row r="62208" spans="3:13" ht="12.75" customHeight="1">
      <c r="C62208"/>
      <c r="M62208"/>
    </row>
    <row r="62209" spans="3:13" ht="12.75" customHeight="1">
      <c r="C62209"/>
      <c r="M62209"/>
    </row>
    <row r="62210" spans="3:13" ht="12.75" customHeight="1">
      <c r="C62210"/>
      <c r="M62210"/>
    </row>
    <row r="62211" spans="3:13" ht="12.75" customHeight="1">
      <c r="C62211"/>
      <c r="M62211"/>
    </row>
    <row r="62212" spans="3:13" ht="12.75" customHeight="1">
      <c r="C62212"/>
      <c r="M62212"/>
    </row>
    <row r="62213" spans="3:13" ht="12.75" customHeight="1">
      <c r="C62213"/>
      <c r="M62213"/>
    </row>
    <row r="62214" spans="3:13" ht="12.75" customHeight="1">
      <c r="C62214"/>
      <c r="M62214"/>
    </row>
    <row r="62215" spans="3:13" ht="12.75" customHeight="1">
      <c r="C62215"/>
      <c r="M62215"/>
    </row>
    <row r="62216" spans="3:13" ht="12.75" customHeight="1">
      <c r="C62216"/>
      <c r="M62216"/>
    </row>
    <row r="62217" spans="3:13" ht="12.75" customHeight="1">
      <c r="C62217"/>
      <c r="M62217"/>
    </row>
    <row r="62218" spans="3:13" ht="12.75" customHeight="1">
      <c r="C62218"/>
      <c r="M62218"/>
    </row>
    <row r="62219" spans="3:13" ht="12.75" customHeight="1">
      <c r="C62219"/>
      <c r="M62219"/>
    </row>
    <row r="62220" spans="3:13" ht="12.75" customHeight="1">
      <c r="C62220"/>
      <c r="M62220"/>
    </row>
    <row r="62221" spans="3:13" ht="12.75" customHeight="1">
      <c r="C62221"/>
      <c r="M62221"/>
    </row>
    <row r="62222" spans="3:13" ht="12.75" customHeight="1">
      <c r="C62222"/>
      <c r="M62222"/>
    </row>
    <row r="62223" spans="3:13" ht="12.75" customHeight="1">
      <c r="C62223"/>
      <c r="M62223"/>
    </row>
    <row r="62224" spans="3:13" ht="12.75" customHeight="1">
      <c r="C62224"/>
      <c r="M62224"/>
    </row>
    <row r="62225" spans="3:13" ht="12.75" customHeight="1">
      <c r="C62225"/>
      <c r="M62225"/>
    </row>
    <row r="62226" spans="3:13" ht="12.75" customHeight="1">
      <c r="C62226"/>
      <c r="M62226"/>
    </row>
    <row r="62227" spans="3:13" ht="12.75" customHeight="1">
      <c r="C62227"/>
      <c r="M62227"/>
    </row>
    <row r="62228" spans="3:13" ht="12.75" customHeight="1">
      <c r="C62228"/>
      <c r="M62228"/>
    </row>
    <row r="62229" spans="3:13" ht="12.75" customHeight="1">
      <c r="C62229"/>
      <c r="M62229"/>
    </row>
    <row r="62230" spans="3:13" ht="12.75" customHeight="1">
      <c r="C62230"/>
      <c r="M62230"/>
    </row>
    <row r="62231" spans="3:13" ht="12.75" customHeight="1">
      <c r="C62231"/>
      <c r="M62231"/>
    </row>
    <row r="62232" spans="3:13" ht="12.75" customHeight="1">
      <c r="C62232"/>
      <c r="M62232"/>
    </row>
    <row r="62233" spans="3:13" ht="12.75" customHeight="1">
      <c r="C62233"/>
      <c r="M62233"/>
    </row>
    <row r="62234" spans="3:13" ht="12.75" customHeight="1">
      <c r="C62234"/>
      <c r="M62234"/>
    </row>
    <row r="62235" spans="3:13" ht="12.75" customHeight="1">
      <c r="C62235"/>
      <c r="M62235"/>
    </row>
    <row r="62236" spans="3:13" ht="12.75" customHeight="1">
      <c r="C62236"/>
      <c r="M62236"/>
    </row>
    <row r="62237" spans="3:13" ht="12.75" customHeight="1">
      <c r="C62237"/>
      <c r="M62237"/>
    </row>
    <row r="62238" spans="3:13" ht="12.75" customHeight="1">
      <c r="C62238"/>
      <c r="M62238"/>
    </row>
    <row r="62239" spans="3:13" ht="12.75" customHeight="1">
      <c r="C62239"/>
      <c r="M62239"/>
    </row>
    <row r="62240" spans="3:13" ht="12.75" customHeight="1">
      <c r="C62240"/>
      <c r="M62240"/>
    </row>
    <row r="62241" spans="3:13" ht="12.75" customHeight="1">
      <c r="C62241"/>
      <c r="M62241"/>
    </row>
    <row r="62242" spans="3:13" ht="12.75" customHeight="1">
      <c r="C62242"/>
      <c r="M62242"/>
    </row>
    <row r="62243" spans="3:13" ht="12.75" customHeight="1">
      <c r="C62243"/>
      <c r="M62243"/>
    </row>
    <row r="62244" spans="3:13" ht="12.75" customHeight="1">
      <c r="C62244"/>
      <c r="M62244"/>
    </row>
    <row r="62245" spans="3:13" ht="12.75" customHeight="1">
      <c r="C62245"/>
      <c r="M62245"/>
    </row>
    <row r="62246" spans="3:13" ht="12.75" customHeight="1">
      <c r="C62246"/>
      <c r="M62246"/>
    </row>
    <row r="62247" spans="3:13" ht="12.75" customHeight="1">
      <c r="C62247"/>
      <c r="M62247"/>
    </row>
    <row r="62248" spans="3:13" ht="12.75" customHeight="1">
      <c r="C62248"/>
      <c r="M62248"/>
    </row>
    <row r="62249" spans="3:13" ht="12.75" customHeight="1">
      <c r="C62249"/>
      <c r="M62249"/>
    </row>
    <row r="62250" spans="3:13" ht="12.75" customHeight="1">
      <c r="C62250"/>
      <c r="M62250"/>
    </row>
    <row r="62251" spans="3:13" ht="12.75" customHeight="1">
      <c r="C62251"/>
      <c r="M62251"/>
    </row>
    <row r="62252" spans="3:13" ht="12.75" customHeight="1">
      <c r="C62252"/>
      <c r="M62252"/>
    </row>
    <row r="62253" spans="3:13" ht="12.75" customHeight="1">
      <c r="C62253"/>
      <c r="M62253"/>
    </row>
    <row r="62254" spans="3:13" ht="12.75" customHeight="1">
      <c r="C62254"/>
      <c r="M62254"/>
    </row>
    <row r="62255" spans="3:13" ht="12.75" customHeight="1">
      <c r="C62255"/>
      <c r="M62255"/>
    </row>
    <row r="62256" spans="3:13" ht="12.75" customHeight="1">
      <c r="C62256"/>
      <c r="M62256"/>
    </row>
    <row r="62257" spans="3:13" ht="12.75" customHeight="1">
      <c r="C62257"/>
      <c r="M62257"/>
    </row>
    <row r="62258" spans="3:13" ht="12.75" customHeight="1">
      <c r="C62258"/>
      <c r="M62258"/>
    </row>
    <row r="62259" spans="3:13" ht="12.75" customHeight="1">
      <c r="C62259"/>
      <c r="M62259"/>
    </row>
    <row r="62260" spans="3:13" ht="12.75" customHeight="1">
      <c r="C62260"/>
      <c r="M62260"/>
    </row>
    <row r="62261" spans="3:13" ht="12.75" customHeight="1">
      <c r="C62261"/>
      <c r="M62261"/>
    </row>
    <row r="62262" spans="3:13" ht="12.75" customHeight="1">
      <c r="C62262"/>
      <c r="M62262"/>
    </row>
    <row r="62263" spans="3:13" ht="12.75" customHeight="1">
      <c r="C62263"/>
      <c r="M62263"/>
    </row>
    <row r="62264" spans="3:13" ht="12.75" customHeight="1">
      <c r="C62264"/>
      <c r="M62264"/>
    </row>
    <row r="62265" spans="3:13" ht="12.75" customHeight="1">
      <c r="C62265"/>
      <c r="M62265"/>
    </row>
    <row r="62266" spans="3:13" ht="12.75" customHeight="1">
      <c r="C62266"/>
      <c r="M62266"/>
    </row>
    <row r="62267" spans="3:13" ht="12.75" customHeight="1">
      <c r="C62267"/>
      <c r="M62267"/>
    </row>
    <row r="62268" spans="3:13" ht="12.75" customHeight="1">
      <c r="C62268"/>
      <c r="M62268"/>
    </row>
    <row r="62269" spans="3:13" ht="12.75" customHeight="1">
      <c r="C62269"/>
      <c r="M62269"/>
    </row>
    <row r="62270" spans="3:13" ht="12.75" customHeight="1">
      <c r="C62270"/>
      <c r="M62270"/>
    </row>
    <row r="62271" spans="3:13" ht="12.75" customHeight="1">
      <c r="C62271"/>
      <c r="M62271"/>
    </row>
    <row r="62272" spans="3:13" ht="12.75" customHeight="1">
      <c r="C62272"/>
      <c r="M62272"/>
    </row>
    <row r="62273" spans="3:13" ht="12.75" customHeight="1">
      <c r="C62273"/>
      <c r="M62273"/>
    </row>
    <row r="62274" spans="3:13" ht="12.75" customHeight="1">
      <c r="C62274"/>
      <c r="M62274"/>
    </row>
    <row r="62275" spans="3:13" ht="12.75" customHeight="1">
      <c r="C62275"/>
      <c r="M62275"/>
    </row>
    <row r="62276" spans="3:13" ht="12.75" customHeight="1">
      <c r="C62276"/>
      <c r="M62276"/>
    </row>
    <row r="62277" spans="3:13" ht="12.75" customHeight="1">
      <c r="C62277"/>
      <c r="M62277"/>
    </row>
    <row r="62278" spans="3:13" ht="12.75" customHeight="1">
      <c r="C62278"/>
      <c r="M62278"/>
    </row>
    <row r="62279" spans="3:13" ht="12.75" customHeight="1">
      <c r="C62279"/>
      <c r="M62279"/>
    </row>
    <row r="62280" spans="3:13" ht="12.75" customHeight="1">
      <c r="C62280"/>
      <c r="M62280"/>
    </row>
    <row r="62281" spans="3:13" ht="12.75" customHeight="1">
      <c r="C62281"/>
      <c r="M62281"/>
    </row>
    <row r="62282" spans="3:13" ht="12.75" customHeight="1">
      <c r="C62282"/>
      <c r="M62282"/>
    </row>
    <row r="62283" spans="3:13" ht="12.75" customHeight="1">
      <c r="C62283"/>
      <c r="M62283"/>
    </row>
    <row r="62284" spans="3:13" ht="12.75" customHeight="1">
      <c r="C62284"/>
      <c r="M62284"/>
    </row>
    <row r="62285" spans="3:13" ht="12.75" customHeight="1">
      <c r="C62285"/>
      <c r="M62285"/>
    </row>
    <row r="62286" spans="3:13" ht="12.75" customHeight="1">
      <c r="C62286"/>
      <c r="M62286"/>
    </row>
    <row r="62287" spans="3:13" ht="12.75" customHeight="1">
      <c r="C62287"/>
      <c r="M62287"/>
    </row>
    <row r="62288" spans="3:13" ht="12.75" customHeight="1">
      <c r="C62288"/>
      <c r="M62288"/>
    </row>
    <row r="62289" spans="3:13" ht="12.75" customHeight="1">
      <c r="C62289"/>
      <c r="M62289"/>
    </row>
    <row r="62290" spans="3:13" ht="12.75" customHeight="1">
      <c r="C62290"/>
      <c r="M62290"/>
    </row>
    <row r="62291" spans="3:13" ht="12.75" customHeight="1">
      <c r="C62291"/>
      <c r="M62291"/>
    </row>
    <row r="62292" spans="3:13" ht="12.75" customHeight="1">
      <c r="C62292"/>
      <c r="M62292"/>
    </row>
    <row r="62293" spans="3:13" ht="12.75" customHeight="1">
      <c r="C62293"/>
      <c r="M62293"/>
    </row>
    <row r="62294" spans="3:13" ht="12.75" customHeight="1">
      <c r="C62294"/>
      <c r="M62294"/>
    </row>
    <row r="62295" spans="3:13" ht="12.75" customHeight="1">
      <c r="C62295"/>
      <c r="M62295"/>
    </row>
    <row r="62296" spans="3:13" ht="12.75" customHeight="1">
      <c r="C62296"/>
      <c r="M62296"/>
    </row>
    <row r="62297" spans="3:13" ht="12.75" customHeight="1">
      <c r="C62297"/>
      <c r="M62297"/>
    </row>
    <row r="62298" spans="3:13" ht="12.75" customHeight="1">
      <c r="C62298"/>
      <c r="M62298"/>
    </row>
    <row r="62299" spans="3:13" ht="12.75" customHeight="1">
      <c r="C62299"/>
      <c r="M62299"/>
    </row>
    <row r="62300" spans="3:13" ht="12.75" customHeight="1">
      <c r="C62300"/>
      <c r="M62300"/>
    </row>
    <row r="62301" spans="3:13" ht="12.75" customHeight="1">
      <c r="C62301"/>
      <c r="M62301"/>
    </row>
    <row r="62302" spans="3:13" ht="12.75" customHeight="1">
      <c r="C62302"/>
      <c r="M62302"/>
    </row>
    <row r="62303" spans="3:13" ht="12.75" customHeight="1">
      <c r="C62303"/>
      <c r="M62303"/>
    </row>
    <row r="62304" spans="3:13" ht="12.75" customHeight="1">
      <c r="C62304"/>
      <c r="M62304"/>
    </row>
    <row r="62305" spans="3:13" ht="12.75" customHeight="1">
      <c r="C62305"/>
      <c r="M62305"/>
    </row>
    <row r="62306" spans="3:13" ht="12.75" customHeight="1">
      <c r="C62306"/>
      <c r="M62306"/>
    </row>
    <row r="62307" spans="3:13" ht="12.75" customHeight="1">
      <c r="C62307"/>
      <c r="M62307"/>
    </row>
    <row r="62308" spans="3:13" ht="12.75" customHeight="1">
      <c r="C62308"/>
      <c r="M62308"/>
    </row>
    <row r="62309" spans="3:13" ht="12.75" customHeight="1">
      <c r="C62309"/>
      <c r="M62309"/>
    </row>
    <row r="62310" spans="3:13" ht="12.75" customHeight="1">
      <c r="C62310"/>
      <c r="M62310"/>
    </row>
    <row r="62311" spans="3:13" ht="12.75" customHeight="1">
      <c r="C62311"/>
      <c r="M62311"/>
    </row>
    <row r="62312" spans="3:13" ht="12.75" customHeight="1">
      <c r="C62312"/>
      <c r="M62312"/>
    </row>
    <row r="62313" spans="3:13" ht="12.75" customHeight="1">
      <c r="C62313"/>
      <c r="M62313"/>
    </row>
    <row r="62314" spans="3:13" ht="12.75" customHeight="1">
      <c r="C62314"/>
      <c r="M62314"/>
    </row>
    <row r="62315" spans="3:13" ht="12.75" customHeight="1">
      <c r="C62315"/>
      <c r="M62315"/>
    </row>
    <row r="62316" spans="3:13" ht="12.75" customHeight="1">
      <c r="C62316"/>
      <c r="M62316"/>
    </row>
    <row r="62317" spans="3:13" ht="12.75" customHeight="1">
      <c r="C62317"/>
      <c r="M62317"/>
    </row>
    <row r="62318" spans="3:13" ht="12.75" customHeight="1">
      <c r="C62318"/>
      <c r="M62318"/>
    </row>
    <row r="62319" spans="3:13" ht="12.75" customHeight="1">
      <c r="C62319"/>
      <c r="M62319"/>
    </row>
    <row r="62320" spans="3:13" ht="12.75" customHeight="1">
      <c r="C62320"/>
      <c r="M62320"/>
    </row>
    <row r="62321" spans="3:13" ht="12.75" customHeight="1">
      <c r="C62321"/>
      <c r="M62321"/>
    </row>
    <row r="62322" spans="3:13" ht="12.75" customHeight="1">
      <c r="C62322"/>
      <c r="M62322"/>
    </row>
    <row r="62323" spans="3:13" ht="12.75" customHeight="1">
      <c r="C62323"/>
      <c r="M62323"/>
    </row>
    <row r="62324" spans="3:13" ht="12.75" customHeight="1">
      <c r="C62324"/>
      <c r="M62324"/>
    </row>
    <row r="62325" spans="3:13" ht="12.75" customHeight="1">
      <c r="C62325"/>
      <c r="M62325"/>
    </row>
    <row r="62326" spans="3:13" ht="12.75" customHeight="1">
      <c r="C62326"/>
      <c r="M62326"/>
    </row>
    <row r="62327" spans="3:13" ht="12.75" customHeight="1">
      <c r="C62327"/>
      <c r="M62327"/>
    </row>
    <row r="62328" spans="3:13" ht="12.75" customHeight="1">
      <c r="C62328"/>
      <c r="M62328"/>
    </row>
    <row r="62329" spans="3:13" ht="12.75" customHeight="1">
      <c r="C62329"/>
      <c r="M62329"/>
    </row>
    <row r="62330" spans="3:13" ht="12.75" customHeight="1">
      <c r="C62330"/>
      <c r="M62330"/>
    </row>
    <row r="62331" spans="3:13" ht="12.75" customHeight="1">
      <c r="C62331"/>
      <c r="M62331"/>
    </row>
    <row r="62332" spans="3:13" ht="12.75" customHeight="1">
      <c r="C62332"/>
      <c r="M62332"/>
    </row>
    <row r="62333" spans="3:13" ht="12.75" customHeight="1">
      <c r="C62333"/>
      <c r="M62333"/>
    </row>
    <row r="62334" spans="3:13" ht="12.75" customHeight="1">
      <c r="C62334"/>
      <c r="M62334"/>
    </row>
    <row r="62335" spans="3:13" ht="12.75" customHeight="1">
      <c r="C62335"/>
      <c r="M62335"/>
    </row>
    <row r="62336" spans="3:13" ht="12.75" customHeight="1">
      <c r="C62336"/>
      <c r="M62336"/>
    </row>
    <row r="62337" spans="3:13" ht="12.75" customHeight="1">
      <c r="C62337"/>
      <c r="M62337"/>
    </row>
    <row r="62338" spans="3:13" ht="12.75" customHeight="1">
      <c r="C62338"/>
      <c r="M62338"/>
    </row>
    <row r="62339" spans="3:13" ht="12.75" customHeight="1">
      <c r="C62339"/>
      <c r="M62339"/>
    </row>
    <row r="62340" spans="3:13" ht="12.75" customHeight="1">
      <c r="C62340"/>
      <c r="M62340"/>
    </row>
    <row r="62341" spans="3:13" ht="12.75" customHeight="1">
      <c r="C62341"/>
      <c r="M62341"/>
    </row>
    <row r="62342" spans="3:13" ht="12.75" customHeight="1">
      <c r="C62342"/>
      <c r="M62342"/>
    </row>
    <row r="62343" spans="3:13" ht="12.75" customHeight="1">
      <c r="C62343"/>
      <c r="M62343"/>
    </row>
    <row r="62344" spans="3:13" ht="12.75" customHeight="1">
      <c r="C62344"/>
      <c r="M62344"/>
    </row>
    <row r="62345" spans="3:13" ht="12.75" customHeight="1">
      <c r="C62345"/>
      <c r="M62345"/>
    </row>
    <row r="62346" spans="3:13" ht="12.75" customHeight="1">
      <c r="C62346"/>
      <c r="M62346"/>
    </row>
    <row r="62347" spans="3:13" ht="12.75" customHeight="1">
      <c r="C62347"/>
      <c r="M62347"/>
    </row>
    <row r="62348" spans="3:13" ht="12.75" customHeight="1">
      <c r="C62348"/>
      <c r="M62348"/>
    </row>
    <row r="62349" spans="3:13" ht="12.75" customHeight="1">
      <c r="C62349"/>
      <c r="M62349"/>
    </row>
    <row r="62350" spans="3:13" ht="12.75" customHeight="1">
      <c r="C62350"/>
      <c r="M62350"/>
    </row>
    <row r="62351" spans="3:13" ht="12.75" customHeight="1">
      <c r="C62351"/>
      <c r="M62351"/>
    </row>
    <row r="62352" spans="3:13" ht="12.75" customHeight="1">
      <c r="C62352"/>
      <c r="M62352"/>
    </row>
    <row r="62353" spans="3:13" ht="12.75" customHeight="1">
      <c r="C62353"/>
      <c r="M62353"/>
    </row>
    <row r="62354" spans="3:13" ht="12.75" customHeight="1">
      <c r="C62354"/>
      <c r="M62354"/>
    </row>
    <row r="62355" spans="3:13" ht="12.75" customHeight="1">
      <c r="C62355"/>
      <c r="M62355"/>
    </row>
    <row r="62356" spans="3:13" ht="12.75" customHeight="1">
      <c r="C62356"/>
      <c r="M62356"/>
    </row>
    <row r="62357" spans="3:13" ht="12.75" customHeight="1">
      <c r="C62357"/>
      <c r="M62357"/>
    </row>
    <row r="62358" spans="3:13" ht="12.75" customHeight="1">
      <c r="C62358"/>
      <c r="M62358"/>
    </row>
    <row r="62359" spans="3:13" ht="12.75" customHeight="1">
      <c r="C62359"/>
      <c r="M62359"/>
    </row>
    <row r="62360" spans="3:13" ht="12.75" customHeight="1">
      <c r="C62360"/>
      <c r="M62360"/>
    </row>
    <row r="62361" spans="3:13" ht="12.75" customHeight="1">
      <c r="C62361"/>
      <c r="M62361"/>
    </row>
    <row r="62362" spans="3:13" ht="12.75" customHeight="1">
      <c r="C62362"/>
      <c r="M62362"/>
    </row>
    <row r="62363" spans="3:13" ht="12.75" customHeight="1">
      <c r="C62363"/>
      <c r="M62363"/>
    </row>
    <row r="62364" spans="3:13" ht="12.75" customHeight="1">
      <c r="C62364"/>
      <c r="M62364"/>
    </row>
    <row r="62365" spans="3:13" ht="12.75" customHeight="1">
      <c r="C62365"/>
      <c r="M62365"/>
    </row>
    <row r="62366" spans="3:13" ht="12.75" customHeight="1">
      <c r="C62366"/>
      <c r="M62366"/>
    </row>
    <row r="62367" spans="3:13" ht="12.75" customHeight="1">
      <c r="C62367"/>
      <c r="M62367"/>
    </row>
    <row r="62368" spans="3:13" ht="12.75" customHeight="1">
      <c r="C62368"/>
      <c r="M62368"/>
    </row>
    <row r="62369" spans="3:13" ht="12.75" customHeight="1">
      <c r="C62369"/>
      <c r="M62369"/>
    </row>
    <row r="62370" spans="3:13" ht="12.75" customHeight="1">
      <c r="C62370"/>
      <c r="M62370"/>
    </row>
    <row r="62371" spans="3:13" ht="12.75" customHeight="1">
      <c r="C62371"/>
      <c r="M62371"/>
    </row>
    <row r="62372" spans="3:13" ht="12.75" customHeight="1">
      <c r="C62372"/>
      <c r="M62372"/>
    </row>
    <row r="62373" spans="3:13" ht="12.75" customHeight="1">
      <c r="C62373"/>
      <c r="M62373"/>
    </row>
    <row r="62374" spans="3:13" ht="12.75" customHeight="1">
      <c r="C62374"/>
      <c r="M62374"/>
    </row>
    <row r="62375" spans="3:13" ht="12.75" customHeight="1">
      <c r="C62375"/>
      <c r="M62375"/>
    </row>
    <row r="62376" spans="3:13" ht="12.75" customHeight="1">
      <c r="C62376"/>
      <c r="M62376"/>
    </row>
    <row r="62377" spans="3:13" ht="12.75" customHeight="1">
      <c r="C62377"/>
      <c r="M62377"/>
    </row>
    <row r="62378" spans="3:13" ht="12.75" customHeight="1">
      <c r="C62378"/>
      <c r="M62378"/>
    </row>
    <row r="62379" spans="3:13" ht="12.75" customHeight="1">
      <c r="C62379"/>
      <c r="M62379"/>
    </row>
    <row r="62380" spans="3:13" ht="12.75" customHeight="1">
      <c r="C62380"/>
      <c r="M62380"/>
    </row>
    <row r="62381" spans="3:13" ht="12.75" customHeight="1">
      <c r="C62381"/>
      <c r="M62381"/>
    </row>
    <row r="62382" spans="3:13" ht="12.75" customHeight="1">
      <c r="C62382"/>
      <c r="M62382"/>
    </row>
    <row r="62383" spans="3:13" ht="12.75" customHeight="1">
      <c r="C62383"/>
      <c r="M62383"/>
    </row>
    <row r="62384" spans="3:13" ht="12.75" customHeight="1">
      <c r="C62384"/>
      <c r="M62384"/>
    </row>
    <row r="62385" spans="3:13" ht="12.75" customHeight="1">
      <c r="C62385"/>
      <c r="M62385"/>
    </row>
    <row r="62386" spans="3:13" ht="12.75" customHeight="1">
      <c r="C62386"/>
      <c r="M62386"/>
    </row>
    <row r="62387" spans="3:13" ht="12.75" customHeight="1">
      <c r="C62387"/>
      <c r="M62387"/>
    </row>
    <row r="62388" spans="3:13" ht="12.75" customHeight="1">
      <c r="C62388"/>
      <c r="M62388"/>
    </row>
    <row r="62389" spans="3:13" ht="12.75" customHeight="1">
      <c r="C62389"/>
      <c r="M62389"/>
    </row>
    <row r="62390" spans="3:13" ht="12.75" customHeight="1">
      <c r="C62390"/>
      <c r="M62390"/>
    </row>
    <row r="62391" spans="3:13" ht="12.75" customHeight="1">
      <c r="C62391"/>
      <c r="M62391"/>
    </row>
    <row r="62392" spans="3:13" ht="12.75" customHeight="1">
      <c r="C62392"/>
      <c r="M62392"/>
    </row>
    <row r="62393" spans="3:13" ht="12.75" customHeight="1">
      <c r="C62393"/>
      <c r="M62393"/>
    </row>
    <row r="62394" spans="3:13" ht="12.75" customHeight="1">
      <c r="C62394"/>
      <c r="M62394"/>
    </row>
    <row r="62395" spans="3:13" ht="12.75" customHeight="1">
      <c r="C62395"/>
      <c r="M62395"/>
    </row>
    <row r="62396" spans="3:13" ht="12.75" customHeight="1">
      <c r="C62396"/>
      <c r="M62396"/>
    </row>
    <row r="62397" spans="3:13" ht="12.75" customHeight="1">
      <c r="C62397"/>
      <c r="M62397"/>
    </row>
    <row r="62398" spans="3:13" ht="12.75" customHeight="1">
      <c r="C62398"/>
      <c r="M62398"/>
    </row>
    <row r="62399" spans="3:13" ht="12.75" customHeight="1">
      <c r="C62399"/>
      <c r="M62399"/>
    </row>
    <row r="62400" spans="3:13" ht="12.75" customHeight="1">
      <c r="C62400"/>
      <c r="M62400"/>
    </row>
    <row r="62401" spans="3:13" ht="12.75" customHeight="1">
      <c r="C62401"/>
      <c r="M62401"/>
    </row>
    <row r="62402" spans="3:13" ht="12.75" customHeight="1">
      <c r="C62402"/>
      <c r="M62402"/>
    </row>
    <row r="62403" spans="3:13" ht="12.75" customHeight="1">
      <c r="C62403"/>
      <c r="M62403"/>
    </row>
    <row r="62404" spans="3:13" ht="12.75" customHeight="1">
      <c r="C62404"/>
      <c r="M62404"/>
    </row>
    <row r="62405" spans="3:13" ht="12.75" customHeight="1">
      <c r="C62405"/>
      <c r="M62405"/>
    </row>
    <row r="62406" spans="3:13" ht="12.75" customHeight="1">
      <c r="C62406"/>
      <c r="M62406"/>
    </row>
    <row r="62407" spans="3:13" ht="12.75" customHeight="1">
      <c r="C62407"/>
      <c r="M62407"/>
    </row>
    <row r="62408" spans="3:13" ht="12.75" customHeight="1">
      <c r="C62408"/>
      <c r="M62408"/>
    </row>
    <row r="62409" spans="3:13" ht="12.75" customHeight="1">
      <c r="C62409"/>
      <c r="M62409"/>
    </row>
    <row r="62410" spans="3:13" ht="12.75" customHeight="1">
      <c r="C62410"/>
      <c r="M62410"/>
    </row>
    <row r="62411" spans="3:13" ht="12.75" customHeight="1">
      <c r="C62411"/>
      <c r="M62411"/>
    </row>
    <row r="62412" spans="3:13" ht="12.75" customHeight="1">
      <c r="C62412"/>
      <c r="M62412"/>
    </row>
    <row r="62413" spans="3:13" ht="12.75" customHeight="1">
      <c r="C62413"/>
      <c r="M62413"/>
    </row>
    <row r="62414" spans="3:13" ht="12.75" customHeight="1">
      <c r="C62414"/>
      <c r="M62414"/>
    </row>
    <row r="62415" spans="3:13" ht="12.75" customHeight="1">
      <c r="C62415"/>
      <c r="M62415"/>
    </row>
    <row r="62416" spans="3:13" ht="12.75" customHeight="1">
      <c r="C62416"/>
      <c r="M62416"/>
    </row>
    <row r="62417" spans="3:13" ht="12.75" customHeight="1">
      <c r="C62417"/>
      <c r="M62417"/>
    </row>
    <row r="62418" spans="3:13" ht="12.75" customHeight="1">
      <c r="C62418"/>
      <c r="M62418"/>
    </row>
    <row r="62419" spans="3:13" ht="12.75" customHeight="1">
      <c r="C62419"/>
      <c r="M62419"/>
    </row>
    <row r="62420" spans="3:13" ht="12.75" customHeight="1">
      <c r="C62420"/>
      <c r="M62420"/>
    </row>
    <row r="62421" spans="3:13" ht="12.75" customHeight="1">
      <c r="C62421"/>
      <c r="M62421"/>
    </row>
    <row r="62422" spans="3:13" ht="12.75" customHeight="1">
      <c r="C62422"/>
      <c r="M62422"/>
    </row>
    <row r="62423" spans="3:13" ht="12.75" customHeight="1">
      <c r="C62423"/>
      <c r="M62423"/>
    </row>
    <row r="62424" spans="3:13" ht="12.75" customHeight="1">
      <c r="C62424"/>
      <c r="M62424"/>
    </row>
    <row r="62425" spans="3:13" ht="12.75" customHeight="1">
      <c r="C62425"/>
      <c r="M62425"/>
    </row>
    <row r="62426" spans="3:13" ht="12.75" customHeight="1">
      <c r="C62426"/>
      <c r="M62426"/>
    </row>
    <row r="62427" spans="3:13" ht="12.75" customHeight="1">
      <c r="C62427"/>
      <c r="M62427"/>
    </row>
    <row r="62428" spans="3:13" ht="12.75" customHeight="1">
      <c r="C62428"/>
      <c r="M62428"/>
    </row>
    <row r="62429" spans="3:13" ht="12.75" customHeight="1">
      <c r="C62429"/>
      <c r="M62429"/>
    </row>
    <row r="62430" spans="3:13" ht="12.75" customHeight="1">
      <c r="C62430"/>
      <c r="M62430"/>
    </row>
    <row r="62431" spans="3:13" ht="12.75" customHeight="1">
      <c r="C62431"/>
      <c r="M62431"/>
    </row>
    <row r="62432" spans="3:13" ht="12.75" customHeight="1">
      <c r="C62432"/>
      <c r="M62432"/>
    </row>
    <row r="62433" spans="3:13" ht="12.75" customHeight="1">
      <c r="C62433"/>
      <c r="M62433"/>
    </row>
    <row r="62434" spans="3:13" ht="12.75" customHeight="1">
      <c r="C62434"/>
      <c r="M62434"/>
    </row>
    <row r="62435" spans="3:13" ht="12.75" customHeight="1">
      <c r="C62435"/>
      <c r="M62435"/>
    </row>
    <row r="62436" spans="3:13" ht="12.75" customHeight="1">
      <c r="C62436"/>
      <c r="M62436"/>
    </row>
    <row r="62437" spans="3:13" ht="12.75" customHeight="1">
      <c r="C62437"/>
      <c r="M62437"/>
    </row>
    <row r="62438" spans="3:13" ht="12.75" customHeight="1">
      <c r="C62438"/>
      <c r="M62438"/>
    </row>
    <row r="62439" spans="3:13" ht="12.75" customHeight="1">
      <c r="C62439"/>
      <c r="M62439"/>
    </row>
    <row r="62440" spans="3:13" ht="12.75" customHeight="1">
      <c r="C62440"/>
      <c r="M62440"/>
    </row>
    <row r="62441" spans="3:13" ht="12.75" customHeight="1">
      <c r="C62441"/>
      <c r="M62441"/>
    </row>
    <row r="62442" spans="3:13" ht="12.75" customHeight="1">
      <c r="C62442"/>
      <c r="M62442"/>
    </row>
    <row r="62443" spans="3:13" ht="12.75" customHeight="1">
      <c r="C62443"/>
      <c r="M62443"/>
    </row>
    <row r="62444" spans="3:13" ht="12.75" customHeight="1">
      <c r="C62444"/>
      <c r="M62444"/>
    </row>
    <row r="62445" spans="3:13" ht="12.75" customHeight="1">
      <c r="C62445"/>
      <c r="M62445"/>
    </row>
    <row r="62446" spans="3:13" ht="12.75" customHeight="1">
      <c r="C62446"/>
      <c r="M62446"/>
    </row>
    <row r="62447" spans="3:13" ht="12.75" customHeight="1">
      <c r="C62447"/>
      <c r="M62447"/>
    </row>
    <row r="62448" spans="3:13" ht="12.75" customHeight="1">
      <c r="C62448"/>
      <c r="M62448"/>
    </row>
    <row r="62449" spans="3:13" ht="12.75" customHeight="1">
      <c r="C62449"/>
      <c r="M62449"/>
    </row>
    <row r="62450" spans="3:13" ht="12.75" customHeight="1">
      <c r="C62450"/>
      <c r="M62450"/>
    </row>
    <row r="62451" spans="3:13" ht="12.75" customHeight="1">
      <c r="C62451"/>
      <c r="M62451"/>
    </row>
    <row r="62452" spans="3:13" ht="12.75" customHeight="1">
      <c r="C62452"/>
      <c r="M62452"/>
    </row>
    <row r="62453" spans="3:13" ht="12.75" customHeight="1">
      <c r="C62453"/>
      <c r="M62453"/>
    </row>
    <row r="62454" spans="3:13" ht="12.75" customHeight="1">
      <c r="C62454"/>
      <c r="M62454"/>
    </row>
    <row r="62455" spans="3:13" ht="12.75" customHeight="1">
      <c r="C62455"/>
      <c r="M62455"/>
    </row>
    <row r="62456" spans="3:13" ht="12.75" customHeight="1">
      <c r="C62456"/>
      <c r="M62456"/>
    </row>
    <row r="62457" spans="3:13" ht="12.75" customHeight="1">
      <c r="C62457"/>
      <c r="M62457"/>
    </row>
    <row r="62458" spans="3:13" ht="12.75" customHeight="1">
      <c r="C62458"/>
      <c r="M62458"/>
    </row>
    <row r="62459" spans="3:13" ht="12.75" customHeight="1">
      <c r="C62459"/>
      <c r="M62459"/>
    </row>
    <row r="62460" spans="3:13" ht="12.75" customHeight="1">
      <c r="C62460"/>
      <c r="M62460"/>
    </row>
    <row r="62461" spans="3:13" ht="12.75" customHeight="1">
      <c r="C62461"/>
      <c r="M62461"/>
    </row>
    <row r="62462" spans="3:13" ht="12.75" customHeight="1">
      <c r="C62462"/>
      <c r="M62462"/>
    </row>
    <row r="62463" spans="3:13" ht="12.75" customHeight="1">
      <c r="C62463"/>
      <c r="M62463"/>
    </row>
    <row r="62464" spans="3:13" ht="12.75" customHeight="1">
      <c r="C62464"/>
      <c r="M62464"/>
    </row>
    <row r="62465" spans="3:13" ht="12.75" customHeight="1">
      <c r="C62465"/>
      <c r="M62465"/>
    </row>
    <row r="62466" spans="3:13" ht="12.75" customHeight="1">
      <c r="C62466"/>
      <c r="M62466"/>
    </row>
    <row r="62467" spans="3:13" ht="12.75" customHeight="1">
      <c r="C62467"/>
      <c r="M62467"/>
    </row>
    <row r="62468" spans="3:13" ht="12.75" customHeight="1">
      <c r="C62468"/>
      <c r="M62468"/>
    </row>
    <row r="62469" spans="3:13" ht="12.75" customHeight="1">
      <c r="C62469"/>
      <c r="M62469"/>
    </row>
    <row r="62470" spans="3:13" ht="12.75" customHeight="1">
      <c r="C62470"/>
      <c r="M62470"/>
    </row>
    <row r="62471" spans="3:13" ht="12.75" customHeight="1">
      <c r="C62471"/>
      <c r="M62471"/>
    </row>
    <row r="62472" spans="3:13" ht="12.75" customHeight="1">
      <c r="C62472"/>
      <c r="M62472"/>
    </row>
    <row r="62473" spans="3:13" ht="12.75" customHeight="1">
      <c r="C62473"/>
      <c r="M62473"/>
    </row>
    <row r="62474" spans="3:13" ht="12.75" customHeight="1">
      <c r="C62474"/>
      <c r="M62474"/>
    </row>
    <row r="62475" spans="3:13" ht="12.75" customHeight="1">
      <c r="C62475"/>
      <c r="M62475"/>
    </row>
    <row r="62476" spans="3:13" ht="12.75" customHeight="1">
      <c r="C62476"/>
      <c r="M62476"/>
    </row>
    <row r="62477" spans="3:13" ht="12.75" customHeight="1">
      <c r="C62477"/>
      <c r="M62477"/>
    </row>
    <row r="62478" spans="3:13" ht="12.75" customHeight="1">
      <c r="C62478"/>
      <c r="M62478"/>
    </row>
    <row r="62479" spans="3:13" ht="12.75" customHeight="1">
      <c r="C62479"/>
      <c r="M62479"/>
    </row>
    <row r="62480" spans="3:13" ht="12.75" customHeight="1">
      <c r="C62480"/>
      <c r="M62480"/>
    </row>
    <row r="62481" spans="3:13" ht="12.75" customHeight="1">
      <c r="C62481"/>
      <c r="M62481"/>
    </row>
    <row r="62482" spans="3:13" ht="12.75" customHeight="1">
      <c r="C62482"/>
      <c r="M62482"/>
    </row>
    <row r="62483" spans="3:13" ht="12.75" customHeight="1">
      <c r="C62483"/>
      <c r="M62483"/>
    </row>
    <row r="62484" spans="3:13" ht="12.75" customHeight="1">
      <c r="C62484"/>
      <c r="M62484"/>
    </row>
    <row r="62485" spans="3:13" ht="12.75" customHeight="1">
      <c r="C62485"/>
      <c r="M62485"/>
    </row>
    <row r="62486" spans="3:13" ht="12.75" customHeight="1">
      <c r="C62486"/>
      <c r="M62486"/>
    </row>
    <row r="62487" spans="3:13" ht="12.75" customHeight="1">
      <c r="C62487"/>
      <c r="M62487"/>
    </row>
    <row r="62488" spans="3:13" ht="12.75" customHeight="1">
      <c r="C62488"/>
      <c r="M62488"/>
    </row>
    <row r="62489" spans="3:13" ht="12.75" customHeight="1">
      <c r="C62489"/>
      <c r="M62489"/>
    </row>
    <row r="62490" spans="3:13" ht="12.75" customHeight="1">
      <c r="C62490"/>
      <c r="M62490"/>
    </row>
    <row r="62491" spans="3:13" ht="12.75" customHeight="1">
      <c r="C62491"/>
      <c r="M62491"/>
    </row>
    <row r="62492" spans="3:13" ht="12.75" customHeight="1">
      <c r="C62492"/>
      <c r="M62492"/>
    </row>
    <row r="62493" spans="3:13" ht="12.75" customHeight="1">
      <c r="C62493"/>
      <c r="M62493"/>
    </row>
    <row r="62494" spans="3:13" ht="12.75" customHeight="1">
      <c r="C62494"/>
      <c r="M62494"/>
    </row>
    <row r="62495" spans="3:13" ht="12.75" customHeight="1">
      <c r="C62495"/>
      <c r="M62495"/>
    </row>
    <row r="62496" spans="3:13" ht="12.75" customHeight="1">
      <c r="C62496"/>
      <c r="M62496"/>
    </row>
    <row r="62497" spans="3:13" ht="12.75" customHeight="1">
      <c r="C62497"/>
      <c r="M62497"/>
    </row>
    <row r="62498" spans="3:13" ht="12.75" customHeight="1">
      <c r="C62498"/>
      <c r="M62498"/>
    </row>
    <row r="62499" spans="3:13" ht="12.75" customHeight="1">
      <c r="C62499"/>
      <c r="M62499"/>
    </row>
    <row r="62500" spans="3:13" ht="12.75" customHeight="1">
      <c r="C62500"/>
      <c r="M62500"/>
    </row>
    <row r="62501" spans="3:13" ht="12.75" customHeight="1">
      <c r="C62501"/>
      <c r="M62501"/>
    </row>
    <row r="62502" spans="3:13" ht="12.75" customHeight="1">
      <c r="C62502"/>
      <c r="M62502"/>
    </row>
    <row r="62503" spans="3:13" ht="12.75" customHeight="1">
      <c r="C62503"/>
      <c r="M62503"/>
    </row>
    <row r="62504" spans="3:13" ht="12.75" customHeight="1">
      <c r="C62504"/>
      <c r="M62504"/>
    </row>
    <row r="62505" spans="3:13" ht="12.75" customHeight="1">
      <c r="C62505"/>
      <c r="M62505"/>
    </row>
    <row r="62506" spans="3:13" ht="12.75" customHeight="1">
      <c r="C62506"/>
      <c r="M62506"/>
    </row>
    <row r="62507" spans="3:13" ht="12.75" customHeight="1">
      <c r="C62507"/>
      <c r="M62507"/>
    </row>
    <row r="62508" spans="3:13" ht="12.75" customHeight="1">
      <c r="C62508"/>
      <c r="M62508"/>
    </row>
    <row r="62509" spans="3:13" ht="12.75" customHeight="1">
      <c r="C62509"/>
      <c r="M62509"/>
    </row>
    <row r="62510" spans="3:13" ht="12.75" customHeight="1">
      <c r="C62510"/>
      <c r="M62510"/>
    </row>
    <row r="62511" spans="3:13" ht="12.75" customHeight="1">
      <c r="C62511"/>
      <c r="M62511"/>
    </row>
    <row r="62512" spans="3:13" ht="12.75" customHeight="1">
      <c r="C62512"/>
      <c r="M62512"/>
    </row>
    <row r="62513" spans="3:13" ht="12.75" customHeight="1">
      <c r="C62513"/>
      <c r="M62513"/>
    </row>
    <row r="62514" spans="3:13" ht="12.75" customHeight="1">
      <c r="C62514"/>
      <c r="M62514"/>
    </row>
    <row r="62515" spans="3:13" ht="12.75" customHeight="1">
      <c r="C62515"/>
      <c r="M62515"/>
    </row>
    <row r="62516" spans="3:13" ht="12.75" customHeight="1">
      <c r="C62516"/>
      <c r="M62516"/>
    </row>
    <row r="62517" spans="3:13" ht="12.75" customHeight="1">
      <c r="C62517"/>
      <c r="M62517"/>
    </row>
    <row r="62518" spans="3:13" ht="12.75" customHeight="1">
      <c r="C62518"/>
      <c r="M62518"/>
    </row>
    <row r="62519" spans="3:13" ht="12.75" customHeight="1">
      <c r="C62519"/>
      <c r="M62519"/>
    </row>
    <row r="62520" spans="3:13" ht="12.75" customHeight="1">
      <c r="C62520"/>
      <c r="M62520"/>
    </row>
    <row r="62521" spans="3:13" ht="12.75" customHeight="1">
      <c r="C62521"/>
      <c r="M62521"/>
    </row>
    <row r="62522" spans="3:13" ht="12.75" customHeight="1">
      <c r="C62522"/>
      <c r="M62522"/>
    </row>
    <row r="62523" spans="3:13" ht="12.75" customHeight="1">
      <c r="C62523"/>
      <c r="M62523"/>
    </row>
    <row r="62524" spans="3:13" ht="12.75" customHeight="1">
      <c r="C62524"/>
      <c r="M62524"/>
    </row>
    <row r="62525" spans="3:13" ht="12.75" customHeight="1">
      <c r="C62525"/>
      <c r="M62525"/>
    </row>
    <row r="62526" spans="3:13" ht="12.75" customHeight="1">
      <c r="C62526"/>
      <c r="M62526"/>
    </row>
    <row r="62527" spans="3:13" ht="12.75" customHeight="1">
      <c r="C62527"/>
      <c r="M62527"/>
    </row>
    <row r="62528" spans="3:13" ht="12.75" customHeight="1">
      <c r="C62528"/>
      <c r="M62528"/>
    </row>
    <row r="62529" spans="3:13" ht="12.75" customHeight="1">
      <c r="C62529"/>
      <c r="M62529"/>
    </row>
    <row r="62530" spans="3:13" ht="12.75" customHeight="1">
      <c r="C62530"/>
      <c r="M62530"/>
    </row>
    <row r="62531" spans="3:13" ht="12.75" customHeight="1">
      <c r="C62531"/>
      <c r="M62531"/>
    </row>
    <row r="62532" spans="3:13" ht="12.75" customHeight="1">
      <c r="C62532"/>
      <c r="M62532"/>
    </row>
    <row r="62533" spans="3:13" ht="12.75" customHeight="1">
      <c r="C62533"/>
      <c r="M62533"/>
    </row>
    <row r="62534" spans="3:13" ht="12.75" customHeight="1">
      <c r="C62534"/>
      <c r="M62534"/>
    </row>
    <row r="62535" spans="3:13" ht="12.75" customHeight="1">
      <c r="C62535"/>
      <c r="M62535"/>
    </row>
    <row r="62536" spans="3:13" ht="12.75" customHeight="1">
      <c r="C62536"/>
      <c r="M62536"/>
    </row>
    <row r="62537" spans="3:13" ht="12.75" customHeight="1">
      <c r="C62537"/>
      <c r="M62537"/>
    </row>
    <row r="62538" spans="3:13" ht="12.75" customHeight="1">
      <c r="C62538"/>
      <c r="M62538"/>
    </row>
    <row r="62539" spans="3:13" ht="12.75" customHeight="1">
      <c r="C62539"/>
      <c r="M62539"/>
    </row>
    <row r="62540" spans="3:13" ht="12.75" customHeight="1">
      <c r="C62540"/>
      <c r="M62540"/>
    </row>
    <row r="62541" spans="3:13" ht="12.75" customHeight="1">
      <c r="C62541"/>
      <c r="M62541"/>
    </row>
    <row r="62542" spans="3:13" ht="12.75" customHeight="1">
      <c r="C62542"/>
      <c r="M62542"/>
    </row>
    <row r="62543" spans="3:13" ht="12.75" customHeight="1">
      <c r="C62543"/>
      <c r="M62543"/>
    </row>
    <row r="62544" spans="3:13" ht="12.75" customHeight="1">
      <c r="C62544"/>
      <c r="M62544"/>
    </row>
    <row r="62545" spans="3:13" ht="12.75" customHeight="1">
      <c r="C62545"/>
      <c r="M62545"/>
    </row>
    <row r="62546" spans="3:13" ht="12.75" customHeight="1">
      <c r="C62546"/>
      <c r="M62546"/>
    </row>
    <row r="62547" spans="3:13" ht="12.75" customHeight="1">
      <c r="C62547"/>
      <c r="M62547"/>
    </row>
    <row r="62548" spans="3:13" ht="12.75" customHeight="1">
      <c r="C62548"/>
      <c r="M62548"/>
    </row>
    <row r="62549" spans="3:13" ht="12.75" customHeight="1">
      <c r="C62549"/>
      <c r="M62549"/>
    </row>
    <row r="62550" spans="3:13" ht="12.75" customHeight="1">
      <c r="C62550"/>
      <c r="M62550"/>
    </row>
    <row r="62551" spans="3:13" ht="12.75" customHeight="1">
      <c r="C62551"/>
      <c r="M62551"/>
    </row>
    <row r="62552" spans="3:13" ht="12.75" customHeight="1">
      <c r="C62552"/>
      <c r="M62552"/>
    </row>
    <row r="62553" spans="3:13" ht="12.75" customHeight="1">
      <c r="C62553"/>
      <c r="M62553"/>
    </row>
    <row r="62554" spans="3:13" ht="12.75" customHeight="1">
      <c r="C62554"/>
      <c r="M62554"/>
    </row>
    <row r="62555" spans="3:13" ht="12.75" customHeight="1">
      <c r="C62555"/>
      <c r="M62555"/>
    </row>
    <row r="62556" spans="3:13" ht="12.75" customHeight="1">
      <c r="C62556"/>
      <c r="M62556"/>
    </row>
    <row r="62557" spans="3:13" ht="12.75" customHeight="1">
      <c r="C62557"/>
      <c r="M62557"/>
    </row>
    <row r="62558" spans="3:13" ht="12.75" customHeight="1">
      <c r="C62558"/>
      <c r="M62558"/>
    </row>
    <row r="62559" spans="3:13" ht="12.75" customHeight="1">
      <c r="C62559"/>
      <c r="M62559"/>
    </row>
    <row r="62560" spans="3:13" ht="12.75" customHeight="1">
      <c r="C62560"/>
      <c r="M62560"/>
    </row>
    <row r="62561" spans="3:13" ht="12.75" customHeight="1">
      <c r="C62561"/>
      <c r="M62561"/>
    </row>
    <row r="62562" spans="3:13" ht="12.75" customHeight="1">
      <c r="C62562"/>
      <c r="M62562"/>
    </row>
    <row r="62563" spans="3:13" ht="12.75" customHeight="1">
      <c r="C62563"/>
      <c r="M62563"/>
    </row>
    <row r="62564" spans="3:13" ht="12.75" customHeight="1">
      <c r="C62564"/>
      <c r="M62564"/>
    </row>
    <row r="62565" spans="3:13" ht="12.75" customHeight="1">
      <c r="C62565"/>
      <c r="M62565"/>
    </row>
    <row r="62566" spans="3:13" ht="12.75" customHeight="1">
      <c r="C62566"/>
      <c r="M62566"/>
    </row>
    <row r="62567" spans="3:13" ht="12.75" customHeight="1">
      <c r="C62567"/>
      <c r="M62567"/>
    </row>
    <row r="62568" spans="3:13" ht="12.75" customHeight="1">
      <c r="C62568"/>
      <c r="M62568"/>
    </row>
    <row r="62569" spans="3:13" ht="12.75" customHeight="1">
      <c r="C62569"/>
      <c r="M62569"/>
    </row>
    <row r="62570" spans="3:13" ht="12.75" customHeight="1">
      <c r="C62570"/>
      <c r="M62570"/>
    </row>
    <row r="62571" spans="3:13" ht="12.75" customHeight="1">
      <c r="C62571"/>
      <c r="M62571"/>
    </row>
    <row r="62572" spans="3:13" ht="12.75" customHeight="1">
      <c r="C62572"/>
      <c r="M62572"/>
    </row>
    <row r="62573" spans="3:13" ht="12.75" customHeight="1">
      <c r="C62573"/>
      <c r="M62573"/>
    </row>
    <row r="62574" spans="3:13" ht="12.75" customHeight="1">
      <c r="C62574"/>
      <c r="M62574"/>
    </row>
    <row r="62575" spans="3:13" ht="12.75" customHeight="1">
      <c r="C62575"/>
      <c r="M62575"/>
    </row>
    <row r="62576" spans="3:13" ht="12.75" customHeight="1">
      <c r="C62576"/>
      <c r="M62576"/>
    </row>
    <row r="62577" spans="3:13" ht="12.75" customHeight="1">
      <c r="C62577"/>
      <c r="M62577"/>
    </row>
    <row r="62578" spans="3:13" ht="12.75" customHeight="1">
      <c r="C62578"/>
      <c r="M62578"/>
    </row>
    <row r="62579" spans="3:13" ht="12.75" customHeight="1">
      <c r="C62579"/>
      <c r="M62579"/>
    </row>
    <row r="62580" spans="3:13" ht="12.75" customHeight="1">
      <c r="C62580"/>
      <c r="M62580"/>
    </row>
    <row r="62581" spans="3:13" ht="12.75" customHeight="1">
      <c r="C62581"/>
      <c r="M62581"/>
    </row>
    <row r="62582" spans="3:13" ht="12.75" customHeight="1">
      <c r="C62582"/>
      <c r="M62582"/>
    </row>
    <row r="62583" spans="3:13" ht="12.75" customHeight="1">
      <c r="C62583"/>
      <c r="M62583"/>
    </row>
    <row r="62584" spans="3:13" ht="12.75" customHeight="1">
      <c r="C62584"/>
      <c r="M62584"/>
    </row>
    <row r="62585" spans="3:13" ht="12.75" customHeight="1">
      <c r="C62585"/>
      <c r="M62585"/>
    </row>
    <row r="62586" spans="3:13" ht="12.75" customHeight="1">
      <c r="C62586"/>
      <c r="M62586"/>
    </row>
    <row r="62587" spans="3:13" ht="12.75" customHeight="1">
      <c r="C62587"/>
      <c r="M62587"/>
    </row>
    <row r="62588" spans="3:13" ht="12.75" customHeight="1">
      <c r="C62588"/>
      <c r="M62588"/>
    </row>
    <row r="62589" spans="3:13" ht="12.75" customHeight="1">
      <c r="C62589"/>
      <c r="M62589"/>
    </row>
    <row r="62590" spans="3:13" ht="12.75" customHeight="1">
      <c r="C62590"/>
      <c r="M62590"/>
    </row>
    <row r="62591" spans="3:13" ht="12.75" customHeight="1">
      <c r="C62591"/>
      <c r="M62591"/>
    </row>
    <row r="62592" spans="3:13" ht="12.75" customHeight="1">
      <c r="C62592"/>
      <c r="M62592"/>
    </row>
    <row r="62593" spans="3:13" ht="12.75" customHeight="1">
      <c r="C62593"/>
      <c r="M62593"/>
    </row>
    <row r="62594" spans="3:13" ht="12.75" customHeight="1">
      <c r="C62594"/>
      <c r="M62594"/>
    </row>
    <row r="62595" spans="3:13" ht="12.75" customHeight="1">
      <c r="C62595"/>
      <c r="M62595"/>
    </row>
    <row r="62596" spans="3:13" ht="12.75" customHeight="1">
      <c r="C62596"/>
      <c r="M62596"/>
    </row>
    <row r="62597" spans="3:13" ht="12.75" customHeight="1">
      <c r="C62597"/>
      <c r="M62597"/>
    </row>
    <row r="62598" spans="3:13" ht="12.75" customHeight="1">
      <c r="C62598"/>
      <c r="M62598"/>
    </row>
    <row r="62599" spans="3:13" ht="12.75" customHeight="1">
      <c r="C62599"/>
      <c r="M62599"/>
    </row>
    <row r="62600" spans="3:13" ht="12.75" customHeight="1">
      <c r="C62600"/>
      <c r="M62600"/>
    </row>
    <row r="62601" spans="3:13" ht="12.75" customHeight="1">
      <c r="C62601"/>
      <c r="M62601"/>
    </row>
    <row r="62602" spans="3:13" ht="12.75" customHeight="1">
      <c r="C62602"/>
      <c r="M62602"/>
    </row>
    <row r="62603" spans="3:13" ht="12.75" customHeight="1">
      <c r="C62603"/>
      <c r="M62603"/>
    </row>
    <row r="62604" spans="3:13" ht="12.75" customHeight="1">
      <c r="C62604"/>
      <c r="M62604"/>
    </row>
    <row r="62605" spans="3:13" ht="12.75" customHeight="1">
      <c r="C62605"/>
      <c r="M62605"/>
    </row>
    <row r="62606" spans="3:13" ht="12.75" customHeight="1">
      <c r="C62606"/>
      <c r="M62606"/>
    </row>
    <row r="62607" spans="3:13" ht="12.75" customHeight="1">
      <c r="C62607"/>
      <c r="M62607"/>
    </row>
    <row r="62608" spans="3:13" ht="12.75" customHeight="1">
      <c r="C62608"/>
      <c r="M62608"/>
    </row>
    <row r="62609" spans="3:13" ht="12.75" customHeight="1">
      <c r="C62609"/>
      <c r="M62609"/>
    </row>
    <row r="62610" spans="3:13" ht="12.75" customHeight="1">
      <c r="C62610"/>
      <c r="M62610"/>
    </row>
    <row r="62611" spans="3:13" ht="12.75" customHeight="1">
      <c r="C62611"/>
      <c r="M62611"/>
    </row>
    <row r="62612" spans="3:13" ht="12.75" customHeight="1">
      <c r="C62612"/>
      <c r="M62612"/>
    </row>
    <row r="62613" spans="3:13" ht="12.75" customHeight="1">
      <c r="C62613"/>
      <c r="M62613"/>
    </row>
    <row r="62614" spans="3:13" ht="12.75" customHeight="1">
      <c r="C62614"/>
      <c r="M62614"/>
    </row>
    <row r="62615" spans="3:13" ht="12.75" customHeight="1">
      <c r="C62615"/>
      <c r="M62615"/>
    </row>
    <row r="62616" spans="3:13" ht="12.75" customHeight="1">
      <c r="C62616"/>
      <c r="M62616"/>
    </row>
    <row r="62617" spans="3:13" ht="12.75" customHeight="1">
      <c r="C62617"/>
      <c r="M62617"/>
    </row>
    <row r="62618" spans="3:13" ht="12.75" customHeight="1">
      <c r="C62618"/>
      <c r="M62618"/>
    </row>
    <row r="62619" spans="3:13" ht="12.75" customHeight="1">
      <c r="C62619"/>
      <c r="M62619"/>
    </row>
    <row r="62620" spans="3:13" ht="12.75" customHeight="1">
      <c r="C62620"/>
      <c r="M62620"/>
    </row>
    <row r="62621" spans="3:13" ht="12.75" customHeight="1">
      <c r="C62621"/>
      <c r="M62621"/>
    </row>
    <row r="62622" spans="3:13" ht="12.75" customHeight="1">
      <c r="C62622"/>
      <c r="M62622"/>
    </row>
    <row r="62623" spans="3:13" ht="12.75" customHeight="1">
      <c r="C62623"/>
      <c r="M62623"/>
    </row>
    <row r="62624" spans="3:13" ht="12.75" customHeight="1">
      <c r="C62624"/>
      <c r="M62624"/>
    </row>
    <row r="62625" spans="3:13" ht="12.75" customHeight="1">
      <c r="C62625"/>
      <c r="M62625"/>
    </row>
    <row r="62626" spans="3:13" ht="12.75" customHeight="1">
      <c r="C62626"/>
      <c r="M62626"/>
    </row>
    <row r="62627" spans="3:13" ht="12.75" customHeight="1">
      <c r="C62627"/>
      <c r="M62627"/>
    </row>
    <row r="62628" spans="3:13" ht="12.75" customHeight="1">
      <c r="C62628"/>
      <c r="M62628"/>
    </row>
    <row r="62629" spans="3:13" ht="12.75" customHeight="1">
      <c r="C62629"/>
      <c r="M62629"/>
    </row>
    <row r="62630" spans="3:13" ht="12.75" customHeight="1">
      <c r="C62630"/>
      <c r="M62630"/>
    </row>
    <row r="62631" spans="3:13" ht="12.75" customHeight="1">
      <c r="C62631"/>
      <c r="M62631"/>
    </row>
    <row r="62632" spans="3:13" ht="12.75" customHeight="1">
      <c r="C62632"/>
      <c r="M62632"/>
    </row>
    <row r="62633" spans="3:13" ht="12.75" customHeight="1">
      <c r="C62633"/>
      <c r="M62633"/>
    </row>
    <row r="62634" spans="3:13" ht="12.75" customHeight="1">
      <c r="C62634"/>
      <c r="M62634"/>
    </row>
    <row r="62635" spans="3:13" ht="12.75" customHeight="1">
      <c r="C62635"/>
      <c r="M62635"/>
    </row>
    <row r="62636" spans="3:13" ht="12.75" customHeight="1">
      <c r="C62636"/>
      <c r="M62636"/>
    </row>
    <row r="62637" spans="3:13" ht="12.75" customHeight="1">
      <c r="C62637"/>
      <c r="M62637"/>
    </row>
    <row r="62638" spans="3:13" ht="12.75" customHeight="1">
      <c r="C62638"/>
      <c r="M62638"/>
    </row>
    <row r="62639" spans="3:13" ht="12.75" customHeight="1">
      <c r="C62639"/>
      <c r="M62639"/>
    </row>
    <row r="62640" spans="3:13" ht="12.75" customHeight="1">
      <c r="C62640"/>
      <c r="M62640"/>
    </row>
    <row r="62641" spans="3:13" ht="12.75" customHeight="1">
      <c r="C62641"/>
      <c r="M62641"/>
    </row>
    <row r="62642" spans="3:13" ht="12.75" customHeight="1">
      <c r="C62642"/>
      <c r="M62642"/>
    </row>
    <row r="62643" spans="3:13" ht="12.75" customHeight="1">
      <c r="C62643"/>
      <c r="M62643"/>
    </row>
    <row r="62644" spans="3:13" ht="12.75" customHeight="1">
      <c r="C62644"/>
      <c r="M62644"/>
    </row>
    <row r="62645" spans="3:13" ht="12.75" customHeight="1">
      <c r="C62645"/>
      <c r="M62645"/>
    </row>
    <row r="62646" spans="3:13" ht="12.75" customHeight="1">
      <c r="C62646"/>
      <c r="M62646"/>
    </row>
    <row r="62647" spans="3:13" ht="12.75" customHeight="1">
      <c r="C62647"/>
      <c r="M62647"/>
    </row>
    <row r="62648" spans="3:13" ht="12.75" customHeight="1">
      <c r="C62648"/>
      <c r="M62648"/>
    </row>
    <row r="62649" spans="3:13" ht="12.75" customHeight="1">
      <c r="C62649"/>
      <c r="M62649"/>
    </row>
    <row r="62650" spans="3:13" ht="12.75" customHeight="1">
      <c r="C62650"/>
      <c r="M62650"/>
    </row>
    <row r="62651" spans="3:13" ht="12.75" customHeight="1">
      <c r="C62651"/>
      <c r="M62651"/>
    </row>
    <row r="62652" spans="3:13" ht="12.75" customHeight="1">
      <c r="C62652"/>
      <c r="M62652"/>
    </row>
    <row r="62653" spans="3:13" ht="12.75" customHeight="1">
      <c r="C62653"/>
      <c r="M62653"/>
    </row>
    <row r="62654" spans="3:13" ht="12.75" customHeight="1">
      <c r="C62654"/>
      <c r="M62654"/>
    </row>
    <row r="62655" spans="3:13" ht="12.75" customHeight="1">
      <c r="C62655"/>
      <c r="M62655"/>
    </row>
    <row r="62656" spans="3:13" ht="12.75" customHeight="1">
      <c r="C62656"/>
      <c r="M62656"/>
    </row>
    <row r="62657" spans="3:13" ht="12.75" customHeight="1">
      <c r="C62657"/>
      <c r="M62657"/>
    </row>
    <row r="62658" spans="3:13" ht="12.75" customHeight="1">
      <c r="C62658"/>
      <c r="M62658"/>
    </row>
    <row r="62659" spans="3:13" ht="12.75" customHeight="1">
      <c r="C62659"/>
      <c r="M62659"/>
    </row>
    <row r="62660" spans="3:13" ht="12.75" customHeight="1">
      <c r="C62660"/>
      <c r="M62660"/>
    </row>
    <row r="62661" spans="3:13" ht="12.75" customHeight="1">
      <c r="C62661"/>
      <c r="M62661"/>
    </row>
    <row r="62662" spans="3:13" ht="12.75" customHeight="1">
      <c r="C62662"/>
      <c r="M62662"/>
    </row>
    <row r="62663" spans="3:13" ht="12.75" customHeight="1">
      <c r="C62663"/>
      <c r="M62663"/>
    </row>
    <row r="62664" spans="3:13" ht="12.75" customHeight="1">
      <c r="C62664"/>
      <c r="M62664"/>
    </row>
    <row r="62665" spans="3:13" ht="12.75" customHeight="1">
      <c r="C62665"/>
      <c r="M62665"/>
    </row>
    <row r="62666" spans="3:13" ht="12.75" customHeight="1">
      <c r="C62666"/>
      <c r="M62666"/>
    </row>
    <row r="62667" spans="3:13" ht="12.75" customHeight="1">
      <c r="C62667"/>
      <c r="M62667"/>
    </row>
    <row r="62668" spans="3:13" ht="12.75" customHeight="1">
      <c r="C62668"/>
      <c r="M62668"/>
    </row>
    <row r="62669" spans="3:13" ht="12.75" customHeight="1">
      <c r="C62669"/>
      <c r="M62669"/>
    </row>
    <row r="62670" spans="3:13" ht="12.75" customHeight="1">
      <c r="C62670"/>
      <c r="M62670"/>
    </row>
    <row r="62671" spans="3:13" ht="12.75" customHeight="1">
      <c r="C62671"/>
      <c r="M62671"/>
    </row>
    <row r="62672" spans="3:13" ht="12.75" customHeight="1">
      <c r="C62672"/>
      <c r="M62672"/>
    </row>
    <row r="62673" spans="3:13" ht="12.75" customHeight="1">
      <c r="C62673"/>
      <c r="M62673"/>
    </row>
    <row r="62674" spans="3:13" ht="12.75" customHeight="1">
      <c r="C62674"/>
      <c r="M62674"/>
    </row>
    <row r="62675" spans="3:13" ht="12.75" customHeight="1">
      <c r="C62675"/>
      <c r="M62675"/>
    </row>
    <row r="62676" spans="3:13" ht="12.75" customHeight="1">
      <c r="C62676"/>
      <c r="M62676"/>
    </row>
    <row r="62677" spans="3:13" ht="12.75" customHeight="1">
      <c r="C62677"/>
      <c r="M62677"/>
    </row>
    <row r="62678" spans="3:13" ht="12.75" customHeight="1">
      <c r="C62678"/>
      <c r="M62678"/>
    </row>
    <row r="62679" spans="3:13" ht="12.75" customHeight="1">
      <c r="C62679"/>
      <c r="M62679"/>
    </row>
    <row r="62680" spans="3:13" ht="12.75" customHeight="1">
      <c r="C62680"/>
      <c r="M62680"/>
    </row>
    <row r="62681" spans="3:13" ht="12.75" customHeight="1">
      <c r="C62681"/>
      <c r="M62681"/>
    </row>
    <row r="62682" spans="3:13" ht="12.75" customHeight="1">
      <c r="C62682"/>
      <c r="M62682"/>
    </row>
    <row r="62683" spans="3:13" ht="12.75" customHeight="1">
      <c r="C62683"/>
      <c r="M62683"/>
    </row>
    <row r="62684" spans="3:13" ht="12.75" customHeight="1">
      <c r="C62684"/>
      <c r="M62684"/>
    </row>
    <row r="62685" spans="3:13" ht="12.75" customHeight="1">
      <c r="C62685"/>
      <c r="M62685"/>
    </row>
    <row r="62686" spans="3:13" ht="12.75" customHeight="1">
      <c r="C62686"/>
      <c r="M62686"/>
    </row>
    <row r="62687" spans="3:13" ht="12.75" customHeight="1">
      <c r="C62687"/>
      <c r="M62687"/>
    </row>
    <row r="62688" spans="3:13" ht="12.75" customHeight="1">
      <c r="C62688"/>
      <c r="M62688"/>
    </row>
    <row r="62689" spans="3:13" ht="12.75" customHeight="1">
      <c r="C62689"/>
      <c r="M62689"/>
    </row>
    <row r="62690" spans="3:13" ht="12.75" customHeight="1">
      <c r="C62690"/>
      <c r="M62690"/>
    </row>
    <row r="62691" spans="3:13" ht="12.75" customHeight="1">
      <c r="C62691"/>
      <c r="M62691"/>
    </row>
    <row r="62692" spans="3:13" ht="12.75" customHeight="1">
      <c r="C62692"/>
      <c r="M62692"/>
    </row>
    <row r="62693" spans="3:13" ht="12.75" customHeight="1">
      <c r="C62693"/>
      <c r="M62693"/>
    </row>
    <row r="62694" spans="3:13" ht="12.75" customHeight="1">
      <c r="C62694"/>
      <c r="M62694"/>
    </row>
    <row r="62695" spans="3:13" ht="12.75" customHeight="1">
      <c r="C62695"/>
      <c r="M62695"/>
    </row>
    <row r="62696" spans="3:13" ht="12.75" customHeight="1">
      <c r="C62696"/>
      <c r="M62696"/>
    </row>
    <row r="62697" spans="3:13" ht="12.75" customHeight="1">
      <c r="C62697"/>
      <c r="M62697"/>
    </row>
    <row r="62698" spans="3:13" ht="12.75" customHeight="1">
      <c r="C62698"/>
      <c r="M62698"/>
    </row>
    <row r="62699" spans="3:13" ht="12.75" customHeight="1">
      <c r="C62699"/>
      <c r="M62699"/>
    </row>
    <row r="62700" spans="3:13" ht="12.75" customHeight="1">
      <c r="C62700"/>
      <c r="M62700"/>
    </row>
    <row r="62701" spans="3:13" ht="12.75" customHeight="1">
      <c r="C62701"/>
      <c r="M62701"/>
    </row>
    <row r="62702" spans="3:13" ht="12.75" customHeight="1">
      <c r="C62702"/>
      <c r="M62702"/>
    </row>
    <row r="62703" spans="3:13" ht="12.75" customHeight="1">
      <c r="C62703"/>
      <c r="M62703"/>
    </row>
    <row r="62704" spans="3:13" ht="12.75" customHeight="1">
      <c r="C62704"/>
      <c r="M62704"/>
    </row>
    <row r="62705" spans="3:13" ht="12.75" customHeight="1">
      <c r="C62705"/>
      <c r="M62705"/>
    </row>
    <row r="62706" spans="3:13" ht="12.75" customHeight="1">
      <c r="C62706"/>
      <c r="M62706"/>
    </row>
    <row r="62707" spans="3:13" ht="12.75" customHeight="1">
      <c r="C62707"/>
      <c r="M62707"/>
    </row>
    <row r="62708" spans="3:13" ht="12.75" customHeight="1">
      <c r="C62708"/>
      <c r="M62708"/>
    </row>
    <row r="62709" spans="3:13" ht="12.75" customHeight="1">
      <c r="C62709"/>
      <c r="M62709"/>
    </row>
    <row r="62710" spans="3:13" ht="12.75" customHeight="1">
      <c r="C62710"/>
      <c r="M62710"/>
    </row>
    <row r="62711" spans="3:13" ht="12.75" customHeight="1">
      <c r="C62711"/>
      <c r="M62711"/>
    </row>
    <row r="62712" spans="3:13" ht="12.75" customHeight="1">
      <c r="C62712"/>
      <c r="M62712"/>
    </row>
    <row r="62713" spans="3:13" ht="12.75" customHeight="1">
      <c r="C62713"/>
      <c r="M62713"/>
    </row>
    <row r="62714" spans="3:13" ht="12.75" customHeight="1">
      <c r="C62714"/>
      <c r="M62714"/>
    </row>
    <row r="62715" spans="3:13" ht="12.75" customHeight="1">
      <c r="C62715"/>
      <c r="M62715"/>
    </row>
    <row r="62716" spans="3:13" ht="12.75" customHeight="1">
      <c r="C62716"/>
      <c r="M62716"/>
    </row>
    <row r="62717" spans="3:13" ht="12.75" customHeight="1">
      <c r="C62717"/>
      <c r="M62717"/>
    </row>
    <row r="62718" spans="3:13" ht="12.75" customHeight="1">
      <c r="C62718"/>
      <c r="M62718"/>
    </row>
    <row r="62719" spans="3:13" ht="12.75" customHeight="1">
      <c r="C62719"/>
      <c r="M62719"/>
    </row>
    <row r="62720" spans="3:13" ht="12.75" customHeight="1">
      <c r="C62720"/>
      <c r="M62720"/>
    </row>
    <row r="62721" spans="3:13" ht="12.75" customHeight="1">
      <c r="C62721"/>
      <c r="M62721"/>
    </row>
    <row r="62722" spans="3:13" ht="12.75" customHeight="1">
      <c r="C62722"/>
      <c r="M62722"/>
    </row>
    <row r="62723" spans="3:13" ht="12.75" customHeight="1">
      <c r="C62723"/>
      <c r="M62723"/>
    </row>
    <row r="62724" spans="3:13" ht="12.75" customHeight="1">
      <c r="C62724"/>
      <c r="M62724"/>
    </row>
    <row r="62725" spans="3:13" ht="12.75" customHeight="1">
      <c r="C62725"/>
      <c r="M62725"/>
    </row>
    <row r="62726" spans="3:13" ht="12.75" customHeight="1">
      <c r="C62726"/>
      <c r="M62726"/>
    </row>
    <row r="62727" spans="3:13" ht="12.75" customHeight="1">
      <c r="C62727"/>
      <c r="M62727"/>
    </row>
    <row r="62728" spans="3:13" ht="12.75" customHeight="1">
      <c r="C62728"/>
      <c r="M62728"/>
    </row>
    <row r="62729" spans="3:13" ht="12.75" customHeight="1">
      <c r="C62729"/>
      <c r="M62729"/>
    </row>
    <row r="62730" spans="3:13" ht="12.75" customHeight="1">
      <c r="C62730"/>
      <c r="M62730"/>
    </row>
    <row r="62731" spans="3:13" ht="12.75" customHeight="1">
      <c r="C62731"/>
      <c r="M62731"/>
    </row>
    <row r="62732" spans="3:13" ht="12.75" customHeight="1">
      <c r="C62732"/>
      <c r="M62732"/>
    </row>
    <row r="62733" spans="3:13" ht="12.75" customHeight="1">
      <c r="C62733"/>
      <c r="M62733"/>
    </row>
    <row r="62734" spans="3:13" ht="12.75" customHeight="1">
      <c r="C62734"/>
      <c r="M62734"/>
    </row>
    <row r="62735" spans="3:13" ht="12.75" customHeight="1">
      <c r="C62735"/>
      <c r="M62735"/>
    </row>
    <row r="62736" spans="3:13" ht="12.75" customHeight="1">
      <c r="C62736"/>
      <c r="M62736"/>
    </row>
    <row r="62737" spans="3:13" ht="12.75" customHeight="1">
      <c r="C62737"/>
      <c r="M62737"/>
    </row>
    <row r="62738" spans="3:13" ht="12.75" customHeight="1">
      <c r="C62738"/>
      <c r="M62738"/>
    </row>
    <row r="62739" spans="3:13" ht="12.75" customHeight="1">
      <c r="C62739"/>
      <c r="M62739"/>
    </row>
    <row r="62740" spans="3:13" ht="12.75" customHeight="1">
      <c r="C62740"/>
      <c r="M62740"/>
    </row>
    <row r="62741" spans="3:13" ht="12.75" customHeight="1">
      <c r="C62741"/>
      <c r="M62741"/>
    </row>
    <row r="62742" spans="3:13" ht="12.75" customHeight="1">
      <c r="C62742"/>
      <c r="M62742"/>
    </row>
    <row r="62743" spans="3:13" ht="12.75" customHeight="1">
      <c r="C62743"/>
      <c r="M62743"/>
    </row>
    <row r="62744" spans="3:13" ht="12.75" customHeight="1">
      <c r="C62744"/>
      <c r="M62744"/>
    </row>
    <row r="62745" spans="3:13" ht="12.75" customHeight="1">
      <c r="C62745"/>
      <c r="M62745"/>
    </row>
    <row r="62746" spans="3:13" ht="12.75" customHeight="1">
      <c r="C62746"/>
      <c r="M62746"/>
    </row>
    <row r="62747" spans="3:13" ht="12.75" customHeight="1">
      <c r="C62747"/>
      <c r="M62747"/>
    </row>
    <row r="62748" spans="3:13" ht="12.75" customHeight="1">
      <c r="C62748"/>
      <c r="M62748"/>
    </row>
    <row r="62749" spans="3:13" ht="12.75" customHeight="1">
      <c r="C62749"/>
      <c r="M62749"/>
    </row>
    <row r="62750" spans="3:13" ht="12.75" customHeight="1">
      <c r="C62750"/>
      <c r="M62750"/>
    </row>
    <row r="62751" spans="3:13" ht="12.75" customHeight="1">
      <c r="C62751"/>
      <c r="M62751"/>
    </row>
    <row r="62752" spans="3:13" ht="12.75" customHeight="1">
      <c r="C62752"/>
      <c r="M62752"/>
    </row>
    <row r="62753" spans="3:13" ht="12.75" customHeight="1">
      <c r="C62753"/>
      <c r="M62753"/>
    </row>
    <row r="62754" spans="3:13" ht="12.75" customHeight="1">
      <c r="C62754"/>
      <c r="M62754"/>
    </row>
    <row r="62755" spans="3:13" ht="12.75" customHeight="1">
      <c r="C62755"/>
      <c r="M62755"/>
    </row>
    <row r="62756" spans="3:13" ht="12.75" customHeight="1">
      <c r="C62756"/>
      <c r="M62756"/>
    </row>
    <row r="62757" spans="3:13" ht="12.75" customHeight="1">
      <c r="C62757"/>
      <c r="M62757"/>
    </row>
    <row r="62758" spans="3:13" ht="12.75" customHeight="1">
      <c r="C62758"/>
      <c r="M62758"/>
    </row>
    <row r="62759" spans="3:13" ht="12.75" customHeight="1">
      <c r="C62759"/>
      <c r="M62759"/>
    </row>
    <row r="62760" spans="3:13" ht="12.75" customHeight="1">
      <c r="C62760"/>
      <c r="M62760"/>
    </row>
    <row r="62761" spans="3:13" ht="12.75" customHeight="1">
      <c r="C62761"/>
      <c r="M62761"/>
    </row>
    <row r="62762" spans="3:13" ht="12.75" customHeight="1">
      <c r="C62762"/>
      <c r="M62762"/>
    </row>
    <row r="62763" spans="3:13" ht="12.75" customHeight="1">
      <c r="C62763"/>
      <c r="M62763"/>
    </row>
    <row r="62764" spans="3:13" ht="12.75" customHeight="1">
      <c r="C62764"/>
      <c r="M62764"/>
    </row>
    <row r="62765" spans="3:13" ht="12.75" customHeight="1">
      <c r="C62765"/>
      <c r="M62765"/>
    </row>
    <row r="62766" spans="3:13" ht="12.75" customHeight="1">
      <c r="C62766"/>
      <c r="M62766"/>
    </row>
    <row r="62767" spans="3:13" ht="12.75" customHeight="1">
      <c r="C62767"/>
      <c r="M62767"/>
    </row>
    <row r="62768" spans="3:13" ht="12.75" customHeight="1">
      <c r="C62768"/>
      <c r="M62768"/>
    </row>
    <row r="62769" spans="3:13" ht="12.75" customHeight="1">
      <c r="C62769"/>
      <c r="M62769"/>
    </row>
    <row r="62770" spans="3:13" ht="12.75" customHeight="1">
      <c r="C62770"/>
      <c r="M62770"/>
    </row>
    <row r="62771" spans="3:13" ht="12.75" customHeight="1">
      <c r="C62771"/>
      <c r="M62771"/>
    </row>
    <row r="62772" spans="3:13" ht="12.75" customHeight="1">
      <c r="C62772"/>
      <c r="M62772"/>
    </row>
    <row r="62773" spans="3:13" ht="12.75" customHeight="1">
      <c r="C62773"/>
      <c r="M62773"/>
    </row>
    <row r="62774" spans="3:13" ht="12.75" customHeight="1">
      <c r="C62774"/>
      <c r="M62774"/>
    </row>
    <row r="62775" spans="3:13" ht="12.75" customHeight="1">
      <c r="C62775"/>
      <c r="M62775"/>
    </row>
    <row r="62776" spans="3:13" ht="12.75" customHeight="1">
      <c r="C62776"/>
      <c r="M62776"/>
    </row>
    <row r="62777" spans="3:13" ht="12.75" customHeight="1">
      <c r="C62777"/>
      <c r="M62777"/>
    </row>
    <row r="62778" spans="3:13" ht="12.75" customHeight="1">
      <c r="C62778"/>
      <c r="M62778"/>
    </row>
    <row r="62779" spans="3:13" ht="12.75" customHeight="1">
      <c r="C62779"/>
      <c r="M62779"/>
    </row>
    <row r="62780" spans="3:13" ht="12.75" customHeight="1">
      <c r="C62780"/>
      <c r="M62780"/>
    </row>
    <row r="62781" spans="3:13" ht="12.75" customHeight="1">
      <c r="C62781"/>
      <c r="M62781"/>
    </row>
    <row r="62782" spans="3:13" ht="12.75" customHeight="1">
      <c r="C62782"/>
      <c r="M62782"/>
    </row>
    <row r="62783" spans="3:13" ht="12.75" customHeight="1">
      <c r="C62783"/>
      <c r="M62783"/>
    </row>
    <row r="62784" spans="3:13" ht="12.75" customHeight="1">
      <c r="C62784"/>
      <c r="M62784"/>
    </row>
    <row r="62785" spans="3:13" ht="12.75" customHeight="1">
      <c r="C62785"/>
      <c r="M62785"/>
    </row>
    <row r="62786" spans="3:13" ht="12.75" customHeight="1">
      <c r="C62786"/>
      <c r="M62786"/>
    </row>
    <row r="62787" spans="3:13" ht="12.75" customHeight="1">
      <c r="C62787"/>
      <c r="M62787"/>
    </row>
    <row r="62788" spans="3:13" ht="12.75" customHeight="1">
      <c r="C62788"/>
      <c r="M62788"/>
    </row>
    <row r="62789" spans="3:13" ht="12.75" customHeight="1">
      <c r="C62789"/>
      <c r="M62789"/>
    </row>
    <row r="62790" spans="3:13" ht="12.75" customHeight="1">
      <c r="C62790"/>
      <c r="M62790"/>
    </row>
    <row r="62791" spans="3:13" ht="12.75" customHeight="1">
      <c r="C62791"/>
      <c r="M62791"/>
    </row>
    <row r="62792" spans="3:13" ht="12.75" customHeight="1">
      <c r="C62792"/>
      <c r="M62792"/>
    </row>
    <row r="62793" spans="3:13" ht="12.75" customHeight="1">
      <c r="C62793"/>
      <c r="M62793"/>
    </row>
    <row r="62794" spans="3:13" ht="12.75" customHeight="1">
      <c r="C62794"/>
      <c r="M62794"/>
    </row>
    <row r="62795" spans="3:13" ht="12.75" customHeight="1">
      <c r="C62795"/>
      <c r="M62795"/>
    </row>
    <row r="62796" spans="3:13" ht="12.75" customHeight="1">
      <c r="C62796"/>
      <c r="M62796"/>
    </row>
    <row r="62797" spans="3:13" ht="12.75" customHeight="1">
      <c r="C62797"/>
      <c r="M62797"/>
    </row>
    <row r="62798" spans="3:13" ht="12.75" customHeight="1">
      <c r="C62798"/>
      <c r="M62798"/>
    </row>
    <row r="62799" spans="3:13" ht="12.75" customHeight="1">
      <c r="C62799"/>
      <c r="M62799"/>
    </row>
    <row r="62800" spans="3:13" ht="12.75" customHeight="1">
      <c r="C62800"/>
      <c r="M62800"/>
    </row>
    <row r="62801" spans="3:13" ht="12.75" customHeight="1">
      <c r="C62801"/>
      <c r="M62801"/>
    </row>
    <row r="62802" spans="3:13" ht="12.75" customHeight="1">
      <c r="C62802"/>
      <c r="M62802"/>
    </row>
    <row r="62803" spans="3:13" ht="12.75" customHeight="1">
      <c r="C62803"/>
      <c r="M62803"/>
    </row>
    <row r="62804" spans="3:13" ht="12.75" customHeight="1">
      <c r="C62804"/>
      <c r="M62804"/>
    </row>
    <row r="62805" spans="3:13" ht="12.75" customHeight="1">
      <c r="C62805"/>
      <c r="M62805"/>
    </row>
    <row r="62806" spans="3:13" ht="12.75" customHeight="1">
      <c r="C62806"/>
      <c r="M62806"/>
    </row>
    <row r="62807" spans="3:13" ht="12.75" customHeight="1">
      <c r="C62807"/>
      <c r="M62807"/>
    </row>
    <row r="62808" spans="3:13" ht="12.75" customHeight="1">
      <c r="C62808"/>
      <c r="M62808"/>
    </row>
    <row r="62809" spans="3:13" ht="12.75" customHeight="1">
      <c r="C62809"/>
      <c r="M62809"/>
    </row>
    <row r="62810" spans="3:13" ht="12.75" customHeight="1">
      <c r="C62810"/>
      <c r="M62810"/>
    </row>
    <row r="62811" spans="3:13" ht="12.75" customHeight="1">
      <c r="C62811"/>
      <c r="M62811"/>
    </row>
    <row r="62812" spans="3:13" ht="12.75" customHeight="1">
      <c r="C62812"/>
      <c r="M62812"/>
    </row>
    <row r="62813" spans="3:13" ht="12.75" customHeight="1">
      <c r="C62813"/>
      <c r="M62813"/>
    </row>
    <row r="62814" spans="3:13" ht="12.75" customHeight="1">
      <c r="C62814"/>
      <c r="M62814"/>
    </row>
    <row r="62815" spans="3:13" ht="12.75" customHeight="1">
      <c r="C62815"/>
      <c r="M62815"/>
    </row>
    <row r="62816" spans="3:13" ht="12.75" customHeight="1">
      <c r="C62816"/>
      <c r="M62816"/>
    </row>
    <row r="62817" spans="3:13" ht="12.75" customHeight="1">
      <c r="C62817"/>
      <c r="M62817"/>
    </row>
    <row r="62818" spans="3:13" ht="12.75" customHeight="1">
      <c r="C62818"/>
      <c r="M62818"/>
    </row>
    <row r="62819" spans="3:13" ht="12.75" customHeight="1">
      <c r="C62819"/>
      <c r="M62819"/>
    </row>
    <row r="62820" spans="3:13" ht="12.75" customHeight="1">
      <c r="C62820"/>
      <c r="M62820"/>
    </row>
    <row r="62821" spans="3:13" ht="12.75" customHeight="1">
      <c r="C62821"/>
      <c r="M62821"/>
    </row>
    <row r="62822" spans="3:13" ht="12.75" customHeight="1">
      <c r="C62822"/>
      <c r="M62822"/>
    </row>
    <row r="62823" spans="3:13" ht="12.75" customHeight="1">
      <c r="C62823"/>
      <c r="M62823"/>
    </row>
    <row r="62824" spans="3:13" ht="12.75" customHeight="1">
      <c r="C62824"/>
      <c r="M62824"/>
    </row>
    <row r="62825" spans="3:13" ht="12.75" customHeight="1">
      <c r="C62825"/>
      <c r="M62825"/>
    </row>
    <row r="62826" spans="3:13" ht="12.75" customHeight="1">
      <c r="C62826"/>
      <c r="M62826"/>
    </row>
    <row r="62827" spans="3:13" ht="12.75" customHeight="1">
      <c r="C62827"/>
      <c r="M62827"/>
    </row>
    <row r="62828" spans="3:13" ht="12.75" customHeight="1">
      <c r="C62828"/>
      <c r="M62828"/>
    </row>
    <row r="62829" spans="3:13" ht="12.75" customHeight="1">
      <c r="C62829"/>
      <c r="M62829"/>
    </row>
    <row r="62830" spans="3:13" ht="12.75" customHeight="1">
      <c r="C62830"/>
      <c r="M62830"/>
    </row>
    <row r="62831" spans="3:13" ht="12.75" customHeight="1">
      <c r="C62831"/>
      <c r="M62831"/>
    </row>
    <row r="62832" spans="3:13" ht="12.75" customHeight="1">
      <c r="C62832"/>
      <c r="M62832"/>
    </row>
    <row r="62833" spans="3:13" ht="12.75" customHeight="1">
      <c r="C62833"/>
      <c r="M62833"/>
    </row>
    <row r="62834" spans="3:13" ht="12.75" customHeight="1">
      <c r="C62834"/>
      <c r="M62834"/>
    </row>
    <row r="62835" spans="3:13" ht="12.75" customHeight="1">
      <c r="C62835"/>
      <c r="M62835"/>
    </row>
    <row r="62836" spans="3:13" ht="12.75" customHeight="1">
      <c r="C62836"/>
      <c r="M62836"/>
    </row>
    <row r="62837" spans="3:13" ht="12.75" customHeight="1">
      <c r="C62837"/>
      <c r="M62837"/>
    </row>
    <row r="62838" spans="3:13" ht="12.75" customHeight="1">
      <c r="C62838"/>
      <c r="M62838"/>
    </row>
    <row r="62839" spans="3:13" ht="12.75" customHeight="1">
      <c r="C62839"/>
      <c r="M62839"/>
    </row>
    <row r="62840" spans="3:13" ht="12.75" customHeight="1">
      <c r="C62840"/>
      <c r="M62840"/>
    </row>
    <row r="62841" spans="3:13" ht="12.75" customHeight="1">
      <c r="C62841"/>
      <c r="M62841"/>
    </row>
    <row r="62842" spans="3:13" ht="12.75" customHeight="1">
      <c r="C62842"/>
      <c r="M62842"/>
    </row>
    <row r="62843" spans="3:13" ht="12.75" customHeight="1">
      <c r="C62843"/>
      <c r="M62843"/>
    </row>
    <row r="62844" spans="3:13" ht="12.75" customHeight="1">
      <c r="C62844"/>
      <c r="M62844"/>
    </row>
    <row r="62845" spans="3:13" ht="12.75" customHeight="1">
      <c r="C62845"/>
      <c r="M62845"/>
    </row>
    <row r="62846" spans="3:13" ht="12.75" customHeight="1">
      <c r="C62846"/>
      <c r="M62846"/>
    </row>
    <row r="62847" spans="3:13" ht="12.75" customHeight="1">
      <c r="C62847"/>
      <c r="M62847"/>
    </row>
    <row r="62848" spans="3:13" ht="12.75" customHeight="1">
      <c r="C62848"/>
      <c r="M62848"/>
    </row>
    <row r="62849" spans="3:13" ht="12.75" customHeight="1">
      <c r="C62849"/>
      <c r="M62849"/>
    </row>
    <row r="62850" spans="3:13" ht="12.75" customHeight="1">
      <c r="C62850"/>
      <c r="M62850"/>
    </row>
    <row r="62851" spans="3:13" ht="12.75" customHeight="1">
      <c r="C62851"/>
      <c r="M62851"/>
    </row>
    <row r="62852" spans="3:13" ht="12.75" customHeight="1">
      <c r="C62852"/>
      <c r="M62852"/>
    </row>
    <row r="62853" spans="3:13" ht="12.75" customHeight="1">
      <c r="C62853"/>
      <c r="M62853"/>
    </row>
    <row r="62854" spans="3:13" ht="12.75" customHeight="1">
      <c r="C62854"/>
      <c r="M62854"/>
    </row>
    <row r="62855" spans="3:13" ht="12.75" customHeight="1">
      <c r="C62855"/>
      <c r="M62855"/>
    </row>
    <row r="62856" spans="3:13" ht="12.75" customHeight="1">
      <c r="C62856"/>
      <c r="M62856"/>
    </row>
    <row r="62857" spans="3:13" ht="12.75" customHeight="1">
      <c r="C62857"/>
      <c r="M62857"/>
    </row>
    <row r="62858" spans="3:13" ht="12.75" customHeight="1">
      <c r="C62858"/>
      <c r="M62858"/>
    </row>
    <row r="62859" spans="3:13" ht="12.75" customHeight="1">
      <c r="C62859"/>
      <c r="M62859"/>
    </row>
    <row r="62860" spans="3:13" ht="12.75" customHeight="1">
      <c r="C62860"/>
      <c r="M62860"/>
    </row>
    <row r="62861" spans="3:13" ht="12.75" customHeight="1">
      <c r="C62861"/>
      <c r="M62861"/>
    </row>
    <row r="62862" spans="3:13" ht="12.75" customHeight="1">
      <c r="C62862"/>
      <c r="M62862"/>
    </row>
    <row r="62863" spans="3:13" ht="12.75" customHeight="1">
      <c r="C62863"/>
      <c r="M62863"/>
    </row>
    <row r="62864" spans="3:13" ht="12.75" customHeight="1">
      <c r="C62864"/>
      <c r="M62864"/>
    </row>
    <row r="62865" spans="3:13" ht="12.75" customHeight="1">
      <c r="C62865"/>
      <c r="M62865"/>
    </row>
    <row r="62866" spans="3:13" ht="12.75" customHeight="1">
      <c r="C62866"/>
      <c r="M62866"/>
    </row>
    <row r="62867" spans="3:13" ht="12.75" customHeight="1">
      <c r="C62867"/>
      <c r="M62867"/>
    </row>
    <row r="62868" spans="3:13" ht="12.75" customHeight="1">
      <c r="C62868"/>
      <c r="M62868"/>
    </row>
    <row r="62869" spans="3:13" ht="12.75" customHeight="1">
      <c r="C62869"/>
      <c r="M62869"/>
    </row>
    <row r="62870" spans="3:13" ht="12.75" customHeight="1">
      <c r="C62870"/>
      <c r="M62870"/>
    </row>
    <row r="62871" spans="3:13" ht="12.75" customHeight="1">
      <c r="C62871"/>
      <c r="M62871"/>
    </row>
    <row r="62872" spans="3:13" ht="12.75" customHeight="1">
      <c r="C62872"/>
      <c r="M62872"/>
    </row>
    <row r="62873" spans="3:13" ht="12.75" customHeight="1">
      <c r="C62873"/>
      <c r="M62873"/>
    </row>
    <row r="62874" spans="3:13" ht="12.75" customHeight="1">
      <c r="C62874"/>
      <c r="M62874"/>
    </row>
    <row r="62875" spans="3:13" ht="12.75" customHeight="1">
      <c r="C62875"/>
      <c r="M62875"/>
    </row>
    <row r="62876" spans="3:13" ht="12.75" customHeight="1">
      <c r="C62876"/>
      <c r="M62876"/>
    </row>
    <row r="62877" spans="3:13" ht="12.75" customHeight="1">
      <c r="C62877"/>
      <c r="M62877"/>
    </row>
    <row r="62878" spans="3:13" ht="12.75" customHeight="1">
      <c r="C62878"/>
      <c r="M62878"/>
    </row>
    <row r="62879" spans="3:13" ht="12.75" customHeight="1">
      <c r="C62879"/>
      <c r="M62879"/>
    </row>
    <row r="62880" spans="3:13" ht="12.75" customHeight="1">
      <c r="C62880"/>
      <c r="M62880"/>
    </row>
    <row r="62881" spans="3:13" ht="12.75" customHeight="1">
      <c r="C62881"/>
      <c r="M62881"/>
    </row>
    <row r="62882" spans="3:13" ht="12.75" customHeight="1">
      <c r="C62882"/>
      <c r="M62882"/>
    </row>
    <row r="62883" spans="3:13" ht="12.75" customHeight="1">
      <c r="C62883"/>
      <c r="M62883"/>
    </row>
    <row r="62884" spans="3:13" ht="12.75" customHeight="1">
      <c r="C62884"/>
      <c r="M62884"/>
    </row>
    <row r="62885" spans="3:13" ht="12.75" customHeight="1">
      <c r="C62885"/>
      <c r="M62885"/>
    </row>
    <row r="62886" spans="3:13" ht="12.75" customHeight="1">
      <c r="C62886"/>
      <c r="M62886"/>
    </row>
    <row r="62887" spans="3:13" ht="12.75" customHeight="1">
      <c r="C62887"/>
      <c r="M62887"/>
    </row>
    <row r="62888" spans="3:13" ht="12.75" customHeight="1">
      <c r="C62888"/>
      <c r="M62888"/>
    </row>
    <row r="62889" spans="3:13" ht="12.75" customHeight="1">
      <c r="C62889"/>
      <c r="M62889"/>
    </row>
    <row r="62890" spans="3:13" ht="12.75" customHeight="1">
      <c r="C62890"/>
      <c r="M62890"/>
    </row>
    <row r="62891" spans="3:13" ht="12.75" customHeight="1">
      <c r="C62891"/>
      <c r="M62891"/>
    </row>
    <row r="62892" spans="3:13" ht="12.75" customHeight="1">
      <c r="C62892"/>
      <c r="M62892"/>
    </row>
    <row r="62893" spans="3:13" ht="12.75" customHeight="1">
      <c r="C62893"/>
      <c r="M62893"/>
    </row>
    <row r="62894" spans="3:13" ht="12.75" customHeight="1">
      <c r="C62894"/>
      <c r="M62894"/>
    </row>
    <row r="62895" spans="3:13" ht="12.75" customHeight="1">
      <c r="C62895"/>
      <c r="M62895"/>
    </row>
    <row r="62896" spans="3:13" ht="12.75" customHeight="1">
      <c r="C62896"/>
      <c r="M62896"/>
    </row>
    <row r="62897" spans="3:13" ht="12.75" customHeight="1">
      <c r="C62897"/>
      <c r="M62897"/>
    </row>
    <row r="62898" spans="3:13" ht="12.75" customHeight="1">
      <c r="C62898"/>
      <c r="M62898"/>
    </row>
    <row r="62899" spans="3:13" ht="12.75" customHeight="1">
      <c r="C62899"/>
      <c r="M62899"/>
    </row>
    <row r="62900" spans="3:13" ht="12.75" customHeight="1">
      <c r="C62900"/>
      <c r="M62900"/>
    </row>
    <row r="62901" spans="3:13" ht="12.75" customHeight="1">
      <c r="C62901"/>
      <c r="M62901"/>
    </row>
    <row r="62902" spans="3:13" ht="12.75" customHeight="1">
      <c r="C62902"/>
      <c r="M62902"/>
    </row>
    <row r="62903" spans="3:13" ht="12.75" customHeight="1">
      <c r="C62903"/>
      <c r="M62903"/>
    </row>
    <row r="62904" spans="3:13" ht="12.75" customHeight="1">
      <c r="C62904"/>
      <c r="M62904"/>
    </row>
    <row r="62905" spans="3:13" ht="12.75" customHeight="1">
      <c r="C62905"/>
      <c r="M62905"/>
    </row>
    <row r="62906" spans="3:13" ht="12.75" customHeight="1">
      <c r="C62906"/>
      <c r="M62906"/>
    </row>
    <row r="62907" spans="3:13" ht="12.75" customHeight="1">
      <c r="C62907"/>
      <c r="M62907"/>
    </row>
    <row r="62908" spans="3:13" ht="12.75" customHeight="1">
      <c r="C62908"/>
      <c r="M62908"/>
    </row>
    <row r="62909" spans="3:13" ht="12.75" customHeight="1">
      <c r="C62909"/>
      <c r="M62909"/>
    </row>
    <row r="62910" spans="3:13" ht="12.75" customHeight="1">
      <c r="C62910"/>
      <c r="M62910"/>
    </row>
    <row r="62911" spans="3:13" ht="12.75" customHeight="1">
      <c r="C62911"/>
      <c r="M62911"/>
    </row>
    <row r="62912" spans="3:13" ht="12.75" customHeight="1">
      <c r="C62912"/>
      <c r="M62912"/>
    </row>
    <row r="62913" spans="3:13" ht="12.75" customHeight="1">
      <c r="C62913"/>
      <c r="M62913"/>
    </row>
    <row r="62914" spans="3:13" ht="12.75" customHeight="1">
      <c r="C62914"/>
      <c r="M62914"/>
    </row>
    <row r="62915" spans="3:13" ht="12.75" customHeight="1">
      <c r="C62915"/>
      <c r="M62915"/>
    </row>
    <row r="62916" spans="3:13" ht="12.75" customHeight="1">
      <c r="C62916"/>
      <c r="M62916"/>
    </row>
    <row r="62917" spans="3:13" ht="12.75" customHeight="1">
      <c r="C62917"/>
      <c r="M62917"/>
    </row>
    <row r="62918" spans="3:13" ht="12.75" customHeight="1">
      <c r="C62918"/>
      <c r="M62918"/>
    </row>
    <row r="62919" spans="3:13" ht="12.75" customHeight="1">
      <c r="C62919"/>
      <c r="M62919"/>
    </row>
    <row r="62920" spans="3:13" ht="12.75" customHeight="1">
      <c r="C62920"/>
      <c r="M62920"/>
    </row>
    <row r="62921" spans="3:13" ht="12.75" customHeight="1">
      <c r="C62921"/>
      <c r="M62921"/>
    </row>
    <row r="62922" spans="3:13" ht="12.75" customHeight="1">
      <c r="C62922"/>
      <c r="M62922"/>
    </row>
    <row r="62923" spans="3:13" ht="12.75" customHeight="1">
      <c r="C62923"/>
      <c r="M62923"/>
    </row>
    <row r="62924" spans="3:13" ht="12.75" customHeight="1">
      <c r="C62924"/>
      <c r="M62924"/>
    </row>
    <row r="62925" spans="3:13" ht="12.75" customHeight="1">
      <c r="C62925"/>
      <c r="M62925"/>
    </row>
    <row r="62926" spans="3:13" ht="12.75" customHeight="1">
      <c r="C62926"/>
      <c r="M62926"/>
    </row>
    <row r="62927" spans="3:13" ht="12.75" customHeight="1">
      <c r="C62927"/>
      <c r="M62927"/>
    </row>
    <row r="62928" spans="3:13" ht="12.75" customHeight="1">
      <c r="C62928"/>
      <c r="M62928"/>
    </row>
    <row r="62929" spans="3:13" ht="12.75" customHeight="1">
      <c r="C62929"/>
      <c r="M62929"/>
    </row>
    <row r="62930" spans="3:13" ht="12.75" customHeight="1">
      <c r="C62930"/>
      <c r="M62930"/>
    </row>
    <row r="62931" spans="3:13" ht="12.75" customHeight="1">
      <c r="C62931"/>
      <c r="M62931"/>
    </row>
    <row r="62932" spans="3:13" ht="12.75" customHeight="1">
      <c r="C62932"/>
      <c r="M62932"/>
    </row>
    <row r="62933" spans="3:13" ht="12.75" customHeight="1">
      <c r="C62933"/>
      <c r="M62933"/>
    </row>
    <row r="62934" spans="3:13" ht="12.75" customHeight="1">
      <c r="C62934"/>
      <c r="M62934"/>
    </row>
    <row r="62935" spans="3:13" ht="12.75" customHeight="1">
      <c r="C62935"/>
      <c r="M62935"/>
    </row>
    <row r="62936" spans="3:13" ht="12.75" customHeight="1">
      <c r="C62936"/>
      <c r="M62936"/>
    </row>
    <row r="62937" spans="3:13" ht="12.75" customHeight="1">
      <c r="C62937"/>
      <c r="M62937"/>
    </row>
    <row r="62938" spans="3:13" ht="12.75" customHeight="1">
      <c r="C62938"/>
      <c r="M62938"/>
    </row>
    <row r="62939" spans="3:13" ht="12.75" customHeight="1">
      <c r="C62939"/>
      <c r="M62939"/>
    </row>
    <row r="62940" spans="3:13" ht="12.75" customHeight="1">
      <c r="C62940"/>
      <c r="M62940"/>
    </row>
    <row r="62941" spans="3:13" ht="12.75" customHeight="1">
      <c r="C62941"/>
      <c r="M62941"/>
    </row>
    <row r="62942" spans="3:13" ht="12.75" customHeight="1">
      <c r="C62942"/>
      <c r="M62942"/>
    </row>
    <row r="62943" spans="3:13" ht="12.75" customHeight="1">
      <c r="C62943"/>
      <c r="M62943"/>
    </row>
    <row r="62944" spans="3:13" ht="12.75" customHeight="1">
      <c r="C62944"/>
      <c r="M62944"/>
    </row>
    <row r="62945" spans="3:13" ht="12.75" customHeight="1">
      <c r="C62945"/>
      <c r="M62945"/>
    </row>
    <row r="62946" spans="3:13" ht="12.75" customHeight="1">
      <c r="C62946"/>
      <c r="M62946"/>
    </row>
    <row r="62947" spans="3:13" ht="12.75" customHeight="1">
      <c r="C62947"/>
      <c r="M62947"/>
    </row>
    <row r="62948" spans="3:13" ht="12.75" customHeight="1">
      <c r="C62948"/>
      <c r="M62948"/>
    </row>
    <row r="62949" spans="3:13" ht="12.75" customHeight="1">
      <c r="C62949"/>
      <c r="M62949"/>
    </row>
    <row r="62950" spans="3:13" ht="12.75" customHeight="1">
      <c r="C62950"/>
      <c r="M62950"/>
    </row>
    <row r="62951" spans="3:13" ht="12.75" customHeight="1">
      <c r="C62951"/>
      <c r="M62951"/>
    </row>
    <row r="62952" spans="3:13" ht="12.75" customHeight="1">
      <c r="C62952"/>
      <c r="M62952"/>
    </row>
    <row r="62953" spans="3:13" ht="12.75" customHeight="1">
      <c r="C62953"/>
      <c r="M62953"/>
    </row>
    <row r="62954" spans="3:13" ht="12.75" customHeight="1">
      <c r="C62954"/>
      <c r="M62954"/>
    </row>
    <row r="62955" spans="3:13" ht="12.75" customHeight="1">
      <c r="C62955"/>
      <c r="M62955"/>
    </row>
    <row r="62956" spans="3:13" ht="12.75" customHeight="1">
      <c r="C62956"/>
      <c r="M62956"/>
    </row>
    <row r="62957" spans="3:13" ht="12.75" customHeight="1">
      <c r="C62957"/>
      <c r="M62957"/>
    </row>
    <row r="62958" spans="3:13" ht="12.75" customHeight="1">
      <c r="C62958"/>
      <c r="M62958"/>
    </row>
    <row r="62959" spans="3:13" ht="12.75" customHeight="1">
      <c r="C62959"/>
      <c r="M62959"/>
    </row>
    <row r="62960" spans="3:13" ht="12.75" customHeight="1">
      <c r="C62960"/>
      <c r="M62960"/>
    </row>
    <row r="62961" spans="3:13" ht="12.75" customHeight="1">
      <c r="C62961"/>
      <c r="M62961"/>
    </row>
    <row r="62962" spans="3:13" ht="12.75" customHeight="1">
      <c r="C62962"/>
      <c r="M62962"/>
    </row>
    <row r="62963" spans="3:13" ht="12.75" customHeight="1">
      <c r="C62963"/>
      <c r="M62963"/>
    </row>
    <row r="62964" spans="3:13" ht="12.75" customHeight="1">
      <c r="C62964"/>
      <c r="M62964"/>
    </row>
    <row r="62965" spans="3:13" ht="12.75" customHeight="1">
      <c r="C62965"/>
      <c r="M62965"/>
    </row>
    <row r="62966" spans="3:13" ht="12.75" customHeight="1">
      <c r="C62966"/>
      <c r="M62966"/>
    </row>
    <row r="62967" spans="3:13" ht="12.75" customHeight="1">
      <c r="C62967"/>
      <c r="M62967"/>
    </row>
    <row r="62968" spans="3:13" ht="12.75" customHeight="1">
      <c r="C62968"/>
      <c r="M62968"/>
    </row>
    <row r="62969" spans="3:13" ht="12.75" customHeight="1">
      <c r="C62969"/>
      <c r="M62969"/>
    </row>
    <row r="62970" spans="3:13" ht="12.75" customHeight="1">
      <c r="C62970"/>
      <c r="M62970"/>
    </row>
    <row r="62971" spans="3:13" ht="12.75" customHeight="1">
      <c r="C62971"/>
      <c r="M62971"/>
    </row>
    <row r="62972" spans="3:13" ht="12.75" customHeight="1">
      <c r="C62972"/>
      <c r="M62972"/>
    </row>
    <row r="62973" spans="3:13" ht="12.75" customHeight="1">
      <c r="C62973"/>
      <c r="M62973"/>
    </row>
    <row r="62974" spans="3:13" ht="12.75" customHeight="1">
      <c r="C62974"/>
      <c r="M62974"/>
    </row>
    <row r="62975" spans="3:13" ht="12.75" customHeight="1">
      <c r="C62975"/>
      <c r="M62975"/>
    </row>
    <row r="62976" spans="3:13" ht="12.75" customHeight="1">
      <c r="C62976"/>
      <c r="M62976"/>
    </row>
    <row r="62977" spans="3:13" ht="12.75" customHeight="1">
      <c r="C62977"/>
      <c r="M62977"/>
    </row>
    <row r="62978" spans="3:13" ht="12.75" customHeight="1">
      <c r="C62978"/>
      <c r="M62978"/>
    </row>
    <row r="62979" spans="3:13" ht="12.75" customHeight="1">
      <c r="C62979"/>
      <c r="M62979"/>
    </row>
    <row r="62980" spans="3:13" ht="12.75" customHeight="1">
      <c r="C62980"/>
      <c r="M62980"/>
    </row>
    <row r="62981" spans="3:13" ht="12.75" customHeight="1">
      <c r="C62981"/>
      <c r="M62981"/>
    </row>
    <row r="62982" spans="3:13" ht="12.75" customHeight="1">
      <c r="C62982"/>
      <c r="M62982"/>
    </row>
    <row r="62983" spans="3:13" ht="12.75" customHeight="1">
      <c r="C62983"/>
      <c r="M62983"/>
    </row>
    <row r="62984" spans="3:13" ht="12.75" customHeight="1">
      <c r="C62984"/>
      <c r="M62984"/>
    </row>
    <row r="62985" spans="3:13" ht="12.75" customHeight="1">
      <c r="C62985"/>
      <c r="M62985"/>
    </row>
    <row r="62986" spans="3:13" ht="12.75" customHeight="1">
      <c r="C62986"/>
      <c r="M62986"/>
    </row>
    <row r="62987" spans="3:13" ht="12.75" customHeight="1">
      <c r="C62987"/>
      <c r="M62987"/>
    </row>
    <row r="62988" spans="3:13" ht="12.75" customHeight="1">
      <c r="C62988"/>
      <c r="M62988"/>
    </row>
    <row r="62989" spans="3:13" ht="12.75" customHeight="1">
      <c r="C62989"/>
      <c r="M62989"/>
    </row>
    <row r="62990" spans="3:13" ht="12.75" customHeight="1">
      <c r="C62990"/>
      <c r="M62990"/>
    </row>
    <row r="62991" spans="3:13" ht="12.75" customHeight="1">
      <c r="C62991"/>
      <c r="M62991"/>
    </row>
    <row r="62992" spans="3:13" ht="12.75" customHeight="1">
      <c r="C62992"/>
      <c r="M62992"/>
    </row>
    <row r="62993" spans="3:13" ht="12.75" customHeight="1">
      <c r="C62993"/>
      <c r="M62993"/>
    </row>
    <row r="62994" spans="3:13" ht="12.75" customHeight="1">
      <c r="C62994"/>
      <c r="M62994"/>
    </row>
    <row r="62995" spans="3:13" ht="12.75" customHeight="1">
      <c r="C62995"/>
      <c r="M62995"/>
    </row>
    <row r="62996" spans="3:13" ht="12.75" customHeight="1">
      <c r="C62996"/>
      <c r="M62996"/>
    </row>
    <row r="62997" spans="3:13" ht="12.75" customHeight="1">
      <c r="C62997"/>
      <c r="M62997"/>
    </row>
    <row r="62998" spans="3:13" ht="12.75" customHeight="1">
      <c r="C62998"/>
      <c r="M62998"/>
    </row>
    <row r="62999" spans="3:13" ht="12.75" customHeight="1">
      <c r="C62999"/>
      <c r="M62999"/>
    </row>
    <row r="63000" spans="3:13" ht="12.75" customHeight="1">
      <c r="C63000"/>
      <c r="M63000"/>
    </row>
    <row r="63001" spans="3:13" ht="12.75" customHeight="1">
      <c r="C63001"/>
      <c r="M63001"/>
    </row>
    <row r="63002" spans="3:13" ht="12.75" customHeight="1">
      <c r="C63002"/>
      <c r="M63002"/>
    </row>
    <row r="63003" spans="3:13" ht="12.75" customHeight="1">
      <c r="C63003"/>
      <c r="M63003"/>
    </row>
    <row r="63004" spans="3:13" ht="12.75" customHeight="1">
      <c r="C63004"/>
      <c r="M63004"/>
    </row>
    <row r="63005" spans="3:13" ht="12.75" customHeight="1">
      <c r="C63005"/>
      <c r="M63005"/>
    </row>
    <row r="63006" spans="3:13" ht="12.75" customHeight="1">
      <c r="C63006"/>
      <c r="M63006"/>
    </row>
    <row r="63007" spans="3:13" ht="12.75" customHeight="1">
      <c r="C63007"/>
      <c r="M63007"/>
    </row>
    <row r="63008" spans="3:13" ht="12.75" customHeight="1">
      <c r="C63008"/>
      <c r="M63008"/>
    </row>
    <row r="63009" spans="3:13" ht="12.75" customHeight="1">
      <c r="C63009"/>
      <c r="M63009"/>
    </row>
    <row r="63010" spans="3:13" ht="12.75" customHeight="1">
      <c r="C63010"/>
      <c r="M63010"/>
    </row>
    <row r="63011" spans="3:13" ht="12.75" customHeight="1">
      <c r="C63011"/>
      <c r="M63011"/>
    </row>
    <row r="63012" spans="3:13" ht="12.75" customHeight="1">
      <c r="C63012"/>
      <c r="M63012"/>
    </row>
    <row r="63013" spans="3:13" ht="12.75" customHeight="1">
      <c r="C63013"/>
      <c r="M63013"/>
    </row>
    <row r="63014" spans="3:13" ht="12.75" customHeight="1">
      <c r="C63014"/>
      <c r="M63014"/>
    </row>
    <row r="63015" spans="3:13" ht="12.75" customHeight="1">
      <c r="C63015"/>
      <c r="M63015"/>
    </row>
    <row r="63016" spans="3:13" ht="12.75" customHeight="1">
      <c r="C63016"/>
      <c r="M63016"/>
    </row>
    <row r="63017" spans="3:13" ht="12.75" customHeight="1">
      <c r="C63017"/>
      <c r="M63017"/>
    </row>
    <row r="63018" spans="3:13" ht="12.75" customHeight="1">
      <c r="C63018"/>
      <c r="M63018"/>
    </row>
    <row r="63019" spans="3:13" ht="12.75" customHeight="1">
      <c r="C63019"/>
      <c r="M63019"/>
    </row>
    <row r="63020" spans="3:13" ht="12.75" customHeight="1">
      <c r="C63020"/>
      <c r="M63020"/>
    </row>
    <row r="63021" spans="3:13" ht="12.75" customHeight="1">
      <c r="C63021"/>
      <c r="M63021"/>
    </row>
    <row r="63022" spans="3:13" ht="12.75" customHeight="1">
      <c r="C63022"/>
      <c r="M63022"/>
    </row>
    <row r="63023" spans="3:13" ht="12.75" customHeight="1">
      <c r="C63023"/>
      <c r="M63023"/>
    </row>
    <row r="63024" spans="3:13" ht="12.75" customHeight="1">
      <c r="C63024"/>
      <c r="M63024"/>
    </row>
    <row r="63025" spans="3:13" ht="12.75" customHeight="1">
      <c r="C63025"/>
      <c r="M63025"/>
    </row>
    <row r="63026" spans="3:13" ht="12.75" customHeight="1">
      <c r="C63026"/>
      <c r="M63026"/>
    </row>
    <row r="63027" spans="3:13" ht="12.75" customHeight="1">
      <c r="C63027"/>
      <c r="M63027"/>
    </row>
    <row r="63028" spans="3:13" ht="12.75" customHeight="1">
      <c r="C63028"/>
      <c r="M63028"/>
    </row>
    <row r="63029" spans="3:13" ht="12.75" customHeight="1">
      <c r="C63029"/>
      <c r="M63029"/>
    </row>
    <row r="63030" spans="3:13" ht="12.75" customHeight="1">
      <c r="C63030"/>
      <c r="M63030"/>
    </row>
    <row r="63031" spans="3:13" ht="12.75" customHeight="1">
      <c r="C63031"/>
      <c r="M63031"/>
    </row>
    <row r="63032" spans="3:13" ht="12.75" customHeight="1">
      <c r="C63032"/>
      <c r="M63032"/>
    </row>
    <row r="63033" spans="3:13" ht="12.75" customHeight="1">
      <c r="C63033"/>
      <c r="M63033"/>
    </row>
    <row r="63034" spans="3:13" ht="12.75" customHeight="1">
      <c r="C63034"/>
      <c r="M63034"/>
    </row>
    <row r="63035" spans="3:13" ht="12.75" customHeight="1">
      <c r="C63035"/>
      <c r="M63035"/>
    </row>
    <row r="63036" spans="3:13" ht="12.75" customHeight="1">
      <c r="C63036"/>
      <c r="M63036"/>
    </row>
    <row r="63037" spans="3:13" ht="12.75" customHeight="1">
      <c r="C63037"/>
      <c r="M63037"/>
    </row>
    <row r="63038" spans="3:13" ht="12.75" customHeight="1">
      <c r="C63038"/>
      <c r="M63038"/>
    </row>
    <row r="63039" spans="3:13" ht="12.75" customHeight="1">
      <c r="C63039"/>
      <c r="M63039"/>
    </row>
    <row r="63040" spans="3:13" ht="12.75" customHeight="1">
      <c r="C63040"/>
      <c r="M63040"/>
    </row>
    <row r="63041" spans="3:13" ht="12.75" customHeight="1">
      <c r="C63041"/>
      <c r="M63041"/>
    </row>
    <row r="63042" spans="3:13" ht="12.75" customHeight="1">
      <c r="C63042"/>
      <c r="M63042"/>
    </row>
    <row r="63043" spans="3:13" ht="12.75" customHeight="1">
      <c r="C63043"/>
      <c r="M63043"/>
    </row>
    <row r="63044" spans="3:13" ht="12.75" customHeight="1">
      <c r="C63044"/>
      <c r="M63044"/>
    </row>
    <row r="63045" spans="3:13" ht="12.75" customHeight="1">
      <c r="C63045"/>
      <c r="M63045"/>
    </row>
    <row r="63046" spans="3:13" ht="12.75" customHeight="1">
      <c r="C63046"/>
      <c r="M63046"/>
    </row>
    <row r="63047" spans="3:13" ht="12.75" customHeight="1">
      <c r="C63047"/>
      <c r="M63047"/>
    </row>
    <row r="63048" spans="3:13" ht="12.75" customHeight="1">
      <c r="C63048"/>
      <c r="M63048"/>
    </row>
    <row r="63049" spans="3:13" ht="12.75" customHeight="1">
      <c r="C63049"/>
      <c r="M63049"/>
    </row>
    <row r="63050" spans="3:13" ht="12.75" customHeight="1">
      <c r="C63050"/>
      <c r="M63050"/>
    </row>
    <row r="63051" spans="3:13" ht="12.75" customHeight="1">
      <c r="C63051"/>
      <c r="M63051"/>
    </row>
    <row r="63052" spans="3:13" ht="12.75" customHeight="1">
      <c r="C63052"/>
      <c r="M63052"/>
    </row>
    <row r="63053" spans="3:13" ht="12.75" customHeight="1">
      <c r="C63053"/>
      <c r="M63053"/>
    </row>
    <row r="63054" spans="3:13" ht="12.75" customHeight="1">
      <c r="C63054"/>
      <c r="M63054"/>
    </row>
    <row r="63055" spans="3:13" ht="12.75" customHeight="1">
      <c r="C63055"/>
      <c r="M63055"/>
    </row>
    <row r="63056" spans="3:13" ht="12.75" customHeight="1">
      <c r="C63056"/>
      <c r="M63056"/>
    </row>
    <row r="63057" spans="3:13" ht="12.75" customHeight="1">
      <c r="C63057"/>
      <c r="M63057"/>
    </row>
    <row r="63058" spans="3:13" ht="12.75" customHeight="1">
      <c r="C63058"/>
      <c r="M63058"/>
    </row>
    <row r="63059" spans="3:13" ht="12.75" customHeight="1">
      <c r="C63059"/>
      <c r="M63059"/>
    </row>
    <row r="63060" spans="3:13" ht="12.75" customHeight="1">
      <c r="C63060"/>
      <c r="M63060"/>
    </row>
    <row r="63061" spans="3:13" ht="12.75" customHeight="1">
      <c r="C63061"/>
      <c r="M63061"/>
    </row>
    <row r="63062" spans="3:13" ht="12.75" customHeight="1">
      <c r="C63062"/>
      <c r="M63062"/>
    </row>
    <row r="63063" spans="3:13" ht="12.75" customHeight="1">
      <c r="C63063"/>
      <c r="M63063"/>
    </row>
    <row r="63064" spans="3:13" ht="12.75" customHeight="1">
      <c r="C63064"/>
      <c r="M63064"/>
    </row>
    <row r="63065" spans="3:13" ht="12.75" customHeight="1">
      <c r="C63065"/>
      <c r="M63065"/>
    </row>
    <row r="63066" spans="3:13" ht="12.75" customHeight="1">
      <c r="C63066"/>
      <c r="M63066"/>
    </row>
    <row r="63067" spans="3:13" ht="12.75" customHeight="1">
      <c r="C63067"/>
      <c r="M63067"/>
    </row>
    <row r="63068" spans="3:13" ht="12.75" customHeight="1">
      <c r="C63068"/>
      <c r="M63068"/>
    </row>
    <row r="63069" spans="3:13" ht="12.75" customHeight="1">
      <c r="C63069"/>
      <c r="M63069"/>
    </row>
    <row r="63070" spans="3:13" ht="12.75" customHeight="1">
      <c r="C63070"/>
      <c r="M63070"/>
    </row>
    <row r="63071" spans="3:13" ht="12.75" customHeight="1">
      <c r="C63071"/>
      <c r="M63071"/>
    </row>
    <row r="63072" spans="3:13" ht="12.75" customHeight="1">
      <c r="C63072"/>
      <c r="M63072"/>
    </row>
    <row r="63073" spans="3:13" ht="12.75" customHeight="1">
      <c r="C63073"/>
      <c r="M63073"/>
    </row>
    <row r="63074" spans="3:13" ht="12.75" customHeight="1">
      <c r="C63074"/>
      <c r="M63074"/>
    </row>
    <row r="63075" spans="3:13" ht="12.75" customHeight="1">
      <c r="C63075"/>
      <c r="M63075"/>
    </row>
    <row r="63076" spans="3:13" ht="12.75" customHeight="1">
      <c r="C63076"/>
      <c r="M63076"/>
    </row>
    <row r="63077" spans="3:13" ht="12.75" customHeight="1">
      <c r="C63077"/>
      <c r="M63077"/>
    </row>
    <row r="63078" spans="3:13" ht="12.75" customHeight="1">
      <c r="C63078"/>
      <c r="M63078"/>
    </row>
    <row r="63079" spans="3:13" ht="12.75" customHeight="1">
      <c r="C63079"/>
      <c r="M63079"/>
    </row>
    <row r="63080" spans="3:13" ht="12.75" customHeight="1">
      <c r="C63080"/>
      <c r="M63080"/>
    </row>
    <row r="63081" spans="3:13" ht="12.75" customHeight="1">
      <c r="C63081"/>
      <c r="M63081"/>
    </row>
    <row r="63082" spans="3:13" ht="12.75" customHeight="1">
      <c r="C63082"/>
      <c r="M63082"/>
    </row>
    <row r="63083" spans="3:13" ht="12.75" customHeight="1">
      <c r="C63083"/>
      <c r="M63083"/>
    </row>
    <row r="63084" spans="3:13" ht="12.75" customHeight="1">
      <c r="C63084"/>
      <c r="M63084"/>
    </row>
    <row r="63085" spans="3:13" ht="12.75" customHeight="1">
      <c r="C63085"/>
      <c r="M63085"/>
    </row>
    <row r="63086" spans="3:13" ht="12.75" customHeight="1">
      <c r="C63086"/>
      <c r="M63086"/>
    </row>
    <row r="63087" spans="3:13" ht="12.75" customHeight="1">
      <c r="C63087"/>
      <c r="M63087"/>
    </row>
    <row r="63088" spans="3:13" ht="12.75" customHeight="1">
      <c r="C63088"/>
      <c r="M63088"/>
    </row>
    <row r="63089" spans="3:13" ht="12.75" customHeight="1">
      <c r="C63089"/>
      <c r="M63089"/>
    </row>
    <row r="63090" spans="3:13" ht="12.75" customHeight="1">
      <c r="C63090"/>
      <c r="M63090"/>
    </row>
    <row r="63091" spans="3:13" ht="12.75" customHeight="1">
      <c r="C63091"/>
      <c r="M63091"/>
    </row>
    <row r="63092" spans="3:13" ht="12.75" customHeight="1">
      <c r="C63092"/>
      <c r="M63092"/>
    </row>
    <row r="63093" spans="3:13" ht="12.75" customHeight="1">
      <c r="C63093"/>
      <c r="M63093"/>
    </row>
    <row r="63094" spans="3:13" ht="12.75" customHeight="1">
      <c r="C63094"/>
      <c r="M63094"/>
    </row>
    <row r="63095" spans="3:13" ht="12.75" customHeight="1">
      <c r="C63095"/>
      <c r="M63095"/>
    </row>
    <row r="63096" spans="3:13" ht="12.75" customHeight="1">
      <c r="C63096"/>
      <c r="M63096"/>
    </row>
    <row r="63097" spans="3:13" ht="12.75" customHeight="1">
      <c r="C63097"/>
      <c r="M63097"/>
    </row>
    <row r="63098" spans="3:13" ht="12.75" customHeight="1">
      <c r="C63098"/>
      <c r="M63098"/>
    </row>
    <row r="63099" spans="3:13" ht="12.75" customHeight="1">
      <c r="C63099"/>
      <c r="M63099"/>
    </row>
    <row r="63100" spans="3:13" ht="12.75" customHeight="1">
      <c r="C63100"/>
      <c r="M63100"/>
    </row>
    <row r="63101" spans="3:13" ht="12.75" customHeight="1">
      <c r="C63101"/>
      <c r="M63101"/>
    </row>
    <row r="63102" spans="3:13" ht="12.75" customHeight="1">
      <c r="C63102"/>
      <c r="M63102"/>
    </row>
    <row r="63103" spans="3:13" ht="12.75" customHeight="1">
      <c r="C63103"/>
      <c r="M63103"/>
    </row>
    <row r="63104" spans="3:13" ht="12.75" customHeight="1">
      <c r="C63104"/>
      <c r="M63104"/>
    </row>
    <row r="63105" spans="3:13" ht="12.75" customHeight="1">
      <c r="C63105"/>
      <c r="M63105"/>
    </row>
    <row r="63106" spans="3:13" ht="12.75" customHeight="1">
      <c r="C63106"/>
      <c r="M63106"/>
    </row>
    <row r="63107" spans="3:13" ht="12.75" customHeight="1">
      <c r="C63107"/>
      <c r="M63107"/>
    </row>
    <row r="63108" spans="3:13" ht="12.75" customHeight="1">
      <c r="C63108"/>
      <c r="M63108"/>
    </row>
    <row r="63109" spans="3:13" ht="12.75" customHeight="1">
      <c r="C63109"/>
      <c r="M63109"/>
    </row>
    <row r="63110" spans="3:13" ht="12.75" customHeight="1">
      <c r="C63110"/>
      <c r="M63110"/>
    </row>
    <row r="63111" spans="3:13" ht="12.75" customHeight="1">
      <c r="C63111"/>
      <c r="M63111"/>
    </row>
    <row r="63112" spans="3:13" ht="12.75" customHeight="1">
      <c r="C63112"/>
      <c r="M63112"/>
    </row>
    <row r="63113" spans="3:13" ht="12.75" customHeight="1">
      <c r="C63113"/>
      <c r="M63113"/>
    </row>
    <row r="63114" spans="3:13" ht="12.75" customHeight="1">
      <c r="C63114"/>
      <c r="M63114"/>
    </row>
    <row r="63115" spans="3:13" ht="12.75" customHeight="1">
      <c r="C63115"/>
      <c r="M63115"/>
    </row>
    <row r="63116" spans="3:13" ht="12.75" customHeight="1">
      <c r="C63116"/>
      <c r="M63116"/>
    </row>
    <row r="63117" spans="3:13" ht="12.75" customHeight="1">
      <c r="C63117"/>
      <c r="M63117"/>
    </row>
    <row r="63118" spans="3:13" ht="12.75" customHeight="1">
      <c r="C63118"/>
      <c r="M63118"/>
    </row>
    <row r="63119" spans="3:13" ht="12.75" customHeight="1">
      <c r="C63119"/>
      <c r="M63119"/>
    </row>
    <row r="63120" spans="3:13" ht="12.75" customHeight="1">
      <c r="C63120"/>
      <c r="M63120"/>
    </row>
    <row r="63121" spans="3:13" ht="12.75" customHeight="1">
      <c r="C63121"/>
      <c r="M63121"/>
    </row>
    <row r="63122" spans="3:13" ht="12.75" customHeight="1">
      <c r="C63122"/>
      <c r="M63122"/>
    </row>
    <row r="63123" spans="3:13" ht="12.75" customHeight="1">
      <c r="C63123"/>
      <c r="M63123"/>
    </row>
    <row r="63124" spans="3:13" ht="12.75" customHeight="1">
      <c r="C63124"/>
      <c r="M63124"/>
    </row>
    <row r="63125" spans="3:13" ht="12.75" customHeight="1">
      <c r="C63125"/>
      <c r="M63125"/>
    </row>
    <row r="63126" spans="3:13" ht="12.75" customHeight="1">
      <c r="C63126"/>
      <c r="M63126"/>
    </row>
    <row r="63127" spans="3:13" ht="12.75" customHeight="1">
      <c r="C63127"/>
      <c r="M63127"/>
    </row>
    <row r="63128" spans="3:13" ht="12.75" customHeight="1">
      <c r="C63128"/>
      <c r="M63128"/>
    </row>
    <row r="63129" spans="3:13" ht="12.75" customHeight="1">
      <c r="C63129"/>
      <c r="M63129"/>
    </row>
    <row r="63130" spans="3:13" ht="12.75" customHeight="1">
      <c r="C63130"/>
      <c r="M63130"/>
    </row>
    <row r="63131" spans="3:13" ht="12.75" customHeight="1">
      <c r="C63131"/>
      <c r="M63131"/>
    </row>
    <row r="63132" spans="3:13" ht="12.75" customHeight="1">
      <c r="C63132"/>
      <c r="M63132"/>
    </row>
    <row r="63133" spans="3:13" ht="12.75" customHeight="1">
      <c r="C63133"/>
      <c r="M63133"/>
    </row>
    <row r="63134" spans="3:13" ht="12.75" customHeight="1">
      <c r="C63134"/>
      <c r="M63134"/>
    </row>
    <row r="63135" spans="3:13" ht="12.75" customHeight="1">
      <c r="C63135"/>
      <c r="M63135"/>
    </row>
    <row r="63136" spans="3:13" ht="12.75" customHeight="1">
      <c r="C63136"/>
      <c r="M63136"/>
    </row>
    <row r="63137" spans="3:13" ht="12.75" customHeight="1">
      <c r="C63137"/>
      <c r="M63137"/>
    </row>
    <row r="63138" spans="3:13" ht="12.75" customHeight="1">
      <c r="C63138"/>
      <c r="M63138"/>
    </row>
    <row r="63139" spans="3:13" ht="12.75" customHeight="1">
      <c r="C63139"/>
      <c r="M63139"/>
    </row>
    <row r="63140" spans="3:13" ht="12.75" customHeight="1">
      <c r="C63140"/>
      <c r="M63140"/>
    </row>
    <row r="63141" spans="3:13" ht="12.75" customHeight="1">
      <c r="C63141"/>
      <c r="M63141"/>
    </row>
    <row r="63142" spans="3:13" ht="12.75" customHeight="1">
      <c r="C63142"/>
      <c r="M63142"/>
    </row>
    <row r="63143" spans="3:13" ht="12.75" customHeight="1">
      <c r="C63143"/>
      <c r="M63143"/>
    </row>
    <row r="63144" spans="3:13" ht="12.75" customHeight="1">
      <c r="C63144"/>
      <c r="M63144"/>
    </row>
    <row r="63145" spans="3:13" ht="12.75" customHeight="1">
      <c r="C63145"/>
      <c r="M63145"/>
    </row>
    <row r="63146" spans="3:13" ht="12.75" customHeight="1">
      <c r="C63146"/>
      <c r="M63146"/>
    </row>
    <row r="63147" spans="3:13" ht="12.75" customHeight="1">
      <c r="C63147"/>
      <c r="M63147"/>
    </row>
    <row r="63148" spans="3:13" ht="12.75" customHeight="1">
      <c r="C63148"/>
      <c r="M63148"/>
    </row>
    <row r="63149" spans="3:13" ht="12.75" customHeight="1">
      <c r="C63149"/>
      <c r="M63149"/>
    </row>
    <row r="63150" spans="3:13" ht="12.75" customHeight="1">
      <c r="C63150"/>
      <c r="M63150"/>
    </row>
    <row r="63151" spans="3:13" ht="12.75" customHeight="1">
      <c r="C63151"/>
      <c r="M63151"/>
    </row>
    <row r="63152" spans="3:13" ht="12.75" customHeight="1">
      <c r="C63152"/>
      <c r="M63152"/>
    </row>
    <row r="63153" spans="3:13" ht="12.75" customHeight="1">
      <c r="C63153"/>
      <c r="M63153"/>
    </row>
    <row r="63154" spans="3:13" ht="12.75" customHeight="1">
      <c r="C63154"/>
      <c r="M63154"/>
    </row>
    <row r="63155" spans="3:13" ht="12.75" customHeight="1">
      <c r="C63155"/>
      <c r="M63155"/>
    </row>
    <row r="63156" spans="3:13" ht="12.75" customHeight="1">
      <c r="C63156"/>
      <c r="M63156"/>
    </row>
    <row r="63157" spans="3:13" ht="12.75" customHeight="1">
      <c r="C63157"/>
      <c r="M63157"/>
    </row>
    <row r="63158" spans="3:13" ht="12.75" customHeight="1">
      <c r="C63158"/>
      <c r="M63158"/>
    </row>
    <row r="63159" spans="3:13" ht="12.75" customHeight="1">
      <c r="C63159"/>
      <c r="M63159"/>
    </row>
    <row r="63160" spans="3:13" ht="12.75" customHeight="1">
      <c r="C63160"/>
      <c r="M63160"/>
    </row>
    <row r="63161" spans="3:13" ht="12.75" customHeight="1">
      <c r="C63161"/>
      <c r="M63161"/>
    </row>
    <row r="63162" spans="3:13" ht="12.75" customHeight="1">
      <c r="C63162"/>
      <c r="M63162"/>
    </row>
    <row r="63163" spans="3:13" ht="12.75" customHeight="1">
      <c r="C63163"/>
      <c r="M63163"/>
    </row>
    <row r="63164" spans="3:13" ht="12.75" customHeight="1">
      <c r="C63164"/>
      <c r="M63164"/>
    </row>
    <row r="63165" spans="3:13" ht="12.75" customHeight="1">
      <c r="C63165"/>
      <c r="M63165"/>
    </row>
    <row r="63166" spans="3:13" ht="12.75" customHeight="1">
      <c r="C63166"/>
      <c r="M63166"/>
    </row>
    <row r="63167" spans="3:13" ht="12.75" customHeight="1">
      <c r="C63167"/>
      <c r="M63167"/>
    </row>
    <row r="63168" spans="3:13" ht="12.75" customHeight="1">
      <c r="C63168"/>
      <c r="M63168"/>
    </row>
    <row r="63169" spans="3:13" ht="12.75" customHeight="1">
      <c r="C63169"/>
      <c r="M63169"/>
    </row>
    <row r="63170" spans="3:13" ht="12.75" customHeight="1">
      <c r="C63170"/>
      <c r="M63170"/>
    </row>
    <row r="63171" spans="3:13" ht="12.75" customHeight="1">
      <c r="C63171"/>
      <c r="M63171"/>
    </row>
    <row r="63172" spans="3:13" ht="12.75" customHeight="1">
      <c r="C63172"/>
      <c r="M63172"/>
    </row>
    <row r="63173" spans="3:13" ht="12.75" customHeight="1">
      <c r="C63173"/>
      <c r="M63173"/>
    </row>
    <row r="63174" spans="3:13" ht="12.75" customHeight="1">
      <c r="C63174"/>
      <c r="M63174"/>
    </row>
    <row r="63175" spans="3:13" ht="12.75" customHeight="1">
      <c r="C63175"/>
      <c r="M63175"/>
    </row>
    <row r="63176" spans="3:13" ht="12.75" customHeight="1">
      <c r="C63176"/>
      <c r="M63176"/>
    </row>
    <row r="63177" spans="3:13" ht="12.75" customHeight="1">
      <c r="C63177"/>
      <c r="M63177"/>
    </row>
    <row r="63178" spans="3:13" ht="12.75" customHeight="1">
      <c r="C63178"/>
      <c r="M63178"/>
    </row>
    <row r="63179" spans="3:13" ht="12.75" customHeight="1">
      <c r="C63179"/>
      <c r="M63179"/>
    </row>
    <row r="63180" spans="3:13" ht="12.75" customHeight="1">
      <c r="C63180"/>
      <c r="M63180"/>
    </row>
    <row r="63181" spans="3:13" ht="12.75" customHeight="1">
      <c r="C63181"/>
      <c r="M63181"/>
    </row>
    <row r="63182" spans="3:13" ht="12.75" customHeight="1">
      <c r="C63182"/>
      <c r="M63182"/>
    </row>
    <row r="63183" spans="3:13" ht="12.75" customHeight="1">
      <c r="C63183"/>
      <c r="M63183"/>
    </row>
    <row r="63184" spans="3:13" ht="12.75" customHeight="1">
      <c r="C63184"/>
      <c r="M63184"/>
    </row>
    <row r="63185" spans="3:13" ht="12.75" customHeight="1">
      <c r="C63185"/>
      <c r="M63185"/>
    </row>
    <row r="63186" spans="3:13" ht="12.75" customHeight="1">
      <c r="C63186"/>
      <c r="M63186"/>
    </row>
    <row r="63187" spans="3:13" ht="12.75" customHeight="1">
      <c r="C63187"/>
      <c r="M63187"/>
    </row>
    <row r="63188" spans="3:13" ht="12.75" customHeight="1">
      <c r="C63188"/>
      <c r="M63188"/>
    </row>
    <row r="63189" spans="3:13" ht="12.75" customHeight="1">
      <c r="C63189"/>
      <c r="M63189"/>
    </row>
    <row r="63190" spans="3:13" ht="12.75" customHeight="1">
      <c r="C63190"/>
      <c r="M63190"/>
    </row>
    <row r="63191" spans="3:13" ht="12.75" customHeight="1">
      <c r="C63191"/>
      <c r="M63191"/>
    </row>
    <row r="63192" spans="3:13" ht="12.75" customHeight="1">
      <c r="C63192"/>
      <c r="M63192"/>
    </row>
    <row r="63193" spans="3:13" ht="12.75" customHeight="1">
      <c r="C63193"/>
      <c r="M63193"/>
    </row>
    <row r="63194" spans="3:13" ht="12.75" customHeight="1">
      <c r="C63194"/>
      <c r="M63194"/>
    </row>
    <row r="63195" spans="3:13" ht="12.75" customHeight="1">
      <c r="C63195"/>
      <c r="M63195"/>
    </row>
    <row r="63196" spans="3:13" ht="12.75" customHeight="1">
      <c r="C63196"/>
      <c r="M63196"/>
    </row>
    <row r="63197" spans="3:13" ht="12.75" customHeight="1">
      <c r="C63197"/>
      <c r="M63197"/>
    </row>
    <row r="63198" spans="3:13" ht="12.75" customHeight="1">
      <c r="C63198"/>
      <c r="M63198"/>
    </row>
    <row r="63199" spans="3:13" ht="12.75" customHeight="1">
      <c r="C63199"/>
      <c r="M63199"/>
    </row>
    <row r="63200" spans="3:13" ht="12.75" customHeight="1">
      <c r="C63200"/>
      <c r="M63200"/>
    </row>
    <row r="63201" spans="3:13" ht="12.75" customHeight="1">
      <c r="C63201"/>
      <c r="M63201"/>
    </row>
    <row r="63202" spans="3:13" ht="12.75" customHeight="1">
      <c r="C63202"/>
      <c r="M63202"/>
    </row>
    <row r="63203" spans="3:13" ht="12.75" customHeight="1">
      <c r="C63203"/>
      <c r="M63203"/>
    </row>
    <row r="63204" spans="3:13" ht="12.75" customHeight="1">
      <c r="C63204"/>
      <c r="M63204"/>
    </row>
    <row r="63205" spans="3:13" ht="12.75" customHeight="1">
      <c r="C63205"/>
      <c r="M63205"/>
    </row>
    <row r="63206" spans="3:13" ht="12.75" customHeight="1">
      <c r="C63206"/>
      <c r="M63206"/>
    </row>
    <row r="63207" spans="3:13" ht="12.75" customHeight="1">
      <c r="C63207"/>
      <c r="M63207"/>
    </row>
    <row r="63208" spans="3:13" ht="12.75" customHeight="1">
      <c r="C63208"/>
      <c r="M63208"/>
    </row>
    <row r="63209" spans="3:13" ht="12.75" customHeight="1">
      <c r="C63209"/>
      <c r="M63209"/>
    </row>
    <row r="63210" spans="3:13" ht="12.75" customHeight="1">
      <c r="C63210"/>
      <c r="M63210"/>
    </row>
    <row r="63211" spans="3:13" ht="12.75" customHeight="1">
      <c r="C63211"/>
      <c r="M63211"/>
    </row>
    <row r="63212" spans="3:13" ht="12.75" customHeight="1">
      <c r="C63212"/>
      <c r="M63212"/>
    </row>
    <row r="63213" spans="3:13" ht="12.75" customHeight="1">
      <c r="C63213"/>
      <c r="M63213"/>
    </row>
    <row r="63214" spans="3:13" ht="12.75" customHeight="1">
      <c r="C63214"/>
      <c r="M63214"/>
    </row>
    <row r="63215" spans="3:13" ht="12.75" customHeight="1">
      <c r="C63215"/>
      <c r="M63215"/>
    </row>
    <row r="63216" spans="3:13" ht="12.75" customHeight="1">
      <c r="C63216"/>
      <c r="M63216"/>
    </row>
    <row r="63217" spans="3:13" ht="12.75" customHeight="1">
      <c r="C63217"/>
      <c r="M63217"/>
    </row>
    <row r="63218" spans="3:13" ht="12.75" customHeight="1">
      <c r="C63218"/>
      <c r="M63218"/>
    </row>
    <row r="63219" spans="3:13" ht="12.75" customHeight="1">
      <c r="C63219"/>
      <c r="M63219"/>
    </row>
    <row r="63220" spans="3:13" ht="12.75" customHeight="1">
      <c r="C63220"/>
      <c r="M63220"/>
    </row>
    <row r="63221" spans="3:13" ht="12.75" customHeight="1">
      <c r="C63221"/>
      <c r="M63221"/>
    </row>
    <row r="63222" spans="3:13" ht="12.75" customHeight="1">
      <c r="C63222"/>
      <c r="M63222"/>
    </row>
    <row r="63223" spans="3:13" ht="12.75" customHeight="1">
      <c r="C63223"/>
      <c r="M63223"/>
    </row>
    <row r="63224" spans="3:13" ht="12.75" customHeight="1">
      <c r="C63224"/>
      <c r="M63224"/>
    </row>
    <row r="63225" spans="3:13" ht="12.75" customHeight="1">
      <c r="C63225"/>
      <c r="M63225"/>
    </row>
    <row r="63226" spans="3:13" ht="12.75" customHeight="1">
      <c r="C63226"/>
      <c r="M63226"/>
    </row>
    <row r="63227" spans="3:13" ht="12.75" customHeight="1">
      <c r="C63227"/>
      <c r="M63227"/>
    </row>
    <row r="63228" spans="3:13" ht="12.75" customHeight="1">
      <c r="C63228"/>
      <c r="M63228"/>
    </row>
    <row r="63229" spans="3:13" ht="12.75" customHeight="1">
      <c r="C63229"/>
      <c r="M63229"/>
    </row>
    <row r="63230" spans="3:13" ht="12.75" customHeight="1">
      <c r="C63230"/>
      <c r="M63230"/>
    </row>
    <row r="63231" spans="3:13" ht="12.75" customHeight="1">
      <c r="C63231"/>
      <c r="M63231"/>
    </row>
    <row r="63232" spans="3:13" ht="12.75" customHeight="1">
      <c r="C63232"/>
      <c r="M63232"/>
    </row>
    <row r="63233" spans="3:13" ht="12.75" customHeight="1">
      <c r="C63233"/>
      <c r="M63233"/>
    </row>
    <row r="63234" spans="3:13" ht="12.75" customHeight="1">
      <c r="C63234"/>
      <c r="M63234"/>
    </row>
    <row r="63235" spans="3:13" ht="12.75" customHeight="1">
      <c r="C63235"/>
      <c r="M63235"/>
    </row>
    <row r="63236" spans="3:13" ht="12.75" customHeight="1">
      <c r="C63236"/>
      <c r="M63236"/>
    </row>
    <row r="63237" spans="3:13" ht="12.75" customHeight="1">
      <c r="C63237"/>
      <c r="M63237"/>
    </row>
    <row r="63238" spans="3:13" ht="12.75" customHeight="1">
      <c r="C63238"/>
      <c r="M63238"/>
    </row>
    <row r="63239" spans="3:13" ht="12.75" customHeight="1">
      <c r="C63239"/>
      <c r="M63239"/>
    </row>
    <row r="63240" spans="3:13" ht="12.75" customHeight="1">
      <c r="C63240"/>
      <c r="M63240"/>
    </row>
    <row r="63241" spans="3:13" ht="12.75" customHeight="1">
      <c r="C63241"/>
      <c r="M63241"/>
    </row>
    <row r="63242" spans="3:13" ht="12.75" customHeight="1">
      <c r="C63242"/>
      <c r="M63242"/>
    </row>
    <row r="63243" spans="3:13" ht="12.75" customHeight="1">
      <c r="C63243"/>
      <c r="M63243"/>
    </row>
    <row r="63244" spans="3:13" ht="12.75" customHeight="1">
      <c r="C63244"/>
      <c r="M63244"/>
    </row>
    <row r="63245" spans="3:13" ht="12.75" customHeight="1">
      <c r="C63245"/>
      <c r="M63245"/>
    </row>
    <row r="63246" spans="3:13" ht="12.75" customHeight="1">
      <c r="C63246"/>
      <c r="M63246"/>
    </row>
    <row r="63247" spans="3:13" ht="12.75" customHeight="1">
      <c r="C63247"/>
      <c r="M63247"/>
    </row>
    <row r="63248" spans="3:13" ht="12.75" customHeight="1">
      <c r="C63248"/>
      <c r="M63248"/>
    </row>
    <row r="63249" spans="3:13" ht="12.75" customHeight="1">
      <c r="C63249"/>
      <c r="M63249"/>
    </row>
    <row r="63250" spans="3:13" ht="12.75" customHeight="1">
      <c r="C63250"/>
      <c r="M63250"/>
    </row>
    <row r="63251" spans="3:13" ht="12.75" customHeight="1">
      <c r="C63251"/>
      <c r="M63251"/>
    </row>
    <row r="63252" spans="3:13" ht="12.75" customHeight="1">
      <c r="C63252"/>
      <c r="M63252"/>
    </row>
    <row r="63253" spans="3:13" ht="12.75" customHeight="1">
      <c r="C63253"/>
      <c r="M63253"/>
    </row>
    <row r="63254" spans="3:13" ht="12.75" customHeight="1">
      <c r="C63254"/>
      <c r="M63254"/>
    </row>
    <row r="63255" spans="3:13" ht="12.75" customHeight="1">
      <c r="C63255"/>
      <c r="M63255"/>
    </row>
    <row r="63256" spans="3:13" ht="12.75" customHeight="1">
      <c r="C63256"/>
      <c r="M63256"/>
    </row>
    <row r="63257" spans="3:13" ht="12.75" customHeight="1">
      <c r="C63257"/>
      <c r="M63257"/>
    </row>
    <row r="63258" spans="3:13" ht="12.75" customHeight="1">
      <c r="C63258"/>
      <c r="M63258"/>
    </row>
    <row r="63259" spans="3:13" ht="12.75" customHeight="1">
      <c r="C63259"/>
      <c r="M63259"/>
    </row>
    <row r="63260" spans="3:13" ht="12.75" customHeight="1">
      <c r="C63260"/>
      <c r="M63260"/>
    </row>
    <row r="63261" spans="3:13" ht="12.75" customHeight="1">
      <c r="C63261"/>
      <c r="M63261"/>
    </row>
    <row r="63262" spans="3:13" ht="12.75" customHeight="1">
      <c r="C63262"/>
      <c r="M63262"/>
    </row>
    <row r="63263" spans="3:13" ht="12.75" customHeight="1">
      <c r="C63263"/>
      <c r="M63263"/>
    </row>
    <row r="63264" spans="3:13" ht="12.75" customHeight="1">
      <c r="C63264"/>
      <c r="M63264"/>
    </row>
    <row r="63265" spans="3:13" ht="12.75" customHeight="1">
      <c r="C63265"/>
      <c r="M63265"/>
    </row>
    <row r="63266" spans="3:13" ht="12.75" customHeight="1">
      <c r="C63266"/>
      <c r="M63266"/>
    </row>
    <row r="63267" spans="3:13" ht="12.75" customHeight="1">
      <c r="C63267"/>
      <c r="M63267"/>
    </row>
    <row r="63268" spans="3:13" ht="12.75" customHeight="1">
      <c r="C63268"/>
      <c r="M63268"/>
    </row>
    <row r="63269" spans="3:13" ht="12.75" customHeight="1">
      <c r="C63269"/>
      <c r="M63269"/>
    </row>
    <row r="63270" spans="3:13" ht="12.75" customHeight="1">
      <c r="C63270"/>
      <c r="M63270"/>
    </row>
    <row r="63271" spans="3:13" ht="12.75" customHeight="1">
      <c r="C63271"/>
      <c r="M63271"/>
    </row>
    <row r="63272" spans="3:13" ht="12.75" customHeight="1">
      <c r="C63272"/>
      <c r="M63272"/>
    </row>
    <row r="63273" spans="3:13" ht="12.75" customHeight="1">
      <c r="C63273"/>
      <c r="M63273"/>
    </row>
    <row r="63274" spans="3:13" ht="12.75" customHeight="1">
      <c r="C63274"/>
      <c r="M63274"/>
    </row>
    <row r="63275" spans="3:13" ht="12.75" customHeight="1">
      <c r="C63275"/>
      <c r="M63275"/>
    </row>
    <row r="63276" spans="3:13" ht="12.75" customHeight="1">
      <c r="C63276"/>
      <c r="M63276"/>
    </row>
    <row r="63277" spans="3:13" ht="12.75" customHeight="1">
      <c r="C63277"/>
      <c r="M63277"/>
    </row>
    <row r="63278" spans="3:13" ht="12.75" customHeight="1">
      <c r="C63278"/>
      <c r="M63278"/>
    </row>
    <row r="63279" spans="3:13" ht="12.75" customHeight="1">
      <c r="C63279"/>
      <c r="M63279"/>
    </row>
    <row r="63280" spans="3:13" ht="12.75" customHeight="1">
      <c r="C63280"/>
      <c r="M63280"/>
    </row>
    <row r="63281" spans="3:13" ht="12.75" customHeight="1">
      <c r="C63281"/>
      <c r="M63281"/>
    </row>
    <row r="63282" spans="3:13" ht="12.75" customHeight="1">
      <c r="C63282"/>
      <c r="M63282"/>
    </row>
    <row r="63283" spans="3:13" ht="12.75" customHeight="1">
      <c r="C63283"/>
      <c r="M63283"/>
    </row>
    <row r="63284" spans="3:13" ht="12.75" customHeight="1">
      <c r="C63284"/>
      <c r="M63284"/>
    </row>
    <row r="63285" spans="3:13" ht="12.75" customHeight="1">
      <c r="C63285"/>
      <c r="M63285"/>
    </row>
    <row r="63286" spans="3:13" ht="12.75" customHeight="1">
      <c r="C63286"/>
      <c r="M63286"/>
    </row>
    <row r="63287" spans="3:13" ht="12.75" customHeight="1">
      <c r="C63287"/>
      <c r="M63287"/>
    </row>
    <row r="63288" spans="3:13" ht="12.75" customHeight="1">
      <c r="C63288"/>
      <c r="M63288"/>
    </row>
    <row r="63289" spans="3:13" ht="12.75" customHeight="1">
      <c r="C63289"/>
      <c r="M63289"/>
    </row>
    <row r="63290" spans="3:13" ht="12.75" customHeight="1">
      <c r="C63290"/>
      <c r="M63290"/>
    </row>
    <row r="63291" spans="3:13" ht="12.75" customHeight="1">
      <c r="C63291"/>
      <c r="M63291"/>
    </row>
    <row r="63292" spans="3:13" ht="12.75" customHeight="1">
      <c r="C63292"/>
      <c r="M63292"/>
    </row>
    <row r="63293" spans="3:13" ht="12.75" customHeight="1">
      <c r="C63293"/>
      <c r="M63293"/>
    </row>
    <row r="63294" spans="3:13" ht="12.75" customHeight="1">
      <c r="C63294"/>
      <c r="M63294"/>
    </row>
    <row r="63295" spans="3:13" ht="12.75" customHeight="1">
      <c r="C63295"/>
      <c r="M63295"/>
    </row>
    <row r="63296" spans="3:13" ht="12.75" customHeight="1">
      <c r="C63296"/>
      <c r="M63296"/>
    </row>
    <row r="63297" spans="3:13" ht="12.75" customHeight="1">
      <c r="C63297"/>
      <c r="M63297"/>
    </row>
    <row r="63298" spans="3:13" ht="12.75" customHeight="1">
      <c r="C63298"/>
      <c r="M63298"/>
    </row>
    <row r="63299" spans="3:13" ht="12.75" customHeight="1">
      <c r="C63299"/>
      <c r="M63299"/>
    </row>
    <row r="63300" spans="3:13" ht="12.75" customHeight="1">
      <c r="C63300"/>
      <c r="M63300"/>
    </row>
    <row r="63301" spans="3:13" ht="12.75" customHeight="1">
      <c r="C63301"/>
      <c r="M63301"/>
    </row>
    <row r="63302" spans="3:13" ht="12.75" customHeight="1">
      <c r="C63302"/>
      <c r="M63302"/>
    </row>
    <row r="63303" spans="3:13" ht="12.75" customHeight="1">
      <c r="C63303"/>
      <c r="M63303"/>
    </row>
    <row r="63304" spans="3:13" ht="12.75" customHeight="1">
      <c r="C63304"/>
      <c r="M63304"/>
    </row>
    <row r="63305" spans="3:13" ht="12.75" customHeight="1">
      <c r="C63305"/>
      <c r="M63305"/>
    </row>
    <row r="63306" spans="3:13" ht="12.75" customHeight="1">
      <c r="C63306"/>
      <c r="M63306"/>
    </row>
    <row r="63307" spans="3:13" ht="12.75" customHeight="1">
      <c r="C63307"/>
      <c r="M63307"/>
    </row>
    <row r="63308" spans="3:13" ht="12.75" customHeight="1">
      <c r="C63308"/>
      <c r="M63308"/>
    </row>
    <row r="63309" spans="3:13" ht="12.75" customHeight="1">
      <c r="C63309"/>
      <c r="M63309"/>
    </row>
    <row r="63310" spans="3:13" ht="12.75" customHeight="1">
      <c r="C63310"/>
      <c r="M63310"/>
    </row>
    <row r="63311" spans="3:13" ht="12.75" customHeight="1">
      <c r="C63311"/>
      <c r="M63311"/>
    </row>
    <row r="63312" spans="3:13" ht="12.75" customHeight="1">
      <c r="C63312"/>
      <c r="M63312"/>
    </row>
    <row r="63313" spans="3:13" ht="12.75" customHeight="1">
      <c r="C63313"/>
      <c r="M63313"/>
    </row>
    <row r="63314" spans="3:13" ht="12.75" customHeight="1">
      <c r="C63314"/>
      <c r="M63314"/>
    </row>
    <row r="63315" spans="3:13" ht="12.75" customHeight="1">
      <c r="C63315"/>
      <c r="M63315"/>
    </row>
    <row r="63316" spans="3:13" ht="12.75" customHeight="1">
      <c r="C63316"/>
      <c r="M63316"/>
    </row>
    <row r="63317" spans="3:13" ht="12.75" customHeight="1">
      <c r="C63317"/>
      <c r="M63317"/>
    </row>
    <row r="63318" spans="3:13" ht="12.75" customHeight="1">
      <c r="C63318"/>
      <c r="M63318"/>
    </row>
    <row r="63319" spans="3:13" ht="12.75" customHeight="1">
      <c r="C63319"/>
      <c r="M63319"/>
    </row>
    <row r="63320" spans="3:13" ht="12.75" customHeight="1">
      <c r="C63320"/>
      <c r="M63320"/>
    </row>
    <row r="63321" spans="3:13" ht="12.75" customHeight="1">
      <c r="C63321"/>
      <c r="M63321"/>
    </row>
    <row r="63322" spans="3:13" ht="12.75" customHeight="1">
      <c r="C63322"/>
      <c r="M63322"/>
    </row>
    <row r="63323" spans="3:13" ht="12.75" customHeight="1">
      <c r="C63323"/>
      <c r="M63323"/>
    </row>
    <row r="63324" spans="3:13" ht="12.75" customHeight="1">
      <c r="C63324"/>
      <c r="M63324"/>
    </row>
    <row r="63325" spans="3:13" ht="12.75" customHeight="1">
      <c r="C63325"/>
      <c r="M63325"/>
    </row>
    <row r="63326" spans="3:13" ht="12.75" customHeight="1">
      <c r="C63326"/>
      <c r="M63326"/>
    </row>
    <row r="63327" spans="3:13" ht="12.75" customHeight="1">
      <c r="C63327"/>
      <c r="M63327"/>
    </row>
    <row r="63328" spans="3:13" ht="12.75" customHeight="1">
      <c r="C63328"/>
      <c r="M63328"/>
    </row>
    <row r="63329" spans="3:13" ht="12.75" customHeight="1">
      <c r="C63329"/>
      <c r="M63329"/>
    </row>
    <row r="63330" spans="3:13" ht="12.75" customHeight="1">
      <c r="C63330"/>
      <c r="M63330"/>
    </row>
    <row r="63331" spans="3:13" ht="12.75" customHeight="1">
      <c r="C63331"/>
      <c r="M63331"/>
    </row>
    <row r="63332" spans="3:13" ht="12.75" customHeight="1">
      <c r="C63332"/>
      <c r="M63332"/>
    </row>
    <row r="63333" spans="3:13" ht="12.75" customHeight="1">
      <c r="C63333"/>
      <c r="M63333"/>
    </row>
    <row r="63334" spans="3:13" ht="12.75" customHeight="1">
      <c r="C63334"/>
      <c r="M63334"/>
    </row>
    <row r="63335" spans="3:13" ht="12.75" customHeight="1">
      <c r="C63335"/>
      <c r="M63335"/>
    </row>
    <row r="63336" spans="3:13" ht="12.75" customHeight="1">
      <c r="C63336"/>
      <c r="M63336"/>
    </row>
    <row r="63337" spans="3:13" ht="12.75" customHeight="1">
      <c r="C63337"/>
      <c r="M63337"/>
    </row>
    <row r="63338" spans="3:13" ht="12.75" customHeight="1">
      <c r="C63338"/>
      <c r="M63338"/>
    </row>
    <row r="63339" spans="3:13" ht="12.75" customHeight="1">
      <c r="C63339"/>
      <c r="M63339"/>
    </row>
    <row r="63340" spans="3:13" ht="12.75" customHeight="1">
      <c r="C63340"/>
      <c r="M63340"/>
    </row>
    <row r="63341" spans="3:13" ht="12.75" customHeight="1">
      <c r="C63341"/>
      <c r="M63341"/>
    </row>
    <row r="63342" spans="3:13" ht="12.75" customHeight="1">
      <c r="C63342"/>
      <c r="M63342"/>
    </row>
    <row r="63343" spans="3:13" ht="12.75" customHeight="1">
      <c r="C63343"/>
      <c r="M63343"/>
    </row>
    <row r="63344" spans="3:13" ht="12.75" customHeight="1">
      <c r="C63344"/>
      <c r="M63344"/>
    </row>
    <row r="63345" spans="3:13" ht="12.75" customHeight="1">
      <c r="C63345"/>
      <c r="M63345"/>
    </row>
    <row r="63346" spans="3:13" ht="12.75" customHeight="1">
      <c r="C63346"/>
      <c r="M63346"/>
    </row>
    <row r="63347" spans="3:13" ht="12.75" customHeight="1">
      <c r="C63347"/>
      <c r="M63347"/>
    </row>
    <row r="63348" spans="3:13" ht="12.75" customHeight="1">
      <c r="C63348"/>
      <c r="M63348"/>
    </row>
    <row r="63349" spans="3:13" ht="12.75" customHeight="1">
      <c r="C63349"/>
      <c r="M63349"/>
    </row>
    <row r="63350" spans="3:13" ht="12.75" customHeight="1">
      <c r="C63350"/>
      <c r="M63350"/>
    </row>
    <row r="63351" spans="3:13" ht="12.75" customHeight="1">
      <c r="C63351"/>
      <c r="M63351"/>
    </row>
    <row r="63352" spans="3:13" ht="12.75" customHeight="1">
      <c r="C63352"/>
      <c r="M63352"/>
    </row>
    <row r="63353" spans="3:13" ht="12.75" customHeight="1">
      <c r="C63353"/>
      <c r="M63353"/>
    </row>
    <row r="63354" spans="3:13" ht="12.75" customHeight="1">
      <c r="C63354"/>
      <c r="M63354"/>
    </row>
    <row r="63355" spans="3:13" ht="12.75" customHeight="1">
      <c r="C63355"/>
      <c r="M63355"/>
    </row>
    <row r="63356" spans="3:13" ht="12.75" customHeight="1">
      <c r="C63356"/>
      <c r="M63356"/>
    </row>
    <row r="63357" spans="3:13" ht="12.75" customHeight="1">
      <c r="C63357"/>
      <c r="M63357"/>
    </row>
    <row r="63358" spans="3:13" ht="12.75" customHeight="1">
      <c r="C63358"/>
      <c r="M63358"/>
    </row>
    <row r="63359" spans="3:13" ht="12.75" customHeight="1">
      <c r="C63359"/>
      <c r="M63359"/>
    </row>
    <row r="63360" spans="3:13" ht="12.75" customHeight="1">
      <c r="C63360"/>
      <c r="M63360"/>
    </row>
    <row r="63361" spans="3:13" ht="12.75" customHeight="1">
      <c r="C63361"/>
      <c r="M63361"/>
    </row>
    <row r="63362" spans="3:13" ht="12.75" customHeight="1">
      <c r="C63362"/>
      <c r="M63362"/>
    </row>
    <row r="63363" spans="3:13" ht="12.75" customHeight="1">
      <c r="C63363"/>
      <c r="M63363"/>
    </row>
    <row r="63364" spans="3:13" ht="12.75" customHeight="1">
      <c r="C63364"/>
      <c r="M63364"/>
    </row>
    <row r="63365" spans="3:13" ht="12.75" customHeight="1">
      <c r="C63365"/>
      <c r="M63365"/>
    </row>
    <row r="63366" spans="3:13" ht="12.75" customHeight="1">
      <c r="C63366"/>
      <c r="M63366"/>
    </row>
    <row r="63367" spans="3:13" ht="12.75" customHeight="1">
      <c r="C63367"/>
      <c r="M63367"/>
    </row>
    <row r="63368" spans="3:13" ht="12.75" customHeight="1">
      <c r="C63368"/>
      <c r="M63368"/>
    </row>
    <row r="63369" spans="3:13" ht="12.75" customHeight="1">
      <c r="C63369"/>
      <c r="M63369"/>
    </row>
    <row r="63370" spans="3:13" ht="12.75" customHeight="1">
      <c r="C63370"/>
      <c r="M63370"/>
    </row>
    <row r="63371" spans="3:13" ht="12.75" customHeight="1">
      <c r="C63371"/>
      <c r="M63371"/>
    </row>
    <row r="63372" spans="3:13" ht="12.75" customHeight="1">
      <c r="C63372"/>
      <c r="M63372"/>
    </row>
    <row r="63373" spans="3:13" ht="12.75" customHeight="1">
      <c r="C63373"/>
      <c r="M63373"/>
    </row>
    <row r="63374" spans="3:13" ht="12.75" customHeight="1">
      <c r="C63374"/>
      <c r="M63374"/>
    </row>
    <row r="63375" spans="3:13" ht="12.75" customHeight="1">
      <c r="C63375"/>
      <c r="M63375"/>
    </row>
    <row r="63376" spans="3:13" ht="12.75" customHeight="1">
      <c r="C63376"/>
      <c r="M63376"/>
    </row>
    <row r="63377" spans="3:13" ht="12.75" customHeight="1">
      <c r="C63377"/>
      <c r="M63377"/>
    </row>
    <row r="63378" spans="3:13" ht="12.75" customHeight="1">
      <c r="C63378"/>
      <c r="M63378"/>
    </row>
    <row r="63379" spans="3:13" ht="12.75" customHeight="1">
      <c r="C63379"/>
      <c r="M63379"/>
    </row>
    <row r="63380" spans="3:13" ht="12.75" customHeight="1">
      <c r="C63380"/>
      <c r="M63380"/>
    </row>
    <row r="63381" spans="3:13" ht="12.75" customHeight="1">
      <c r="C63381"/>
      <c r="M63381"/>
    </row>
    <row r="63382" spans="3:13" ht="12.75" customHeight="1">
      <c r="C63382"/>
      <c r="M63382"/>
    </row>
    <row r="63383" spans="3:13" ht="12.75" customHeight="1">
      <c r="C63383"/>
      <c r="M63383"/>
    </row>
    <row r="63384" spans="3:13" ht="12.75" customHeight="1">
      <c r="C63384"/>
      <c r="M63384"/>
    </row>
    <row r="63385" spans="3:13" ht="12.75" customHeight="1">
      <c r="C63385"/>
      <c r="M63385"/>
    </row>
    <row r="63386" spans="3:13" ht="12.75" customHeight="1">
      <c r="C63386"/>
      <c r="M63386"/>
    </row>
    <row r="63387" spans="3:13" ht="12.75" customHeight="1">
      <c r="C63387"/>
      <c r="M63387"/>
    </row>
    <row r="63388" spans="3:13" ht="12.75" customHeight="1">
      <c r="C63388"/>
      <c r="M63388"/>
    </row>
    <row r="63389" spans="3:13" ht="12.75" customHeight="1">
      <c r="C63389"/>
      <c r="M63389"/>
    </row>
    <row r="63390" spans="3:13" ht="12.75" customHeight="1">
      <c r="C63390"/>
      <c r="M63390"/>
    </row>
    <row r="63391" spans="3:13" ht="12.75" customHeight="1">
      <c r="C63391"/>
      <c r="M63391"/>
    </row>
    <row r="63392" spans="3:13" ht="12.75" customHeight="1">
      <c r="C63392"/>
      <c r="M63392"/>
    </row>
    <row r="63393" spans="3:13" ht="12.75" customHeight="1">
      <c r="C63393"/>
      <c r="M63393"/>
    </row>
    <row r="63394" spans="3:13" ht="12.75" customHeight="1">
      <c r="C63394"/>
      <c r="M63394"/>
    </row>
    <row r="63395" spans="3:13" ht="12.75" customHeight="1">
      <c r="C63395"/>
      <c r="M63395"/>
    </row>
    <row r="63396" spans="3:13" ht="12.75" customHeight="1">
      <c r="C63396"/>
      <c r="M63396"/>
    </row>
    <row r="63397" spans="3:13" ht="12.75" customHeight="1">
      <c r="C63397"/>
      <c r="M63397"/>
    </row>
    <row r="63398" spans="3:13" ht="12.75" customHeight="1">
      <c r="C63398"/>
      <c r="M63398"/>
    </row>
    <row r="63399" spans="3:13" ht="12.75" customHeight="1">
      <c r="C63399"/>
      <c r="M63399"/>
    </row>
    <row r="63400" spans="3:13" ht="12.75" customHeight="1">
      <c r="C63400"/>
      <c r="M63400"/>
    </row>
    <row r="63401" spans="3:13" ht="12.75" customHeight="1">
      <c r="C63401"/>
      <c r="M63401"/>
    </row>
    <row r="63402" spans="3:13" ht="12.75" customHeight="1">
      <c r="C63402"/>
      <c r="M63402"/>
    </row>
    <row r="63403" spans="3:13" ht="12.75" customHeight="1">
      <c r="C63403"/>
      <c r="M63403"/>
    </row>
    <row r="63404" spans="3:13" ht="12.75" customHeight="1">
      <c r="C63404"/>
      <c r="M63404"/>
    </row>
    <row r="63405" spans="3:13" ht="12.75" customHeight="1">
      <c r="C63405"/>
      <c r="M63405"/>
    </row>
    <row r="63406" spans="3:13" ht="12.75" customHeight="1">
      <c r="C63406"/>
      <c r="M63406"/>
    </row>
    <row r="63407" spans="3:13" ht="12.75" customHeight="1">
      <c r="C63407"/>
      <c r="M63407"/>
    </row>
    <row r="63408" spans="3:13" ht="12.75" customHeight="1">
      <c r="C63408"/>
      <c r="M63408"/>
    </row>
    <row r="63409" spans="3:13" ht="12.75" customHeight="1">
      <c r="C63409"/>
      <c r="M63409"/>
    </row>
    <row r="63410" spans="3:13" ht="12.75" customHeight="1">
      <c r="C63410"/>
      <c r="M63410"/>
    </row>
    <row r="63411" spans="3:13" ht="12.75" customHeight="1">
      <c r="C63411"/>
      <c r="M63411"/>
    </row>
    <row r="63412" spans="3:13" ht="12.75" customHeight="1">
      <c r="C63412"/>
      <c r="M63412"/>
    </row>
    <row r="63413" spans="3:13" ht="12.75" customHeight="1">
      <c r="C63413"/>
      <c r="M63413"/>
    </row>
    <row r="63414" spans="3:13" ht="12.75" customHeight="1">
      <c r="C63414"/>
      <c r="M63414"/>
    </row>
    <row r="63415" spans="3:13" ht="12.75" customHeight="1">
      <c r="C63415"/>
      <c r="M63415"/>
    </row>
    <row r="63416" spans="3:13" ht="12.75" customHeight="1">
      <c r="C63416"/>
      <c r="M63416"/>
    </row>
    <row r="63417" spans="3:13" ht="12.75" customHeight="1">
      <c r="C63417"/>
      <c r="M63417"/>
    </row>
    <row r="63418" spans="3:13" ht="12.75" customHeight="1">
      <c r="C63418"/>
      <c r="M63418"/>
    </row>
    <row r="63419" spans="3:13" ht="12.75" customHeight="1">
      <c r="C63419"/>
      <c r="M63419"/>
    </row>
    <row r="63420" spans="3:13" ht="12.75" customHeight="1">
      <c r="C63420"/>
      <c r="M63420"/>
    </row>
    <row r="63421" spans="3:13" ht="12.75" customHeight="1">
      <c r="C63421"/>
      <c r="M63421"/>
    </row>
    <row r="63422" spans="3:13" ht="12.75" customHeight="1">
      <c r="C63422"/>
      <c r="M63422"/>
    </row>
    <row r="63423" spans="3:13" ht="12.75" customHeight="1">
      <c r="C63423"/>
      <c r="M63423"/>
    </row>
    <row r="63424" spans="3:13" ht="12.75" customHeight="1">
      <c r="C63424"/>
      <c r="M63424"/>
    </row>
    <row r="63425" spans="3:13" ht="12.75" customHeight="1">
      <c r="C63425"/>
      <c r="M63425"/>
    </row>
    <row r="63426" spans="3:13" ht="12.75" customHeight="1">
      <c r="C63426"/>
      <c r="M63426"/>
    </row>
    <row r="63427" spans="3:13" ht="12.75" customHeight="1">
      <c r="C63427"/>
      <c r="M63427"/>
    </row>
    <row r="63428" spans="3:13" ht="12.75" customHeight="1">
      <c r="C63428"/>
      <c r="M63428"/>
    </row>
    <row r="63429" spans="3:13" ht="12.75" customHeight="1">
      <c r="C63429"/>
      <c r="M63429"/>
    </row>
    <row r="63430" spans="3:13" ht="12.75" customHeight="1">
      <c r="C63430"/>
      <c r="M63430"/>
    </row>
    <row r="63431" spans="3:13" ht="12.75" customHeight="1">
      <c r="C63431"/>
      <c r="M63431"/>
    </row>
    <row r="63432" spans="3:13" ht="12.75" customHeight="1">
      <c r="C63432"/>
      <c r="M63432"/>
    </row>
    <row r="63433" spans="3:13" ht="12.75" customHeight="1">
      <c r="C63433"/>
      <c r="M63433"/>
    </row>
    <row r="63434" spans="3:13" ht="12.75" customHeight="1">
      <c r="C63434"/>
      <c r="M63434"/>
    </row>
    <row r="63435" spans="3:13" ht="12.75" customHeight="1">
      <c r="C63435"/>
      <c r="M63435"/>
    </row>
    <row r="63436" spans="3:13" ht="12.75" customHeight="1">
      <c r="C63436"/>
      <c r="M63436"/>
    </row>
    <row r="63437" spans="3:13" ht="12.75" customHeight="1">
      <c r="C63437"/>
      <c r="M63437"/>
    </row>
    <row r="63438" spans="3:13" ht="12.75" customHeight="1">
      <c r="C63438"/>
      <c r="M63438"/>
    </row>
    <row r="63439" spans="3:13" ht="12.75" customHeight="1">
      <c r="C63439"/>
      <c r="M63439"/>
    </row>
    <row r="63440" spans="3:13" ht="12.75" customHeight="1">
      <c r="C63440"/>
      <c r="M63440"/>
    </row>
    <row r="63441" spans="3:13" ht="12.75" customHeight="1">
      <c r="C63441"/>
      <c r="M63441"/>
    </row>
    <row r="63442" spans="3:13" ht="12.75" customHeight="1">
      <c r="C63442"/>
      <c r="M63442"/>
    </row>
    <row r="63443" spans="3:13" ht="12.75" customHeight="1">
      <c r="C63443"/>
      <c r="M63443"/>
    </row>
    <row r="63444" spans="3:13" ht="12.75" customHeight="1">
      <c r="C63444"/>
      <c r="M63444"/>
    </row>
    <row r="63445" spans="3:13" ht="12.75" customHeight="1">
      <c r="C63445"/>
      <c r="M63445"/>
    </row>
    <row r="63446" spans="3:13" ht="12.75" customHeight="1">
      <c r="C63446"/>
      <c r="M63446"/>
    </row>
    <row r="63447" spans="3:13" ht="12.75" customHeight="1">
      <c r="C63447"/>
      <c r="M63447"/>
    </row>
    <row r="63448" spans="3:13" ht="12.75" customHeight="1">
      <c r="C63448"/>
      <c r="M63448"/>
    </row>
    <row r="63449" spans="3:13" ht="12.75" customHeight="1">
      <c r="C63449"/>
      <c r="M63449"/>
    </row>
    <row r="63450" spans="3:13" ht="12.75" customHeight="1">
      <c r="C63450"/>
      <c r="M63450"/>
    </row>
    <row r="63451" spans="3:13" ht="12.75" customHeight="1">
      <c r="C63451"/>
      <c r="M63451"/>
    </row>
    <row r="63452" spans="3:13" ht="12.75" customHeight="1">
      <c r="C63452"/>
      <c r="M63452"/>
    </row>
    <row r="63453" spans="3:13" ht="12.75" customHeight="1">
      <c r="C63453"/>
      <c r="M63453"/>
    </row>
    <row r="63454" spans="3:13" ht="12.75" customHeight="1">
      <c r="C63454"/>
      <c r="M63454"/>
    </row>
    <row r="63455" spans="3:13" ht="12.75" customHeight="1">
      <c r="C63455"/>
      <c r="M63455"/>
    </row>
    <row r="63456" spans="3:13" ht="12.75" customHeight="1">
      <c r="C63456"/>
      <c r="M63456"/>
    </row>
    <row r="63457" spans="3:13" ht="12.75" customHeight="1">
      <c r="C63457"/>
      <c r="M63457"/>
    </row>
    <row r="63458" spans="3:13" ht="12.75" customHeight="1">
      <c r="C63458"/>
      <c r="M63458"/>
    </row>
    <row r="63459" spans="3:13" ht="12.75" customHeight="1">
      <c r="C63459"/>
      <c r="M63459"/>
    </row>
    <row r="63460" spans="3:13" ht="12.75" customHeight="1">
      <c r="C63460"/>
      <c r="M63460"/>
    </row>
    <row r="63461" spans="3:13" ht="12.75" customHeight="1">
      <c r="C63461"/>
      <c r="M63461"/>
    </row>
    <row r="63462" spans="3:13" ht="12.75" customHeight="1">
      <c r="C63462"/>
      <c r="M63462"/>
    </row>
    <row r="63463" spans="3:13" ht="12.75" customHeight="1">
      <c r="C63463"/>
      <c r="M63463"/>
    </row>
    <row r="63464" spans="3:13" ht="12.75" customHeight="1">
      <c r="C63464"/>
      <c r="M63464"/>
    </row>
    <row r="63465" spans="3:13" ht="12.75" customHeight="1">
      <c r="C63465"/>
      <c r="M63465"/>
    </row>
    <row r="63466" spans="3:13" ht="12.75" customHeight="1">
      <c r="C63466"/>
      <c r="M63466"/>
    </row>
    <row r="63467" spans="3:13" ht="12.75" customHeight="1">
      <c r="C63467"/>
      <c r="M63467"/>
    </row>
    <row r="63468" spans="3:13" ht="12.75" customHeight="1">
      <c r="C63468"/>
      <c r="M63468"/>
    </row>
    <row r="63469" spans="3:13" ht="12.75" customHeight="1">
      <c r="C63469"/>
      <c r="M63469"/>
    </row>
    <row r="63470" spans="3:13" ht="12.75" customHeight="1">
      <c r="C63470"/>
      <c r="M63470"/>
    </row>
    <row r="63471" spans="3:13" ht="12.75" customHeight="1">
      <c r="C63471"/>
      <c r="M63471"/>
    </row>
    <row r="63472" spans="3:13" ht="12.75" customHeight="1">
      <c r="C63472"/>
      <c r="M63472"/>
    </row>
    <row r="63473" spans="3:13" ht="12.75" customHeight="1">
      <c r="C63473"/>
      <c r="M63473"/>
    </row>
    <row r="63474" spans="3:13" ht="12.75" customHeight="1">
      <c r="C63474"/>
      <c r="M63474"/>
    </row>
    <row r="63475" spans="3:13" ht="12.75" customHeight="1">
      <c r="C63475"/>
      <c r="M63475"/>
    </row>
    <row r="63476" spans="3:13" ht="12.75" customHeight="1">
      <c r="C63476"/>
      <c r="M63476"/>
    </row>
    <row r="63477" spans="3:13" ht="12.75" customHeight="1">
      <c r="C63477"/>
      <c r="M63477"/>
    </row>
    <row r="63478" spans="3:13" ht="12.75" customHeight="1">
      <c r="C63478"/>
      <c r="M63478"/>
    </row>
    <row r="63479" spans="3:13" ht="12.75" customHeight="1">
      <c r="C63479"/>
      <c r="M63479"/>
    </row>
    <row r="63480" spans="3:13" ht="12.75" customHeight="1">
      <c r="C63480"/>
      <c r="M63480"/>
    </row>
    <row r="63481" spans="3:13" ht="12.75" customHeight="1">
      <c r="C63481"/>
      <c r="M63481"/>
    </row>
    <row r="63482" spans="3:13" ht="12.75" customHeight="1">
      <c r="C63482"/>
      <c r="M63482"/>
    </row>
    <row r="63483" spans="3:13" ht="12.75" customHeight="1">
      <c r="C63483"/>
      <c r="M63483"/>
    </row>
    <row r="63484" spans="3:13" ht="12.75" customHeight="1">
      <c r="C63484"/>
      <c r="M63484"/>
    </row>
    <row r="63485" spans="3:13" ht="12.75" customHeight="1">
      <c r="C63485"/>
      <c r="M63485"/>
    </row>
    <row r="63486" spans="3:13" ht="12.75" customHeight="1">
      <c r="C63486"/>
      <c r="M63486"/>
    </row>
    <row r="63487" spans="3:13" ht="12.75" customHeight="1">
      <c r="C63487"/>
      <c r="M63487"/>
    </row>
    <row r="63488" spans="3:13" ht="12.75" customHeight="1">
      <c r="C63488"/>
      <c r="M63488"/>
    </row>
    <row r="63489" spans="3:13" ht="12.75" customHeight="1">
      <c r="C63489"/>
      <c r="M63489"/>
    </row>
    <row r="63490" spans="3:13" ht="12.75" customHeight="1">
      <c r="C63490"/>
      <c r="M63490"/>
    </row>
    <row r="63491" spans="3:13" ht="12.75" customHeight="1">
      <c r="C63491"/>
      <c r="M63491"/>
    </row>
    <row r="63492" spans="3:13" ht="12.75" customHeight="1">
      <c r="C63492"/>
      <c r="M63492"/>
    </row>
    <row r="63493" spans="3:13" ht="12.75" customHeight="1">
      <c r="C63493"/>
      <c r="M63493"/>
    </row>
    <row r="63494" spans="3:13" ht="12.75" customHeight="1">
      <c r="C63494"/>
      <c r="M63494"/>
    </row>
    <row r="63495" spans="3:13" ht="12.75" customHeight="1">
      <c r="C63495"/>
      <c r="M63495"/>
    </row>
    <row r="63496" spans="3:13" ht="12.75" customHeight="1">
      <c r="C63496"/>
      <c r="M63496"/>
    </row>
    <row r="63497" spans="3:13" ht="12.75" customHeight="1">
      <c r="C63497"/>
      <c r="M63497"/>
    </row>
    <row r="63498" spans="3:13" ht="12.75" customHeight="1">
      <c r="C63498"/>
      <c r="M63498"/>
    </row>
    <row r="63499" spans="3:13" ht="12.75" customHeight="1">
      <c r="C63499"/>
      <c r="M63499"/>
    </row>
    <row r="63500" spans="3:13" ht="12.75" customHeight="1">
      <c r="C63500"/>
      <c r="M63500"/>
    </row>
    <row r="63501" spans="3:13" ht="12.75" customHeight="1">
      <c r="C63501"/>
      <c r="M63501"/>
    </row>
    <row r="63502" spans="3:13" ht="12.75" customHeight="1">
      <c r="C63502"/>
      <c r="M63502"/>
    </row>
    <row r="63503" spans="3:13" ht="12.75" customHeight="1">
      <c r="C63503"/>
      <c r="M63503"/>
    </row>
    <row r="63504" spans="3:13" ht="12.75" customHeight="1">
      <c r="C63504"/>
      <c r="M63504"/>
    </row>
    <row r="63505" spans="3:13" ht="12.75" customHeight="1">
      <c r="C63505"/>
      <c r="M63505"/>
    </row>
    <row r="63506" spans="3:13" ht="12.75" customHeight="1">
      <c r="C63506"/>
      <c r="M63506"/>
    </row>
    <row r="63507" spans="3:13" ht="12.75" customHeight="1">
      <c r="C63507"/>
      <c r="M63507"/>
    </row>
    <row r="63508" spans="3:13" ht="12.75" customHeight="1">
      <c r="C63508"/>
      <c r="M63508"/>
    </row>
    <row r="63509" spans="3:13" ht="12.75" customHeight="1">
      <c r="C63509"/>
      <c r="M63509"/>
    </row>
    <row r="63510" spans="3:13" ht="12.75" customHeight="1">
      <c r="C63510"/>
      <c r="M63510"/>
    </row>
    <row r="63511" spans="3:13" ht="12.75" customHeight="1">
      <c r="C63511"/>
      <c r="M63511"/>
    </row>
    <row r="63512" spans="3:13" ht="12.75" customHeight="1">
      <c r="C63512"/>
      <c r="M63512"/>
    </row>
    <row r="63513" spans="3:13" ht="12.75" customHeight="1">
      <c r="C63513"/>
      <c r="M63513"/>
    </row>
    <row r="63514" spans="3:13" ht="12.75" customHeight="1">
      <c r="C63514"/>
      <c r="M63514"/>
    </row>
    <row r="63515" spans="3:13" ht="12.75" customHeight="1">
      <c r="C63515"/>
      <c r="M63515"/>
    </row>
    <row r="63516" spans="3:13" ht="12.75" customHeight="1">
      <c r="C63516"/>
      <c r="M63516"/>
    </row>
    <row r="63517" spans="3:13" ht="12.75" customHeight="1">
      <c r="C63517"/>
      <c r="M63517"/>
    </row>
    <row r="63518" spans="3:13" ht="12.75" customHeight="1">
      <c r="C63518"/>
      <c r="M63518"/>
    </row>
    <row r="63519" spans="3:13" ht="12.75" customHeight="1">
      <c r="C63519"/>
      <c r="M63519"/>
    </row>
    <row r="63520" spans="3:13" ht="12.75" customHeight="1">
      <c r="C63520"/>
      <c r="M63520"/>
    </row>
    <row r="63521" spans="3:13" ht="12.75" customHeight="1">
      <c r="C63521"/>
      <c r="M63521"/>
    </row>
    <row r="63522" spans="3:13" ht="12.75" customHeight="1">
      <c r="C63522"/>
      <c r="M63522"/>
    </row>
    <row r="63523" spans="3:13" ht="12.75" customHeight="1">
      <c r="C63523"/>
      <c r="M63523"/>
    </row>
    <row r="63524" spans="3:13" ht="12.75" customHeight="1">
      <c r="C63524"/>
      <c r="M63524"/>
    </row>
    <row r="63525" spans="3:13" ht="12.75" customHeight="1">
      <c r="C63525"/>
      <c r="M63525"/>
    </row>
    <row r="63526" spans="3:13" ht="12.75" customHeight="1">
      <c r="C63526"/>
      <c r="M63526"/>
    </row>
    <row r="63527" spans="3:13" ht="12.75" customHeight="1">
      <c r="C63527"/>
      <c r="M63527"/>
    </row>
    <row r="63528" spans="3:13" ht="12.75" customHeight="1">
      <c r="C63528"/>
      <c r="M63528"/>
    </row>
    <row r="63529" spans="3:13" ht="12.75" customHeight="1">
      <c r="C63529"/>
      <c r="M63529"/>
    </row>
    <row r="63530" spans="3:13" ht="12.75" customHeight="1">
      <c r="C63530"/>
      <c r="M63530"/>
    </row>
    <row r="63531" spans="3:13" ht="12.75" customHeight="1">
      <c r="C63531"/>
      <c r="M63531"/>
    </row>
    <row r="63532" spans="3:13" ht="12.75" customHeight="1">
      <c r="C63532"/>
      <c r="M63532"/>
    </row>
    <row r="63533" spans="3:13" ht="12.75" customHeight="1">
      <c r="C63533"/>
      <c r="M63533"/>
    </row>
    <row r="63534" spans="3:13" ht="12.75" customHeight="1">
      <c r="C63534"/>
      <c r="M63534"/>
    </row>
    <row r="63535" spans="3:13" ht="12.75" customHeight="1">
      <c r="C63535"/>
      <c r="M63535"/>
    </row>
    <row r="63536" spans="3:13" ht="12.75" customHeight="1">
      <c r="C63536"/>
      <c r="M63536"/>
    </row>
    <row r="63537" spans="3:13" ht="12.75" customHeight="1">
      <c r="C63537"/>
      <c r="M63537"/>
    </row>
    <row r="63538" spans="3:13" ht="12.75" customHeight="1">
      <c r="C63538"/>
      <c r="M63538"/>
    </row>
    <row r="63539" spans="3:13" ht="12.75" customHeight="1">
      <c r="C63539"/>
      <c r="M63539"/>
    </row>
    <row r="63540" spans="3:13" ht="12.75" customHeight="1">
      <c r="C63540"/>
      <c r="M63540"/>
    </row>
    <row r="63541" spans="3:13" ht="12.75" customHeight="1">
      <c r="C63541"/>
      <c r="M63541"/>
    </row>
    <row r="63542" spans="3:13" ht="12.75" customHeight="1">
      <c r="C63542"/>
      <c r="M63542"/>
    </row>
    <row r="63543" spans="3:13" ht="12.75" customHeight="1">
      <c r="C63543"/>
      <c r="M63543"/>
    </row>
    <row r="63544" spans="3:13" ht="12.75" customHeight="1">
      <c r="C63544"/>
      <c r="M63544"/>
    </row>
    <row r="63545" spans="3:13" ht="12.75" customHeight="1">
      <c r="C63545"/>
      <c r="M63545"/>
    </row>
    <row r="63546" spans="3:13" ht="12.75" customHeight="1">
      <c r="C63546"/>
      <c r="M63546"/>
    </row>
    <row r="63547" spans="3:13" ht="12.75" customHeight="1">
      <c r="C63547"/>
      <c r="M63547"/>
    </row>
    <row r="63548" spans="3:13" ht="12.75" customHeight="1">
      <c r="C63548"/>
      <c r="M63548"/>
    </row>
    <row r="63549" spans="3:13" ht="12.75" customHeight="1">
      <c r="C63549"/>
      <c r="M63549"/>
    </row>
    <row r="63550" spans="3:13" ht="12.75" customHeight="1">
      <c r="C63550"/>
      <c r="M63550"/>
    </row>
    <row r="63551" spans="3:13" ht="12.75" customHeight="1">
      <c r="C63551"/>
      <c r="M63551"/>
    </row>
    <row r="63552" spans="3:13" ht="12.75" customHeight="1">
      <c r="C63552"/>
      <c r="M63552"/>
    </row>
    <row r="63553" spans="3:13" ht="12.75" customHeight="1">
      <c r="C63553"/>
      <c r="M63553"/>
    </row>
    <row r="63554" spans="3:13" ht="12.75" customHeight="1">
      <c r="C63554"/>
      <c r="M63554"/>
    </row>
    <row r="63555" spans="3:13" ht="12.75" customHeight="1">
      <c r="C63555"/>
      <c r="M63555"/>
    </row>
    <row r="63556" spans="3:13" ht="12.75" customHeight="1">
      <c r="C63556"/>
      <c r="M63556"/>
    </row>
    <row r="63557" spans="3:13" ht="12.75" customHeight="1">
      <c r="C63557"/>
      <c r="M63557"/>
    </row>
    <row r="63558" spans="3:13" ht="12.75" customHeight="1">
      <c r="C63558"/>
      <c r="M63558"/>
    </row>
    <row r="63559" spans="3:13" ht="12.75" customHeight="1">
      <c r="C63559"/>
      <c r="M63559"/>
    </row>
    <row r="63560" spans="3:13" ht="12.75" customHeight="1">
      <c r="C63560"/>
      <c r="M63560"/>
    </row>
    <row r="63561" spans="3:13" ht="12.75" customHeight="1">
      <c r="C63561"/>
      <c r="M63561"/>
    </row>
    <row r="63562" spans="3:13" ht="12.75" customHeight="1">
      <c r="C63562"/>
      <c r="M63562"/>
    </row>
    <row r="63563" spans="3:13" ht="12.75" customHeight="1">
      <c r="C63563"/>
      <c r="M63563"/>
    </row>
    <row r="63564" spans="3:13" ht="12.75" customHeight="1">
      <c r="C63564"/>
      <c r="M63564"/>
    </row>
    <row r="63565" spans="3:13" ht="12.75" customHeight="1">
      <c r="C63565"/>
      <c r="M63565"/>
    </row>
    <row r="63566" spans="3:13" ht="12.75" customHeight="1">
      <c r="C63566"/>
      <c r="M63566"/>
    </row>
    <row r="63567" spans="3:13" ht="12.75" customHeight="1">
      <c r="C63567"/>
      <c r="M63567"/>
    </row>
    <row r="63568" spans="3:13" ht="12.75" customHeight="1">
      <c r="C63568"/>
      <c r="M63568"/>
    </row>
    <row r="63569" spans="3:13" ht="12.75" customHeight="1">
      <c r="C63569"/>
      <c r="M63569"/>
    </row>
    <row r="63570" spans="3:13" ht="12.75" customHeight="1">
      <c r="C63570"/>
      <c r="M63570"/>
    </row>
    <row r="63571" spans="3:13" ht="12.75" customHeight="1">
      <c r="C63571"/>
      <c r="M63571"/>
    </row>
    <row r="63572" spans="3:13" ht="12.75" customHeight="1">
      <c r="C63572"/>
      <c r="M63572"/>
    </row>
    <row r="63573" spans="3:13" ht="12.75" customHeight="1">
      <c r="C63573"/>
      <c r="M63573"/>
    </row>
    <row r="63574" spans="3:13" ht="12.75" customHeight="1">
      <c r="C63574"/>
      <c r="M63574"/>
    </row>
    <row r="63575" spans="3:13" ht="12.75" customHeight="1">
      <c r="C63575"/>
      <c r="M63575"/>
    </row>
    <row r="63576" spans="3:13" ht="12.75" customHeight="1">
      <c r="C63576"/>
      <c r="M63576"/>
    </row>
    <row r="63577" spans="3:13" ht="12.75" customHeight="1">
      <c r="C63577"/>
      <c r="M63577"/>
    </row>
    <row r="63578" spans="3:13" ht="12.75" customHeight="1">
      <c r="C63578"/>
      <c r="M63578"/>
    </row>
    <row r="63579" spans="3:13" ht="12.75" customHeight="1">
      <c r="C63579"/>
      <c r="M63579"/>
    </row>
    <row r="63580" spans="3:13" ht="12.75" customHeight="1">
      <c r="C63580"/>
      <c r="M63580"/>
    </row>
    <row r="63581" spans="3:13" ht="12.75" customHeight="1">
      <c r="C63581"/>
      <c r="M63581"/>
    </row>
    <row r="63582" spans="3:13" ht="12.75" customHeight="1">
      <c r="C63582"/>
      <c r="M63582"/>
    </row>
    <row r="63583" spans="3:13" ht="12.75" customHeight="1">
      <c r="C63583"/>
      <c r="M63583"/>
    </row>
    <row r="63584" spans="3:13" ht="12.75" customHeight="1">
      <c r="C63584"/>
      <c r="M63584"/>
    </row>
    <row r="63585" spans="3:13" ht="12.75" customHeight="1">
      <c r="C63585"/>
      <c r="M63585"/>
    </row>
    <row r="63586" spans="3:13" ht="12.75" customHeight="1">
      <c r="C63586"/>
      <c r="M63586"/>
    </row>
    <row r="63587" spans="3:13" ht="12.75" customHeight="1">
      <c r="C63587"/>
      <c r="M63587"/>
    </row>
    <row r="63588" spans="3:13" ht="12.75" customHeight="1">
      <c r="C63588"/>
      <c r="M63588"/>
    </row>
    <row r="63589" spans="3:13" ht="12.75" customHeight="1">
      <c r="C63589"/>
      <c r="M63589"/>
    </row>
    <row r="63590" spans="3:13" ht="12.75" customHeight="1">
      <c r="C63590"/>
      <c r="M63590"/>
    </row>
    <row r="63591" spans="3:13" ht="12.75" customHeight="1">
      <c r="C63591"/>
      <c r="M63591"/>
    </row>
    <row r="63592" spans="3:13" ht="12.75" customHeight="1">
      <c r="C63592"/>
      <c r="M63592"/>
    </row>
    <row r="63593" spans="3:13" ht="12.75" customHeight="1">
      <c r="C63593"/>
      <c r="M63593"/>
    </row>
    <row r="63594" spans="3:13" ht="12.75" customHeight="1">
      <c r="C63594"/>
      <c r="M63594"/>
    </row>
    <row r="63595" spans="3:13" ht="12.75" customHeight="1">
      <c r="C63595"/>
      <c r="M63595"/>
    </row>
    <row r="63596" spans="3:13" ht="12.75" customHeight="1">
      <c r="C63596"/>
      <c r="M63596"/>
    </row>
    <row r="63597" spans="3:13" ht="12.75" customHeight="1">
      <c r="C63597"/>
      <c r="M63597"/>
    </row>
    <row r="63598" spans="3:13" ht="12.75" customHeight="1">
      <c r="C63598"/>
      <c r="M63598"/>
    </row>
    <row r="63599" spans="3:13" ht="12.75" customHeight="1">
      <c r="C63599"/>
      <c r="M63599"/>
    </row>
    <row r="63600" spans="3:13" ht="12.75" customHeight="1">
      <c r="C63600"/>
      <c r="M63600"/>
    </row>
    <row r="63601" spans="3:13" ht="12.75" customHeight="1">
      <c r="C63601"/>
      <c r="M63601"/>
    </row>
    <row r="63602" spans="3:13" ht="12.75" customHeight="1">
      <c r="C63602"/>
      <c r="M63602"/>
    </row>
    <row r="63603" spans="3:13" ht="12.75" customHeight="1">
      <c r="C63603"/>
      <c r="M63603"/>
    </row>
    <row r="63604" spans="3:13" ht="12.75" customHeight="1">
      <c r="C63604"/>
      <c r="M63604"/>
    </row>
    <row r="63605" spans="3:13" ht="12.75" customHeight="1">
      <c r="C63605"/>
      <c r="M63605"/>
    </row>
    <row r="63606" spans="3:13" ht="12.75" customHeight="1">
      <c r="C63606"/>
      <c r="M63606"/>
    </row>
    <row r="63607" spans="3:13" ht="12.75" customHeight="1">
      <c r="C63607"/>
      <c r="M63607"/>
    </row>
    <row r="63608" spans="3:13" ht="12.75" customHeight="1">
      <c r="C63608"/>
      <c r="M63608"/>
    </row>
    <row r="63609" spans="3:13" ht="12.75" customHeight="1">
      <c r="C63609"/>
      <c r="M63609"/>
    </row>
    <row r="63610" spans="3:13" ht="12.75" customHeight="1">
      <c r="C63610"/>
      <c r="M63610"/>
    </row>
    <row r="63611" spans="3:13" ht="12.75" customHeight="1">
      <c r="C63611"/>
      <c r="M63611"/>
    </row>
    <row r="63612" spans="3:13" ht="12.75" customHeight="1">
      <c r="C63612"/>
      <c r="M63612"/>
    </row>
    <row r="63613" spans="3:13" ht="12.75" customHeight="1">
      <c r="C63613"/>
      <c r="M63613"/>
    </row>
    <row r="63614" spans="3:13" ht="12.75" customHeight="1">
      <c r="C63614"/>
      <c r="M63614"/>
    </row>
    <row r="63615" spans="3:13" ht="12.75" customHeight="1">
      <c r="C63615"/>
      <c r="M63615"/>
    </row>
    <row r="63616" spans="3:13" ht="12.75" customHeight="1">
      <c r="C63616"/>
      <c r="M63616"/>
    </row>
    <row r="63617" spans="3:13" ht="12.75" customHeight="1">
      <c r="C63617"/>
      <c r="M63617"/>
    </row>
    <row r="63618" spans="3:13" ht="12.75" customHeight="1">
      <c r="C63618"/>
      <c r="M63618"/>
    </row>
    <row r="63619" spans="3:13" ht="12.75" customHeight="1">
      <c r="C63619"/>
      <c r="M63619"/>
    </row>
    <row r="63620" spans="3:13" ht="12.75" customHeight="1">
      <c r="C63620"/>
      <c r="M63620"/>
    </row>
    <row r="63621" spans="3:13" ht="12.75" customHeight="1">
      <c r="C63621"/>
      <c r="M63621"/>
    </row>
    <row r="63622" spans="3:13" ht="12.75" customHeight="1">
      <c r="C63622"/>
      <c r="M63622"/>
    </row>
    <row r="63623" spans="3:13" ht="12.75" customHeight="1">
      <c r="C63623"/>
      <c r="M63623"/>
    </row>
    <row r="63624" spans="3:13" ht="12.75" customHeight="1">
      <c r="C63624"/>
      <c r="M63624"/>
    </row>
    <row r="63625" spans="3:13" ht="12.75" customHeight="1">
      <c r="C63625"/>
      <c r="M63625"/>
    </row>
    <row r="63626" spans="3:13" ht="12.75" customHeight="1">
      <c r="C63626"/>
      <c r="M63626"/>
    </row>
    <row r="63627" spans="3:13" ht="12.75" customHeight="1">
      <c r="C63627"/>
      <c r="M63627"/>
    </row>
    <row r="63628" spans="3:13" ht="12.75" customHeight="1">
      <c r="C63628"/>
      <c r="M63628"/>
    </row>
    <row r="63629" spans="3:13" ht="12.75" customHeight="1">
      <c r="C63629"/>
      <c r="M63629"/>
    </row>
    <row r="63630" spans="3:13" ht="12.75" customHeight="1">
      <c r="C63630"/>
      <c r="M63630"/>
    </row>
    <row r="63631" spans="3:13" ht="12.75" customHeight="1">
      <c r="C63631"/>
      <c r="M63631"/>
    </row>
    <row r="63632" spans="3:13" ht="12.75" customHeight="1">
      <c r="C63632"/>
      <c r="M63632"/>
    </row>
    <row r="63633" spans="3:13" ht="12.75" customHeight="1">
      <c r="C63633"/>
      <c r="M63633"/>
    </row>
    <row r="63634" spans="3:13" ht="12.75" customHeight="1">
      <c r="C63634"/>
      <c r="M63634"/>
    </row>
    <row r="63635" spans="3:13" ht="12.75" customHeight="1">
      <c r="C63635"/>
      <c r="M63635"/>
    </row>
    <row r="63636" spans="3:13" ht="12.75" customHeight="1">
      <c r="C63636"/>
      <c r="M63636"/>
    </row>
    <row r="63637" spans="3:13" ht="12.75" customHeight="1">
      <c r="C63637"/>
      <c r="M63637"/>
    </row>
    <row r="63638" spans="3:13" ht="12.75" customHeight="1">
      <c r="C63638"/>
      <c r="M63638"/>
    </row>
    <row r="63639" spans="3:13" ht="12.75" customHeight="1">
      <c r="C63639"/>
      <c r="M63639"/>
    </row>
    <row r="63640" spans="3:13" ht="12.75" customHeight="1">
      <c r="C63640"/>
      <c r="M63640"/>
    </row>
    <row r="63641" spans="3:13" ht="12.75" customHeight="1">
      <c r="C63641"/>
      <c r="M63641"/>
    </row>
    <row r="63642" spans="3:13" ht="12.75" customHeight="1">
      <c r="C63642"/>
      <c r="M63642"/>
    </row>
    <row r="63643" spans="3:13" ht="12.75" customHeight="1">
      <c r="C63643"/>
      <c r="M63643"/>
    </row>
    <row r="63644" spans="3:13" ht="12.75" customHeight="1">
      <c r="C63644"/>
      <c r="M63644"/>
    </row>
    <row r="63645" spans="3:13" ht="12.75" customHeight="1">
      <c r="C63645"/>
      <c r="M63645"/>
    </row>
    <row r="63646" spans="3:13" ht="12.75" customHeight="1">
      <c r="C63646"/>
      <c r="M63646"/>
    </row>
    <row r="63647" spans="3:13" ht="12.75" customHeight="1">
      <c r="C63647"/>
      <c r="M63647"/>
    </row>
    <row r="63648" spans="3:13" ht="12.75" customHeight="1">
      <c r="C63648"/>
      <c r="M63648"/>
    </row>
    <row r="63649" spans="3:13" ht="12.75" customHeight="1">
      <c r="C63649"/>
      <c r="M63649"/>
    </row>
    <row r="63650" spans="3:13" ht="12.75" customHeight="1">
      <c r="C63650"/>
      <c r="M63650"/>
    </row>
    <row r="63651" spans="3:13" ht="12.75" customHeight="1">
      <c r="C63651"/>
      <c r="M63651"/>
    </row>
    <row r="63652" spans="3:13" ht="12.75" customHeight="1">
      <c r="C63652"/>
      <c r="M63652"/>
    </row>
    <row r="63653" spans="3:13" ht="12.75" customHeight="1">
      <c r="C63653"/>
      <c r="M63653"/>
    </row>
    <row r="63654" spans="3:13" ht="12.75" customHeight="1">
      <c r="C63654"/>
      <c r="M63654"/>
    </row>
    <row r="63655" spans="3:13" ht="12.75" customHeight="1">
      <c r="C63655"/>
      <c r="M63655"/>
    </row>
    <row r="63656" spans="3:13" ht="12.75" customHeight="1">
      <c r="C63656"/>
      <c r="M63656"/>
    </row>
    <row r="63657" spans="3:13" ht="12.75" customHeight="1">
      <c r="C63657"/>
      <c r="M63657"/>
    </row>
    <row r="63658" spans="3:13" ht="12.75" customHeight="1">
      <c r="C63658"/>
      <c r="M63658"/>
    </row>
    <row r="63659" spans="3:13" ht="12.75" customHeight="1">
      <c r="C63659"/>
      <c r="M63659"/>
    </row>
    <row r="63660" spans="3:13" ht="12.75" customHeight="1">
      <c r="C63660"/>
      <c r="M63660"/>
    </row>
    <row r="63661" spans="3:13" ht="12.75" customHeight="1">
      <c r="C63661"/>
      <c r="M63661"/>
    </row>
    <row r="63662" spans="3:13" ht="12.75" customHeight="1">
      <c r="C63662"/>
      <c r="M63662"/>
    </row>
    <row r="63663" spans="3:13" ht="12.75" customHeight="1">
      <c r="C63663"/>
      <c r="M63663"/>
    </row>
    <row r="63664" spans="3:13" ht="12.75" customHeight="1">
      <c r="C63664"/>
      <c r="M63664"/>
    </row>
    <row r="63665" spans="3:13" ht="12.75" customHeight="1">
      <c r="C63665"/>
      <c r="M63665"/>
    </row>
    <row r="63666" spans="3:13" ht="12.75" customHeight="1">
      <c r="C63666"/>
      <c r="M63666"/>
    </row>
    <row r="63667" spans="3:13" ht="12.75" customHeight="1">
      <c r="C63667"/>
      <c r="M63667"/>
    </row>
    <row r="63668" spans="3:13" ht="12.75" customHeight="1">
      <c r="C63668"/>
      <c r="M63668"/>
    </row>
    <row r="63669" spans="3:13" ht="12.75" customHeight="1">
      <c r="C63669"/>
      <c r="M63669"/>
    </row>
    <row r="63670" spans="3:13" ht="12.75" customHeight="1">
      <c r="C63670"/>
      <c r="M63670"/>
    </row>
    <row r="63671" spans="3:13" ht="12.75" customHeight="1">
      <c r="C63671"/>
      <c r="M63671"/>
    </row>
    <row r="63672" spans="3:13" ht="12.75" customHeight="1">
      <c r="C63672"/>
      <c r="M63672"/>
    </row>
    <row r="63673" spans="3:13" ht="12.75" customHeight="1">
      <c r="C63673"/>
      <c r="M63673"/>
    </row>
    <row r="63674" spans="3:13" ht="12.75" customHeight="1">
      <c r="C63674"/>
      <c r="M63674"/>
    </row>
    <row r="63675" spans="3:13" ht="12.75" customHeight="1">
      <c r="C63675"/>
      <c r="M63675"/>
    </row>
    <row r="63676" spans="3:13" ht="12.75" customHeight="1">
      <c r="C63676"/>
      <c r="M63676"/>
    </row>
    <row r="63677" spans="3:13" ht="12.75" customHeight="1">
      <c r="C63677"/>
      <c r="M63677"/>
    </row>
    <row r="63678" spans="3:13" ht="12.75" customHeight="1">
      <c r="C63678"/>
      <c r="M63678"/>
    </row>
    <row r="63679" spans="3:13" ht="12.75" customHeight="1">
      <c r="C63679"/>
      <c r="M63679"/>
    </row>
    <row r="63680" spans="3:13" ht="12.75" customHeight="1">
      <c r="C63680"/>
      <c r="M63680"/>
    </row>
    <row r="63681" spans="3:13" ht="12.75" customHeight="1">
      <c r="C63681"/>
      <c r="M63681"/>
    </row>
    <row r="63682" spans="3:13" ht="12.75" customHeight="1">
      <c r="C63682"/>
      <c r="M63682"/>
    </row>
    <row r="63683" spans="3:13" ht="12.75" customHeight="1">
      <c r="C63683"/>
      <c r="M63683"/>
    </row>
    <row r="63684" spans="3:13" ht="12.75" customHeight="1">
      <c r="C63684"/>
      <c r="M63684"/>
    </row>
    <row r="63685" spans="3:13" ht="12.75" customHeight="1">
      <c r="C63685"/>
      <c r="M63685"/>
    </row>
    <row r="63686" spans="3:13" ht="12.75" customHeight="1">
      <c r="C63686"/>
      <c r="M63686"/>
    </row>
    <row r="63687" spans="3:13" ht="12.75" customHeight="1">
      <c r="C63687"/>
      <c r="M63687"/>
    </row>
    <row r="63688" spans="3:13" ht="12.75" customHeight="1">
      <c r="C63688"/>
      <c r="M63688"/>
    </row>
    <row r="63689" spans="3:13" ht="12.75" customHeight="1">
      <c r="C63689"/>
      <c r="M63689"/>
    </row>
    <row r="63690" spans="3:13" ht="12.75" customHeight="1">
      <c r="C63690"/>
      <c r="M63690"/>
    </row>
    <row r="63691" spans="3:13" ht="12.75" customHeight="1">
      <c r="C63691"/>
      <c r="M63691"/>
    </row>
    <row r="63692" spans="3:13" ht="12.75" customHeight="1">
      <c r="C63692"/>
      <c r="M63692"/>
    </row>
    <row r="63693" spans="3:13" ht="12.75" customHeight="1">
      <c r="C63693"/>
      <c r="M63693"/>
    </row>
    <row r="63694" spans="3:13" ht="12.75" customHeight="1">
      <c r="C63694"/>
      <c r="M63694"/>
    </row>
    <row r="63695" spans="3:13" ht="12.75" customHeight="1">
      <c r="C63695"/>
      <c r="M63695"/>
    </row>
    <row r="63696" spans="3:13" ht="12.75" customHeight="1">
      <c r="C63696"/>
      <c r="M63696"/>
    </row>
    <row r="63697" spans="3:13" ht="12.75" customHeight="1">
      <c r="C63697"/>
      <c r="M63697"/>
    </row>
    <row r="63698" spans="3:13" ht="12.75" customHeight="1">
      <c r="C63698"/>
      <c r="M63698"/>
    </row>
    <row r="63699" spans="3:13" ht="12.75" customHeight="1">
      <c r="C63699"/>
      <c r="M63699"/>
    </row>
    <row r="63700" spans="3:13" ht="12.75" customHeight="1">
      <c r="C63700"/>
      <c r="M63700"/>
    </row>
    <row r="63701" spans="3:13" ht="12.75" customHeight="1">
      <c r="C63701"/>
      <c r="M63701"/>
    </row>
    <row r="63702" spans="3:13" ht="12.75" customHeight="1">
      <c r="C63702"/>
      <c r="M63702"/>
    </row>
    <row r="63703" spans="3:13" ht="12.75" customHeight="1">
      <c r="C63703"/>
      <c r="M63703"/>
    </row>
    <row r="63704" spans="3:13" ht="12.75" customHeight="1">
      <c r="C63704"/>
      <c r="M63704"/>
    </row>
    <row r="63705" spans="3:13" ht="12.75" customHeight="1">
      <c r="C63705"/>
      <c r="M63705"/>
    </row>
    <row r="63706" spans="3:13" ht="12.75" customHeight="1">
      <c r="C63706"/>
      <c r="M63706"/>
    </row>
    <row r="63707" spans="3:13" ht="12.75" customHeight="1">
      <c r="C63707"/>
      <c r="M63707"/>
    </row>
    <row r="63708" spans="3:13" ht="12.75" customHeight="1">
      <c r="C63708"/>
      <c r="M63708"/>
    </row>
    <row r="63709" spans="3:13" ht="12.75" customHeight="1">
      <c r="C63709"/>
      <c r="M63709"/>
    </row>
    <row r="63710" spans="3:13" ht="12.75" customHeight="1">
      <c r="C63710"/>
      <c r="M63710"/>
    </row>
    <row r="63711" spans="3:13" ht="12.75" customHeight="1">
      <c r="C63711"/>
      <c r="M63711"/>
    </row>
    <row r="63712" spans="3:13" ht="12.75" customHeight="1">
      <c r="C63712"/>
      <c r="M63712"/>
    </row>
    <row r="63713" spans="3:13" ht="12.75" customHeight="1">
      <c r="C63713"/>
      <c r="M63713"/>
    </row>
    <row r="63714" spans="3:13" ht="12.75" customHeight="1">
      <c r="C63714"/>
      <c r="M63714"/>
    </row>
    <row r="63715" spans="3:13" ht="12.75" customHeight="1">
      <c r="C63715"/>
      <c r="M63715"/>
    </row>
    <row r="63716" spans="3:13" ht="12.75" customHeight="1">
      <c r="C63716"/>
      <c r="M63716"/>
    </row>
    <row r="63717" spans="3:13" ht="12.75" customHeight="1">
      <c r="C63717"/>
      <c r="M63717"/>
    </row>
    <row r="63718" spans="3:13" ht="12.75" customHeight="1">
      <c r="C63718"/>
      <c r="M63718"/>
    </row>
    <row r="63719" spans="3:13" ht="12.75" customHeight="1">
      <c r="C63719"/>
      <c r="M63719"/>
    </row>
    <row r="63720" spans="3:13" ht="12.75" customHeight="1">
      <c r="C63720"/>
      <c r="M63720"/>
    </row>
    <row r="63721" spans="3:13" ht="12.75" customHeight="1">
      <c r="C63721"/>
      <c r="M63721"/>
    </row>
    <row r="63722" spans="3:13" ht="12.75" customHeight="1">
      <c r="C63722"/>
      <c r="M63722"/>
    </row>
    <row r="63723" spans="3:13" ht="12.75" customHeight="1">
      <c r="C63723"/>
      <c r="M63723"/>
    </row>
    <row r="63724" spans="3:13" ht="12.75" customHeight="1">
      <c r="C63724"/>
      <c r="M63724"/>
    </row>
    <row r="63725" spans="3:13" ht="12.75" customHeight="1">
      <c r="C63725"/>
      <c r="M63725"/>
    </row>
    <row r="63726" spans="3:13" ht="12.75" customHeight="1">
      <c r="C63726"/>
      <c r="M63726"/>
    </row>
    <row r="63727" spans="3:13" ht="12.75" customHeight="1">
      <c r="C63727"/>
      <c r="M63727"/>
    </row>
    <row r="63728" spans="3:13" ht="12.75" customHeight="1">
      <c r="C63728"/>
      <c r="M63728"/>
    </row>
    <row r="63729" spans="3:13" ht="12.75" customHeight="1">
      <c r="C63729"/>
      <c r="M63729"/>
    </row>
    <row r="63730" spans="3:13" ht="12.75" customHeight="1">
      <c r="C63730"/>
      <c r="M63730"/>
    </row>
    <row r="63731" spans="3:13" ht="12.75" customHeight="1">
      <c r="C63731"/>
      <c r="M63731"/>
    </row>
    <row r="63732" spans="3:13" ht="12.75" customHeight="1">
      <c r="C63732"/>
      <c r="M63732"/>
    </row>
    <row r="63733" spans="3:13" ht="12.75" customHeight="1">
      <c r="C63733"/>
      <c r="M63733"/>
    </row>
    <row r="63734" spans="3:13" ht="12.75" customHeight="1">
      <c r="C63734"/>
      <c r="M63734"/>
    </row>
    <row r="63735" spans="3:13" ht="12.75" customHeight="1">
      <c r="C63735"/>
      <c r="M63735"/>
    </row>
    <row r="63736" spans="3:13" ht="12.75" customHeight="1">
      <c r="C63736"/>
      <c r="M63736"/>
    </row>
    <row r="63737" spans="3:13" ht="12.75" customHeight="1">
      <c r="C63737"/>
      <c r="M63737"/>
    </row>
    <row r="63738" spans="3:13" ht="12.75" customHeight="1">
      <c r="C63738"/>
      <c r="M63738"/>
    </row>
    <row r="63739" spans="3:13" ht="12.75" customHeight="1">
      <c r="C63739"/>
      <c r="M63739"/>
    </row>
    <row r="63740" spans="3:13" ht="12.75" customHeight="1">
      <c r="C63740"/>
      <c r="M63740"/>
    </row>
    <row r="63741" spans="3:13" ht="12.75" customHeight="1">
      <c r="C63741"/>
      <c r="M63741"/>
    </row>
    <row r="63742" spans="3:13" ht="12.75" customHeight="1">
      <c r="C63742"/>
      <c r="M63742"/>
    </row>
    <row r="63743" spans="3:13" ht="12.75" customHeight="1">
      <c r="C63743"/>
      <c r="M63743"/>
    </row>
    <row r="63744" spans="3:13" ht="12.75" customHeight="1">
      <c r="C63744"/>
      <c r="M63744"/>
    </row>
    <row r="63745" spans="3:13" ht="12.75" customHeight="1">
      <c r="C63745"/>
      <c r="M63745"/>
    </row>
    <row r="63746" spans="3:13" ht="12.75" customHeight="1">
      <c r="C63746"/>
      <c r="M63746"/>
    </row>
    <row r="63747" spans="3:13" ht="12.75" customHeight="1">
      <c r="C63747"/>
      <c r="M63747"/>
    </row>
    <row r="63748" spans="3:13" ht="12.75" customHeight="1">
      <c r="C63748"/>
      <c r="M63748"/>
    </row>
    <row r="63749" spans="3:13" ht="12.75" customHeight="1">
      <c r="C63749"/>
      <c r="M63749"/>
    </row>
    <row r="63750" spans="3:13" ht="12.75" customHeight="1">
      <c r="C63750"/>
      <c r="M63750"/>
    </row>
    <row r="63751" spans="3:13" ht="12.75" customHeight="1">
      <c r="C63751"/>
      <c r="M63751"/>
    </row>
    <row r="63752" spans="3:13" ht="12.75" customHeight="1">
      <c r="C63752"/>
      <c r="M63752"/>
    </row>
    <row r="63753" spans="3:13" ht="12.75" customHeight="1">
      <c r="C63753"/>
      <c r="M63753"/>
    </row>
    <row r="63754" spans="3:13" ht="12.75" customHeight="1">
      <c r="C63754"/>
      <c r="M63754"/>
    </row>
    <row r="63755" spans="3:13" ht="12.75" customHeight="1">
      <c r="C63755"/>
      <c r="M63755"/>
    </row>
    <row r="63756" spans="3:13" ht="12.75" customHeight="1">
      <c r="C63756"/>
      <c r="M63756"/>
    </row>
    <row r="63757" spans="3:13" ht="12.75" customHeight="1">
      <c r="C63757"/>
      <c r="M63757"/>
    </row>
    <row r="63758" spans="3:13" ht="12.75" customHeight="1">
      <c r="C63758"/>
      <c r="M63758"/>
    </row>
    <row r="63759" spans="3:13" ht="12.75" customHeight="1">
      <c r="C63759"/>
      <c r="M63759"/>
    </row>
    <row r="63760" spans="3:13" ht="12.75" customHeight="1">
      <c r="C63760"/>
      <c r="M63760"/>
    </row>
    <row r="63761" spans="3:13" ht="12.75" customHeight="1">
      <c r="C63761"/>
      <c r="M63761"/>
    </row>
    <row r="63762" spans="3:13" ht="12.75" customHeight="1">
      <c r="C63762"/>
      <c r="M63762"/>
    </row>
    <row r="63763" spans="3:13" ht="12.75" customHeight="1">
      <c r="C63763"/>
      <c r="M63763"/>
    </row>
    <row r="63764" spans="3:13" ht="12.75" customHeight="1">
      <c r="C63764"/>
      <c r="M63764"/>
    </row>
    <row r="63765" spans="3:13" ht="12.75" customHeight="1">
      <c r="C63765"/>
      <c r="M63765"/>
    </row>
    <row r="63766" spans="3:13" ht="12.75" customHeight="1">
      <c r="C63766"/>
      <c r="M63766"/>
    </row>
    <row r="63767" spans="3:13" ht="12.75" customHeight="1">
      <c r="C63767"/>
      <c r="M63767"/>
    </row>
    <row r="63768" spans="3:13" ht="12.75" customHeight="1">
      <c r="C63768"/>
      <c r="M63768"/>
    </row>
    <row r="63769" spans="3:13" ht="12.75" customHeight="1">
      <c r="C63769"/>
      <c r="M63769"/>
    </row>
    <row r="63770" spans="3:13" ht="12.75" customHeight="1">
      <c r="C63770"/>
      <c r="M63770"/>
    </row>
    <row r="63771" spans="3:13" ht="12.75" customHeight="1">
      <c r="C63771"/>
      <c r="M63771"/>
    </row>
    <row r="63772" spans="3:13" ht="12.75" customHeight="1">
      <c r="C63772"/>
      <c r="M63772"/>
    </row>
    <row r="63773" spans="3:13" ht="12.75" customHeight="1">
      <c r="C63773"/>
      <c r="M63773"/>
    </row>
    <row r="63774" spans="3:13" ht="12.75" customHeight="1">
      <c r="C63774"/>
      <c r="M63774"/>
    </row>
    <row r="63775" spans="3:13" ht="12.75" customHeight="1">
      <c r="C63775"/>
      <c r="M63775"/>
    </row>
    <row r="63776" spans="3:13" ht="12.75" customHeight="1">
      <c r="C63776"/>
      <c r="M63776"/>
    </row>
    <row r="63777" spans="3:13" ht="12.75" customHeight="1">
      <c r="C63777"/>
      <c r="M63777"/>
    </row>
    <row r="63778" spans="3:13" ht="12.75" customHeight="1">
      <c r="C63778"/>
      <c r="M63778"/>
    </row>
    <row r="63779" spans="3:13" ht="12.75" customHeight="1">
      <c r="C63779"/>
      <c r="M63779"/>
    </row>
    <row r="63780" spans="3:13" ht="12.75" customHeight="1">
      <c r="C63780"/>
      <c r="M63780"/>
    </row>
    <row r="63781" spans="3:13" ht="12.75" customHeight="1">
      <c r="C63781"/>
      <c r="M63781"/>
    </row>
    <row r="63782" spans="3:13" ht="12.75" customHeight="1">
      <c r="C63782"/>
      <c r="M63782"/>
    </row>
    <row r="63783" spans="3:13" ht="12.75" customHeight="1">
      <c r="C63783"/>
      <c r="M63783"/>
    </row>
    <row r="63784" spans="3:13" ht="12.75" customHeight="1">
      <c r="C63784"/>
      <c r="M63784"/>
    </row>
    <row r="63785" spans="3:13" ht="12.75" customHeight="1">
      <c r="C63785"/>
      <c r="M63785"/>
    </row>
    <row r="63786" spans="3:13" ht="12.75" customHeight="1">
      <c r="C63786"/>
      <c r="M63786"/>
    </row>
    <row r="63787" spans="3:13" ht="12.75" customHeight="1">
      <c r="C63787"/>
      <c r="M63787"/>
    </row>
    <row r="63788" spans="3:13" ht="12.75" customHeight="1">
      <c r="C63788"/>
      <c r="M63788"/>
    </row>
    <row r="63789" spans="3:13" ht="12.75" customHeight="1">
      <c r="C63789"/>
      <c r="M63789"/>
    </row>
    <row r="63790" spans="3:13" ht="12.75" customHeight="1">
      <c r="C63790"/>
      <c r="M63790"/>
    </row>
    <row r="63791" spans="3:13" ht="12.75" customHeight="1">
      <c r="C63791"/>
      <c r="M63791"/>
    </row>
    <row r="63792" spans="3:13" ht="12.75" customHeight="1">
      <c r="C63792"/>
      <c r="M63792"/>
    </row>
    <row r="63793" spans="3:13" ht="12.75" customHeight="1">
      <c r="C63793"/>
      <c r="M63793"/>
    </row>
    <row r="63794" spans="3:13" ht="12.75" customHeight="1">
      <c r="C63794"/>
      <c r="M63794"/>
    </row>
    <row r="63795" spans="3:13" ht="12.75" customHeight="1">
      <c r="C63795"/>
      <c r="M63795"/>
    </row>
    <row r="63796" spans="3:13" ht="12.75" customHeight="1">
      <c r="C63796"/>
      <c r="M63796"/>
    </row>
    <row r="63797" spans="3:13" ht="12.75" customHeight="1">
      <c r="C63797"/>
      <c r="M63797"/>
    </row>
    <row r="63798" spans="3:13" ht="12.75" customHeight="1">
      <c r="C63798"/>
      <c r="M63798"/>
    </row>
    <row r="63799" spans="3:13" ht="12.75" customHeight="1">
      <c r="C63799"/>
      <c r="M63799"/>
    </row>
    <row r="63800" spans="3:13" ht="12.75" customHeight="1">
      <c r="C63800"/>
      <c r="M63800"/>
    </row>
    <row r="63801" spans="3:13" ht="12.75" customHeight="1">
      <c r="C63801"/>
      <c r="M63801"/>
    </row>
    <row r="63802" spans="3:13" ht="12.75" customHeight="1">
      <c r="C63802"/>
      <c r="M63802"/>
    </row>
    <row r="63803" spans="3:13" ht="12.75" customHeight="1">
      <c r="C63803"/>
      <c r="M63803"/>
    </row>
    <row r="63804" spans="3:13" ht="12.75" customHeight="1">
      <c r="C63804"/>
      <c r="M63804"/>
    </row>
    <row r="63805" spans="3:13" ht="12.75" customHeight="1">
      <c r="C63805"/>
      <c r="M63805"/>
    </row>
    <row r="63806" spans="3:13" ht="12.75" customHeight="1">
      <c r="C63806"/>
      <c r="M63806"/>
    </row>
    <row r="63807" spans="3:13" ht="12.75" customHeight="1">
      <c r="C63807"/>
      <c r="M63807"/>
    </row>
    <row r="63808" spans="3:13" ht="12.75" customHeight="1">
      <c r="C63808"/>
      <c r="M63808"/>
    </row>
    <row r="63809" spans="3:13" ht="12.75" customHeight="1">
      <c r="C63809"/>
      <c r="M63809"/>
    </row>
    <row r="63810" spans="3:13" ht="12.75" customHeight="1">
      <c r="C63810"/>
      <c r="M63810"/>
    </row>
    <row r="63811" spans="3:13" ht="12.75" customHeight="1">
      <c r="C63811"/>
      <c r="M63811"/>
    </row>
    <row r="63812" spans="3:13" ht="12.75" customHeight="1">
      <c r="C63812"/>
      <c r="M63812"/>
    </row>
    <row r="63813" spans="3:13" ht="12.75" customHeight="1">
      <c r="C63813"/>
      <c r="M63813"/>
    </row>
    <row r="63814" spans="3:13" ht="12.75" customHeight="1">
      <c r="C63814"/>
      <c r="M63814"/>
    </row>
    <row r="63815" spans="3:13" ht="12.75" customHeight="1">
      <c r="C63815"/>
      <c r="M63815"/>
    </row>
    <row r="63816" spans="3:13" ht="12.75" customHeight="1">
      <c r="C63816"/>
      <c r="M63816"/>
    </row>
    <row r="63817" spans="3:13" ht="12.75" customHeight="1">
      <c r="C63817"/>
      <c r="M63817"/>
    </row>
    <row r="63818" spans="3:13" ht="12.75" customHeight="1">
      <c r="C63818"/>
      <c r="M63818"/>
    </row>
    <row r="63819" spans="3:13" ht="12.75" customHeight="1">
      <c r="C63819"/>
      <c r="M63819"/>
    </row>
    <row r="63820" spans="3:13" ht="12.75" customHeight="1">
      <c r="C63820"/>
      <c r="M63820"/>
    </row>
    <row r="63821" spans="3:13" ht="12.75" customHeight="1">
      <c r="C63821"/>
      <c r="M63821"/>
    </row>
    <row r="63822" spans="3:13" ht="12.75" customHeight="1">
      <c r="C63822"/>
      <c r="M63822"/>
    </row>
    <row r="63823" spans="3:13" ht="12.75" customHeight="1">
      <c r="C63823"/>
      <c r="M63823"/>
    </row>
    <row r="63824" spans="3:13" ht="12.75" customHeight="1">
      <c r="C63824"/>
      <c r="M63824"/>
    </row>
    <row r="63825" spans="3:13" ht="12.75" customHeight="1">
      <c r="C63825"/>
      <c r="M63825"/>
    </row>
    <row r="63826" spans="3:13" ht="12.75" customHeight="1">
      <c r="C63826"/>
      <c r="M63826"/>
    </row>
    <row r="63827" spans="3:13" ht="12.75" customHeight="1">
      <c r="C63827"/>
      <c r="M63827"/>
    </row>
    <row r="63828" spans="3:13" ht="12.75" customHeight="1">
      <c r="C63828"/>
      <c r="M63828"/>
    </row>
    <row r="63829" spans="3:13" ht="12.75" customHeight="1">
      <c r="C63829"/>
      <c r="M63829"/>
    </row>
    <row r="63830" spans="3:13" ht="12.75" customHeight="1">
      <c r="C63830"/>
      <c r="M63830"/>
    </row>
    <row r="63831" spans="3:13" ht="12.75" customHeight="1">
      <c r="C63831"/>
      <c r="M63831"/>
    </row>
    <row r="63832" spans="3:13" ht="12.75" customHeight="1">
      <c r="C63832"/>
      <c r="M63832"/>
    </row>
    <row r="63833" spans="3:13" ht="12.75" customHeight="1">
      <c r="C63833"/>
      <c r="M63833"/>
    </row>
    <row r="63834" spans="3:13" ht="12.75" customHeight="1">
      <c r="C63834"/>
      <c r="M63834"/>
    </row>
    <row r="63835" spans="3:13" ht="12.75" customHeight="1">
      <c r="C63835"/>
      <c r="M63835"/>
    </row>
    <row r="63836" spans="3:13" ht="12.75" customHeight="1">
      <c r="C63836"/>
      <c r="M63836"/>
    </row>
    <row r="63837" spans="3:13" ht="12.75" customHeight="1">
      <c r="C63837"/>
      <c r="M63837"/>
    </row>
    <row r="63838" spans="3:13" ht="12.75" customHeight="1">
      <c r="C63838"/>
      <c r="M63838"/>
    </row>
    <row r="63839" spans="3:13" ht="12.75" customHeight="1">
      <c r="C63839"/>
      <c r="M63839"/>
    </row>
    <row r="63840" spans="3:13" ht="12.75" customHeight="1">
      <c r="C63840"/>
      <c r="M63840"/>
    </row>
    <row r="63841" spans="3:13" ht="12.75" customHeight="1">
      <c r="C63841"/>
      <c r="M63841"/>
    </row>
    <row r="63842" spans="3:13" ht="12.75" customHeight="1">
      <c r="C63842"/>
      <c r="M63842"/>
    </row>
    <row r="63843" spans="3:13" ht="12.75" customHeight="1">
      <c r="C63843"/>
      <c r="M63843"/>
    </row>
    <row r="63844" spans="3:13" ht="12.75" customHeight="1">
      <c r="C63844"/>
      <c r="M63844"/>
    </row>
    <row r="63845" spans="3:13" ht="12.75" customHeight="1">
      <c r="C63845"/>
      <c r="M63845"/>
    </row>
    <row r="63846" spans="3:13" ht="12.75" customHeight="1">
      <c r="C63846"/>
      <c r="M63846"/>
    </row>
    <row r="63847" spans="3:13" ht="12.75" customHeight="1">
      <c r="C63847"/>
      <c r="M63847"/>
    </row>
    <row r="63848" spans="3:13" ht="12.75" customHeight="1">
      <c r="C63848"/>
      <c r="M63848"/>
    </row>
    <row r="63849" spans="3:13" ht="12.75" customHeight="1">
      <c r="C63849"/>
      <c r="M63849"/>
    </row>
    <row r="63850" spans="3:13" ht="12.75" customHeight="1">
      <c r="C63850"/>
      <c r="M63850"/>
    </row>
    <row r="63851" spans="3:13" ht="12.75" customHeight="1">
      <c r="C63851"/>
      <c r="M63851"/>
    </row>
    <row r="63852" spans="3:13" ht="12.75" customHeight="1">
      <c r="C63852"/>
      <c r="M63852"/>
    </row>
    <row r="63853" spans="3:13" ht="12.75" customHeight="1">
      <c r="C63853"/>
      <c r="M63853"/>
    </row>
    <row r="63854" spans="3:13" ht="12.75" customHeight="1">
      <c r="C63854"/>
      <c r="M63854"/>
    </row>
    <row r="63855" spans="3:13" ht="12.75" customHeight="1">
      <c r="C63855"/>
      <c r="M63855"/>
    </row>
    <row r="63856" spans="3:13" ht="12.75" customHeight="1">
      <c r="C63856"/>
      <c r="M63856"/>
    </row>
    <row r="63857" spans="3:13" ht="12.75" customHeight="1">
      <c r="C63857"/>
      <c r="M63857"/>
    </row>
    <row r="63858" spans="3:13" ht="12.75" customHeight="1">
      <c r="C63858"/>
      <c r="M63858"/>
    </row>
    <row r="63859" spans="3:13" ht="12.75" customHeight="1">
      <c r="C63859"/>
      <c r="M63859"/>
    </row>
    <row r="63860" spans="3:13" ht="12.75" customHeight="1">
      <c r="C63860"/>
      <c r="M63860"/>
    </row>
    <row r="63861" spans="3:13" ht="12.75" customHeight="1">
      <c r="C63861"/>
      <c r="M63861"/>
    </row>
    <row r="63862" spans="3:13" ht="12.75" customHeight="1">
      <c r="C63862"/>
      <c r="M63862"/>
    </row>
    <row r="63863" spans="3:13" ht="12.75" customHeight="1">
      <c r="C63863"/>
      <c r="M63863"/>
    </row>
    <row r="63864" spans="3:13" ht="12.75" customHeight="1">
      <c r="C63864"/>
      <c r="M63864"/>
    </row>
    <row r="63865" spans="3:13" ht="12.75" customHeight="1">
      <c r="C63865"/>
      <c r="M63865"/>
    </row>
    <row r="63866" spans="3:13" ht="12.75" customHeight="1">
      <c r="C63866"/>
      <c r="M63866"/>
    </row>
    <row r="63867" spans="3:13" ht="12.75" customHeight="1">
      <c r="C63867"/>
      <c r="M63867"/>
    </row>
    <row r="63868" spans="3:13" ht="12.75" customHeight="1">
      <c r="C63868"/>
      <c r="M63868"/>
    </row>
    <row r="63869" spans="3:13" ht="12.75" customHeight="1">
      <c r="C63869"/>
      <c r="M63869"/>
    </row>
    <row r="63870" spans="3:13" ht="12.75" customHeight="1">
      <c r="C63870"/>
      <c r="M63870"/>
    </row>
    <row r="63871" spans="3:13" ht="12.75" customHeight="1">
      <c r="C63871"/>
      <c r="M63871"/>
    </row>
    <row r="63872" spans="3:13" ht="12.75" customHeight="1">
      <c r="C63872"/>
      <c r="M63872"/>
    </row>
    <row r="63873" spans="3:13" ht="12.75" customHeight="1">
      <c r="C63873"/>
      <c r="M63873"/>
    </row>
    <row r="63874" spans="3:13" ht="12.75" customHeight="1">
      <c r="C63874"/>
      <c r="M63874"/>
    </row>
    <row r="63875" spans="3:13" ht="12.75" customHeight="1">
      <c r="C63875"/>
      <c r="M63875"/>
    </row>
    <row r="63876" spans="3:13" ht="12.75" customHeight="1">
      <c r="C63876"/>
      <c r="M63876"/>
    </row>
    <row r="63877" spans="3:13" ht="12.75" customHeight="1">
      <c r="C63877"/>
      <c r="M63877"/>
    </row>
    <row r="63878" spans="3:13" ht="12.75" customHeight="1">
      <c r="C63878"/>
      <c r="M63878"/>
    </row>
    <row r="63879" spans="3:13" ht="12.75" customHeight="1">
      <c r="C63879"/>
      <c r="M63879"/>
    </row>
    <row r="63880" spans="3:13" ht="12.75" customHeight="1">
      <c r="C63880"/>
      <c r="M63880"/>
    </row>
    <row r="63881" spans="3:13" ht="12.75" customHeight="1">
      <c r="C63881"/>
      <c r="M63881"/>
    </row>
    <row r="63882" spans="3:13" ht="12.75" customHeight="1">
      <c r="C63882"/>
      <c r="M63882"/>
    </row>
    <row r="63883" spans="3:13" ht="12.75" customHeight="1">
      <c r="C63883"/>
      <c r="M63883"/>
    </row>
    <row r="63884" spans="3:13" ht="12.75" customHeight="1">
      <c r="C63884"/>
      <c r="M63884"/>
    </row>
    <row r="63885" spans="3:13" ht="12.75" customHeight="1">
      <c r="C63885"/>
      <c r="M63885"/>
    </row>
    <row r="63886" spans="3:13" ht="12.75" customHeight="1">
      <c r="C63886"/>
      <c r="M63886"/>
    </row>
    <row r="63887" spans="3:13" ht="12.75" customHeight="1">
      <c r="C63887"/>
      <c r="M63887"/>
    </row>
    <row r="63888" spans="3:13" ht="12.75" customHeight="1">
      <c r="C63888"/>
      <c r="M63888"/>
    </row>
    <row r="63889" spans="3:13" ht="12.75" customHeight="1">
      <c r="C63889"/>
      <c r="M63889"/>
    </row>
    <row r="63890" spans="3:13" ht="12.75" customHeight="1">
      <c r="C63890"/>
      <c r="M63890"/>
    </row>
    <row r="63891" spans="3:13" ht="12.75" customHeight="1">
      <c r="C63891"/>
      <c r="M63891"/>
    </row>
    <row r="63892" spans="3:13" ht="12.75" customHeight="1">
      <c r="C63892"/>
      <c r="M63892"/>
    </row>
    <row r="63893" spans="3:13" ht="12.75" customHeight="1">
      <c r="C63893"/>
      <c r="M63893"/>
    </row>
    <row r="63894" spans="3:13" ht="12.75" customHeight="1">
      <c r="C63894"/>
      <c r="M63894"/>
    </row>
    <row r="63895" spans="3:13" ht="12.75" customHeight="1">
      <c r="C63895"/>
      <c r="M63895"/>
    </row>
    <row r="63896" spans="3:13" ht="12.75" customHeight="1">
      <c r="C63896"/>
      <c r="M63896"/>
    </row>
    <row r="63897" spans="3:13" ht="12.75" customHeight="1">
      <c r="C63897"/>
      <c r="M63897"/>
    </row>
    <row r="63898" spans="3:13" ht="12.75" customHeight="1">
      <c r="C63898"/>
      <c r="M63898"/>
    </row>
    <row r="63899" spans="3:13" ht="12.75" customHeight="1">
      <c r="C63899"/>
      <c r="M63899"/>
    </row>
    <row r="63900" spans="3:13" ht="12.75" customHeight="1">
      <c r="C63900"/>
      <c r="M63900"/>
    </row>
    <row r="63901" spans="3:13" ht="12.75" customHeight="1">
      <c r="C63901"/>
      <c r="M63901"/>
    </row>
    <row r="63902" spans="3:13" ht="12.75" customHeight="1">
      <c r="C63902"/>
      <c r="M63902"/>
    </row>
    <row r="63903" spans="3:13" ht="12.75" customHeight="1">
      <c r="C63903"/>
      <c r="M63903"/>
    </row>
    <row r="63904" spans="3:13" ht="12.75" customHeight="1">
      <c r="C63904"/>
      <c r="M63904"/>
    </row>
    <row r="63905" spans="3:13" ht="12.75" customHeight="1">
      <c r="C63905"/>
      <c r="M63905"/>
    </row>
    <row r="63906" spans="3:13" ht="12.75" customHeight="1">
      <c r="C63906"/>
      <c r="M63906"/>
    </row>
    <row r="63907" spans="3:13" ht="12.75" customHeight="1">
      <c r="C63907"/>
      <c r="M63907"/>
    </row>
    <row r="63908" spans="3:13" ht="12.75" customHeight="1">
      <c r="C63908"/>
      <c r="M63908"/>
    </row>
    <row r="63909" spans="3:13" ht="12.75" customHeight="1">
      <c r="C63909"/>
      <c r="M63909"/>
    </row>
    <row r="63910" spans="3:13" ht="12.75" customHeight="1">
      <c r="C63910"/>
      <c r="M63910"/>
    </row>
    <row r="63911" spans="3:13" ht="12.75" customHeight="1">
      <c r="C63911"/>
      <c r="M63911"/>
    </row>
    <row r="63912" spans="3:13" ht="12.75" customHeight="1">
      <c r="C63912"/>
      <c r="M63912"/>
    </row>
    <row r="63913" spans="3:13" ht="12.75" customHeight="1">
      <c r="C63913"/>
      <c r="M63913"/>
    </row>
    <row r="63914" spans="3:13" ht="12.75" customHeight="1">
      <c r="C63914"/>
      <c r="M63914"/>
    </row>
    <row r="63915" spans="3:13" ht="12.75" customHeight="1">
      <c r="C63915"/>
      <c r="M63915"/>
    </row>
    <row r="63916" spans="3:13" ht="12.75" customHeight="1">
      <c r="C63916"/>
      <c r="M63916"/>
    </row>
    <row r="63917" spans="3:13" ht="12.75" customHeight="1">
      <c r="C63917"/>
      <c r="M63917"/>
    </row>
    <row r="63918" spans="3:13" ht="12.75" customHeight="1">
      <c r="C63918"/>
      <c r="M63918"/>
    </row>
    <row r="63919" spans="3:13" ht="12.75" customHeight="1">
      <c r="C63919"/>
      <c r="M63919"/>
    </row>
    <row r="63920" spans="3:13" ht="12.75" customHeight="1">
      <c r="C63920"/>
      <c r="M63920"/>
    </row>
    <row r="63921" spans="3:13" ht="12.75" customHeight="1">
      <c r="C63921"/>
      <c r="M63921"/>
    </row>
    <row r="63922" spans="3:13" ht="12.75" customHeight="1">
      <c r="C63922"/>
      <c r="M63922"/>
    </row>
    <row r="63923" spans="3:13" ht="12.75" customHeight="1">
      <c r="C63923"/>
      <c r="M63923"/>
    </row>
    <row r="63924" spans="3:13" ht="12.75" customHeight="1">
      <c r="C63924"/>
      <c r="M63924"/>
    </row>
    <row r="63925" spans="3:13" ht="12.75" customHeight="1">
      <c r="C63925"/>
      <c r="M63925"/>
    </row>
    <row r="63926" spans="3:13" ht="12.75" customHeight="1">
      <c r="C63926"/>
      <c r="M63926"/>
    </row>
    <row r="63927" spans="3:13" ht="12.75" customHeight="1">
      <c r="C63927"/>
      <c r="M63927"/>
    </row>
    <row r="63928" spans="3:13" ht="12.75" customHeight="1">
      <c r="C63928"/>
      <c r="M63928"/>
    </row>
    <row r="63929" spans="3:13" ht="12.75" customHeight="1">
      <c r="C63929"/>
      <c r="M63929"/>
    </row>
    <row r="63930" spans="3:13" ht="12.75" customHeight="1">
      <c r="C63930"/>
      <c r="M63930"/>
    </row>
    <row r="63931" spans="3:13" ht="12.75" customHeight="1">
      <c r="C63931"/>
      <c r="M63931"/>
    </row>
    <row r="63932" spans="3:13" ht="12.75" customHeight="1">
      <c r="C63932"/>
      <c r="M63932"/>
    </row>
    <row r="63933" spans="3:13" ht="12.75" customHeight="1">
      <c r="C63933"/>
      <c r="M63933"/>
    </row>
    <row r="63934" spans="3:13" ht="12.75" customHeight="1">
      <c r="C63934"/>
      <c r="M63934"/>
    </row>
    <row r="63935" spans="3:13" ht="12.75" customHeight="1">
      <c r="C63935"/>
      <c r="M63935"/>
    </row>
    <row r="63936" spans="3:13" ht="12.75" customHeight="1">
      <c r="C63936"/>
      <c r="M63936"/>
    </row>
    <row r="63937" spans="3:13" ht="12.75" customHeight="1">
      <c r="C63937"/>
      <c r="M63937"/>
    </row>
    <row r="63938" spans="3:13" ht="12.75" customHeight="1">
      <c r="C63938"/>
      <c r="M63938"/>
    </row>
    <row r="63939" spans="3:13" ht="12.75" customHeight="1">
      <c r="C63939"/>
      <c r="M63939"/>
    </row>
    <row r="63940" spans="3:13" ht="12.75" customHeight="1">
      <c r="C63940"/>
      <c r="M63940"/>
    </row>
    <row r="63941" spans="3:13" ht="12.75" customHeight="1">
      <c r="C63941"/>
      <c r="M63941"/>
    </row>
    <row r="63942" spans="3:13" ht="12.75" customHeight="1">
      <c r="C63942"/>
      <c r="M63942"/>
    </row>
    <row r="63943" spans="3:13" ht="12.75" customHeight="1">
      <c r="C63943"/>
      <c r="M63943"/>
    </row>
    <row r="63944" spans="3:13" ht="12.75" customHeight="1">
      <c r="C63944"/>
      <c r="M63944"/>
    </row>
    <row r="63945" spans="3:13" ht="12.75" customHeight="1">
      <c r="C63945"/>
      <c r="M63945"/>
    </row>
    <row r="63946" spans="3:13" ht="12.75" customHeight="1">
      <c r="C63946"/>
      <c r="M63946"/>
    </row>
    <row r="63947" spans="3:13" ht="12.75" customHeight="1">
      <c r="C63947"/>
      <c r="M63947"/>
    </row>
    <row r="63948" spans="3:13" ht="12.75" customHeight="1">
      <c r="C63948"/>
      <c r="M63948"/>
    </row>
    <row r="63949" spans="3:13" ht="12.75" customHeight="1">
      <c r="C63949"/>
      <c r="M63949"/>
    </row>
    <row r="63950" spans="3:13" ht="12.75" customHeight="1">
      <c r="C63950"/>
      <c r="M63950"/>
    </row>
    <row r="63951" spans="3:13" ht="12.75" customHeight="1">
      <c r="C63951"/>
      <c r="M63951"/>
    </row>
    <row r="63952" spans="3:13" ht="12.75" customHeight="1">
      <c r="C63952"/>
      <c r="M63952"/>
    </row>
    <row r="63953" spans="3:13" ht="12.75" customHeight="1">
      <c r="C63953"/>
      <c r="M63953"/>
    </row>
    <row r="63954" spans="3:13" ht="12.75" customHeight="1">
      <c r="C63954"/>
      <c r="M63954"/>
    </row>
    <row r="63955" spans="3:13" ht="12.75" customHeight="1">
      <c r="C63955"/>
      <c r="M63955"/>
    </row>
    <row r="63956" spans="3:13" ht="12.75" customHeight="1">
      <c r="C63956"/>
      <c r="M63956"/>
    </row>
    <row r="63957" spans="3:13" ht="12.75" customHeight="1">
      <c r="C63957"/>
      <c r="M63957"/>
    </row>
    <row r="63958" spans="3:13" ht="12.75" customHeight="1">
      <c r="C63958"/>
      <c r="M63958"/>
    </row>
    <row r="63959" spans="3:13" ht="12.75" customHeight="1">
      <c r="C63959"/>
      <c r="M63959"/>
    </row>
    <row r="63960" spans="3:13" ht="12.75" customHeight="1">
      <c r="C63960"/>
      <c r="M63960"/>
    </row>
    <row r="63961" spans="3:13" ht="12.75" customHeight="1">
      <c r="C63961"/>
      <c r="M63961"/>
    </row>
    <row r="63962" spans="3:13" ht="12.75" customHeight="1">
      <c r="C63962"/>
      <c r="M63962"/>
    </row>
    <row r="63963" spans="3:13" ht="12.75" customHeight="1">
      <c r="C63963"/>
      <c r="M63963"/>
    </row>
    <row r="63964" spans="3:13" ht="12.75" customHeight="1">
      <c r="C63964"/>
      <c r="M63964"/>
    </row>
    <row r="63965" spans="3:13" ht="12.75" customHeight="1">
      <c r="C63965"/>
      <c r="M63965"/>
    </row>
    <row r="63966" spans="3:13" ht="12.75" customHeight="1">
      <c r="C63966"/>
      <c r="M63966"/>
    </row>
    <row r="63967" spans="3:13" ht="12.75" customHeight="1">
      <c r="C63967"/>
      <c r="M63967"/>
    </row>
    <row r="63968" spans="3:13" ht="12.75" customHeight="1">
      <c r="C63968"/>
      <c r="M63968"/>
    </row>
    <row r="63969" spans="3:13" ht="12.75" customHeight="1">
      <c r="C63969"/>
      <c r="M63969"/>
    </row>
    <row r="63970" spans="3:13" ht="12.75" customHeight="1">
      <c r="C63970"/>
      <c r="M63970"/>
    </row>
    <row r="63971" spans="3:13" ht="12.75" customHeight="1">
      <c r="C63971"/>
      <c r="M63971"/>
    </row>
    <row r="63972" spans="3:13" ht="12.75" customHeight="1">
      <c r="C63972"/>
      <c r="M63972"/>
    </row>
    <row r="63973" spans="3:13" ht="12.75" customHeight="1">
      <c r="C63973"/>
      <c r="M63973"/>
    </row>
    <row r="63974" spans="3:13" ht="12.75" customHeight="1">
      <c r="C63974"/>
      <c r="M63974"/>
    </row>
    <row r="63975" spans="3:13" ht="12.75" customHeight="1">
      <c r="C63975"/>
      <c r="M63975"/>
    </row>
    <row r="63976" spans="3:13" ht="12.75" customHeight="1">
      <c r="C63976"/>
      <c r="M63976"/>
    </row>
    <row r="63977" spans="3:13" ht="12.75" customHeight="1">
      <c r="C63977"/>
      <c r="M63977"/>
    </row>
    <row r="63978" spans="3:13" ht="12.75" customHeight="1">
      <c r="C63978"/>
      <c r="M63978"/>
    </row>
    <row r="63979" spans="3:13" ht="12.75" customHeight="1">
      <c r="C63979"/>
      <c r="M63979"/>
    </row>
    <row r="63980" spans="3:13" ht="12.75" customHeight="1">
      <c r="C63980"/>
      <c r="M63980"/>
    </row>
    <row r="63981" spans="3:13" ht="12.75" customHeight="1">
      <c r="C63981"/>
      <c r="M63981"/>
    </row>
    <row r="63982" spans="3:13" ht="12.75" customHeight="1">
      <c r="C63982"/>
      <c r="M63982"/>
    </row>
    <row r="63983" spans="3:13" ht="12.75" customHeight="1">
      <c r="C63983"/>
      <c r="M63983"/>
    </row>
    <row r="63984" spans="3:13" ht="12.75" customHeight="1">
      <c r="C63984"/>
      <c r="M63984"/>
    </row>
    <row r="63985" spans="3:13" ht="12.75" customHeight="1">
      <c r="C63985"/>
      <c r="M63985"/>
    </row>
    <row r="63986" spans="3:13" ht="12.75" customHeight="1">
      <c r="C63986"/>
      <c r="M63986"/>
    </row>
    <row r="63987" spans="3:13" ht="12.75" customHeight="1">
      <c r="C63987"/>
      <c r="M63987"/>
    </row>
    <row r="63988" spans="3:13" ht="12.75" customHeight="1">
      <c r="C63988"/>
      <c r="M63988"/>
    </row>
    <row r="63989" spans="3:13" ht="12.75" customHeight="1">
      <c r="C63989"/>
      <c r="M63989"/>
    </row>
    <row r="63990" spans="3:13" ht="12.75" customHeight="1">
      <c r="C63990"/>
      <c r="M63990"/>
    </row>
    <row r="63991" spans="3:13" ht="12.75" customHeight="1">
      <c r="C63991"/>
      <c r="M63991"/>
    </row>
    <row r="63992" spans="3:13" ht="12.75" customHeight="1">
      <c r="C63992"/>
      <c r="M63992"/>
    </row>
    <row r="63993" spans="3:13" ht="12.75" customHeight="1">
      <c r="C63993"/>
      <c r="M63993"/>
    </row>
    <row r="63994" spans="3:13" ht="12.75" customHeight="1">
      <c r="C63994"/>
      <c r="M63994"/>
    </row>
    <row r="63995" spans="3:13" ht="12.75" customHeight="1">
      <c r="C63995"/>
      <c r="M63995"/>
    </row>
    <row r="63996" spans="3:13" ht="12.75" customHeight="1">
      <c r="C63996"/>
      <c r="M63996"/>
    </row>
    <row r="63997" spans="3:13" ht="12.75" customHeight="1">
      <c r="C63997"/>
      <c r="M63997"/>
    </row>
    <row r="63998" spans="3:13" ht="12.75" customHeight="1">
      <c r="C63998"/>
      <c r="M63998"/>
    </row>
    <row r="63999" spans="3:13" ht="12.75" customHeight="1">
      <c r="C63999"/>
      <c r="M63999"/>
    </row>
    <row r="64000" spans="3:13" ht="12.75" customHeight="1">
      <c r="C64000"/>
      <c r="M64000"/>
    </row>
    <row r="64001" spans="3:13" ht="12.75" customHeight="1">
      <c r="C64001"/>
      <c r="M64001"/>
    </row>
    <row r="64002" spans="3:13" ht="12.75" customHeight="1">
      <c r="C64002"/>
      <c r="M64002"/>
    </row>
    <row r="64003" spans="3:13" ht="12.75" customHeight="1">
      <c r="C64003"/>
      <c r="M64003"/>
    </row>
    <row r="64004" spans="3:13" ht="12.75" customHeight="1">
      <c r="C64004"/>
      <c r="M64004"/>
    </row>
    <row r="64005" spans="3:13" ht="12.75" customHeight="1">
      <c r="C64005"/>
      <c r="M64005"/>
    </row>
    <row r="64006" spans="3:13" ht="12.75" customHeight="1">
      <c r="C64006"/>
      <c r="M64006"/>
    </row>
    <row r="64007" spans="3:13" ht="12.75" customHeight="1">
      <c r="C64007"/>
      <c r="M64007"/>
    </row>
    <row r="64008" spans="3:13" ht="12.75" customHeight="1">
      <c r="C64008"/>
      <c r="M64008"/>
    </row>
    <row r="64009" spans="3:13" ht="12.75" customHeight="1">
      <c r="C64009"/>
      <c r="M64009"/>
    </row>
    <row r="64010" spans="3:13" ht="12.75" customHeight="1">
      <c r="C64010"/>
      <c r="M64010"/>
    </row>
    <row r="64011" spans="3:13" ht="12.75" customHeight="1">
      <c r="C64011"/>
      <c r="M64011"/>
    </row>
    <row r="64012" spans="3:13" ht="12.75" customHeight="1">
      <c r="C64012"/>
      <c r="M64012"/>
    </row>
    <row r="64013" spans="3:13" ht="12.75" customHeight="1">
      <c r="C64013"/>
      <c r="M64013"/>
    </row>
    <row r="64014" spans="3:13" ht="12.75" customHeight="1">
      <c r="C64014"/>
      <c r="M64014"/>
    </row>
    <row r="64015" spans="3:13" ht="12.75" customHeight="1">
      <c r="C64015"/>
      <c r="M64015"/>
    </row>
    <row r="64016" spans="3:13" ht="12.75" customHeight="1">
      <c r="C64016"/>
      <c r="M64016"/>
    </row>
    <row r="64017" spans="3:13" ht="12.75" customHeight="1">
      <c r="C64017"/>
      <c r="M64017"/>
    </row>
    <row r="64018" spans="3:13" ht="12.75" customHeight="1">
      <c r="C64018"/>
      <c r="M64018"/>
    </row>
    <row r="64019" spans="3:13" ht="12.75" customHeight="1">
      <c r="C64019"/>
      <c r="M64019"/>
    </row>
    <row r="64020" spans="3:13" ht="12.75" customHeight="1">
      <c r="C64020"/>
      <c r="M64020"/>
    </row>
    <row r="64021" spans="3:13" ht="12.75" customHeight="1">
      <c r="C64021"/>
      <c r="M64021"/>
    </row>
    <row r="64022" spans="3:13" ht="12.75" customHeight="1">
      <c r="C64022"/>
      <c r="M64022"/>
    </row>
    <row r="64023" spans="3:13" ht="12.75" customHeight="1">
      <c r="C64023"/>
      <c r="M64023"/>
    </row>
    <row r="64024" spans="3:13" ht="12.75" customHeight="1">
      <c r="C64024"/>
      <c r="M64024"/>
    </row>
    <row r="64025" spans="3:13" ht="12.75" customHeight="1">
      <c r="C64025"/>
      <c r="M64025"/>
    </row>
    <row r="64026" spans="3:13" ht="12.75" customHeight="1">
      <c r="C64026"/>
      <c r="M64026"/>
    </row>
    <row r="64027" spans="3:13" ht="12.75" customHeight="1">
      <c r="C64027"/>
      <c r="M64027"/>
    </row>
    <row r="64028" spans="3:13" ht="12.75" customHeight="1">
      <c r="C64028"/>
      <c r="M64028"/>
    </row>
    <row r="64029" spans="3:13" ht="12.75" customHeight="1">
      <c r="C64029"/>
      <c r="M64029"/>
    </row>
    <row r="64030" spans="3:13" ht="12.75" customHeight="1">
      <c r="C64030"/>
      <c r="M64030"/>
    </row>
    <row r="64031" spans="3:13" ht="12.75" customHeight="1">
      <c r="C64031"/>
      <c r="M64031"/>
    </row>
    <row r="64032" spans="3:13" ht="12.75" customHeight="1">
      <c r="C64032"/>
      <c r="M64032"/>
    </row>
    <row r="64033" spans="3:13" ht="12.75" customHeight="1">
      <c r="C64033"/>
      <c r="M64033"/>
    </row>
    <row r="64034" spans="3:13" ht="12.75" customHeight="1">
      <c r="C64034"/>
      <c r="M64034"/>
    </row>
    <row r="64035" spans="3:13" ht="12.75" customHeight="1">
      <c r="C64035"/>
      <c r="M64035"/>
    </row>
    <row r="64036" spans="3:13" ht="12.75" customHeight="1">
      <c r="C64036"/>
      <c r="M64036"/>
    </row>
    <row r="64037" spans="3:13" ht="12.75" customHeight="1">
      <c r="C64037"/>
      <c r="M64037"/>
    </row>
    <row r="64038" spans="3:13" ht="12.75" customHeight="1">
      <c r="C64038"/>
      <c r="M64038"/>
    </row>
    <row r="64039" spans="3:13" ht="12.75" customHeight="1">
      <c r="C64039"/>
      <c r="M64039"/>
    </row>
    <row r="64040" spans="3:13" ht="12.75" customHeight="1">
      <c r="C64040"/>
      <c r="M64040"/>
    </row>
    <row r="64041" spans="3:13" ht="12.75" customHeight="1">
      <c r="C64041"/>
      <c r="M64041"/>
    </row>
    <row r="64042" spans="3:13" ht="12.75" customHeight="1">
      <c r="C64042"/>
      <c r="M64042"/>
    </row>
    <row r="64043" spans="3:13" ht="12.75" customHeight="1">
      <c r="C64043"/>
      <c r="M64043"/>
    </row>
    <row r="64044" spans="3:13" ht="12.75" customHeight="1">
      <c r="C64044"/>
      <c r="M64044"/>
    </row>
    <row r="64045" spans="3:13" ht="12.75" customHeight="1">
      <c r="C64045"/>
      <c r="M64045"/>
    </row>
    <row r="64046" spans="3:13" ht="12.75" customHeight="1">
      <c r="C64046"/>
      <c r="M64046"/>
    </row>
    <row r="64047" spans="3:13" ht="12.75" customHeight="1">
      <c r="C64047"/>
      <c r="M64047"/>
    </row>
    <row r="64048" spans="3:13" ht="12.75" customHeight="1">
      <c r="C64048"/>
      <c r="M64048"/>
    </row>
    <row r="64049" spans="3:13" ht="12.75" customHeight="1">
      <c r="C64049"/>
      <c r="M64049"/>
    </row>
    <row r="64050" spans="3:13" ht="12.75" customHeight="1">
      <c r="C64050"/>
      <c r="M64050"/>
    </row>
    <row r="64051" spans="3:13" ht="12.75" customHeight="1">
      <c r="C64051"/>
      <c r="M64051"/>
    </row>
    <row r="64052" spans="3:13" ht="12.75" customHeight="1">
      <c r="C64052"/>
      <c r="M64052"/>
    </row>
    <row r="64053" spans="3:13" ht="12.75" customHeight="1">
      <c r="C64053"/>
      <c r="M64053"/>
    </row>
    <row r="64054" spans="3:13" ht="12.75" customHeight="1">
      <c r="C64054"/>
      <c r="M64054"/>
    </row>
    <row r="64055" spans="3:13" ht="12.75" customHeight="1">
      <c r="C64055"/>
      <c r="M64055"/>
    </row>
    <row r="64056" spans="3:13" ht="12.75" customHeight="1">
      <c r="C64056"/>
      <c r="M64056"/>
    </row>
    <row r="64057" spans="3:13" ht="12.75" customHeight="1">
      <c r="C64057"/>
      <c r="M64057"/>
    </row>
    <row r="64058" spans="3:13" ht="12.75" customHeight="1">
      <c r="C64058"/>
      <c r="M64058"/>
    </row>
    <row r="64059" spans="3:13" ht="12.75" customHeight="1">
      <c r="C64059"/>
      <c r="M64059"/>
    </row>
    <row r="64060" spans="3:13" ht="12.75" customHeight="1">
      <c r="C64060"/>
      <c r="M64060"/>
    </row>
    <row r="64061" spans="3:13" ht="12.75" customHeight="1">
      <c r="C64061"/>
      <c r="M64061"/>
    </row>
    <row r="64062" spans="3:13" ht="12.75" customHeight="1">
      <c r="C64062"/>
      <c r="M64062"/>
    </row>
    <row r="64063" spans="3:13" ht="12.75" customHeight="1">
      <c r="C64063"/>
      <c r="M64063"/>
    </row>
    <row r="64064" spans="3:13" ht="12.75" customHeight="1">
      <c r="C64064"/>
      <c r="M64064"/>
    </row>
    <row r="64065" spans="3:13" ht="12.75" customHeight="1">
      <c r="C64065"/>
      <c r="M64065"/>
    </row>
    <row r="64066" spans="3:13" ht="12.75" customHeight="1">
      <c r="C64066"/>
      <c r="M64066"/>
    </row>
    <row r="64067" spans="3:13" ht="12.75" customHeight="1">
      <c r="C64067"/>
      <c r="M64067"/>
    </row>
    <row r="64068" spans="3:13" ht="12.75" customHeight="1">
      <c r="C64068"/>
      <c r="M64068"/>
    </row>
    <row r="64069" spans="3:13" ht="12.75" customHeight="1">
      <c r="C64069"/>
      <c r="M64069"/>
    </row>
    <row r="64070" spans="3:13" ht="12.75" customHeight="1">
      <c r="C64070"/>
      <c r="M64070"/>
    </row>
    <row r="64071" spans="3:13" ht="12.75" customHeight="1">
      <c r="C64071"/>
      <c r="M64071"/>
    </row>
    <row r="64072" spans="3:13" ht="12.75" customHeight="1">
      <c r="C64072"/>
      <c r="M64072"/>
    </row>
    <row r="64073" spans="3:13" ht="12.75" customHeight="1">
      <c r="C64073"/>
      <c r="M64073"/>
    </row>
    <row r="64074" spans="3:13" ht="12.75" customHeight="1">
      <c r="C64074"/>
      <c r="M64074"/>
    </row>
    <row r="64075" spans="3:13" ht="12.75" customHeight="1">
      <c r="C64075"/>
      <c r="M64075"/>
    </row>
    <row r="64076" spans="3:13" ht="12.75" customHeight="1">
      <c r="C64076"/>
      <c r="M64076"/>
    </row>
    <row r="64077" spans="3:13" ht="12.75" customHeight="1">
      <c r="C64077"/>
      <c r="M64077"/>
    </row>
    <row r="64078" spans="3:13" ht="12.75" customHeight="1">
      <c r="C64078"/>
      <c r="M64078"/>
    </row>
    <row r="64079" spans="3:13" ht="12.75" customHeight="1">
      <c r="C64079"/>
      <c r="M64079"/>
    </row>
    <row r="64080" spans="3:13" ht="12.75" customHeight="1">
      <c r="C64080"/>
      <c r="M64080"/>
    </row>
    <row r="64081" spans="3:13" ht="12.75" customHeight="1">
      <c r="C64081"/>
      <c r="M64081"/>
    </row>
    <row r="64082" spans="3:13" ht="12.75" customHeight="1">
      <c r="C64082"/>
      <c r="M64082"/>
    </row>
    <row r="64083" spans="3:13" ht="12.75" customHeight="1">
      <c r="C64083"/>
      <c r="M64083"/>
    </row>
    <row r="64084" spans="3:13" ht="12.75" customHeight="1">
      <c r="C64084"/>
      <c r="M64084"/>
    </row>
    <row r="64085" spans="3:13" ht="12.75" customHeight="1">
      <c r="C64085"/>
      <c r="M64085"/>
    </row>
    <row r="64086" spans="3:13" ht="12.75" customHeight="1">
      <c r="C64086"/>
      <c r="M64086"/>
    </row>
    <row r="64087" spans="3:13" ht="12.75" customHeight="1">
      <c r="C64087"/>
      <c r="M64087"/>
    </row>
    <row r="64088" spans="3:13" ht="12.75" customHeight="1">
      <c r="C64088"/>
      <c r="M64088"/>
    </row>
    <row r="64089" spans="3:13" ht="12.75" customHeight="1">
      <c r="C64089"/>
      <c r="M64089"/>
    </row>
    <row r="64090" spans="3:13" ht="12.75" customHeight="1">
      <c r="C64090"/>
      <c r="M64090"/>
    </row>
    <row r="64091" spans="3:13" ht="12.75" customHeight="1">
      <c r="C64091"/>
      <c r="M64091"/>
    </row>
    <row r="64092" spans="3:13" ht="12.75" customHeight="1">
      <c r="C64092"/>
      <c r="M64092"/>
    </row>
    <row r="64093" spans="3:13" ht="12.75" customHeight="1">
      <c r="C64093"/>
      <c r="M64093"/>
    </row>
    <row r="64094" spans="3:13" ht="12.75" customHeight="1">
      <c r="C64094"/>
      <c r="M64094"/>
    </row>
    <row r="64095" spans="3:13" ht="12.75" customHeight="1">
      <c r="C64095"/>
      <c r="M64095"/>
    </row>
    <row r="64096" spans="3:13" ht="12.75" customHeight="1">
      <c r="C64096"/>
      <c r="M64096"/>
    </row>
    <row r="64097" spans="3:13" ht="12.75" customHeight="1">
      <c r="C64097"/>
      <c r="M64097"/>
    </row>
    <row r="64098" spans="3:13" ht="12.75" customHeight="1">
      <c r="C64098"/>
      <c r="M64098"/>
    </row>
    <row r="64099" spans="3:13" ht="12.75" customHeight="1">
      <c r="C64099"/>
      <c r="M64099"/>
    </row>
    <row r="64100" spans="3:13" ht="12.75" customHeight="1">
      <c r="C64100"/>
      <c r="M64100"/>
    </row>
    <row r="64101" spans="3:13" ht="12.75" customHeight="1">
      <c r="C64101"/>
      <c r="M64101"/>
    </row>
    <row r="64102" spans="3:13" ht="12.75" customHeight="1">
      <c r="C64102"/>
      <c r="M64102"/>
    </row>
    <row r="64103" spans="3:13" ht="12.75" customHeight="1">
      <c r="C64103"/>
      <c r="M64103"/>
    </row>
    <row r="64104" spans="3:13" ht="12.75" customHeight="1">
      <c r="C64104"/>
      <c r="M64104"/>
    </row>
    <row r="64105" spans="3:13" ht="12.75" customHeight="1">
      <c r="C64105"/>
      <c r="M64105"/>
    </row>
    <row r="64106" spans="3:13" ht="12.75" customHeight="1">
      <c r="C64106"/>
      <c r="M64106"/>
    </row>
    <row r="64107" spans="3:13" ht="12.75" customHeight="1">
      <c r="C64107"/>
      <c r="M64107"/>
    </row>
    <row r="64108" spans="3:13" ht="12.75" customHeight="1">
      <c r="C64108"/>
      <c r="M64108"/>
    </row>
    <row r="64109" spans="3:13" ht="12.75" customHeight="1">
      <c r="C64109"/>
      <c r="M64109"/>
    </row>
    <row r="64110" spans="3:13" ht="12.75" customHeight="1">
      <c r="C64110"/>
      <c r="M64110"/>
    </row>
    <row r="64111" spans="3:13" ht="12.75" customHeight="1">
      <c r="C64111"/>
      <c r="M64111"/>
    </row>
    <row r="64112" spans="3:13" ht="12.75" customHeight="1">
      <c r="C64112"/>
      <c r="M64112"/>
    </row>
    <row r="64113" spans="3:13" ht="12.75" customHeight="1">
      <c r="C64113"/>
      <c r="M64113"/>
    </row>
    <row r="64114" spans="3:13" ht="12.75" customHeight="1">
      <c r="C64114"/>
      <c r="M64114"/>
    </row>
    <row r="64115" spans="3:13" ht="12.75" customHeight="1">
      <c r="C64115"/>
      <c r="M64115"/>
    </row>
    <row r="64116" spans="3:13" ht="12.75" customHeight="1">
      <c r="C64116"/>
      <c r="M64116"/>
    </row>
    <row r="64117" spans="3:13" ht="12.75" customHeight="1">
      <c r="C64117"/>
      <c r="M64117"/>
    </row>
    <row r="64118" spans="3:13" ht="12.75" customHeight="1">
      <c r="C64118"/>
      <c r="M64118"/>
    </row>
    <row r="64119" spans="3:13" ht="12.75" customHeight="1">
      <c r="C64119"/>
      <c r="M64119"/>
    </row>
    <row r="64120" spans="3:13" ht="12.75" customHeight="1">
      <c r="C64120"/>
      <c r="M64120"/>
    </row>
    <row r="64121" spans="3:13" ht="12.75" customHeight="1">
      <c r="C64121"/>
      <c r="M64121"/>
    </row>
    <row r="64122" spans="3:13" ht="12.75" customHeight="1">
      <c r="C64122"/>
      <c r="M64122"/>
    </row>
    <row r="64123" spans="3:13" ht="12.75" customHeight="1">
      <c r="C64123"/>
      <c r="M64123"/>
    </row>
    <row r="64124" spans="3:13" ht="12.75" customHeight="1">
      <c r="C64124"/>
      <c r="M64124"/>
    </row>
    <row r="64125" spans="3:13" ht="12.75" customHeight="1">
      <c r="C64125"/>
      <c r="M64125"/>
    </row>
    <row r="64126" spans="3:13" ht="12.75" customHeight="1">
      <c r="C64126"/>
      <c r="M64126"/>
    </row>
    <row r="64127" spans="3:13" ht="12.75" customHeight="1">
      <c r="C64127"/>
      <c r="M64127"/>
    </row>
    <row r="64128" spans="3:13" ht="12.75" customHeight="1">
      <c r="C64128"/>
      <c r="M64128"/>
    </row>
    <row r="64129" spans="3:13" ht="12.75" customHeight="1">
      <c r="C64129"/>
      <c r="M64129"/>
    </row>
    <row r="64130" spans="3:13" ht="12.75" customHeight="1">
      <c r="C64130"/>
      <c r="M64130"/>
    </row>
    <row r="64131" spans="3:13" ht="12.75" customHeight="1">
      <c r="C64131"/>
      <c r="M64131"/>
    </row>
    <row r="64132" spans="3:13" ht="12.75" customHeight="1">
      <c r="C64132"/>
      <c r="M64132"/>
    </row>
    <row r="64133" spans="3:13" ht="12.75" customHeight="1">
      <c r="C64133"/>
      <c r="M64133"/>
    </row>
    <row r="64134" spans="3:13" ht="12.75" customHeight="1">
      <c r="C64134"/>
      <c r="M64134"/>
    </row>
    <row r="64135" spans="3:13" ht="12.75" customHeight="1">
      <c r="C64135"/>
      <c r="M64135"/>
    </row>
    <row r="64136" spans="3:13" ht="12.75" customHeight="1">
      <c r="C64136"/>
      <c r="M64136"/>
    </row>
    <row r="64137" spans="3:13" ht="12.75" customHeight="1">
      <c r="C64137"/>
      <c r="M64137"/>
    </row>
    <row r="64138" spans="3:13" ht="12.75" customHeight="1">
      <c r="C64138"/>
      <c r="M64138"/>
    </row>
    <row r="64139" spans="3:13" ht="12.75" customHeight="1">
      <c r="C64139"/>
      <c r="M64139"/>
    </row>
    <row r="64140" spans="3:13" ht="12.75" customHeight="1">
      <c r="C64140"/>
      <c r="M64140"/>
    </row>
    <row r="64141" spans="3:13" ht="12.75" customHeight="1">
      <c r="C64141"/>
      <c r="M64141"/>
    </row>
    <row r="64142" spans="3:13" ht="12.75" customHeight="1">
      <c r="C64142"/>
      <c r="M64142"/>
    </row>
    <row r="64143" spans="3:13" ht="12.75" customHeight="1">
      <c r="C64143"/>
      <c r="M64143"/>
    </row>
    <row r="64144" spans="3:13" ht="12.75" customHeight="1">
      <c r="C64144"/>
      <c r="M64144"/>
    </row>
    <row r="64145" spans="3:13" ht="12.75" customHeight="1">
      <c r="C64145"/>
      <c r="M64145"/>
    </row>
    <row r="64146" spans="3:13" ht="12.75" customHeight="1">
      <c r="C64146"/>
      <c r="M64146"/>
    </row>
    <row r="64147" spans="3:13" ht="12.75" customHeight="1">
      <c r="C64147"/>
      <c r="M64147"/>
    </row>
    <row r="64148" spans="3:13" ht="12.75" customHeight="1">
      <c r="C64148"/>
      <c r="M64148"/>
    </row>
    <row r="64149" spans="3:13" ht="12.75" customHeight="1">
      <c r="C64149"/>
      <c r="M64149"/>
    </row>
    <row r="64150" spans="3:13" ht="12.75" customHeight="1">
      <c r="C64150"/>
      <c r="M64150"/>
    </row>
    <row r="64151" spans="3:13" ht="12.75" customHeight="1">
      <c r="C64151"/>
      <c r="M64151"/>
    </row>
    <row r="64152" spans="3:13" ht="12.75" customHeight="1">
      <c r="C64152"/>
      <c r="M64152"/>
    </row>
    <row r="64153" spans="3:13" ht="12.75" customHeight="1">
      <c r="C64153"/>
      <c r="M64153"/>
    </row>
    <row r="64154" spans="3:13" ht="12.75" customHeight="1">
      <c r="C64154"/>
      <c r="M64154"/>
    </row>
    <row r="64155" spans="3:13" ht="12.75" customHeight="1">
      <c r="C64155"/>
      <c r="M64155"/>
    </row>
    <row r="64156" spans="3:13" ht="12.75" customHeight="1">
      <c r="C64156"/>
      <c r="M64156"/>
    </row>
    <row r="64157" spans="3:13" ht="12.75" customHeight="1">
      <c r="C64157"/>
      <c r="M64157"/>
    </row>
    <row r="64158" spans="3:13" ht="12.75" customHeight="1">
      <c r="C64158"/>
      <c r="M64158"/>
    </row>
    <row r="64159" spans="3:13" ht="12.75" customHeight="1">
      <c r="C64159"/>
      <c r="M64159"/>
    </row>
    <row r="64160" spans="3:13" ht="12.75" customHeight="1">
      <c r="C64160"/>
      <c r="M64160"/>
    </row>
    <row r="64161" spans="3:13" ht="12.75" customHeight="1">
      <c r="C64161"/>
      <c r="M64161"/>
    </row>
    <row r="64162" spans="3:13" ht="12.75" customHeight="1">
      <c r="C64162"/>
      <c r="M64162"/>
    </row>
    <row r="64163" spans="3:13" ht="12.75" customHeight="1">
      <c r="C64163"/>
      <c r="M64163"/>
    </row>
    <row r="64164" spans="3:13" ht="12.75" customHeight="1">
      <c r="C64164"/>
      <c r="M64164"/>
    </row>
    <row r="64165" spans="3:13" ht="12.75" customHeight="1">
      <c r="C64165"/>
      <c r="M64165"/>
    </row>
    <row r="64166" spans="3:13" ht="12.75" customHeight="1">
      <c r="C64166"/>
      <c r="M64166"/>
    </row>
    <row r="64167" spans="3:13" ht="12.75" customHeight="1">
      <c r="C64167"/>
      <c r="M64167"/>
    </row>
    <row r="64168" spans="3:13" ht="12.75" customHeight="1">
      <c r="C64168"/>
      <c r="M64168"/>
    </row>
    <row r="64169" spans="3:13" ht="12.75" customHeight="1">
      <c r="C64169"/>
      <c r="M64169"/>
    </row>
    <row r="64170" spans="3:13" ht="12.75" customHeight="1">
      <c r="C64170"/>
      <c r="M64170"/>
    </row>
    <row r="64171" spans="3:13" ht="12.75" customHeight="1">
      <c r="C64171"/>
      <c r="M64171"/>
    </row>
    <row r="64172" spans="3:13" ht="12.75" customHeight="1">
      <c r="C64172"/>
      <c r="M64172"/>
    </row>
    <row r="64173" spans="3:13" ht="12.75" customHeight="1">
      <c r="C64173"/>
      <c r="M64173"/>
    </row>
    <row r="64174" spans="3:13" ht="12.75" customHeight="1">
      <c r="C64174"/>
      <c r="M64174"/>
    </row>
    <row r="64175" spans="3:13" ht="12.75" customHeight="1">
      <c r="C64175"/>
      <c r="M64175"/>
    </row>
    <row r="64176" spans="3:13" ht="12.75" customHeight="1">
      <c r="C64176"/>
      <c r="M64176"/>
    </row>
    <row r="64177" spans="3:13" ht="12.75" customHeight="1">
      <c r="C64177"/>
      <c r="M64177"/>
    </row>
    <row r="64178" spans="3:13" ht="12.75" customHeight="1">
      <c r="C64178"/>
      <c r="M64178"/>
    </row>
    <row r="64179" spans="3:13" ht="12.75" customHeight="1">
      <c r="C64179"/>
      <c r="M64179"/>
    </row>
    <row r="64180" spans="3:13" ht="12.75" customHeight="1">
      <c r="C64180"/>
      <c r="M64180"/>
    </row>
    <row r="64181" spans="3:13" ht="12.75" customHeight="1">
      <c r="C64181"/>
      <c r="M64181"/>
    </row>
    <row r="64182" spans="3:13" ht="12.75" customHeight="1">
      <c r="C64182"/>
      <c r="M64182"/>
    </row>
    <row r="64183" spans="3:13" ht="12.75" customHeight="1">
      <c r="C64183"/>
      <c r="M64183"/>
    </row>
    <row r="64184" spans="3:13" ht="12.75" customHeight="1">
      <c r="C64184"/>
      <c r="M64184"/>
    </row>
    <row r="64185" spans="3:13" ht="12.75" customHeight="1">
      <c r="C64185"/>
      <c r="M64185"/>
    </row>
    <row r="64186" spans="3:13" ht="12.75" customHeight="1">
      <c r="C64186"/>
      <c r="M64186"/>
    </row>
    <row r="64187" spans="3:13" ht="12.75" customHeight="1">
      <c r="C64187"/>
      <c r="M64187"/>
    </row>
    <row r="64188" spans="3:13" ht="12.75" customHeight="1">
      <c r="C64188"/>
      <c r="M64188"/>
    </row>
    <row r="64189" spans="3:13" ht="12.75" customHeight="1">
      <c r="C64189"/>
      <c r="M64189"/>
    </row>
    <row r="64190" spans="3:13" ht="12.75" customHeight="1">
      <c r="C64190"/>
      <c r="M64190"/>
    </row>
    <row r="64191" spans="3:13" ht="12.75" customHeight="1">
      <c r="C64191"/>
      <c r="M64191"/>
    </row>
    <row r="64192" spans="3:13" ht="12.75" customHeight="1">
      <c r="C64192"/>
      <c r="M64192"/>
    </row>
    <row r="64193" spans="3:13" ht="12.75" customHeight="1">
      <c r="C64193"/>
      <c r="M64193"/>
    </row>
    <row r="64194" spans="3:13" ht="12.75" customHeight="1">
      <c r="C64194"/>
      <c r="M64194"/>
    </row>
    <row r="64195" spans="3:13" ht="12.75" customHeight="1">
      <c r="C64195"/>
      <c r="M64195"/>
    </row>
    <row r="64196" spans="3:13" ht="12.75" customHeight="1">
      <c r="C64196"/>
      <c r="M64196"/>
    </row>
    <row r="64197" spans="3:13" ht="12.75" customHeight="1">
      <c r="C64197"/>
      <c r="M64197"/>
    </row>
    <row r="64198" spans="3:13" ht="12.75" customHeight="1">
      <c r="C64198"/>
      <c r="M64198"/>
    </row>
    <row r="64199" spans="3:13" ht="12.75" customHeight="1">
      <c r="C64199"/>
      <c r="M64199"/>
    </row>
    <row r="64200" spans="3:13" ht="12.75" customHeight="1">
      <c r="C64200"/>
      <c r="M64200"/>
    </row>
    <row r="64201" spans="3:13" ht="12.75" customHeight="1">
      <c r="C64201"/>
      <c r="M64201"/>
    </row>
    <row r="64202" spans="3:13" ht="12.75" customHeight="1">
      <c r="C64202"/>
      <c r="M64202"/>
    </row>
    <row r="64203" spans="3:13" ht="12.75" customHeight="1">
      <c r="C64203"/>
      <c r="M64203"/>
    </row>
    <row r="64204" spans="3:13" ht="12.75" customHeight="1">
      <c r="C64204"/>
      <c r="M64204"/>
    </row>
    <row r="64205" spans="3:13" ht="12.75" customHeight="1">
      <c r="C64205"/>
      <c r="M64205"/>
    </row>
    <row r="64206" spans="3:13" ht="12.75" customHeight="1">
      <c r="C64206"/>
      <c r="M64206"/>
    </row>
    <row r="64207" spans="3:13" ht="12.75" customHeight="1">
      <c r="C64207"/>
      <c r="M64207"/>
    </row>
    <row r="64208" spans="3:13" ht="12.75" customHeight="1">
      <c r="C64208"/>
      <c r="M64208"/>
    </row>
    <row r="64209" spans="3:13" ht="12.75" customHeight="1">
      <c r="C64209"/>
      <c r="M64209"/>
    </row>
    <row r="64210" spans="3:13" ht="12.75" customHeight="1">
      <c r="C64210"/>
      <c r="M64210"/>
    </row>
    <row r="64211" spans="3:13" ht="12.75" customHeight="1">
      <c r="C64211"/>
      <c r="M64211"/>
    </row>
    <row r="64212" spans="3:13" ht="12.75" customHeight="1">
      <c r="C64212"/>
      <c r="M64212"/>
    </row>
    <row r="64213" spans="3:13" ht="12.75" customHeight="1">
      <c r="C64213"/>
      <c r="M64213"/>
    </row>
    <row r="64214" spans="3:13" ht="12.75" customHeight="1">
      <c r="C64214"/>
      <c r="M64214"/>
    </row>
    <row r="64215" spans="3:13" ht="12.75" customHeight="1">
      <c r="C64215"/>
      <c r="M64215"/>
    </row>
    <row r="64216" spans="3:13" ht="12.75" customHeight="1">
      <c r="C64216"/>
      <c r="M64216"/>
    </row>
    <row r="64217" spans="3:13" ht="12.75" customHeight="1">
      <c r="C64217"/>
      <c r="M64217"/>
    </row>
    <row r="64218" spans="3:13" ht="12.75" customHeight="1">
      <c r="C64218"/>
      <c r="M64218"/>
    </row>
    <row r="64219" spans="3:13" ht="12.75" customHeight="1">
      <c r="C64219"/>
      <c r="M64219"/>
    </row>
    <row r="64220" spans="3:13" ht="12.75" customHeight="1">
      <c r="C64220"/>
      <c r="M64220"/>
    </row>
    <row r="64221" spans="3:13" ht="12.75" customHeight="1">
      <c r="C64221"/>
      <c r="M64221"/>
    </row>
    <row r="64222" spans="3:13" ht="12.75" customHeight="1">
      <c r="C64222"/>
      <c r="M64222"/>
    </row>
    <row r="64223" spans="3:13" ht="12.75" customHeight="1">
      <c r="C64223"/>
      <c r="M64223"/>
    </row>
    <row r="64224" spans="3:13" ht="12.75" customHeight="1">
      <c r="C64224"/>
      <c r="M64224"/>
    </row>
    <row r="64225" spans="3:13" ht="12.75" customHeight="1">
      <c r="C64225"/>
      <c r="M64225"/>
    </row>
    <row r="64226" spans="3:13" ht="12.75" customHeight="1">
      <c r="C64226"/>
      <c r="M64226"/>
    </row>
    <row r="64227" spans="3:13" ht="12.75" customHeight="1">
      <c r="C64227"/>
      <c r="M64227"/>
    </row>
    <row r="64228" spans="3:13" ht="12.75" customHeight="1">
      <c r="C64228"/>
      <c r="M64228"/>
    </row>
    <row r="64229" spans="3:13" ht="12.75" customHeight="1">
      <c r="C64229"/>
      <c r="M64229"/>
    </row>
    <row r="64230" spans="3:13" ht="12.75" customHeight="1">
      <c r="C64230"/>
      <c r="M64230"/>
    </row>
    <row r="64231" spans="3:13" ht="12.75" customHeight="1">
      <c r="C64231"/>
      <c r="M64231"/>
    </row>
    <row r="64232" spans="3:13" ht="12.75" customHeight="1">
      <c r="C64232"/>
      <c r="M64232"/>
    </row>
    <row r="64233" spans="3:13" ht="12.75" customHeight="1">
      <c r="C64233"/>
      <c r="M64233"/>
    </row>
    <row r="64234" spans="3:13" ht="12.75" customHeight="1">
      <c r="C64234"/>
      <c r="M64234"/>
    </row>
    <row r="64235" spans="3:13" ht="12.75" customHeight="1">
      <c r="C64235"/>
      <c r="M64235"/>
    </row>
    <row r="64236" spans="3:13" ht="12.75" customHeight="1">
      <c r="C64236"/>
      <c r="M64236"/>
    </row>
    <row r="64237" spans="3:13" ht="12.75" customHeight="1">
      <c r="C64237"/>
      <c r="M64237"/>
    </row>
    <row r="64238" spans="3:13" ht="12.75" customHeight="1">
      <c r="C64238"/>
      <c r="M64238"/>
    </row>
    <row r="64239" spans="3:13" ht="12.75" customHeight="1">
      <c r="C64239"/>
      <c r="M64239"/>
    </row>
    <row r="64240" spans="3:13" ht="12.75" customHeight="1">
      <c r="C64240"/>
      <c r="M64240"/>
    </row>
    <row r="64241" spans="3:13" ht="12.75" customHeight="1">
      <c r="C64241"/>
      <c r="M64241"/>
    </row>
    <row r="64242" spans="3:13" ht="12.75" customHeight="1">
      <c r="C64242"/>
      <c r="M64242"/>
    </row>
    <row r="64243" spans="3:13" ht="12.75" customHeight="1">
      <c r="C64243"/>
      <c r="M64243"/>
    </row>
    <row r="64244" spans="3:13" ht="12.75" customHeight="1">
      <c r="C64244"/>
      <c r="M64244"/>
    </row>
    <row r="64245" spans="3:13" ht="12.75" customHeight="1">
      <c r="C64245"/>
      <c r="M64245"/>
    </row>
    <row r="64246" spans="3:13" ht="12.75" customHeight="1">
      <c r="C64246"/>
      <c r="M64246"/>
    </row>
    <row r="64247" spans="3:13" ht="12.75" customHeight="1">
      <c r="C64247"/>
      <c r="M64247"/>
    </row>
    <row r="64248" spans="3:13" ht="12.75" customHeight="1">
      <c r="C64248"/>
      <c r="M64248"/>
    </row>
    <row r="64249" spans="3:13" ht="12.75" customHeight="1">
      <c r="C64249"/>
      <c r="M64249"/>
    </row>
    <row r="64250" spans="3:13" ht="12.75" customHeight="1">
      <c r="C64250"/>
      <c r="M64250"/>
    </row>
    <row r="64251" spans="3:13" ht="12.75" customHeight="1">
      <c r="C64251"/>
      <c r="M64251"/>
    </row>
    <row r="64252" spans="3:13" ht="12.75" customHeight="1">
      <c r="C64252"/>
      <c r="M64252"/>
    </row>
    <row r="64253" spans="3:13" ht="12.75" customHeight="1">
      <c r="C64253"/>
      <c r="M64253"/>
    </row>
    <row r="64254" spans="3:13" ht="12.75" customHeight="1">
      <c r="C64254"/>
      <c r="M64254"/>
    </row>
    <row r="64255" spans="3:13" ht="12.75" customHeight="1">
      <c r="C64255"/>
      <c r="M64255"/>
    </row>
    <row r="64256" spans="3:13" ht="12.75" customHeight="1">
      <c r="C64256"/>
      <c r="M64256"/>
    </row>
    <row r="64257" spans="3:13" ht="12.75" customHeight="1">
      <c r="C64257"/>
      <c r="M64257"/>
    </row>
    <row r="64258" spans="3:13" ht="12.75" customHeight="1">
      <c r="C64258"/>
      <c r="M64258"/>
    </row>
    <row r="64259" spans="3:13" ht="12.75" customHeight="1">
      <c r="C64259"/>
      <c r="M64259"/>
    </row>
    <row r="64260" spans="3:13" ht="12.75" customHeight="1">
      <c r="C64260"/>
      <c r="M64260"/>
    </row>
    <row r="64261" spans="3:13" ht="12.75" customHeight="1">
      <c r="C64261"/>
      <c r="M64261"/>
    </row>
    <row r="64262" spans="3:13" ht="12.75" customHeight="1">
      <c r="C64262"/>
      <c r="M64262"/>
    </row>
    <row r="64263" spans="3:13" ht="12.75" customHeight="1">
      <c r="C64263"/>
      <c r="M64263"/>
    </row>
    <row r="64264" spans="3:13" ht="12.75" customHeight="1">
      <c r="C64264"/>
      <c r="M64264"/>
    </row>
    <row r="64265" spans="3:13" ht="12.75" customHeight="1">
      <c r="C64265"/>
      <c r="M64265"/>
    </row>
    <row r="64266" spans="3:13" ht="12.75" customHeight="1">
      <c r="C64266"/>
      <c r="M64266"/>
    </row>
    <row r="64267" spans="3:13" ht="12.75" customHeight="1">
      <c r="C64267"/>
      <c r="M64267"/>
    </row>
    <row r="64268" spans="3:13" ht="12.75" customHeight="1">
      <c r="C64268"/>
      <c r="M64268"/>
    </row>
    <row r="64269" spans="3:13" ht="12.75" customHeight="1">
      <c r="C64269"/>
      <c r="M64269"/>
    </row>
    <row r="64270" spans="3:13" ht="12.75" customHeight="1">
      <c r="C64270"/>
      <c r="M64270"/>
    </row>
    <row r="64271" spans="3:13" ht="12.75" customHeight="1">
      <c r="C64271"/>
      <c r="M64271"/>
    </row>
    <row r="64272" spans="3:13" ht="12.75" customHeight="1">
      <c r="C64272"/>
      <c r="M64272"/>
    </row>
    <row r="64273" spans="3:13" ht="12.75" customHeight="1">
      <c r="C64273"/>
      <c r="M64273"/>
    </row>
    <row r="64274" spans="3:13" ht="12.75" customHeight="1">
      <c r="C64274"/>
      <c r="M64274"/>
    </row>
    <row r="64275" spans="3:13" ht="12.75" customHeight="1">
      <c r="C64275"/>
      <c r="M64275"/>
    </row>
    <row r="64276" spans="3:13" ht="12.75" customHeight="1">
      <c r="C64276"/>
      <c r="M64276"/>
    </row>
    <row r="64277" spans="3:13" ht="12.75" customHeight="1">
      <c r="C64277"/>
      <c r="M64277"/>
    </row>
    <row r="64278" spans="3:13" ht="12.75" customHeight="1">
      <c r="C64278"/>
      <c r="M64278"/>
    </row>
    <row r="64279" spans="3:13" ht="12.75" customHeight="1">
      <c r="C64279"/>
      <c r="M64279"/>
    </row>
    <row r="64280" spans="3:13" ht="12.75" customHeight="1">
      <c r="C64280"/>
      <c r="M64280"/>
    </row>
    <row r="64281" spans="3:13" ht="12.75" customHeight="1">
      <c r="C64281"/>
      <c r="M64281"/>
    </row>
    <row r="64282" spans="3:13" ht="12.75" customHeight="1">
      <c r="C64282"/>
      <c r="M64282"/>
    </row>
    <row r="64283" spans="3:13" ht="12.75" customHeight="1">
      <c r="C64283"/>
      <c r="M64283"/>
    </row>
    <row r="64284" spans="3:13" ht="12.75" customHeight="1">
      <c r="C64284"/>
      <c r="M64284"/>
    </row>
    <row r="64285" spans="3:13" ht="12.75" customHeight="1">
      <c r="C64285"/>
      <c r="M64285"/>
    </row>
    <row r="64286" spans="3:13" ht="12.75" customHeight="1">
      <c r="C64286"/>
      <c r="M64286"/>
    </row>
    <row r="64287" spans="3:13" ht="12.75" customHeight="1">
      <c r="C64287"/>
      <c r="M64287"/>
    </row>
    <row r="64288" spans="3:13" ht="12.75" customHeight="1">
      <c r="C64288"/>
      <c r="M64288"/>
    </row>
    <row r="64289" spans="3:13" ht="12.75" customHeight="1">
      <c r="C64289"/>
      <c r="M64289"/>
    </row>
    <row r="64290" spans="3:13" ht="12.75" customHeight="1">
      <c r="C64290"/>
      <c r="M64290"/>
    </row>
    <row r="64291" spans="3:13" ht="12.75" customHeight="1">
      <c r="C64291"/>
      <c r="M64291"/>
    </row>
    <row r="64292" spans="3:13" ht="12.75" customHeight="1">
      <c r="C64292"/>
      <c r="M64292"/>
    </row>
    <row r="64293" spans="3:13" ht="12.75" customHeight="1">
      <c r="C64293"/>
      <c r="M64293"/>
    </row>
    <row r="64294" spans="3:13" ht="12.75" customHeight="1">
      <c r="C64294"/>
      <c r="M64294"/>
    </row>
    <row r="64295" spans="3:13" ht="12.75" customHeight="1">
      <c r="C64295"/>
      <c r="M64295"/>
    </row>
    <row r="64296" spans="3:13" ht="12.75" customHeight="1">
      <c r="C64296"/>
      <c r="M64296"/>
    </row>
    <row r="64297" spans="3:13" ht="12.75" customHeight="1">
      <c r="C64297"/>
      <c r="M64297"/>
    </row>
    <row r="64298" spans="3:13" ht="12.75" customHeight="1">
      <c r="C64298"/>
      <c r="M64298"/>
    </row>
    <row r="64299" spans="3:13" ht="12.75" customHeight="1">
      <c r="C64299"/>
      <c r="M64299"/>
    </row>
    <row r="64300" spans="3:13" ht="12.75" customHeight="1">
      <c r="C64300"/>
      <c r="M64300"/>
    </row>
    <row r="64301" spans="3:13" ht="12.75" customHeight="1">
      <c r="C64301"/>
      <c r="M64301"/>
    </row>
    <row r="64302" spans="3:13" ht="12.75" customHeight="1">
      <c r="C64302"/>
      <c r="M64302"/>
    </row>
    <row r="64303" spans="3:13" ht="12.75" customHeight="1">
      <c r="C64303"/>
      <c r="M64303"/>
    </row>
    <row r="64304" spans="3:13" ht="12.75" customHeight="1">
      <c r="C64304"/>
      <c r="M64304"/>
    </row>
    <row r="64305" spans="3:13" ht="12.75" customHeight="1">
      <c r="C64305"/>
      <c r="M64305"/>
    </row>
    <row r="64306" spans="3:13" ht="12.75" customHeight="1">
      <c r="C64306"/>
      <c r="M64306"/>
    </row>
    <row r="64307" spans="3:13" ht="12.75" customHeight="1">
      <c r="C64307"/>
      <c r="M64307"/>
    </row>
    <row r="64308" spans="3:13" ht="12.75" customHeight="1">
      <c r="C64308"/>
      <c r="M64308"/>
    </row>
    <row r="64309" spans="3:13" ht="12.75" customHeight="1">
      <c r="C64309"/>
      <c r="M64309"/>
    </row>
    <row r="64310" spans="3:13" ht="12.75" customHeight="1">
      <c r="C64310"/>
      <c r="M64310"/>
    </row>
    <row r="64311" spans="3:13" ht="12.75" customHeight="1">
      <c r="C64311"/>
      <c r="M64311"/>
    </row>
    <row r="64312" spans="3:13" ht="12.75" customHeight="1">
      <c r="C64312"/>
      <c r="M64312"/>
    </row>
    <row r="64313" spans="3:13" ht="12.75" customHeight="1">
      <c r="C64313"/>
      <c r="M64313"/>
    </row>
    <row r="64314" spans="3:13" ht="12.75" customHeight="1">
      <c r="C64314"/>
      <c r="M64314"/>
    </row>
    <row r="64315" spans="3:13" ht="12.75" customHeight="1">
      <c r="C64315"/>
      <c r="M64315"/>
    </row>
    <row r="64316" spans="3:13" ht="12.75" customHeight="1">
      <c r="C64316"/>
      <c r="M64316"/>
    </row>
    <row r="64317" spans="3:13" ht="12.75" customHeight="1">
      <c r="C64317"/>
      <c r="M64317"/>
    </row>
    <row r="64318" spans="3:13" ht="12.75" customHeight="1">
      <c r="C64318"/>
      <c r="M64318"/>
    </row>
    <row r="64319" spans="3:13" ht="12.75" customHeight="1">
      <c r="C64319"/>
      <c r="M64319"/>
    </row>
    <row r="64320" spans="3:13" ht="12.75" customHeight="1">
      <c r="C64320"/>
      <c r="M64320"/>
    </row>
    <row r="64321" spans="3:13" ht="12.75" customHeight="1">
      <c r="C64321"/>
      <c r="M64321"/>
    </row>
    <row r="64322" spans="3:13" ht="12.75" customHeight="1">
      <c r="C64322"/>
      <c r="M64322"/>
    </row>
    <row r="64323" spans="3:13" ht="12.75" customHeight="1">
      <c r="C64323"/>
      <c r="M64323"/>
    </row>
    <row r="64324" spans="3:13" ht="12.75" customHeight="1">
      <c r="C64324"/>
      <c r="M64324"/>
    </row>
    <row r="64325" spans="3:13" ht="12.75" customHeight="1">
      <c r="C64325"/>
      <c r="M64325"/>
    </row>
    <row r="64326" spans="3:13" ht="12.75" customHeight="1">
      <c r="C64326"/>
      <c r="M64326"/>
    </row>
    <row r="64327" spans="3:13" ht="12.75" customHeight="1">
      <c r="C64327"/>
      <c r="M64327"/>
    </row>
    <row r="64328" spans="3:13" ht="12.75" customHeight="1">
      <c r="C64328"/>
      <c r="M64328"/>
    </row>
    <row r="64329" spans="3:13" ht="12.75" customHeight="1">
      <c r="C64329"/>
      <c r="M64329"/>
    </row>
    <row r="64330" spans="3:13" ht="12.75" customHeight="1">
      <c r="C64330"/>
      <c r="M64330"/>
    </row>
    <row r="64331" spans="3:13" ht="12.75" customHeight="1">
      <c r="C64331"/>
      <c r="M64331"/>
    </row>
    <row r="64332" spans="3:13" ht="12.75" customHeight="1">
      <c r="C64332"/>
      <c r="M64332"/>
    </row>
    <row r="64333" spans="3:13" ht="12.75" customHeight="1">
      <c r="C64333"/>
      <c r="M64333"/>
    </row>
    <row r="64334" spans="3:13" ht="12.75" customHeight="1">
      <c r="C64334"/>
      <c r="M64334"/>
    </row>
    <row r="64335" spans="3:13" ht="12.75" customHeight="1">
      <c r="C64335"/>
      <c r="M64335"/>
    </row>
    <row r="64336" spans="3:13" ht="12.75" customHeight="1">
      <c r="C64336"/>
      <c r="M64336"/>
    </row>
    <row r="64337" spans="3:13" ht="12.75" customHeight="1">
      <c r="C64337"/>
      <c r="M64337"/>
    </row>
    <row r="64338" spans="3:13" ht="12.75" customHeight="1">
      <c r="C64338"/>
      <c r="M64338"/>
    </row>
    <row r="64339" spans="3:13" ht="12.75" customHeight="1">
      <c r="C64339"/>
      <c r="M64339"/>
    </row>
    <row r="64340" spans="3:13" ht="12.75" customHeight="1">
      <c r="C64340"/>
      <c r="M64340"/>
    </row>
    <row r="64341" spans="3:13" ht="12.75" customHeight="1">
      <c r="C64341"/>
      <c r="M64341"/>
    </row>
    <row r="64342" spans="3:13" ht="12.75" customHeight="1">
      <c r="C64342"/>
      <c r="M64342"/>
    </row>
    <row r="64343" spans="3:13" ht="12.75" customHeight="1">
      <c r="C64343"/>
      <c r="M64343"/>
    </row>
    <row r="64344" spans="3:13" ht="12.75" customHeight="1">
      <c r="C64344"/>
      <c r="M64344"/>
    </row>
    <row r="64345" spans="3:13" ht="12.75" customHeight="1">
      <c r="C64345"/>
      <c r="M64345"/>
    </row>
    <row r="64346" spans="3:13" ht="12.75" customHeight="1">
      <c r="C64346"/>
      <c r="M64346"/>
    </row>
    <row r="64347" spans="3:13" ht="12.75" customHeight="1">
      <c r="C64347"/>
      <c r="M64347"/>
    </row>
    <row r="64348" spans="3:13" ht="12.75" customHeight="1">
      <c r="C64348"/>
      <c r="M64348"/>
    </row>
    <row r="64349" spans="3:13" ht="12.75" customHeight="1">
      <c r="C64349"/>
      <c r="M64349"/>
    </row>
    <row r="64350" spans="3:13" ht="12.75" customHeight="1">
      <c r="C64350"/>
      <c r="M64350"/>
    </row>
    <row r="64351" spans="3:13" ht="12.75" customHeight="1">
      <c r="C64351"/>
      <c r="M64351"/>
    </row>
    <row r="64352" spans="3:13" ht="12.75" customHeight="1">
      <c r="C64352"/>
      <c r="M64352"/>
    </row>
    <row r="64353" spans="3:13" ht="12.75" customHeight="1">
      <c r="C64353"/>
      <c r="M64353"/>
    </row>
    <row r="64354" spans="3:13" ht="12.75" customHeight="1">
      <c r="C64354"/>
      <c r="M64354"/>
    </row>
    <row r="64355" spans="3:13" ht="12.75" customHeight="1">
      <c r="C64355"/>
      <c r="M64355"/>
    </row>
    <row r="64356" spans="3:13" ht="12.75" customHeight="1">
      <c r="C64356"/>
      <c r="M64356"/>
    </row>
    <row r="64357" spans="3:13" ht="12.75" customHeight="1">
      <c r="C64357"/>
      <c r="M64357"/>
    </row>
    <row r="64358" spans="3:13" ht="12.75" customHeight="1">
      <c r="C64358"/>
      <c r="M64358"/>
    </row>
    <row r="64359" spans="3:13" ht="12.75" customHeight="1">
      <c r="C64359"/>
      <c r="M64359"/>
    </row>
    <row r="64360" spans="3:13" ht="12.75" customHeight="1">
      <c r="C64360"/>
      <c r="M64360"/>
    </row>
    <row r="64361" spans="3:13" ht="12.75" customHeight="1">
      <c r="C64361"/>
      <c r="M64361"/>
    </row>
    <row r="64362" spans="3:13" ht="12.75" customHeight="1">
      <c r="C64362"/>
      <c r="M64362"/>
    </row>
    <row r="64363" spans="3:13" ht="12.75" customHeight="1">
      <c r="C64363"/>
      <c r="M64363"/>
    </row>
    <row r="64364" spans="3:13" ht="12.75" customHeight="1">
      <c r="C64364"/>
      <c r="M64364"/>
    </row>
    <row r="64365" spans="3:13" ht="12.75" customHeight="1">
      <c r="C64365"/>
      <c r="M64365"/>
    </row>
    <row r="64366" spans="3:13" ht="12.75" customHeight="1">
      <c r="C64366"/>
      <c r="M64366"/>
    </row>
    <row r="64367" spans="3:13" ht="12.75" customHeight="1">
      <c r="C64367"/>
      <c r="M64367"/>
    </row>
    <row r="64368" spans="3:13" ht="12.75" customHeight="1">
      <c r="C64368"/>
      <c r="M64368"/>
    </row>
    <row r="64369" spans="3:13" ht="12.75" customHeight="1">
      <c r="C64369"/>
      <c r="M64369"/>
    </row>
    <row r="64370" spans="3:13" ht="12.75" customHeight="1">
      <c r="C64370"/>
      <c r="M64370"/>
    </row>
    <row r="64371" spans="3:13" ht="12.75" customHeight="1">
      <c r="C64371"/>
      <c r="M64371"/>
    </row>
    <row r="64372" spans="3:13" ht="12.75" customHeight="1">
      <c r="C64372"/>
      <c r="M64372"/>
    </row>
    <row r="64373" spans="3:13" ht="12.75" customHeight="1">
      <c r="C64373"/>
      <c r="M64373"/>
    </row>
    <row r="64374" spans="3:13" ht="12.75" customHeight="1">
      <c r="C64374"/>
      <c r="M64374"/>
    </row>
    <row r="64375" spans="3:13" ht="12.75" customHeight="1">
      <c r="C64375"/>
      <c r="M64375"/>
    </row>
    <row r="64376" spans="3:13" ht="12.75" customHeight="1">
      <c r="C64376"/>
      <c r="M64376"/>
    </row>
    <row r="64377" spans="3:13" ht="12.75" customHeight="1">
      <c r="C64377"/>
      <c r="M64377"/>
    </row>
    <row r="64378" spans="3:13" ht="12.75" customHeight="1">
      <c r="C64378"/>
      <c r="M64378"/>
    </row>
    <row r="64379" spans="3:13" ht="12.75" customHeight="1">
      <c r="C64379"/>
      <c r="M64379"/>
    </row>
    <row r="64380" spans="3:13" ht="12.75" customHeight="1">
      <c r="C64380"/>
      <c r="M64380"/>
    </row>
    <row r="64381" spans="3:13" ht="12.75" customHeight="1">
      <c r="C64381"/>
      <c r="M64381"/>
    </row>
    <row r="64382" spans="3:13" ht="12.75" customHeight="1">
      <c r="C64382"/>
      <c r="M64382"/>
    </row>
    <row r="64383" spans="3:13" ht="12.75" customHeight="1">
      <c r="C64383"/>
      <c r="M64383"/>
    </row>
    <row r="64384" spans="3:13" ht="12.75" customHeight="1">
      <c r="C64384"/>
      <c r="M64384"/>
    </row>
    <row r="64385" spans="3:13" ht="12.75" customHeight="1">
      <c r="C64385"/>
      <c r="M64385"/>
    </row>
    <row r="64386" spans="3:13" ht="12.75" customHeight="1">
      <c r="C64386"/>
      <c r="M64386"/>
    </row>
    <row r="64387" spans="3:13" ht="12.75" customHeight="1">
      <c r="C64387"/>
      <c r="M64387"/>
    </row>
    <row r="64388" spans="3:13" ht="12.75" customHeight="1">
      <c r="C64388"/>
      <c r="M64388"/>
    </row>
    <row r="64389" spans="3:13" ht="12.75" customHeight="1">
      <c r="C64389"/>
      <c r="M64389"/>
    </row>
    <row r="64390" spans="3:13" ht="12.75" customHeight="1">
      <c r="C64390"/>
      <c r="M64390"/>
    </row>
    <row r="64391" spans="3:13" ht="12.75" customHeight="1">
      <c r="C64391"/>
      <c r="M64391"/>
    </row>
    <row r="64392" spans="3:13" ht="12.75" customHeight="1">
      <c r="C64392"/>
      <c r="M64392"/>
    </row>
    <row r="64393" spans="3:13" ht="12.75" customHeight="1">
      <c r="C64393"/>
      <c r="M64393"/>
    </row>
    <row r="64394" spans="3:13" ht="12.75" customHeight="1">
      <c r="C64394"/>
      <c r="M64394"/>
    </row>
    <row r="64395" spans="3:13" ht="12.75" customHeight="1">
      <c r="C64395"/>
      <c r="M64395"/>
    </row>
    <row r="64396" spans="3:13" ht="12.75" customHeight="1">
      <c r="C64396"/>
      <c r="M64396"/>
    </row>
    <row r="64397" spans="3:13" ht="12.75" customHeight="1">
      <c r="C64397"/>
      <c r="M64397"/>
    </row>
    <row r="64398" spans="3:13" ht="12.75" customHeight="1">
      <c r="C64398"/>
      <c r="M64398"/>
    </row>
    <row r="64399" spans="3:13" ht="12.75" customHeight="1">
      <c r="C64399"/>
      <c r="M64399"/>
    </row>
    <row r="64400" spans="3:13" ht="12.75" customHeight="1">
      <c r="C64400"/>
      <c r="M64400"/>
    </row>
    <row r="64401" spans="3:13" ht="12.75" customHeight="1">
      <c r="C64401"/>
      <c r="M64401"/>
    </row>
    <row r="64402" spans="3:13" ht="12.75" customHeight="1">
      <c r="C64402"/>
      <c r="M64402"/>
    </row>
    <row r="64403" spans="3:13" ht="12.75" customHeight="1">
      <c r="C64403"/>
      <c r="M64403"/>
    </row>
    <row r="64404" spans="3:13" ht="12.75" customHeight="1">
      <c r="C64404"/>
      <c r="M64404"/>
    </row>
    <row r="64405" spans="3:13" ht="12.75" customHeight="1">
      <c r="C64405"/>
      <c r="M64405"/>
    </row>
    <row r="64406" spans="3:13" ht="12.75" customHeight="1">
      <c r="C64406"/>
      <c r="M64406"/>
    </row>
    <row r="64407" spans="3:13" ht="12.75" customHeight="1">
      <c r="C64407"/>
      <c r="M64407"/>
    </row>
    <row r="64408" spans="3:13" ht="12.75" customHeight="1">
      <c r="C64408"/>
      <c r="M64408"/>
    </row>
    <row r="64409" spans="3:13" ht="12.75" customHeight="1">
      <c r="C64409"/>
      <c r="M64409"/>
    </row>
    <row r="64410" spans="3:13" ht="12.75" customHeight="1">
      <c r="C64410"/>
      <c r="M64410"/>
    </row>
    <row r="64411" spans="3:13" ht="12.75" customHeight="1">
      <c r="C64411"/>
      <c r="M64411"/>
    </row>
    <row r="64412" spans="3:13" ht="12.75" customHeight="1">
      <c r="C64412"/>
      <c r="M64412"/>
    </row>
    <row r="64413" spans="3:13" ht="12.75" customHeight="1">
      <c r="C64413"/>
      <c r="M64413"/>
    </row>
    <row r="64414" spans="3:13" ht="12.75" customHeight="1">
      <c r="C64414"/>
      <c r="M64414"/>
    </row>
    <row r="64415" spans="3:13" ht="12.75" customHeight="1">
      <c r="C64415"/>
      <c r="M64415"/>
    </row>
    <row r="64416" spans="3:13" ht="12.75" customHeight="1">
      <c r="C64416"/>
      <c r="M64416"/>
    </row>
    <row r="64417" spans="3:13" ht="12.75" customHeight="1">
      <c r="C64417"/>
      <c r="M64417"/>
    </row>
    <row r="64418" spans="3:13" ht="12.75" customHeight="1">
      <c r="C64418"/>
      <c r="M64418"/>
    </row>
    <row r="64419" spans="3:13" ht="12.75" customHeight="1">
      <c r="C64419"/>
      <c r="M64419"/>
    </row>
    <row r="64420" spans="3:13" ht="12.75" customHeight="1">
      <c r="C64420"/>
      <c r="M64420"/>
    </row>
    <row r="64421" spans="3:13" ht="12.75" customHeight="1">
      <c r="C64421"/>
      <c r="M64421"/>
    </row>
    <row r="64422" spans="3:13" ht="12.75" customHeight="1">
      <c r="C64422"/>
      <c r="M64422"/>
    </row>
    <row r="64423" spans="3:13" ht="12.75" customHeight="1">
      <c r="C64423"/>
      <c r="M64423"/>
    </row>
    <row r="64424" spans="3:13" ht="12.75" customHeight="1">
      <c r="C64424"/>
      <c r="M64424"/>
    </row>
    <row r="64425" spans="3:13" ht="12.75" customHeight="1">
      <c r="C64425"/>
      <c r="M64425"/>
    </row>
    <row r="64426" spans="3:13" ht="12.75" customHeight="1">
      <c r="C64426"/>
      <c r="M64426"/>
    </row>
    <row r="64427" spans="3:13" ht="12.75" customHeight="1">
      <c r="C64427"/>
      <c r="M64427"/>
    </row>
    <row r="64428" spans="3:13" ht="12.75" customHeight="1">
      <c r="C64428"/>
      <c r="M64428"/>
    </row>
    <row r="64429" spans="3:13" ht="12.75" customHeight="1">
      <c r="C64429"/>
      <c r="M64429"/>
    </row>
    <row r="64430" spans="3:13" ht="12.75" customHeight="1">
      <c r="C64430"/>
      <c r="M64430"/>
    </row>
    <row r="64431" spans="3:13" ht="12.75" customHeight="1">
      <c r="C64431"/>
      <c r="M64431"/>
    </row>
    <row r="64432" spans="3:13" ht="12.75" customHeight="1">
      <c r="C64432"/>
      <c r="M64432"/>
    </row>
    <row r="64433" spans="3:13" ht="12.75" customHeight="1">
      <c r="C64433"/>
      <c r="M64433"/>
    </row>
    <row r="64434" spans="3:13" ht="12.75" customHeight="1">
      <c r="C64434"/>
      <c r="M64434"/>
    </row>
    <row r="64435" spans="3:13" ht="12.75" customHeight="1">
      <c r="C64435"/>
      <c r="M64435"/>
    </row>
    <row r="64436" spans="3:13" ht="12.75" customHeight="1">
      <c r="C64436"/>
      <c r="M64436"/>
    </row>
    <row r="64437" spans="3:13" ht="12.75" customHeight="1">
      <c r="C64437"/>
      <c r="M64437"/>
    </row>
    <row r="64438" spans="3:13" ht="12.75" customHeight="1">
      <c r="C64438"/>
      <c r="M64438"/>
    </row>
    <row r="64439" spans="3:13" ht="12.75" customHeight="1">
      <c r="C64439"/>
      <c r="M64439"/>
    </row>
    <row r="64440" spans="3:13" ht="12.75" customHeight="1">
      <c r="C64440"/>
      <c r="M64440"/>
    </row>
    <row r="64441" spans="3:13" ht="12.75" customHeight="1">
      <c r="C64441"/>
      <c r="M64441"/>
    </row>
    <row r="64442" spans="3:13" ht="12.75" customHeight="1">
      <c r="C64442"/>
      <c r="M64442"/>
    </row>
    <row r="64443" spans="3:13" ht="12.75" customHeight="1">
      <c r="C64443"/>
      <c r="M64443"/>
    </row>
    <row r="64444" spans="3:13" ht="12.75" customHeight="1">
      <c r="C64444"/>
      <c r="M64444"/>
    </row>
    <row r="64445" spans="3:13" ht="12.75" customHeight="1">
      <c r="C64445"/>
      <c r="M64445"/>
    </row>
    <row r="64446" spans="3:13" ht="12.75" customHeight="1">
      <c r="C64446"/>
      <c r="M64446"/>
    </row>
    <row r="64447" spans="3:13" ht="12.75" customHeight="1">
      <c r="C64447"/>
      <c r="M64447"/>
    </row>
    <row r="64448" spans="3:13" ht="12.75" customHeight="1">
      <c r="C64448"/>
      <c r="M64448"/>
    </row>
    <row r="64449" spans="3:13" ht="12.75" customHeight="1">
      <c r="C64449"/>
      <c r="M64449"/>
    </row>
    <row r="64450" spans="3:13" ht="12.75" customHeight="1">
      <c r="C64450"/>
      <c r="M64450"/>
    </row>
    <row r="64451" spans="3:13" ht="12.75" customHeight="1">
      <c r="C64451"/>
      <c r="M64451"/>
    </row>
    <row r="64452" spans="3:13" ht="12.75" customHeight="1">
      <c r="C64452"/>
      <c r="M64452"/>
    </row>
    <row r="64453" spans="3:13" ht="12.75" customHeight="1">
      <c r="C64453"/>
      <c r="M64453"/>
    </row>
    <row r="64454" spans="3:13" ht="12.75" customHeight="1">
      <c r="C64454"/>
      <c r="M64454"/>
    </row>
    <row r="64455" spans="3:13" ht="12.75" customHeight="1">
      <c r="C64455"/>
      <c r="M64455"/>
    </row>
    <row r="64456" spans="3:13" ht="12.75" customHeight="1">
      <c r="C64456"/>
      <c r="M64456"/>
    </row>
    <row r="64457" spans="3:13" ht="12.75" customHeight="1">
      <c r="C64457"/>
      <c r="M64457"/>
    </row>
    <row r="64458" spans="3:13" ht="12.75" customHeight="1">
      <c r="C64458"/>
      <c r="M64458"/>
    </row>
    <row r="64459" spans="3:13" ht="12.75" customHeight="1">
      <c r="C64459"/>
      <c r="M64459"/>
    </row>
    <row r="64460" spans="3:13" ht="12.75" customHeight="1">
      <c r="C64460"/>
      <c r="M64460"/>
    </row>
    <row r="64461" spans="3:13" ht="12.75" customHeight="1">
      <c r="C64461"/>
      <c r="M64461"/>
    </row>
    <row r="64462" spans="3:13" ht="12.75" customHeight="1">
      <c r="C64462"/>
      <c r="M64462"/>
    </row>
    <row r="64463" spans="3:13" ht="12.75" customHeight="1">
      <c r="C64463"/>
      <c r="M64463"/>
    </row>
    <row r="64464" spans="3:13" ht="12.75" customHeight="1">
      <c r="C64464"/>
      <c r="M64464"/>
    </row>
    <row r="64465" spans="3:13" ht="12.75" customHeight="1">
      <c r="C64465"/>
      <c r="M64465"/>
    </row>
    <row r="64466" spans="3:13" ht="12.75" customHeight="1">
      <c r="C64466"/>
      <c r="M64466"/>
    </row>
    <row r="64467" spans="3:13" ht="12.75" customHeight="1">
      <c r="C64467"/>
      <c r="M64467"/>
    </row>
    <row r="64468" spans="3:13" ht="12.75" customHeight="1">
      <c r="C64468"/>
      <c r="M64468"/>
    </row>
    <row r="64469" spans="3:13" ht="12.75" customHeight="1">
      <c r="C64469"/>
      <c r="M64469"/>
    </row>
    <row r="64470" spans="3:13" ht="12.75" customHeight="1">
      <c r="C64470"/>
      <c r="M64470"/>
    </row>
    <row r="64471" spans="3:13" ht="12.75" customHeight="1">
      <c r="C64471"/>
      <c r="M64471"/>
    </row>
    <row r="64472" spans="3:13" ht="12.75" customHeight="1">
      <c r="C64472"/>
      <c r="M64472"/>
    </row>
    <row r="64473" spans="3:13" ht="12.75" customHeight="1">
      <c r="C64473"/>
      <c r="M64473"/>
    </row>
    <row r="64474" spans="3:13" ht="12.75" customHeight="1">
      <c r="C64474"/>
      <c r="M64474"/>
    </row>
    <row r="64475" spans="3:13" ht="12.75" customHeight="1">
      <c r="C64475"/>
      <c r="M64475"/>
    </row>
    <row r="64476" spans="3:13" ht="12.75" customHeight="1">
      <c r="C64476"/>
      <c r="M64476"/>
    </row>
    <row r="64477" spans="3:13" ht="12.75" customHeight="1">
      <c r="C64477"/>
      <c r="M64477"/>
    </row>
    <row r="64478" spans="3:13" ht="12.75" customHeight="1">
      <c r="C64478"/>
      <c r="M64478"/>
    </row>
    <row r="64479" spans="3:13" ht="12.75" customHeight="1">
      <c r="C64479"/>
      <c r="M64479"/>
    </row>
    <row r="64480" spans="3:13" ht="12.75" customHeight="1">
      <c r="C64480"/>
      <c r="M64480"/>
    </row>
    <row r="64481" spans="3:13" ht="12.75" customHeight="1">
      <c r="C64481"/>
      <c r="M64481"/>
    </row>
    <row r="64482" spans="3:13" ht="12.75" customHeight="1">
      <c r="C64482"/>
      <c r="M64482"/>
    </row>
    <row r="64483" spans="3:13" ht="12.75" customHeight="1">
      <c r="C64483"/>
      <c r="M64483"/>
    </row>
    <row r="64484" spans="3:13" ht="12.75" customHeight="1">
      <c r="C64484"/>
      <c r="M64484"/>
    </row>
    <row r="64485" spans="3:13" ht="12.75" customHeight="1">
      <c r="C64485"/>
      <c r="M64485"/>
    </row>
    <row r="64486" spans="3:13" ht="12.75" customHeight="1">
      <c r="C64486"/>
      <c r="M64486"/>
    </row>
    <row r="64487" spans="3:13" ht="12.75" customHeight="1">
      <c r="C64487"/>
      <c r="M64487"/>
    </row>
    <row r="64488" spans="3:13" ht="12.75" customHeight="1">
      <c r="C64488"/>
      <c r="M64488"/>
    </row>
    <row r="64489" spans="3:13" ht="12.75" customHeight="1">
      <c r="C64489"/>
      <c r="M64489"/>
    </row>
    <row r="64490" spans="3:13" ht="12.75" customHeight="1">
      <c r="C64490"/>
      <c r="M64490"/>
    </row>
    <row r="64491" spans="3:13" ht="12.75" customHeight="1">
      <c r="C64491"/>
      <c r="M64491"/>
    </row>
    <row r="64492" spans="3:13" ht="12.75" customHeight="1">
      <c r="C64492"/>
      <c r="M64492"/>
    </row>
    <row r="64493" spans="3:13" ht="12.75" customHeight="1">
      <c r="C64493"/>
      <c r="M64493"/>
    </row>
    <row r="64494" spans="3:13" ht="12.75" customHeight="1">
      <c r="C64494"/>
      <c r="M64494"/>
    </row>
    <row r="64495" spans="3:13" ht="12.75" customHeight="1">
      <c r="C64495"/>
      <c r="M64495"/>
    </row>
    <row r="64496" spans="3:13" ht="12.75" customHeight="1">
      <c r="C64496"/>
      <c r="M64496"/>
    </row>
    <row r="64497" spans="3:13" ht="12.75" customHeight="1">
      <c r="C64497"/>
      <c r="M64497"/>
    </row>
    <row r="64498" spans="3:13" ht="12.75" customHeight="1">
      <c r="C64498"/>
      <c r="M64498"/>
    </row>
    <row r="64499" spans="3:13" ht="12.75" customHeight="1">
      <c r="C64499"/>
      <c r="M64499"/>
    </row>
    <row r="64500" spans="3:13" ht="12.75" customHeight="1">
      <c r="C64500"/>
      <c r="M64500"/>
    </row>
    <row r="64501" spans="3:13" ht="12.75" customHeight="1">
      <c r="C64501"/>
      <c r="M64501"/>
    </row>
    <row r="64502" spans="3:13" ht="12.75" customHeight="1">
      <c r="C64502"/>
      <c r="M64502"/>
    </row>
    <row r="64503" spans="3:13" ht="12.75" customHeight="1">
      <c r="C64503"/>
      <c r="M64503"/>
    </row>
    <row r="64504" spans="3:13" ht="12.75" customHeight="1">
      <c r="C64504"/>
      <c r="M64504"/>
    </row>
    <row r="64505" spans="3:13" ht="12.75" customHeight="1">
      <c r="C64505"/>
      <c r="M64505"/>
    </row>
    <row r="64506" spans="3:13" ht="12.75" customHeight="1">
      <c r="C64506"/>
      <c r="M64506"/>
    </row>
    <row r="64507" spans="3:13" ht="12.75" customHeight="1">
      <c r="C64507"/>
      <c r="M64507"/>
    </row>
    <row r="64508" spans="3:13" ht="12.75" customHeight="1">
      <c r="C64508"/>
      <c r="M64508"/>
    </row>
    <row r="64509" spans="3:13" ht="12.75" customHeight="1">
      <c r="C64509"/>
      <c r="M64509"/>
    </row>
    <row r="64510" spans="3:13" ht="12.75" customHeight="1">
      <c r="C64510"/>
      <c r="M64510"/>
    </row>
    <row r="64511" spans="3:13" ht="12.75" customHeight="1">
      <c r="C64511"/>
      <c r="M64511"/>
    </row>
    <row r="64512" spans="3:13" ht="12.75" customHeight="1">
      <c r="C64512"/>
      <c r="M64512"/>
    </row>
    <row r="64513" spans="3:13" ht="12.75" customHeight="1">
      <c r="C64513"/>
      <c r="M64513"/>
    </row>
    <row r="64514" spans="3:13" ht="12.75" customHeight="1">
      <c r="C64514"/>
      <c r="M64514"/>
    </row>
    <row r="64515" spans="3:13" ht="12.75" customHeight="1">
      <c r="C64515"/>
      <c r="M64515"/>
    </row>
    <row r="64516" spans="3:13" ht="12.75" customHeight="1">
      <c r="C64516"/>
      <c r="M64516"/>
    </row>
    <row r="64517" spans="3:13" ht="12.75" customHeight="1">
      <c r="C64517"/>
      <c r="M64517"/>
    </row>
    <row r="64518" spans="3:13" ht="12.75" customHeight="1">
      <c r="C64518"/>
      <c r="M64518"/>
    </row>
    <row r="64519" spans="3:13" ht="12.75" customHeight="1">
      <c r="C64519"/>
      <c r="M64519"/>
    </row>
    <row r="64520" spans="3:13" ht="12.75" customHeight="1">
      <c r="C64520"/>
      <c r="M64520"/>
    </row>
    <row r="64521" spans="3:13" ht="12.75" customHeight="1">
      <c r="C64521"/>
      <c r="M64521"/>
    </row>
    <row r="64522" spans="3:13" ht="12.75" customHeight="1">
      <c r="C64522"/>
      <c r="M64522"/>
    </row>
    <row r="64523" spans="3:13" ht="12.75" customHeight="1">
      <c r="C64523"/>
      <c r="M64523"/>
    </row>
    <row r="64524" spans="3:13" ht="12.75" customHeight="1">
      <c r="C64524"/>
      <c r="M64524"/>
    </row>
    <row r="64525" spans="3:13" ht="12.75" customHeight="1">
      <c r="C64525"/>
      <c r="M64525"/>
    </row>
    <row r="64526" spans="3:13" ht="12.75" customHeight="1">
      <c r="C64526"/>
      <c r="M64526"/>
    </row>
    <row r="64527" spans="3:13" ht="12.75" customHeight="1">
      <c r="C64527"/>
      <c r="M64527"/>
    </row>
    <row r="64528" spans="3:13" ht="12.75" customHeight="1">
      <c r="C64528"/>
      <c r="M64528"/>
    </row>
    <row r="64529" spans="3:13" ht="12.75" customHeight="1">
      <c r="C64529"/>
      <c r="M64529"/>
    </row>
    <row r="64530" spans="3:13" ht="12.75" customHeight="1">
      <c r="C64530"/>
      <c r="M64530"/>
    </row>
    <row r="64531" spans="3:13" ht="12.75" customHeight="1">
      <c r="C64531"/>
      <c r="M64531"/>
    </row>
    <row r="64532" spans="3:13" ht="12.75" customHeight="1">
      <c r="C64532"/>
      <c r="M64532"/>
    </row>
    <row r="64533" spans="3:13" ht="12.75" customHeight="1">
      <c r="C64533"/>
      <c r="M64533"/>
    </row>
    <row r="64534" spans="3:13" ht="12.75" customHeight="1">
      <c r="C64534"/>
      <c r="M64534"/>
    </row>
    <row r="64535" spans="3:13" ht="12.75" customHeight="1">
      <c r="C64535"/>
      <c r="M64535"/>
    </row>
    <row r="64536" spans="3:13" ht="12.75" customHeight="1">
      <c r="C64536"/>
      <c r="M64536"/>
    </row>
    <row r="64537" spans="3:13" ht="12.75" customHeight="1">
      <c r="C64537"/>
      <c r="M64537"/>
    </row>
    <row r="64538" spans="3:13" ht="12.75" customHeight="1">
      <c r="C64538"/>
      <c r="M64538"/>
    </row>
    <row r="64539" spans="3:13" ht="12.75" customHeight="1">
      <c r="C64539"/>
      <c r="M64539"/>
    </row>
    <row r="64540" spans="3:13" ht="12.75" customHeight="1">
      <c r="C64540"/>
      <c r="M64540"/>
    </row>
    <row r="64541" spans="3:13" ht="12.75" customHeight="1">
      <c r="C64541"/>
      <c r="M64541"/>
    </row>
    <row r="64542" spans="3:13" ht="12.75" customHeight="1">
      <c r="C64542"/>
      <c r="M64542"/>
    </row>
    <row r="64543" spans="3:13" ht="12.75" customHeight="1">
      <c r="C64543"/>
      <c r="M64543"/>
    </row>
    <row r="64544" spans="3:13" ht="12.75" customHeight="1">
      <c r="C64544"/>
      <c r="M64544"/>
    </row>
    <row r="64545" spans="3:13" ht="12.75" customHeight="1">
      <c r="C64545"/>
      <c r="M64545"/>
    </row>
    <row r="64546" spans="3:13" ht="12.75" customHeight="1">
      <c r="C64546"/>
      <c r="M64546"/>
    </row>
    <row r="64547" spans="3:13" ht="12.75" customHeight="1">
      <c r="C64547"/>
      <c r="M64547"/>
    </row>
    <row r="64548" spans="3:13" ht="12.75" customHeight="1">
      <c r="C64548"/>
      <c r="M64548"/>
    </row>
    <row r="64549" spans="3:13" ht="12.75" customHeight="1">
      <c r="C64549"/>
      <c r="M64549"/>
    </row>
    <row r="64550" spans="3:13" ht="12.75" customHeight="1">
      <c r="C64550"/>
      <c r="M64550"/>
    </row>
    <row r="64551" spans="3:13" ht="12.75" customHeight="1">
      <c r="C64551"/>
      <c r="M64551"/>
    </row>
    <row r="64552" spans="3:13" ht="12.75" customHeight="1">
      <c r="C64552"/>
      <c r="M64552"/>
    </row>
    <row r="64553" spans="3:13" ht="12.75" customHeight="1">
      <c r="C64553"/>
      <c r="M64553"/>
    </row>
    <row r="64554" spans="3:13" ht="12.75" customHeight="1">
      <c r="C64554"/>
      <c r="M64554"/>
    </row>
    <row r="64555" spans="3:13" ht="12.75" customHeight="1">
      <c r="C64555"/>
      <c r="M64555"/>
    </row>
    <row r="64556" spans="3:13" ht="12.75" customHeight="1">
      <c r="C64556"/>
      <c r="M64556"/>
    </row>
    <row r="64557" spans="3:13" ht="12.75" customHeight="1">
      <c r="C64557"/>
      <c r="M64557"/>
    </row>
    <row r="64558" spans="3:13" ht="12.75" customHeight="1">
      <c r="C64558"/>
      <c r="M64558"/>
    </row>
    <row r="64559" spans="3:13" ht="12.75" customHeight="1">
      <c r="C64559"/>
      <c r="M64559"/>
    </row>
    <row r="64560" spans="3:13" ht="12.75" customHeight="1">
      <c r="C64560"/>
      <c r="M64560"/>
    </row>
    <row r="64561" spans="3:13" ht="12.75" customHeight="1">
      <c r="C64561"/>
      <c r="M64561"/>
    </row>
    <row r="64562" spans="3:13" ht="12.75" customHeight="1">
      <c r="C64562"/>
      <c r="M64562"/>
    </row>
    <row r="64563" spans="3:13" ht="12.75" customHeight="1">
      <c r="C64563"/>
      <c r="M64563"/>
    </row>
    <row r="64564" spans="3:13" ht="12.75" customHeight="1">
      <c r="C64564"/>
      <c r="M64564"/>
    </row>
    <row r="64565" spans="3:13" ht="12.75" customHeight="1">
      <c r="C64565"/>
      <c r="M64565"/>
    </row>
    <row r="64566" spans="3:13" ht="12.75" customHeight="1">
      <c r="C64566"/>
      <c r="M64566"/>
    </row>
    <row r="64567" spans="3:13" ht="12.75" customHeight="1">
      <c r="C64567"/>
      <c r="M64567"/>
    </row>
    <row r="64568" spans="3:13" ht="12.75" customHeight="1">
      <c r="C64568"/>
      <c r="M64568"/>
    </row>
    <row r="64569" spans="3:13" ht="12.75" customHeight="1">
      <c r="C64569"/>
      <c r="M64569"/>
    </row>
    <row r="64570" spans="3:13" ht="12.75" customHeight="1">
      <c r="C64570"/>
      <c r="M64570"/>
    </row>
    <row r="64571" spans="3:13" ht="12.75" customHeight="1">
      <c r="C64571"/>
      <c r="M64571"/>
    </row>
    <row r="64572" spans="3:13" ht="12.75" customHeight="1">
      <c r="C64572"/>
      <c r="M64572"/>
    </row>
    <row r="64573" spans="3:13" ht="12.75" customHeight="1">
      <c r="C64573"/>
      <c r="M64573"/>
    </row>
    <row r="64574" spans="3:13" ht="12.75" customHeight="1">
      <c r="C64574"/>
      <c r="M64574"/>
    </row>
    <row r="64575" spans="3:13" ht="12.75" customHeight="1">
      <c r="C64575"/>
      <c r="M64575"/>
    </row>
    <row r="64576" spans="3:13" ht="12.75" customHeight="1">
      <c r="C64576"/>
      <c r="M64576"/>
    </row>
    <row r="64577" spans="3:13" ht="12.75" customHeight="1">
      <c r="C64577"/>
      <c r="M64577"/>
    </row>
    <row r="64578" spans="3:13" ht="12.75" customHeight="1">
      <c r="C64578"/>
      <c r="M64578"/>
    </row>
    <row r="64579" spans="3:13" ht="12.75" customHeight="1">
      <c r="C64579"/>
      <c r="M64579"/>
    </row>
    <row r="64580" spans="3:13" ht="12.75" customHeight="1">
      <c r="C64580"/>
      <c r="M64580"/>
    </row>
    <row r="64581" spans="3:13" ht="12.75" customHeight="1">
      <c r="C64581"/>
      <c r="M64581"/>
    </row>
    <row r="64582" spans="3:13" ht="12.75" customHeight="1">
      <c r="C64582"/>
      <c r="M64582"/>
    </row>
    <row r="64583" spans="3:13" ht="12.75" customHeight="1">
      <c r="C64583"/>
      <c r="M64583"/>
    </row>
    <row r="64584" spans="3:13" ht="12.75" customHeight="1">
      <c r="C64584"/>
      <c r="M64584"/>
    </row>
    <row r="64585" spans="3:13" ht="12.75" customHeight="1">
      <c r="C64585"/>
      <c r="M64585"/>
    </row>
    <row r="64586" spans="3:13" ht="12.75" customHeight="1">
      <c r="C64586"/>
      <c r="M64586"/>
    </row>
    <row r="64587" spans="3:13" ht="12.75" customHeight="1">
      <c r="C64587"/>
      <c r="M64587"/>
    </row>
    <row r="64588" spans="3:13" ht="12.75" customHeight="1">
      <c r="C64588"/>
      <c r="M64588"/>
    </row>
    <row r="64589" spans="3:13" ht="12.75" customHeight="1">
      <c r="C64589"/>
      <c r="M64589"/>
    </row>
    <row r="64590" spans="3:13" ht="12.75" customHeight="1">
      <c r="C64590"/>
      <c r="M64590"/>
    </row>
    <row r="64591" spans="3:13" ht="12.75" customHeight="1">
      <c r="C64591"/>
      <c r="M64591"/>
    </row>
    <row r="64592" spans="3:13" ht="12.75" customHeight="1">
      <c r="C64592"/>
      <c r="M64592"/>
    </row>
    <row r="64593" spans="3:13" ht="12.75" customHeight="1">
      <c r="C64593"/>
      <c r="M64593"/>
    </row>
    <row r="64594" spans="3:13" ht="12.75" customHeight="1">
      <c r="C64594"/>
      <c r="M64594"/>
    </row>
    <row r="64595" spans="3:13" ht="12.75" customHeight="1">
      <c r="C64595"/>
      <c r="M64595"/>
    </row>
    <row r="64596" spans="3:13" ht="12.75" customHeight="1">
      <c r="C64596"/>
      <c r="M64596"/>
    </row>
    <row r="64597" spans="3:13" ht="12.75" customHeight="1">
      <c r="C64597"/>
      <c r="M64597"/>
    </row>
    <row r="64598" spans="3:13" ht="12.75" customHeight="1">
      <c r="C64598"/>
      <c r="M64598"/>
    </row>
    <row r="64599" spans="3:13" ht="12.75" customHeight="1">
      <c r="C64599"/>
      <c r="M64599"/>
    </row>
    <row r="64600" spans="3:13" ht="12.75" customHeight="1">
      <c r="C64600"/>
      <c r="M64600"/>
    </row>
    <row r="64601" spans="3:13" ht="12.75" customHeight="1">
      <c r="C64601"/>
      <c r="M64601"/>
    </row>
    <row r="64602" spans="3:13" ht="12.75" customHeight="1">
      <c r="C64602"/>
      <c r="M64602"/>
    </row>
    <row r="64603" spans="3:13" ht="12.75" customHeight="1">
      <c r="C64603"/>
      <c r="M64603"/>
    </row>
    <row r="64604" spans="3:13" ht="12.75" customHeight="1">
      <c r="C64604"/>
      <c r="M64604"/>
    </row>
    <row r="64605" spans="3:13" ht="12.75" customHeight="1">
      <c r="C64605"/>
      <c r="M64605"/>
    </row>
    <row r="64606" spans="3:13" ht="12.75" customHeight="1">
      <c r="C64606"/>
      <c r="M64606"/>
    </row>
    <row r="64607" spans="3:13" ht="12.75" customHeight="1">
      <c r="C64607"/>
      <c r="M64607"/>
    </row>
    <row r="64608" spans="3:13" ht="12.75" customHeight="1">
      <c r="C64608"/>
      <c r="M64608"/>
    </row>
    <row r="64609" spans="3:13" ht="12.75" customHeight="1">
      <c r="C64609"/>
      <c r="M64609"/>
    </row>
    <row r="64610" spans="3:13" ht="12.75" customHeight="1">
      <c r="C64610"/>
      <c r="M64610"/>
    </row>
    <row r="64611" spans="3:13" ht="12.75" customHeight="1">
      <c r="C64611"/>
      <c r="M64611"/>
    </row>
    <row r="64612" spans="3:13" ht="12.75" customHeight="1">
      <c r="C64612"/>
      <c r="M64612"/>
    </row>
    <row r="64613" spans="3:13" ht="12.75" customHeight="1">
      <c r="C64613"/>
      <c r="M64613"/>
    </row>
    <row r="64614" spans="3:13" ht="12.75" customHeight="1">
      <c r="C64614"/>
      <c r="M64614"/>
    </row>
    <row r="64615" spans="3:13" ht="12.75" customHeight="1">
      <c r="C64615"/>
      <c r="M64615"/>
    </row>
    <row r="64616" spans="3:13" ht="12.75" customHeight="1">
      <c r="C64616"/>
      <c r="M64616"/>
    </row>
    <row r="64617" spans="3:13" ht="12.75" customHeight="1">
      <c r="C64617"/>
      <c r="M64617"/>
    </row>
    <row r="64618" spans="3:13" ht="12.75" customHeight="1">
      <c r="C64618"/>
      <c r="M64618"/>
    </row>
    <row r="64619" spans="3:13" ht="12.75" customHeight="1">
      <c r="C64619"/>
      <c r="M64619"/>
    </row>
    <row r="64620" spans="3:13" ht="12.75" customHeight="1">
      <c r="C64620"/>
      <c r="M64620"/>
    </row>
    <row r="64621" spans="3:13" ht="12.75" customHeight="1">
      <c r="C64621"/>
      <c r="M64621"/>
    </row>
    <row r="64622" spans="3:13" ht="12.75" customHeight="1">
      <c r="C64622"/>
      <c r="M64622"/>
    </row>
    <row r="64623" spans="3:13" ht="12.75" customHeight="1">
      <c r="C64623"/>
      <c r="M64623"/>
    </row>
    <row r="64624" spans="3:13" ht="12.75" customHeight="1">
      <c r="C64624"/>
      <c r="M64624"/>
    </row>
    <row r="64625" spans="3:13" ht="12.75" customHeight="1">
      <c r="C64625"/>
      <c r="M64625"/>
    </row>
    <row r="64626" spans="3:13" ht="12.75" customHeight="1">
      <c r="C64626"/>
      <c r="M64626"/>
    </row>
    <row r="64627" spans="3:13" ht="12.75" customHeight="1">
      <c r="C64627"/>
      <c r="M64627"/>
    </row>
    <row r="64628" spans="3:13" ht="12.75" customHeight="1">
      <c r="C64628"/>
      <c r="M64628"/>
    </row>
    <row r="64629" spans="3:13" ht="12.75" customHeight="1">
      <c r="C64629"/>
      <c r="M64629"/>
    </row>
    <row r="64630" spans="3:13" ht="12.75" customHeight="1">
      <c r="C64630"/>
      <c r="M64630"/>
    </row>
    <row r="64631" spans="3:13" ht="12.75" customHeight="1">
      <c r="C64631"/>
      <c r="M64631"/>
    </row>
    <row r="64632" spans="3:13" ht="12.75" customHeight="1">
      <c r="C64632"/>
      <c r="M64632"/>
    </row>
    <row r="64633" spans="3:13" ht="12.75" customHeight="1">
      <c r="C64633"/>
      <c r="M64633"/>
    </row>
    <row r="64634" spans="3:13" ht="12.75" customHeight="1">
      <c r="C64634"/>
      <c r="M64634"/>
    </row>
    <row r="64635" spans="3:13" ht="12.75" customHeight="1">
      <c r="C64635"/>
      <c r="M64635"/>
    </row>
    <row r="64636" spans="3:13" ht="12.75" customHeight="1">
      <c r="C64636"/>
      <c r="M64636"/>
    </row>
    <row r="64637" spans="3:13" ht="12.75" customHeight="1">
      <c r="C64637"/>
      <c r="M64637"/>
    </row>
    <row r="64638" spans="3:13" ht="12.75" customHeight="1">
      <c r="C64638"/>
      <c r="M64638"/>
    </row>
    <row r="64639" spans="3:13" ht="12.75" customHeight="1">
      <c r="C64639"/>
      <c r="M64639"/>
    </row>
    <row r="64640" spans="3:13" ht="12.75" customHeight="1">
      <c r="C64640"/>
      <c r="M64640"/>
    </row>
    <row r="64641" spans="3:13" ht="12.75" customHeight="1">
      <c r="C64641"/>
      <c r="M64641"/>
    </row>
    <row r="64642" spans="3:13" ht="12.75" customHeight="1">
      <c r="C64642"/>
      <c r="M64642"/>
    </row>
    <row r="64643" spans="3:13" ht="12.75" customHeight="1">
      <c r="C64643"/>
      <c r="M64643"/>
    </row>
    <row r="64644" spans="3:13" ht="12.75" customHeight="1">
      <c r="C64644"/>
      <c r="M64644"/>
    </row>
    <row r="64645" spans="3:13" ht="12.75" customHeight="1">
      <c r="C64645"/>
      <c r="M64645"/>
    </row>
    <row r="64646" spans="3:13" ht="12.75" customHeight="1">
      <c r="C64646"/>
      <c r="M64646"/>
    </row>
    <row r="64647" spans="3:13" ht="12.75" customHeight="1">
      <c r="C64647"/>
      <c r="M64647"/>
    </row>
    <row r="64648" spans="3:13" ht="12.75" customHeight="1">
      <c r="C64648"/>
      <c r="M64648"/>
    </row>
    <row r="64649" spans="3:13" ht="12.75" customHeight="1">
      <c r="C64649"/>
      <c r="M64649"/>
    </row>
    <row r="64650" spans="3:13" ht="12.75" customHeight="1">
      <c r="C64650"/>
      <c r="M64650"/>
    </row>
    <row r="64651" spans="3:13" ht="12.75" customHeight="1">
      <c r="C64651"/>
      <c r="M64651"/>
    </row>
    <row r="64652" spans="3:13" ht="12.75" customHeight="1">
      <c r="C64652"/>
      <c r="M64652"/>
    </row>
    <row r="64653" spans="3:13" ht="12.75" customHeight="1">
      <c r="C64653"/>
      <c r="M64653"/>
    </row>
    <row r="64654" spans="3:13" ht="12.75" customHeight="1">
      <c r="C64654"/>
      <c r="M64654"/>
    </row>
    <row r="64655" spans="3:13" ht="12.75" customHeight="1">
      <c r="C64655"/>
      <c r="M64655"/>
    </row>
    <row r="64656" spans="3:13" ht="12.75" customHeight="1">
      <c r="C64656"/>
      <c r="M64656"/>
    </row>
    <row r="64657" spans="3:13" ht="12.75" customHeight="1">
      <c r="C64657"/>
      <c r="M64657"/>
    </row>
    <row r="64658" spans="3:13" ht="12.75" customHeight="1">
      <c r="C64658"/>
      <c r="M64658"/>
    </row>
    <row r="64659" spans="3:13" ht="12.75" customHeight="1">
      <c r="C64659"/>
      <c r="M64659"/>
    </row>
    <row r="64660" spans="3:13" ht="12.75" customHeight="1">
      <c r="C64660"/>
      <c r="M64660"/>
    </row>
    <row r="64661" spans="3:13" ht="12.75" customHeight="1">
      <c r="C64661"/>
      <c r="M64661"/>
    </row>
    <row r="64662" spans="3:13" ht="12.75" customHeight="1">
      <c r="C64662"/>
      <c r="M64662"/>
    </row>
    <row r="64663" spans="3:13" ht="12.75" customHeight="1">
      <c r="C64663"/>
      <c r="M64663"/>
    </row>
    <row r="64664" spans="3:13" ht="12.75" customHeight="1">
      <c r="C64664"/>
      <c r="M64664"/>
    </row>
    <row r="64665" spans="3:13" ht="12.75" customHeight="1">
      <c r="C64665"/>
      <c r="M64665"/>
    </row>
    <row r="64666" spans="3:13" ht="12.75" customHeight="1">
      <c r="C64666"/>
      <c r="M64666"/>
    </row>
    <row r="64667" spans="3:13" ht="12.75" customHeight="1">
      <c r="C64667"/>
      <c r="M64667"/>
    </row>
    <row r="64668" spans="3:13" ht="12.75" customHeight="1">
      <c r="C64668"/>
      <c r="M64668"/>
    </row>
    <row r="64669" spans="3:13" ht="12.75" customHeight="1">
      <c r="C64669"/>
      <c r="M64669"/>
    </row>
    <row r="64670" spans="3:13" ht="12.75" customHeight="1">
      <c r="C64670"/>
      <c r="M64670"/>
    </row>
    <row r="64671" spans="3:13" ht="12.75" customHeight="1">
      <c r="C64671"/>
      <c r="M64671"/>
    </row>
    <row r="64672" spans="3:13" ht="12.75" customHeight="1">
      <c r="C64672"/>
      <c r="M64672"/>
    </row>
    <row r="64673" spans="3:13" ht="12.75" customHeight="1">
      <c r="C64673"/>
      <c r="M64673"/>
    </row>
    <row r="64674" spans="3:13" ht="12.75" customHeight="1">
      <c r="C64674"/>
      <c r="M64674"/>
    </row>
    <row r="64675" spans="3:13" ht="12.75" customHeight="1">
      <c r="C64675"/>
      <c r="M64675"/>
    </row>
    <row r="64676" spans="3:13" ht="12.75" customHeight="1">
      <c r="C64676"/>
      <c r="M64676"/>
    </row>
    <row r="64677" spans="3:13" ht="12.75" customHeight="1">
      <c r="C64677"/>
      <c r="M64677"/>
    </row>
    <row r="64678" spans="3:13" ht="12.75" customHeight="1">
      <c r="C64678"/>
      <c r="M64678"/>
    </row>
    <row r="64679" spans="3:13" ht="12.75" customHeight="1">
      <c r="C64679"/>
      <c r="M64679"/>
    </row>
    <row r="64680" spans="3:13" ht="12.75" customHeight="1">
      <c r="C64680"/>
      <c r="M64680"/>
    </row>
    <row r="64681" spans="3:13" ht="12.75" customHeight="1">
      <c r="C64681"/>
      <c r="M64681"/>
    </row>
    <row r="64682" spans="3:13" ht="12.75" customHeight="1">
      <c r="C64682"/>
      <c r="M64682"/>
    </row>
    <row r="64683" spans="3:13" ht="12.75" customHeight="1">
      <c r="C64683"/>
      <c r="M64683"/>
    </row>
    <row r="64684" spans="3:13" ht="12.75" customHeight="1">
      <c r="C64684"/>
      <c r="M64684"/>
    </row>
    <row r="64685" spans="3:13" ht="12.75" customHeight="1">
      <c r="C64685"/>
      <c r="M64685"/>
    </row>
    <row r="64686" spans="3:13" ht="12.75" customHeight="1">
      <c r="C64686"/>
      <c r="M64686"/>
    </row>
    <row r="64687" spans="3:13" ht="12.75" customHeight="1">
      <c r="C64687"/>
      <c r="M64687"/>
    </row>
    <row r="64688" spans="3:13" ht="12.75" customHeight="1">
      <c r="C64688"/>
      <c r="M64688"/>
    </row>
    <row r="64689" spans="3:13" ht="12.75" customHeight="1">
      <c r="C64689"/>
      <c r="M64689"/>
    </row>
    <row r="64690" spans="3:13" ht="12.75" customHeight="1">
      <c r="C64690"/>
      <c r="M64690"/>
    </row>
    <row r="64691" spans="3:13" ht="12.75" customHeight="1">
      <c r="C64691"/>
      <c r="M64691"/>
    </row>
    <row r="64692" spans="3:13" ht="12.75" customHeight="1">
      <c r="C64692"/>
      <c r="M64692"/>
    </row>
    <row r="64693" spans="3:13" ht="12.75" customHeight="1">
      <c r="C64693"/>
      <c r="M64693"/>
    </row>
    <row r="64694" spans="3:13" ht="12.75" customHeight="1">
      <c r="C64694"/>
      <c r="M64694"/>
    </row>
    <row r="64695" spans="3:13" ht="12.75" customHeight="1">
      <c r="C64695"/>
      <c r="M64695"/>
    </row>
    <row r="64696" spans="3:13" ht="12.75" customHeight="1">
      <c r="C64696"/>
      <c r="M64696"/>
    </row>
    <row r="64697" spans="3:13" ht="12.75" customHeight="1">
      <c r="C64697"/>
      <c r="M64697"/>
    </row>
    <row r="64698" spans="3:13" ht="12.75" customHeight="1">
      <c r="C64698"/>
      <c r="M64698"/>
    </row>
    <row r="64699" spans="3:13" ht="12.75" customHeight="1">
      <c r="C64699"/>
      <c r="M64699"/>
    </row>
    <row r="64700" spans="3:13" ht="12.75" customHeight="1">
      <c r="C64700"/>
      <c r="M64700"/>
    </row>
    <row r="64701" spans="3:13" ht="12.75" customHeight="1">
      <c r="C64701"/>
      <c r="M64701"/>
    </row>
    <row r="64702" spans="3:13" ht="12.75" customHeight="1">
      <c r="C64702"/>
      <c r="M64702"/>
    </row>
    <row r="64703" spans="3:13" ht="12.75" customHeight="1">
      <c r="C64703"/>
      <c r="M64703"/>
    </row>
    <row r="64704" spans="3:13" ht="12.75" customHeight="1">
      <c r="C64704"/>
      <c r="M64704"/>
    </row>
    <row r="64705" spans="3:13" ht="12.75" customHeight="1">
      <c r="C64705"/>
      <c r="M64705"/>
    </row>
    <row r="64706" spans="3:13" ht="12.75" customHeight="1">
      <c r="C64706"/>
      <c r="M64706"/>
    </row>
    <row r="64707" spans="3:13" ht="12.75" customHeight="1">
      <c r="C64707"/>
      <c r="M64707"/>
    </row>
    <row r="64708" spans="3:13" ht="12.75" customHeight="1">
      <c r="C64708"/>
      <c r="M64708"/>
    </row>
    <row r="64709" spans="3:13" ht="12.75" customHeight="1">
      <c r="C64709"/>
      <c r="M64709"/>
    </row>
    <row r="64710" spans="3:13" ht="12.75" customHeight="1">
      <c r="C64710"/>
      <c r="M64710"/>
    </row>
    <row r="64711" spans="3:13" ht="12.75" customHeight="1">
      <c r="C64711"/>
      <c r="M64711"/>
    </row>
    <row r="64712" spans="3:13" ht="12.75" customHeight="1">
      <c r="C64712"/>
      <c r="M64712"/>
    </row>
    <row r="64713" spans="3:13" ht="12.75" customHeight="1">
      <c r="C64713"/>
      <c r="M64713"/>
    </row>
    <row r="64714" spans="3:13" ht="12.75" customHeight="1">
      <c r="C64714"/>
      <c r="M64714"/>
    </row>
    <row r="64715" spans="3:13" ht="12.75" customHeight="1">
      <c r="C64715"/>
      <c r="M64715"/>
    </row>
    <row r="64716" spans="3:13" ht="12.75" customHeight="1">
      <c r="C64716"/>
      <c r="M64716"/>
    </row>
    <row r="64717" spans="3:13" ht="12.75" customHeight="1">
      <c r="C64717"/>
      <c r="M64717"/>
    </row>
    <row r="64718" spans="3:13" ht="12.75" customHeight="1">
      <c r="C64718"/>
      <c r="M64718"/>
    </row>
    <row r="64719" spans="3:13" ht="12.75" customHeight="1">
      <c r="C64719"/>
      <c r="M64719"/>
    </row>
    <row r="64720" spans="3:13" ht="12.75" customHeight="1">
      <c r="C64720"/>
      <c r="M64720"/>
    </row>
    <row r="64721" spans="3:13" ht="12.75" customHeight="1">
      <c r="C64721"/>
      <c r="M64721"/>
    </row>
    <row r="64722" spans="3:13" ht="12.75" customHeight="1">
      <c r="C64722"/>
      <c r="M64722"/>
    </row>
    <row r="64723" spans="3:13" ht="12.75" customHeight="1">
      <c r="C64723"/>
      <c r="M64723"/>
    </row>
    <row r="64724" spans="3:13" ht="12.75" customHeight="1">
      <c r="C64724"/>
      <c r="M64724"/>
    </row>
    <row r="64725" spans="3:13" ht="12.75" customHeight="1">
      <c r="C64725"/>
      <c r="M64725"/>
    </row>
    <row r="64726" spans="3:13" ht="12.75" customHeight="1">
      <c r="C64726"/>
      <c r="M64726"/>
    </row>
    <row r="64727" spans="3:13" ht="12.75" customHeight="1">
      <c r="C64727"/>
      <c r="M64727"/>
    </row>
    <row r="64728" spans="3:13" ht="12.75" customHeight="1">
      <c r="C64728"/>
      <c r="M64728"/>
    </row>
    <row r="64729" spans="3:13" ht="12.75" customHeight="1">
      <c r="C64729"/>
      <c r="M64729"/>
    </row>
    <row r="64730" spans="3:13" ht="12.75" customHeight="1">
      <c r="C64730"/>
      <c r="M64730"/>
    </row>
    <row r="64731" spans="3:13" ht="12.75" customHeight="1">
      <c r="C64731"/>
      <c r="M64731"/>
    </row>
    <row r="64732" spans="3:13" ht="12.75" customHeight="1">
      <c r="C64732"/>
      <c r="M64732"/>
    </row>
    <row r="64733" spans="3:13" ht="12.75" customHeight="1">
      <c r="C64733"/>
      <c r="M64733"/>
    </row>
    <row r="64734" spans="3:13" ht="12.75" customHeight="1">
      <c r="C64734"/>
      <c r="M64734"/>
    </row>
    <row r="64735" spans="3:13" ht="12.75" customHeight="1">
      <c r="C64735"/>
      <c r="M64735"/>
    </row>
    <row r="64736" spans="3:13" ht="12.75" customHeight="1">
      <c r="C64736"/>
      <c r="M64736"/>
    </row>
    <row r="64737" spans="3:13" ht="12.75" customHeight="1">
      <c r="C64737"/>
      <c r="M64737"/>
    </row>
    <row r="64738" spans="3:13" ht="12.75" customHeight="1">
      <c r="C64738"/>
      <c r="M64738"/>
    </row>
    <row r="64739" spans="3:13" ht="12.75" customHeight="1">
      <c r="C64739"/>
      <c r="M64739"/>
    </row>
    <row r="64740" spans="3:13" ht="12.75" customHeight="1">
      <c r="C64740"/>
      <c r="M64740"/>
    </row>
    <row r="64741" spans="3:13" ht="12.75" customHeight="1">
      <c r="C64741"/>
      <c r="M64741"/>
    </row>
    <row r="64742" spans="3:13" ht="12.75" customHeight="1">
      <c r="C64742"/>
      <c r="M64742"/>
    </row>
    <row r="64743" spans="3:13" ht="12.75" customHeight="1">
      <c r="C64743"/>
      <c r="M64743"/>
    </row>
    <row r="64744" spans="3:13" ht="12.75" customHeight="1">
      <c r="C64744"/>
      <c r="M64744"/>
    </row>
    <row r="64745" spans="3:13" ht="12.75" customHeight="1">
      <c r="C64745"/>
      <c r="M64745"/>
    </row>
    <row r="64746" spans="3:13" ht="12.75" customHeight="1">
      <c r="C64746"/>
      <c r="M64746"/>
    </row>
    <row r="64747" spans="3:13" ht="12.75" customHeight="1">
      <c r="C64747"/>
      <c r="M64747"/>
    </row>
    <row r="64748" spans="3:13" ht="12.75" customHeight="1">
      <c r="C64748"/>
      <c r="M64748"/>
    </row>
    <row r="64749" spans="3:13" ht="12.75" customHeight="1">
      <c r="C64749"/>
      <c r="M64749"/>
    </row>
    <row r="64750" spans="3:13" ht="12.75" customHeight="1">
      <c r="C64750"/>
      <c r="M64750"/>
    </row>
    <row r="64751" spans="3:13" ht="12.75" customHeight="1">
      <c r="C64751"/>
      <c r="M64751"/>
    </row>
    <row r="64752" spans="3:13" ht="12.75" customHeight="1">
      <c r="C64752"/>
      <c r="M64752"/>
    </row>
    <row r="64753" spans="3:13" ht="12.75" customHeight="1">
      <c r="C64753"/>
      <c r="M64753"/>
    </row>
    <row r="64754" spans="3:13" ht="12.75" customHeight="1">
      <c r="C64754"/>
      <c r="M64754"/>
    </row>
    <row r="64755" spans="3:13" ht="12.75" customHeight="1">
      <c r="C64755"/>
      <c r="M64755"/>
    </row>
    <row r="64756" spans="3:13" ht="12.75" customHeight="1">
      <c r="C64756"/>
      <c r="M64756"/>
    </row>
    <row r="64757" spans="3:13" ht="12.75" customHeight="1">
      <c r="C64757"/>
      <c r="M64757"/>
    </row>
    <row r="64758" spans="3:13" ht="12.75" customHeight="1">
      <c r="C64758"/>
      <c r="M64758"/>
    </row>
    <row r="64759" spans="3:13" ht="12.75" customHeight="1">
      <c r="C64759"/>
      <c r="M64759"/>
    </row>
    <row r="64760" spans="3:13" ht="12.75" customHeight="1">
      <c r="C64760"/>
      <c r="M64760"/>
    </row>
    <row r="64761" spans="3:13" ht="12.75" customHeight="1">
      <c r="C64761"/>
      <c r="M64761"/>
    </row>
    <row r="64762" spans="3:13" ht="12.75" customHeight="1">
      <c r="C64762"/>
      <c r="M64762"/>
    </row>
    <row r="64763" spans="3:13" ht="12.75" customHeight="1">
      <c r="C64763"/>
      <c r="M64763"/>
    </row>
    <row r="64764" spans="3:13" ht="12.75" customHeight="1">
      <c r="C64764"/>
      <c r="M64764"/>
    </row>
    <row r="64765" spans="3:13" ht="12.75" customHeight="1">
      <c r="C64765"/>
      <c r="M64765"/>
    </row>
    <row r="64766" spans="3:13" ht="12.75" customHeight="1">
      <c r="C64766"/>
      <c r="M64766"/>
    </row>
    <row r="64767" spans="3:13" ht="12.75" customHeight="1">
      <c r="C64767"/>
      <c r="M64767"/>
    </row>
    <row r="64768" spans="3:13" ht="12.75" customHeight="1">
      <c r="C64768"/>
      <c r="M64768"/>
    </row>
    <row r="64769" spans="3:13" ht="12.75" customHeight="1">
      <c r="C64769"/>
      <c r="M64769"/>
    </row>
    <row r="64770" spans="3:13" ht="12.75" customHeight="1">
      <c r="C64770"/>
      <c r="M64770"/>
    </row>
    <row r="64771" spans="3:13" ht="12.75" customHeight="1">
      <c r="C64771"/>
      <c r="M64771"/>
    </row>
    <row r="64772" spans="3:13" ht="12.75" customHeight="1">
      <c r="C64772"/>
      <c r="M64772"/>
    </row>
    <row r="64773" spans="3:13" ht="12.75" customHeight="1">
      <c r="C64773"/>
      <c r="M64773"/>
    </row>
    <row r="64774" spans="3:13" ht="12.75" customHeight="1">
      <c r="C64774"/>
      <c r="M64774"/>
    </row>
    <row r="64775" spans="3:13" ht="12.75" customHeight="1">
      <c r="C64775"/>
      <c r="M64775"/>
    </row>
    <row r="64776" spans="3:13" ht="12.75" customHeight="1">
      <c r="C64776"/>
      <c r="M64776"/>
    </row>
    <row r="64777" spans="3:13" ht="12.75" customHeight="1">
      <c r="C64777"/>
      <c r="M64777"/>
    </row>
    <row r="64778" spans="3:13" ht="12.75" customHeight="1">
      <c r="C64778"/>
      <c r="M64778"/>
    </row>
    <row r="64779" spans="3:13" ht="12.75" customHeight="1">
      <c r="C64779"/>
      <c r="M64779"/>
    </row>
    <row r="64780" spans="3:13" ht="12.75" customHeight="1">
      <c r="C64780"/>
      <c r="M64780"/>
    </row>
    <row r="64781" spans="3:13" ht="12.75" customHeight="1">
      <c r="C64781"/>
      <c r="M64781"/>
    </row>
    <row r="64782" spans="3:13" ht="12.75" customHeight="1">
      <c r="C64782"/>
      <c r="M64782"/>
    </row>
    <row r="64783" spans="3:13" ht="12.75" customHeight="1">
      <c r="C64783"/>
      <c r="M64783"/>
    </row>
    <row r="64784" spans="3:13" ht="12.75" customHeight="1">
      <c r="C64784"/>
      <c r="M64784"/>
    </row>
    <row r="64785" spans="3:13" ht="12.75" customHeight="1">
      <c r="C64785"/>
      <c r="M64785"/>
    </row>
    <row r="64786" spans="3:13" ht="12.75" customHeight="1">
      <c r="C64786"/>
      <c r="M64786"/>
    </row>
    <row r="64787" spans="3:13" ht="12.75" customHeight="1">
      <c r="C64787"/>
      <c r="M64787"/>
    </row>
    <row r="64788" spans="3:13" ht="12.75" customHeight="1">
      <c r="C64788"/>
      <c r="M64788"/>
    </row>
    <row r="64789" spans="3:13" ht="12.75" customHeight="1">
      <c r="C64789"/>
      <c r="M64789"/>
    </row>
    <row r="64790" spans="3:13" ht="12.75" customHeight="1">
      <c r="C64790"/>
      <c r="M64790"/>
    </row>
    <row r="64791" spans="3:13" ht="12.75" customHeight="1">
      <c r="C64791"/>
      <c r="M64791"/>
    </row>
    <row r="64792" spans="3:13" ht="12.75" customHeight="1">
      <c r="C64792"/>
      <c r="M64792"/>
    </row>
    <row r="64793" spans="3:13" ht="12.75" customHeight="1">
      <c r="C64793"/>
      <c r="M64793"/>
    </row>
    <row r="64794" spans="3:13" ht="12.75" customHeight="1">
      <c r="C64794"/>
      <c r="M64794"/>
    </row>
    <row r="64795" spans="3:13" ht="12.75" customHeight="1">
      <c r="C64795"/>
      <c r="M64795"/>
    </row>
    <row r="64796" spans="3:13" ht="12.75" customHeight="1">
      <c r="C64796"/>
      <c r="M64796"/>
    </row>
    <row r="64797" spans="3:13" ht="12.75" customHeight="1">
      <c r="C64797"/>
      <c r="M64797"/>
    </row>
    <row r="64798" spans="3:13" ht="12.75" customHeight="1">
      <c r="C64798"/>
      <c r="M64798"/>
    </row>
    <row r="64799" spans="3:13" ht="12.75" customHeight="1">
      <c r="C64799"/>
      <c r="M64799"/>
    </row>
    <row r="64800" spans="3:13" ht="12.75" customHeight="1">
      <c r="C64800"/>
      <c r="M64800"/>
    </row>
    <row r="64801" spans="3:13" ht="12.75" customHeight="1">
      <c r="C64801"/>
      <c r="M64801"/>
    </row>
    <row r="64802" spans="3:13" ht="12.75" customHeight="1">
      <c r="C64802"/>
      <c r="M64802"/>
    </row>
    <row r="64803" spans="3:13" ht="12.75" customHeight="1">
      <c r="C64803"/>
      <c r="M64803"/>
    </row>
    <row r="64804" spans="3:13" ht="12.75" customHeight="1">
      <c r="C64804"/>
      <c r="M64804"/>
    </row>
    <row r="64805" spans="3:13" ht="12.75" customHeight="1">
      <c r="C64805"/>
      <c r="M64805"/>
    </row>
    <row r="64806" spans="3:13" ht="12.75" customHeight="1">
      <c r="C64806"/>
      <c r="M64806"/>
    </row>
    <row r="64807" spans="3:13" ht="12.75" customHeight="1">
      <c r="C64807"/>
      <c r="M64807"/>
    </row>
    <row r="64808" spans="3:13" ht="12.75" customHeight="1">
      <c r="C64808"/>
      <c r="M64808"/>
    </row>
    <row r="64809" spans="3:13" ht="12.75" customHeight="1">
      <c r="C64809"/>
      <c r="M64809"/>
    </row>
    <row r="64810" spans="3:13" ht="12.75" customHeight="1">
      <c r="C64810"/>
      <c r="M64810"/>
    </row>
    <row r="64811" spans="3:13" ht="12.75" customHeight="1">
      <c r="C64811"/>
      <c r="M64811"/>
    </row>
    <row r="64812" spans="3:13" ht="12.75" customHeight="1">
      <c r="C64812"/>
      <c r="M64812"/>
    </row>
    <row r="64813" spans="3:13" ht="12.75" customHeight="1">
      <c r="C64813"/>
      <c r="M64813"/>
    </row>
    <row r="64814" spans="3:13" ht="12.75" customHeight="1">
      <c r="C64814"/>
      <c r="M64814"/>
    </row>
    <row r="64815" spans="3:13" ht="12.75" customHeight="1">
      <c r="C64815"/>
      <c r="M64815"/>
    </row>
    <row r="64816" spans="3:13" ht="12.75" customHeight="1">
      <c r="C64816"/>
      <c r="M64816"/>
    </row>
    <row r="64817" spans="3:13" ht="12.75" customHeight="1">
      <c r="C64817"/>
      <c r="M64817"/>
    </row>
    <row r="64818" spans="3:13" ht="12.75" customHeight="1">
      <c r="C64818"/>
      <c r="M64818"/>
    </row>
    <row r="64819" spans="3:13" ht="12.75" customHeight="1">
      <c r="C64819"/>
      <c r="M64819"/>
    </row>
    <row r="64820" spans="3:13" ht="12.75" customHeight="1">
      <c r="C64820"/>
      <c r="M64820"/>
    </row>
    <row r="64821" spans="3:13" ht="12.75" customHeight="1">
      <c r="C64821"/>
      <c r="M64821"/>
    </row>
    <row r="64822" spans="3:13" ht="12.75" customHeight="1">
      <c r="C64822"/>
      <c r="M64822"/>
    </row>
    <row r="64823" spans="3:13" ht="12.75" customHeight="1">
      <c r="C64823"/>
      <c r="M64823"/>
    </row>
    <row r="64824" spans="3:13" ht="12.75" customHeight="1">
      <c r="C64824"/>
      <c r="M64824"/>
    </row>
    <row r="64825" spans="3:13" ht="12.75" customHeight="1">
      <c r="C64825"/>
      <c r="M64825"/>
    </row>
    <row r="64826" spans="3:13" ht="12.75" customHeight="1">
      <c r="C64826"/>
      <c r="M64826"/>
    </row>
    <row r="64827" spans="3:13" ht="12.75" customHeight="1">
      <c r="C64827"/>
      <c r="M64827"/>
    </row>
    <row r="64828" spans="3:13" ht="12.75" customHeight="1">
      <c r="C64828"/>
      <c r="M64828"/>
    </row>
    <row r="64829" spans="3:13" ht="12.75" customHeight="1">
      <c r="C64829"/>
      <c r="M64829"/>
    </row>
    <row r="64830" spans="3:13" ht="12.75" customHeight="1">
      <c r="C64830"/>
      <c r="M64830"/>
    </row>
    <row r="64831" spans="3:13" ht="12.75" customHeight="1">
      <c r="C64831"/>
      <c r="M64831"/>
    </row>
    <row r="64832" spans="3:13" ht="12.75" customHeight="1">
      <c r="C64832"/>
      <c r="M64832"/>
    </row>
    <row r="64833" spans="3:13" ht="12.75" customHeight="1">
      <c r="C64833"/>
      <c r="M64833"/>
    </row>
    <row r="64834" spans="3:13" ht="12.75" customHeight="1">
      <c r="C64834"/>
      <c r="M64834"/>
    </row>
    <row r="64835" spans="3:13" ht="12.75" customHeight="1">
      <c r="C64835"/>
      <c r="M64835"/>
    </row>
    <row r="64836" spans="3:13" ht="12.75" customHeight="1">
      <c r="C64836"/>
      <c r="M64836"/>
    </row>
    <row r="64837" spans="3:13" ht="12.75" customHeight="1">
      <c r="C64837"/>
      <c r="M64837"/>
    </row>
    <row r="64838" spans="3:13" ht="12.75" customHeight="1">
      <c r="C64838"/>
      <c r="M64838"/>
    </row>
    <row r="64839" spans="3:13" ht="12.75" customHeight="1">
      <c r="C64839"/>
      <c r="M64839"/>
    </row>
    <row r="64840" spans="3:13" ht="12.75" customHeight="1">
      <c r="C64840"/>
      <c r="M64840"/>
    </row>
    <row r="64841" spans="3:13" ht="12.75" customHeight="1">
      <c r="C64841"/>
      <c r="M64841"/>
    </row>
    <row r="64842" spans="3:13" ht="12.75" customHeight="1">
      <c r="C64842"/>
      <c r="M64842"/>
    </row>
    <row r="64843" spans="3:13" ht="12.75" customHeight="1">
      <c r="C64843"/>
      <c r="M64843"/>
    </row>
    <row r="64844" spans="3:13" ht="12.75" customHeight="1">
      <c r="C64844"/>
      <c r="M64844"/>
    </row>
    <row r="64845" spans="3:13" ht="12.75" customHeight="1">
      <c r="C64845"/>
      <c r="M64845"/>
    </row>
    <row r="64846" spans="3:13" ht="12.75" customHeight="1">
      <c r="C64846"/>
      <c r="M64846"/>
    </row>
    <row r="64847" spans="3:13" ht="12.75" customHeight="1">
      <c r="C64847"/>
      <c r="M64847"/>
    </row>
    <row r="64848" spans="3:13" ht="12.75" customHeight="1">
      <c r="C64848"/>
      <c r="M64848"/>
    </row>
    <row r="64849" spans="3:13" ht="12.75" customHeight="1">
      <c r="C64849"/>
      <c r="M64849"/>
    </row>
    <row r="64850" spans="3:13" ht="12.75" customHeight="1">
      <c r="C64850"/>
      <c r="M64850"/>
    </row>
    <row r="64851" spans="3:13" ht="12.75" customHeight="1">
      <c r="C64851"/>
      <c r="M64851"/>
    </row>
    <row r="64852" spans="3:13" ht="12.75" customHeight="1">
      <c r="C64852"/>
      <c r="M64852"/>
    </row>
    <row r="64853" spans="3:13" ht="12.75" customHeight="1">
      <c r="C64853"/>
      <c r="M64853"/>
    </row>
    <row r="64854" spans="3:13" ht="12.75" customHeight="1">
      <c r="C64854"/>
      <c r="M64854"/>
    </row>
    <row r="64855" spans="3:13" ht="12.75" customHeight="1">
      <c r="C64855"/>
      <c r="M64855"/>
    </row>
    <row r="64856" spans="3:13" ht="12.75" customHeight="1">
      <c r="C64856"/>
      <c r="M64856"/>
    </row>
    <row r="64857" spans="3:13" ht="12.75" customHeight="1">
      <c r="C64857"/>
      <c r="M64857"/>
    </row>
    <row r="64858" spans="3:13" ht="12.75" customHeight="1">
      <c r="C64858"/>
      <c r="M64858"/>
    </row>
    <row r="64859" spans="3:13" ht="12.75" customHeight="1">
      <c r="C64859"/>
      <c r="M64859"/>
    </row>
    <row r="64860" spans="3:13" ht="12.75" customHeight="1">
      <c r="C64860"/>
      <c r="M64860"/>
    </row>
    <row r="64861" spans="3:13" ht="12.75" customHeight="1">
      <c r="C64861"/>
      <c r="M64861"/>
    </row>
    <row r="64862" spans="3:13" ht="12.75" customHeight="1">
      <c r="C64862"/>
      <c r="M64862"/>
    </row>
    <row r="64863" spans="3:13" ht="12.75" customHeight="1">
      <c r="C64863"/>
      <c r="M64863"/>
    </row>
    <row r="64864" spans="3:13" ht="12.75" customHeight="1">
      <c r="C64864"/>
      <c r="M64864"/>
    </row>
    <row r="64865" spans="3:13" ht="12.75" customHeight="1">
      <c r="C64865"/>
      <c r="M64865"/>
    </row>
    <row r="64866" spans="3:13" ht="12.75" customHeight="1">
      <c r="C64866"/>
      <c r="M64866"/>
    </row>
    <row r="64867" spans="3:13" ht="12.75" customHeight="1">
      <c r="C64867"/>
      <c r="M64867"/>
    </row>
    <row r="64868" spans="3:13" ht="12.75" customHeight="1">
      <c r="C64868"/>
      <c r="M64868"/>
    </row>
    <row r="64869" spans="3:13" ht="12.75" customHeight="1">
      <c r="C64869"/>
      <c r="M64869"/>
    </row>
    <row r="64870" spans="3:13" ht="12.75" customHeight="1">
      <c r="C64870"/>
      <c r="M64870"/>
    </row>
    <row r="64871" spans="3:13" ht="12.75" customHeight="1">
      <c r="C64871"/>
      <c r="M64871"/>
    </row>
    <row r="64872" spans="3:13" ht="12.75" customHeight="1">
      <c r="C64872"/>
      <c r="M64872"/>
    </row>
    <row r="64873" spans="3:13" ht="12.75" customHeight="1">
      <c r="C64873"/>
      <c r="M64873"/>
    </row>
    <row r="64874" spans="3:13" ht="12.75" customHeight="1">
      <c r="C64874"/>
      <c r="M64874"/>
    </row>
    <row r="64875" spans="3:13" ht="12.75" customHeight="1">
      <c r="C64875"/>
      <c r="M64875"/>
    </row>
    <row r="64876" spans="3:13" ht="12.75" customHeight="1">
      <c r="C64876"/>
      <c r="M64876"/>
    </row>
    <row r="64877" spans="3:13" ht="12.75" customHeight="1">
      <c r="C64877"/>
      <c r="M64877"/>
    </row>
    <row r="64878" spans="3:13" ht="12.75" customHeight="1">
      <c r="C64878"/>
      <c r="M64878"/>
    </row>
    <row r="64879" spans="3:13" ht="12.75" customHeight="1">
      <c r="C64879"/>
      <c r="M64879"/>
    </row>
    <row r="64880" spans="3:13" ht="12.75" customHeight="1">
      <c r="C64880"/>
      <c r="M64880"/>
    </row>
    <row r="64881" spans="3:13" ht="12.75" customHeight="1">
      <c r="C64881"/>
      <c r="M64881"/>
    </row>
    <row r="64882" spans="3:13" ht="12.75" customHeight="1">
      <c r="C64882"/>
      <c r="M64882"/>
    </row>
    <row r="64883" spans="3:13" ht="12.75" customHeight="1">
      <c r="C64883"/>
      <c r="M64883"/>
    </row>
    <row r="64884" spans="3:13" ht="12.75" customHeight="1">
      <c r="C64884"/>
      <c r="M64884"/>
    </row>
    <row r="64885" spans="3:13" ht="12.75" customHeight="1">
      <c r="C64885"/>
      <c r="M64885"/>
    </row>
    <row r="64886" spans="3:13" ht="12.75" customHeight="1">
      <c r="C64886"/>
      <c r="M64886"/>
    </row>
    <row r="64887" spans="3:13" ht="12.75" customHeight="1">
      <c r="C64887"/>
      <c r="M64887"/>
    </row>
    <row r="64888" spans="3:13" ht="12.75" customHeight="1">
      <c r="C64888"/>
      <c r="M64888"/>
    </row>
    <row r="64889" spans="3:13" ht="12.75" customHeight="1">
      <c r="C64889"/>
      <c r="M64889"/>
    </row>
    <row r="64890" spans="3:13" ht="12.75" customHeight="1">
      <c r="C64890"/>
      <c r="M64890"/>
    </row>
    <row r="64891" spans="3:13" ht="12.75" customHeight="1">
      <c r="C64891"/>
      <c r="M64891"/>
    </row>
    <row r="64892" spans="3:13" ht="12.75" customHeight="1">
      <c r="C64892"/>
      <c r="M64892"/>
    </row>
    <row r="64893" spans="3:13" ht="12.75" customHeight="1">
      <c r="C64893"/>
      <c r="M64893"/>
    </row>
    <row r="64894" spans="3:13" ht="12.75" customHeight="1">
      <c r="C64894"/>
      <c r="M64894"/>
    </row>
    <row r="64895" spans="3:13" ht="12.75" customHeight="1">
      <c r="C64895"/>
      <c r="M64895"/>
    </row>
    <row r="64896" spans="3:13" ht="12.75" customHeight="1">
      <c r="C64896"/>
      <c r="M64896"/>
    </row>
    <row r="64897" spans="3:13" ht="12.75" customHeight="1">
      <c r="C64897"/>
      <c r="M64897"/>
    </row>
    <row r="64898" spans="3:13" ht="12.75" customHeight="1">
      <c r="C64898"/>
      <c r="M64898"/>
    </row>
    <row r="64899" spans="3:13" ht="12.75" customHeight="1">
      <c r="C64899"/>
      <c r="M64899"/>
    </row>
    <row r="64900" spans="3:13" ht="12.75" customHeight="1">
      <c r="C64900"/>
      <c r="M64900"/>
    </row>
    <row r="64901" spans="3:13" ht="12.75" customHeight="1">
      <c r="C64901"/>
      <c r="M64901"/>
    </row>
    <row r="64902" spans="3:13" ht="12.75" customHeight="1">
      <c r="C64902"/>
      <c r="M64902"/>
    </row>
    <row r="64903" spans="3:13" ht="12.75" customHeight="1">
      <c r="C64903"/>
      <c r="M64903"/>
    </row>
    <row r="64904" spans="3:13" ht="12.75" customHeight="1">
      <c r="C64904"/>
      <c r="M64904"/>
    </row>
    <row r="64905" spans="3:13" ht="12.75" customHeight="1">
      <c r="C64905"/>
      <c r="M64905"/>
    </row>
    <row r="64906" spans="3:13" ht="12.75" customHeight="1">
      <c r="C64906"/>
      <c r="M64906"/>
    </row>
    <row r="64907" spans="3:13" ht="12.75" customHeight="1">
      <c r="C64907"/>
      <c r="M64907"/>
    </row>
    <row r="64908" spans="3:13" ht="12.75" customHeight="1">
      <c r="C64908"/>
      <c r="M64908"/>
    </row>
    <row r="64909" spans="3:13" ht="12.75" customHeight="1">
      <c r="C64909"/>
      <c r="M64909"/>
    </row>
    <row r="64910" spans="3:13" ht="12.75" customHeight="1">
      <c r="C64910"/>
      <c r="M64910"/>
    </row>
    <row r="64911" spans="3:13" ht="12.75" customHeight="1">
      <c r="C64911"/>
      <c r="M64911"/>
    </row>
    <row r="64912" spans="3:13" ht="12.75" customHeight="1">
      <c r="C64912"/>
      <c r="M64912"/>
    </row>
    <row r="64913" spans="3:13" ht="12.75" customHeight="1">
      <c r="C64913"/>
      <c r="M64913"/>
    </row>
    <row r="64914" spans="3:13" ht="12.75" customHeight="1">
      <c r="C64914"/>
      <c r="M64914"/>
    </row>
    <row r="64915" spans="3:13" ht="12.75" customHeight="1">
      <c r="C64915"/>
      <c r="M64915"/>
    </row>
    <row r="64916" spans="3:13" ht="12.75" customHeight="1">
      <c r="C64916"/>
      <c r="M64916"/>
    </row>
    <row r="64917" spans="3:13" ht="12.75" customHeight="1">
      <c r="C64917"/>
      <c r="M64917"/>
    </row>
    <row r="64918" spans="3:13" ht="12.75" customHeight="1">
      <c r="C64918"/>
      <c r="M64918"/>
    </row>
    <row r="64919" spans="3:13" ht="12.75" customHeight="1">
      <c r="C64919"/>
      <c r="M64919"/>
    </row>
    <row r="64920" spans="3:13" ht="12.75" customHeight="1">
      <c r="C64920"/>
      <c r="M64920"/>
    </row>
    <row r="64921" spans="3:13" ht="12.75" customHeight="1">
      <c r="C64921"/>
      <c r="M64921"/>
    </row>
    <row r="64922" spans="3:13" ht="12.75" customHeight="1">
      <c r="C64922"/>
      <c r="M64922"/>
    </row>
    <row r="64923" spans="3:13" ht="12.75" customHeight="1">
      <c r="C64923"/>
      <c r="M64923"/>
    </row>
    <row r="64924" spans="3:13" ht="12.75" customHeight="1">
      <c r="C64924"/>
      <c r="M64924"/>
    </row>
    <row r="64925" spans="3:13" ht="12.75" customHeight="1">
      <c r="C64925"/>
      <c r="M64925"/>
    </row>
    <row r="64926" spans="3:13" ht="12.75" customHeight="1">
      <c r="C64926"/>
      <c r="M64926"/>
    </row>
    <row r="64927" spans="3:13" ht="12.75" customHeight="1">
      <c r="C64927"/>
      <c r="M64927"/>
    </row>
    <row r="64928" spans="3:13" ht="12.75" customHeight="1">
      <c r="C64928"/>
      <c r="M64928"/>
    </row>
    <row r="64929" spans="3:13" ht="12.75" customHeight="1">
      <c r="C64929"/>
      <c r="M64929"/>
    </row>
    <row r="64930" spans="3:13" ht="12.75" customHeight="1">
      <c r="C64930"/>
      <c r="M64930"/>
    </row>
    <row r="64931" spans="3:13" ht="12.75" customHeight="1">
      <c r="C64931"/>
      <c r="M64931"/>
    </row>
    <row r="64932" spans="3:13" ht="12.75" customHeight="1">
      <c r="C64932"/>
      <c r="M64932"/>
    </row>
    <row r="64933" spans="3:13" ht="12.75" customHeight="1">
      <c r="C64933"/>
      <c r="M64933"/>
    </row>
    <row r="64934" spans="3:13" ht="12.75" customHeight="1">
      <c r="C64934"/>
      <c r="M64934"/>
    </row>
    <row r="64935" spans="3:13" ht="12.75" customHeight="1">
      <c r="C64935"/>
      <c r="M64935"/>
    </row>
    <row r="64936" spans="3:13" ht="12.75" customHeight="1">
      <c r="C64936"/>
      <c r="M64936"/>
    </row>
    <row r="64937" spans="3:13" ht="12.75" customHeight="1">
      <c r="C64937"/>
      <c r="M64937"/>
    </row>
    <row r="64938" spans="3:13" ht="12.75" customHeight="1">
      <c r="C64938"/>
      <c r="M64938"/>
    </row>
    <row r="64939" spans="3:13" ht="12.75" customHeight="1">
      <c r="C64939"/>
      <c r="M64939"/>
    </row>
    <row r="64940" spans="3:13" ht="12.75" customHeight="1">
      <c r="C64940"/>
      <c r="M64940"/>
    </row>
    <row r="64941" spans="3:13" ht="12.75" customHeight="1">
      <c r="C64941"/>
      <c r="M64941"/>
    </row>
    <row r="64942" spans="3:13" ht="12.75" customHeight="1">
      <c r="C64942"/>
      <c r="M64942"/>
    </row>
    <row r="64943" spans="3:13" ht="12.75" customHeight="1">
      <c r="C64943"/>
      <c r="M64943"/>
    </row>
    <row r="64944" spans="3:13" ht="12.75" customHeight="1">
      <c r="C64944"/>
      <c r="M64944"/>
    </row>
    <row r="64945" spans="3:13" ht="12.75" customHeight="1">
      <c r="C64945"/>
      <c r="M64945"/>
    </row>
    <row r="64946" spans="3:13" ht="12.75" customHeight="1">
      <c r="C64946"/>
      <c r="M64946"/>
    </row>
    <row r="64947" spans="3:13" ht="12.75" customHeight="1">
      <c r="C64947"/>
      <c r="M64947"/>
    </row>
    <row r="64948" spans="3:13" ht="12.75" customHeight="1">
      <c r="C64948"/>
      <c r="M64948"/>
    </row>
    <row r="64949" spans="3:13" ht="12.75" customHeight="1">
      <c r="C64949"/>
      <c r="M64949"/>
    </row>
    <row r="64950" spans="3:13" ht="12.75" customHeight="1">
      <c r="C64950"/>
      <c r="M64950"/>
    </row>
    <row r="64951" spans="3:13" ht="12.75" customHeight="1">
      <c r="C64951"/>
      <c r="M64951"/>
    </row>
    <row r="64952" spans="3:13" ht="12.75" customHeight="1">
      <c r="C64952"/>
      <c r="M64952"/>
    </row>
    <row r="64953" spans="3:13" ht="12.75" customHeight="1">
      <c r="C64953"/>
      <c r="M64953"/>
    </row>
    <row r="64954" spans="3:13" ht="12.75" customHeight="1">
      <c r="C64954"/>
      <c r="M64954"/>
    </row>
    <row r="64955" spans="3:13" ht="12.75" customHeight="1">
      <c r="C64955"/>
      <c r="M64955"/>
    </row>
    <row r="64956" spans="3:13" ht="12.75" customHeight="1">
      <c r="C64956"/>
      <c r="M64956"/>
    </row>
    <row r="64957" spans="3:13" ht="12.75" customHeight="1">
      <c r="C64957"/>
      <c r="M64957"/>
    </row>
    <row r="64958" spans="3:13" ht="12.75" customHeight="1">
      <c r="C64958"/>
      <c r="M64958"/>
    </row>
    <row r="64959" spans="3:13" ht="12.75" customHeight="1">
      <c r="C64959"/>
      <c r="M64959"/>
    </row>
    <row r="64960" spans="3:13" ht="12.75" customHeight="1">
      <c r="C64960"/>
      <c r="M64960"/>
    </row>
    <row r="64961" spans="3:13" ht="12.75" customHeight="1">
      <c r="C64961"/>
      <c r="M64961"/>
    </row>
    <row r="64962" spans="3:13" ht="12.75" customHeight="1">
      <c r="C64962"/>
      <c r="M64962"/>
    </row>
    <row r="64963" spans="3:13" ht="12.75" customHeight="1">
      <c r="C64963"/>
      <c r="M64963"/>
    </row>
    <row r="64964" spans="3:13" ht="12.75" customHeight="1">
      <c r="C64964"/>
      <c r="M64964"/>
    </row>
    <row r="64965" spans="3:13" ht="12.75" customHeight="1">
      <c r="C64965"/>
      <c r="M64965"/>
    </row>
    <row r="64966" spans="3:13" ht="12.75" customHeight="1">
      <c r="C64966"/>
      <c r="M64966"/>
    </row>
    <row r="64967" spans="3:13" ht="12.75" customHeight="1">
      <c r="C64967"/>
      <c r="M64967"/>
    </row>
    <row r="64968" spans="3:13" ht="12.75" customHeight="1">
      <c r="C64968"/>
      <c r="M64968"/>
    </row>
    <row r="64969" spans="3:13" ht="12.75" customHeight="1">
      <c r="C64969"/>
      <c r="M64969"/>
    </row>
    <row r="64970" spans="3:13" ht="12.75" customHeight="1">
      <c r="C64970"/>
      <c r="M64970"/>
    </row>
    <row r="64971" spans="3:13" ht="12.75" customHeight="1">
      <c r="C64971"/>
      <c r="M64971"/>
    </row>
    <row r="64972" spans="3:13" ht="12.75" customHeight="1">
      <c r="C64972"/>
      <c r="M64972"/>
    </row>
    <row r="64973" spans="3:13" ht="12.75" customHeight="1">
      <c r="C64973"/>
      <c r="M64973"/>
    </row>
    <row r="64974" spans="3:13" ht="12.75" customHeight="1">
      <c r="C64974"/>
      <c r="M64974"/>
    </row>
    <row r="64975" spans="3:13" ht="12.75" customHeight="1">
      <c r="C64975"/>
      <c r="M64975"/>
    </row>
    <row r="64976" spans="3:13" ht="12.75" customHeight="1">
      <c r="C64976"/>
      <c r="M64976"/>
    </row>
    <row r="64977" spans="3:13" ht="12.75" customHeight="1">
      <c r="C64977"/>
      <c r="M64977"/>
    </row>
    <row r="64978" spans="3:13" ht="12.75" customHeight="1">
      <c r="C64978"/>
      <c r="M64978"/>
    </row>
    <row r="64979" spans="3:13" ht="12.75" customHeight="1">
      <c r="C64979"/>
      <c r="M64979"/>
    </row>
    <row r="64980" spans="3:13" ht="12.75" customHeight="1">
      <c r="C64980"/>
      <c r="M64980"/>
    </row>
    <row r="64981" spans="3:13" ht="12.75" customHeight="1">
      <c r="C64981"/>
      <c r="M64981"/>
    </row>
    <row r="64982" spans="3:13" ht="12.75" customHeight="1">
      <c r="C64982"/>
      <c r="M64982"/>
    </row>
    <row r="64983" spans="3:13" ht="12.75" customHeight="1">
      <c r="C64983"/>
      <c r="M64983"/>
    </row>
    <row r="64984" spans="3:13" ht="12.75" customHeight="1">
      <c r="C64984"/>
      <c r="M64984"/>
    </row>
    <row r="64985" spans="3:13" ht="12.75" customHeight="1">
      <c r="C64985"/>
      <c r="M64985"/>
    </row>
    <row r="64986" spans="3:13" ht="12.75" customHeight="1">
      <c r="C64986"/>
      <c r="M64986"/>
    </row>
    <row r="64987" spans="3:13" ht="12.75" customHeight="1">
      <c r="C64987"/>
      <c r="M64987"/>
    </row>
    <row r="64988" spans="3:13" ht="12.75" customHeight="1">
      <c r="C64988"/>
      <c r="M64988"/>
    </row>
    <row r="64989" spans="3:13" ht="12.75" customHeight="1">
      <c r="C64989"/>
      <c r="M64989"/>
    </row>
    <row r="64990" spans="3:13" ht="12.75" customHeight="1">
      <c r="C64990"/>
      <c r="M64990"/>
    </row>
    <row r="64991" spans="3:13" ht="12.75" customHeight="1">
      <c r="C64991"/>
      <c r="M64991"/>
    </row>
    <row r="64992" spans="3:13" ht="12.75" customHeight="1">
      <c r="C64992"/>
      <c r="M64992"/>
    </row>
    <row r="64993" spans="3:13" ht="12.75" customHeight="1">
      <c r="C64993"/>
      <c r="M64993"/>
    </row>
    <row r="64994" spans="3:13" ht="12.75" customHeight="1">
      <c r="C64994"/>
      <c r="M64994"/>
    </row>
    <row r="64995" spans="3:13" ht="12.75" customHeight="1">
      <c r="C64995"/>
      <c r="M64995"/>
    </row>
    <row r="64996" spans="3:13" ht="12.75" customHeight="1">
      <c r="C64996"/>
      <c r="M64996"/>
    </row>
    <row r="64997" spans="3:13" ht="12.75" customHeight="1">
      <c r="C64997"/>
      <c r="M64997"/>
    </row>
    <row r="64998" spans="3:13" ht="12.75" customHeight="1">
      <c r="C64998"/>
      <c r="M64998"/>
    </row>
    <row r="64999" spans="3:13" ht="12.75" customHeight="1">
      <c r="C64999"/>
      <c r="M64999"/>
    </row>
    <row r="65000" spans="3:13" ht="12.75" customHeight="1">
      <c r="C65000"/>
      <c r="M65000"/>
    </row>
    <row r="65001" spans="3:13" ht="12.75" customHeight="1">
      <c r="C65001"/>
      <c r="M65001"/>
    </row>
    <row r="65002" spans="3:13" ht="12.75" customHeight="1">
      <c r="C65002"/>
      <c r="M65002"/>
    </row>
    <row r="65003" spans="3:13" ht="12.75" customHeight="1">
      <c r="C65003"/>
      <c r="M65003"/>
    </row>
    <row r="65004" spans="3:13" ht="12.75" customHeight="1">
      <c r="C65004"/>
      <c r="M65004"/>
    </row>
    <row r="65005" spans="3:13" ht="12.75" customHeight="1">
      <c r="C65005"/>
      <c r="M65005"/>
    </row>
    <row r="65006" spans="3:13" ht="12.75" customHeight="1">
      <c r="C65006"/>
      <c r="M65006"/>
    </row>
    <row r="65007" spans="3:13" ht="12.75" customHeight="1">
      <c r="C65007"/>
      <c r="M65007"/>
    </row>
    <row r="65008" spans="3:13" ht="12.75" customHeight="1">
      <c r="C65008"/>
      <c r="M65008"/>
    </row>
    <row r="65009" spans="3:13" ht="12.75" customHeight="1">
      <c r="C65009"/>
      <c r="M65009"/>
    </row>
    <row r="65010" spans="3:13" ht="12.75" customHeight="1">
      <c r="C65010"/>
      <c r="M65010"/>
    </row>
    <row r="65011" spans="3:13" ht="12.75" customHeight="1">
      <c r="C65011"/>
      <c r="M65011"/>
    </row>
    <row r="65012" spans="3:13" ht="12.75" customHeight="1">
      <c r="C65012"/>
      <c r="M65012"/>
    </row>
    <row r="65013" spans="3:13" ht="12.75" customHeight="1">
      <c r="C65013"/>
      <c r="M65013"/>
    </row>
    <row r="65014" spans="3:13" ht="12.75" customHeight="1">
      <c r="C65014"/>
      <c r="M65014"/>
    </row>
    <row r="65015" spans="3:13" ht="12.75" customHeight="1">
      <c r="C65015"/>
      <c r="M65015"/>
    </row>
    <row r="65016" spans="3:13" ht="12.75" customHeight="1">
      <c r="C65016"/>
      <c r="M65016"/>
    </row>
    <row r="65017" spans="3:13" ht="12.75" customHeight="1">
      <c r="C65017"/>
      <c r="M65017"/>
    </row>
    <row r="65018" spans="3:13" ht="12.75" customHeight="1">
      <c r="C65018"/>
      <c r="M65018"/>
    </row>
    <row r="65019" spans="3:13" ht="12.75" customHeight="1">
      <c r="C65019"/>
      <c r="M65019"/>
    </row>
    <row r="65020" spans="3:13" ht="12.75" customHeight="1">
      <c r="C65020"/>
      <c r="M65020"/>
    </row>
    <row r="65021" spans="3:13" ht="12.75" customHeight="1">
      <c r="C65021"/>
      <c r="M65021"/>
    </row>
    <row r="65022" spans="3:13" ht="12.75" customHeight="1">
      <c r="C65022"/>
      <c r="M65022"/>
    </row>
    <row r="65023" spans="3:13" ht="12.75" customHeight="1">
      <c r="C65023"/>
      <c r="M65023"/>
    </row>
    <row r="65024" spans="3:13" ht="12.75" customHeight="1">
      <c r="C65024"/>
      <c r="M65024"/>
    </row>
    <row r="65025" spans="3:13" ht="12.75" customHeight="1">
      <c r="C65025"/>
      <c r="M65025"/>
    </row>
    <row r="65026" spans="3:13" ht="12.75" customHeight="1">
      <c r="C65026"/>
      <c r="M65026"/>
    </row>
    <row r="65027" spans="3:13" ht="12.75" customHeight="1">
      <c r="C65027"/>
      <c r="M65027"/>
    </row>
    <row r="65028" spans="3:13" ht="12.75" customHeight="1">
      <c r="C65028"/>
      <c r="M65028"/>
    </row>
    <row r="65029" spans="3:13" ht="12.75" customHeight="1">
      <c r="C65029"/>
      <c r="M65029"/>
    </row>
    <row r="65030" spans="3:13" ht="12.75" customHeight="1">
      <c r="C65030"/>
      <c r="M65030"/>
    </row>
    <row r="65031" spans="3:13" ht="12.75" customHeight="1">
      <c r="C65031"/>
      <c r="M65031"/>
    </row>
    <row r="65032" spans="3:13" ht="12.75" customHeight="1">
      <c r="C65032"/>
      <c r="M65032"/>
    </row>
    <row r="65033" spans="3:13" ht="12.75" customHeight="1">
      <c r="C65033"/>
      <c r="M65033"/>
    </row>
    <row r="65034" spans="3:13" ht="12.75" customHeight="1">
      <c r="C65034"/>
      <c r="M65034"/>
    </row>
    <row r="65035" spans="3:13" ht="12.75" customHeight="1">
      <c r="C65035"/>
      <c r="M65035"/>
    </row>
    <row r="65036" spans="3:13" ht="12.75" customHeight="1">
      <c r="C65036"/>
      <c r="M65036"/>
    </row>
    <row r="65037" spans="3:13" ht="12.75" customHeight="1">
      <c r="C65037"/>
      <c r="M65037"/>
    </row>
    <row r="65038" spans="3:13" ht="12.75" customHeight="1">
      <c r="C65038"/>
      <c r="M65038"/>
    </row>
    <row r="65039" spans="3:13" ht="12.75" customHeight="1">
      <c r="C65039"/>
      <c r="M65039"/>
    </row>
    <row r="65040" spans="3:13" ht="12.75" customHeight="1">
      <c r="C65040"/>
      <c r="M65040"/>
    </row>
    <row r="65041" spans="3:13" ht="12.75" customHeight="1">
      <c r="C65041"/>
      <c r="M65041"/>
    </row>
    <row r="65042" spans="3:13" ht="12.75" customHeight="1">
      <c r="C65042"/>
      <c r="M65042"/>
    </row>
    <row r="65043" spans="3:13" ht="12.75" customHeight="1">
      <c r="C65043"/>
      <c r="M65043"/>
    </row>
    <row r="65044" spans="3:13" ht="12.75" customHeight="1">
      <c r="C65044"/>
      <c r="M65044"/>
    </row>
    <row r="65045" spans="3:13" ht="12.75" customHeight="1">
      <c r="C65045"/>
      <c r="M65045"/>
    </row>
    <row r="65046" spans="3:13" ht="12.75" customHeight="1">
      <c r="C65046"/>
      <c r="M65046"/>
    </row>
    <row r="65047" spans="3:13" ht="12.75" customHeight="1">
      <c r="C65047"/>
      <c r="M65047"/>
    </row>
    <row r="65048" spans="3:13" ht="12.75" customHeight="1">
      <c r="C65048"/>
      <c r="M65048"/>
    </row>
    <row r="65049" spans="3:13" ht="12.75" customHeight="1">
      <c r="C65049"/>
      <c r="M65049"/>
    </row>
    <row r="65050" spans="3:13" ht="12.75" customHeight="1">
      <c r="C65050"/>
      <c r="M65050"/>
    </row>
    <row r="65051" spans="3:13" ht="12.75" customHeight="1">
      <c r="C65051"/>
      <c r="M65051"/>
    </row>
    <row r="65052" spans="3:13" ht="12.75" customHeight="1">
      <c r="C65052"/>
      <c r="M65052"/>
    </row>
    <row r="65053" spans="3:13" ht="12.75" customHeight="1">
      <c r="C65053"/>
      <c r="M65053"/>
    </row>
    <row r="65054" spans="3:13" ht="12.75" customHeight="1">
      <c r="C65054"/>
      <c r="M65054"/>
    </row>
    <row r="65055" spans="3:13" ht="12.75" customHeight="1">
      <c r="C65055"/>
      <c r="M65055"/>
    </row>
    <row r="65056" spans="3:13" ht="12.75" customHeight="1">
      <c r="C65056"/>
      <c r="M65056"/>
    </row>
    <row r="65057" spans="3:13" ht="12.75" customHeight="1">
      <c r="C65057"/>
      <c r="M65057"/>
    </row>
    <row r="65058" spans="3:13" ht="12.75" customHeight="1">
      <c r="C65058"/>
      <c r="M65058"/>
    </row>
    <row r="65059" spans="3:13" ht="12.75" customHeight="1">
      <c r="C65059"/>
      <c r="M65059"/>
    </row>
    <row r="65060" spans="3:13" ht="12.75" customHeight="1">
      <c r="C65060"/>
      <c r="M65060"/>
    </row>
    <row r="65061" spans="3:13" ht="12.75" customHeight="1">
      <c r="C65061"/>
      <c r="M65061"/>
    </row>
    <row r="65062" spans="3:13" ht="12.75" customHeight="1">
      <c r="C65062"/>
      <c r="M65062"/>
    </row>
    <row r="65063" spans="3:13" ht="12.75" customHeight="1">
      <c r="C65063"/>
      <c r="M65063"/>
    </row>
    <row r="65064" spans="3:13" ht="12.75" customHeight="1">
      <c r="C65064"/>
      <c r="M65064"/>
    </row>
    <row r="65065" spans="3:13" ht="12.75" customHeight="1">
      <c r="C65065"/>
      <c r="M65065"/>
    </row>
    <row r="65066" spans="3:13" ht="12.75" customHeight="1">
      <c r="C65066"/>
      <c r="M65066"/>
    </row>
    <row r="65067" spans="3:13" ht="12.75" customHeight="1">
      <c r="C65067"/>
      <c r="M65067"/>
    </row>
    <row r="65068" spans="3:13" ht="12.75" customHeight="1">
      <c r="C65068"/>
      <c r="M65068"/>
    </row>
    <row r="65069" spans="3:13" ht="12.75" customHeight="1">
      <c r="C65069"/>
      <c r="M65069"/>
    </row>
    <row r="65070" spans="3:13" ht="12.75" customHeight="1">
      <c r="C65070"/>
      <c r="M65070"/>
    </row>
    <row r="65071" spans="3:13" ht="12.75" customHeight="1">
      <c r="C65071"/>
      <c r="M65071"/>
    </row>
    <row r="65072" spans="3:13" ht="12.75" customHeight="1">
      <c r="C65072"/>
      <c r="M65072"/>
    </row>
    <row r="65073" spans="3:13" ht="12.75" customHeight="1">
      <c r="C65073"/>
      <c r="M65073"/>
    </row>
    <row r="65074" spans="3:13" ht="12.75" customHeight="1">
      <c r="C65074"/>
      <c r="M65074"/>
    </row>
    <row r="65075" spans="3:13" ht="12.75" customHeight="1">
      <c r="C65075"/>
      <c r="M65075"/>
    </row>
    <row r="65076" spans="3:13" ht="12.75" customHeight="1">
      <c r="C65076"/>
      <c r="M65076"/>
    </row>
    <row r="65077" spans="3:13" ht="12.75" customHeight="1">
      <c r="C65077"/>
      <c r="M65077"/>
    </row>
    <row r="65078" spans="3:13" ht="12.75" customHeight="1">
      <c r="C65078"/>
      <c r="M65078"/>
    </row>
    <row r="65079" spans="3:13" ht="12.75" customHeight="1">
      <c r="C65079"/>
      <c r="M65079"/>
    </row>
    <row r="65080" spans="3:13" ht="12.75" customHeight="1">
      <c r="C65080"/>
      <c r="M65080"/>
    </row>
    <row r="65081" spans="3:13" ht="12.75" customHeight="1">
      <c r="C65081"/>
      <c r="M65081"/>
    </row>
    <row r="65082" spans="3:13" ht="12.75" customHeight="1">
      <c r="C65082"/>
      <c r="M65082"/>
    </row>
    <row r="65083" spans="3:13" ht="12.75" customHeight="1">
      <c r="C65083"/>
      <c r="M65083"/>
    </row>
    <row r="65084" spans="3:13" ht="12.75" customHeight="1">
      <c r="C65084"/>
      <c r="M65084"/>
    </row>
    <row r="65085" spans="3:13" ht="12.75" customHeight="1">
      <c r="C65085"/>
      <c r="M65085"/>
    </row>
    <row r="65086" spans="3:13" ht="12.75" customHeight="1">
      <c r="C65086"/>
      <c r="M65086"/>
    </row>
    <row r="65087" spans="3:13" ht="12.75" customHeight="1">
      <c r="C65087"/>
      <c r="M65087"/>
    </row>
    <row r="65088" spans="3:13" ht="12.75" customHeight="1">
      <c r="C65088"/>
      <c r="M65088"/>
    </row>
    <row r="65089" spans="3:13" ht="12.75" customHeight="1">
      <c r="C65089"/>
      <c r="M65089"/>
    </row>
    <row r="65090" spans="3:13" ht="12.75" customHeight="1">
      <c r="C65090"/>
      <c r="M65090"/>
    </row>
    <row r="65091" spans="3:13" ht="12.75" customHeight="1">
      <c r="C65091"/>
      <c r="M65091"/>
    </row>
    <row r="65092" spans="3:13" ht="12.75" customHeight="1">
      <c r="C65092"/>
      <c r="M65092"/>
    </row>
    <row r="65093" spans="3:13" ht="12.75" customHeight="1">
      <c r="C65093"/>
      <c r="M65093"/>
    </row>
    <row r="65094" spans="3:13" ht="12.75" customHeight="1">
      <c r="C65094"/>
      <c r="M65094"/>
    </row>
    <row r="65095" spans="3:13" ht="12.75" customHeight="1">
      <c r="C65095"/>
      <c r="M65095"/>
    </row>
    <row r="65096" spans="3:13" ht="12.75" customHeight="1">
      <c r="C65096"/>
      <c r="M65096"/>
    </row>
    <row r="65097" spans="3:13" ht="12.75" customHeight="1">
      <c r="C65097"/>
      <c r="M65097"/>
    </row>
    <row r="65098" spans="3:13" ht="12.75" customHeight="1">
      <c r="C65098"/>
      <c r="M65098"/>
    </row>
    <row r="65099" spans="3:13" ht="12.75" customHeight="1">
      <c r="C65099"/>
      <c r="M65099"/>
    </row>
    <row r="65100" spans="3:13" ht="12.75" customHeight="1">
      <c r="C65100"/>
      <c r="M65100"/>
    </row>
    <row r="65101" spans="3:13" ht="12.75" customHeight="1">
      <c r="C65101"/>
      <c r="M65101"/>
    </row>
    <row r="65102" spans="3:13" ht="12.75" customHeight="1">
      <c r="C65102"/>
      <c r="M65102"/>
    </row>
    <row r="65103" spans="3:13" ht="12.75" customHeight="1">
      <c r="C65103"/>
      <c r="M65103"/>
    </row>
    <row r="65104" spans="3:13" ht="12.75" customHeight="1">
      <c r="C65104"/>
      <c r="M65104"/>
    </row>
    <row r="65105" spans="3:13" ht="12.75" customHeight="1">
      <c r="C65105"/>
      <c r="M65105"/>
    </row>
    <row r="65106" spans="3:13" ht="12.75" customHeight="1">
      <c r="C65106"/>
      <c r="M65106"/>
    </row>
    <row r="65107" spans="3:13" ht="12.75" customHeight="1">
      <c r="C65107"/>
      <c r="M65107"/>
    </row>
    <row r="65108" spans="3:13" ht="12.75" customHeight="1">
      <c r="C65108"/>
      <c r="M65108"/>
    </row>
    <row r="65109" spans="3:13" ht="12.75" customHeight="1">
      <c r="C65109"/>
      <c r="M65109"/>
    </row>
    <row r="65110" spans="3:13" ht="12.75" customHeight="1">
      <c r="C65110"/>
      <c r="M65110"/>
    </row>
    <row r="65111" spans="3:13" ht="12.75" customHeight="1">
      <c r="C65111"/>
      <c r="M65111"/>
    </row>
    <row r="65112" spans="3:13" ht="12.75" customHeight="1">
      <c r="C65112"/>
      <c r="M65112"/>
    </row>
    <row r="65113" spans="3:13" ht="12.75" customHeight="1">
      <c r="C65113"/>
      <c r="M65113"/>
    </row>
    <row r="65114" spans="3:13" ht="12.75" customHeight="1">
      <c r="C65114"/>
      <c r="M65114"/>
    </row>
    <row r="65115" spans="3:13" ht="12.75" customHeight="1">
      <c r="C65115"/>
      <c r="M65115"/>
    </row>
    <row r="65116" spans="3:13" ht="12.75" customHeight="1">
      <c r="C65116"/>
      <c r="M65116"/>
    </row>
    <row r="65117" spans="3:13" ht="12.75" customHeight="1">
      <c r="C65117"/>
      <c r="M65117"/>
    </row>
    <row r="65118" spans="3:13" ht="12.75" customHeight="1">
      <c r="C65118"/>
      <c r="M65118"/>
    </row>
    <row r="65119" spans="3:13" ht="12.75" customHeight="1">
      <c r="C65119"/>
      <c r="M65119"/>
    </row>
    <row r="65120" spans="3:13" ht="12.75" customHeight="1">
      <c r="C65120"/>
      <c r="M65120"/>
    </row>
    <row r="65121" spans="3:13" ht="12.75" customHeight="1">
      <c r="C65121"/>
      <c r="M65121"/>
    </row>
    <row r="65122" spans="3:13" ht="12.75" customHeight="1">
      <c r="C65122"/>
      <c r="M65122"/>
    </row>
    <row r="65123" spans="3:13" ht="12.75" customHeight="1">
      <c r="C65123"/>
      <c r="M65123"/>
    </row>
    <row r="65124" spans="3:13" ht="12.75" customHeight="1">
      <c r="C65124"/>
      <c r="M65124"/>
    </row>
    <row r="65125" spans="3:13" ht="12.75" customHeight="1">
      <c r="C65125"/>
      <c r="M65125"/>
    </row>
    <row r="65126" spans="3:13" ht="12.75" customHeight="1">
      <c r="C65126"/>
      <c r="M65126"/>
    </row>
    <row r="65127" spans="3:13" ht="12.75" customHeight="1">
      <c r="C65127"/>
      <c r="M65127"/>
    </row>
    <row r="65128" spans="3:13" ht="12.75" customHeight="1">
      <c r="C65128"/>
      <c r="M65128"/>
    </row>
    <row r="65129" spans="3:13" ht="12.75" customHeight="1">
      <c r="C65129"/>
      <c r="M65129"/>
    </row>
    <row r="65130" spans="3:13" ht="12.75" customHeight="1">
      <c r="C65130"/>
      <c r="M65130"/>
    </row>
    <row r="65131" spans="3:13" ht="12.75" customHeight="1">
      <c r="C65131"/>
      <c r="M65131"/>
    </row>
    <row r="65132" spans="3:13" ht="12.75" customHeight="1">
      <c r="C65132"/>
      <c r="M65132"/>
    </row>
    <row r="65133" spans="3:13" ht="12.75" customHeight="1">
      <c r="C65133"/>
      <c r="M65133"/>
    </row>
    <row r="65134" spans="3:13" ht="12.75" customHeight="1">
      <c r="C65134"/>
      <c r="M65134"/>
    </row>
    <row r="65135" spans="3:13" ht="12.75" customHeight="1">
      <c r="C65135"/>
      <c r="M65135"/>
    </row>
    <row r="65136" spans="3:13" ht="12.75" customHeight="1">
      <c r="C65136"/>
      <c r="M65136"/>
    </row>
    <row r="65137" spans="3:13" ht="12.75" customHeight="1">
      <c r="C65137"/>
      <c r="M65137"/>
    </row>
    <row r="65138" spans="3:13" ht="12.75" customHeight="1">
      <c r="C65138"/>
      <c r="M65138"/>
    </row>
    <row r="65139" spans="3:13" ht="12.75" customHeight="1">
      <c r="C65139"/>
      <c r="M65139"/>
    </row>
    <row r="65140" spans="3:13" ht="12.75" customHeight="1">
      <c r="C65140"/>
      <c r="M65140"/>
    </row>
    <row r="65141" spans="3:13" ht="12.75" customHeight="1">
      <c r="C65141"/>
      <c r="M65141"/>
    </row>
    <row r="65142" spans="3:13" ht="12.75" customHeight="1">
      <c r="C65142"/>
      <c r="M65142"/>
    </row>
    <row r="65143" spans="3:13" ht="12.75" customHeight="1">
      <c r="C65143"/>
      <c r="M65143"/>
    </row>
    <row r="65144" spans="3:13" ht="12.75" customHeight="1">
      <c r="C65144"/>
      <c r="M65144"/>
    </row>
    <row r="65145" spans="3:13" ht="12.75" customHeight="1">
      <c r="C65145"/>
      <c r="M65145"/>
    </row>
    <row r="65146" spans="3:13" ht="12.75" customHeight="1">
      <c r="C65146"/>
      <c r="M65146"/>
    </row>
    <row r="65147" spans="3:13" ht="12.75" customHeight="1">
      <c r="C65147"/>
      <c r="M65147"/>
    </row>
    <row r="65148" spans="3:13" ht="12.75" customHeight="1">
      <c r="C65148"/>
      <c r="M65148"/>
    </row>
    <row r="65149" spans="3:13" ht="12.75" customHeight="1">
      <c r="C65149"/>
      <c r="M65149"/>
    </row>
    <row r="65150" spans="3:13" ht="12.75" customHeight="1">
      <c r="C65150"/>
      <c r="M65150"/>
    </row>
    <row r="65151" spans="3:13" ht="12.75" customHeight="1">
      <c r="C65151"/>
      <c r="M65151"/>
    </row>
    <row r="65152" spans="3:13" ht="12.75" customHeight="1">
      <c r="C65152"/>
      <c r="M65152"/>
    </row>
    <row r="65153" spans="3:13" ht="12.75" customHeight="1">
      <c r="C65153"/>
      <c r="M65153"/>
    </row>
    <row r="65154" spans="3:13" ht="12.75" customHeight="1">
      <c r="C65154"/>
      <c r="M65154"/>
    </row>
    <row r="65155" spans="3:13" ht="12.75" customHeight="1">
      <c r="C65155"/>
      <c r="M65155"/>
    </row>
    <row r="65156" spans="3:13" ht="12.75" customHeight="1">
      <c r="C65156"/>
      <c r="M65156"/>
    </row>
    <row r="65157" spans="3:13" ht="12.75" customHeight="1">
      <c r="C65157"/>
      <c r="M65157"/>
    </row>
    <row r="65158" spans="3:13" ht="12.75" customHeight="1">
      <c r="C65158"/>
      <c r="M65158"/>
    </row>
    <row r="65159" spans="3:13" ht="12.75" customHeight="1">
      <c r="C65159"/>
      <c r="M65159"/>
    </row>
    <row r="65160" spans="3:13" ht="12.75" customHeight="1">
      <c r="C65160"/>
      <c r="M65160"/>
    </row>
    <row r="65161" spans="3:13" ht="12.75" customHeight="1">
      <c r="C65161"/>
      <c r="M65161"/>
    </row>
    <row r="65162" spans="3:13" ht="12.75" customHeight="1">
      <c r="C65162"/>
      <c r="M65162"/>
    </row>
    <row r="65163" spans="3:13" ht="12.75" customHeight="1">
      <c r="C65163"/>
      <c r="M65163"/>
    </row>
    <row r="65164" spans="3:13" ht="12.75" customHeight="1">
      <c r="C65164"/>
      <c r="M65164"/>
    </row>
    <row r="65165" spans="3:13" ht="12.75" customHeight="1">
      <c r="C65165"/>
      <c r="M65165"/>
    </row>
    <row r="65166" spans="3:13" ht="12.75" customHeight="1">
      <c r="C65166"/>
      <c r="M65166"/>
    </row>
    <row r="65167" spans="3:13" ht="12.75" customHeight="1">
      <c r="C65167"/>
      <c r="M65167"/>
    </row>
    <row r="65168" spans="3:13" ht="12.75" customHeight="1">
      <c r="C65168"/>
      <c r="M65168"/>
    </row>
    <row r="65169" spans="3:13" ht="12.75" customHeight="1">
      <c r="C65169"/>
      <c r="M65169"/>
    </row>
    <row r="65170" spans="3:13" ht="12.75" customHeight="1">
      <c r="C65170"/>
      <c r="M65170"/>
    </row>
    <row r="65171" spans="3:13" ht="12.75" customHeight="1">
      <c r="C65171"/>
      <c r="M65171"/>
    </row>
    <row r="65172" spans="3:13" ht="12.75" customHeight="1">
      <c r="C65172"/>
      <c r="M65172"/>
    </row>
    <row r="65173" spans="3:13" ht="12.75" customHeight="1">
      <c r="C65173"/>
      <c r="M65173"/>
    </row>
    <row r="65174" spans="3:13" ht="12.75" customHeight="1">
      <c r="C65174"/>
      <c r="M65174"/>
    </row>
    <row r="65175" spans="3:13" ht="12.75" customHeight="1">
      <c r="C65175"/>
      <c r="M65175"/>
    </row>
    <row r="65176" spans="3:13" ht="12.75" customHeight="1">
      <c r="C65176"/>
      <c r="M65176"/>
    </row>
    <row r="65177" spans="3:13" ht="12.75" customHeight="1">
      <c r="C65177"/>
      <c r="M65177"/>
    </row>
    <row r="65178" spans="3:13" ht="12.75" customHeight="1">
      <c r="C65178"/>
      <c r="M65178"/>
    </row>
    <row r="65179" spans="3:13" ht="12.75" customHeight="1">
      <c r="C65179"/>
      <c r="M65179"/>
    </row>
    <row r="65180" spans="3:13" ht="12.75" customHeight="1">
      <c r="C65180"/>
      <c r="M65180"/>
    </row>
    <row r="65181" spans="3:13" ht="12.75" customHeight="1">
      <c r="C65181"/>
      <c r="M65181"/>
    </row>
    <row r="65182" spans="3:13" ht="12.75" customHeight="1">
      <c r="C65182"/>
      <c r="M65182"/>
    </row>
    <row r="65183" spans="3:13" ht="12.75" customHeight="1">
      <c r="C65183"/>
      <c r="M65183"/>
    </row>
    <row r="65184" spans="3:13" ht="12.75" customHeight="1">
      <c r="C65184"/>
      <c r="M65184"/>
    </row>
    <row r="65185" spans="3:13" ht="12.75" customHeight="1">
      <c r="C65185"/>
      <c r="M65185"/>
    </row>
    <row r="65186" spans="3:13" ht="12.75" customHeight="1">
      <c r="C65186"/>
      <c r="M65186"/>
    </row>
    <row r="65187" spans="3:13" ht="12.75" customHeight="1">
      <c r="C65187"/>
      <c r="M65187"/>
    </row>
    <row r="65188" spans="3:13" ht="12.75" customHeight="1">
      <c r="C65188"/>
      <c r="M65188"/>
    </row>
    <row r="65189" spans="3:13" ht="12.75" customHeight="1">
      <c r="C65189"/>
      <c r="M65189"/>
    </row>
    <row r="65190" spans="3:13" ht="12.75" customHeight="1">
      <c r="C65190"/>
      <c r="M65190"/>
    </row>
    <row r="65191" spans="3:13" ht="12.75" customHeight="1">
      <c r="C65191"/>
      <c r="M65191"/>
    </row>
    <row r="65192" spans="3:13" ht="12.75" customHeight="1">
      <c r="C65192"/>
      <c r="M65192"/>
    </row>
    <row r="65193" spans="3:13" ht="12.75" customHeight="1">
      <c r="C65193"/>
      <c r="M65193"/>
    </row>
    <row r="65194" spans="3:13" ht="12.75" customHeight="1">
      <c r="C65194"/>
      <c r="M65194"/>
    </row>
    <row r="65195" spans="3:13" ht="12.75" customHeight="1">
      <c r="C65195"/>
      <c r="M65195"/>
    </row>
    <row r="65196" spans="3:13" ht="12.75" customHeight="1">
      <c r="C65196"/>
      <c r="M65196"/>
    </row>
    <row r="65197" spans="3:13" ht="12.75" customHeight="1">
      <c r="C65197"/>
      <c r="M65197"/>
    </row>
    <row r="65198" spans="3:13" ht="12.75" customHeight="1">
      <c r="C65198"/>
      <c r="M65198"/>
    </row>
    <row r="65199" spans="3:13" ht="12.75" customHeight="1">
      <c r="C65199"/>
      <c r="M65199"/>
    </row>
    <row r="65200" spans="3:13" ht="12.75" customHeight="1">
      <c r="C65200"/>
      <c r="M65200"/>
    </row>
    <row r="65201" spans="3:13" ht="12.75" customHeight="1">
      <c r="C65201"/>
      <c r="M65201"/>
    </row>
    <row r="65202" spans="3:13" ht="12.75" customHeight="1">
      <c r="C65202"/>
      <c r="M65202"/>
    </row>
    <row r="65203" spans="3:13" ht="12.75" customHeight="1">
      <c r="C65203"/>
      <c r="M65203"/>
    </row>
    <row r="65204" spans="3:13" ht="12.75" customHeight="1">
      <c r="C65204"/>
      <c r="M65204"/>
    </row>
    <row r="65205" spans="3:13" ht="12.75" customHeight="1">
      <c r="C65205"/>
      <c r="M65205"/>
    </row>
    <row r="65206" spans="3:13" ht="12.75" customHeight="1">
      <c r="C65206"/>
      <c r="M65206"/>
    </row>
    <row r="65207" spans="3:13" ht="12.75" customHeight="1">
      <c r="C65207"/>
      <c r="M65207"/>
    </row>
    <row r="65208" spans="3:13" ht="12.75" customHeight="1">
      <c r="C65208"/>
      <c r="M65208"/>
    </row>
    <row r="65209" spans="3:13" ht="12.75" customHeight="1">
      <c r="C65209"/>
      <c r="M65209"/>
    </row>
    <row r="65210" spans="3:13" ht="12.75" customHeight="1">
      <c r="C65210"/>
      <c r="M65210"/>
    </row>
    <row r="65211" spans="3:13" ht="12.75" customHeight="1">
      <c r="C65211"/>
      <c r="M65211"/>
    </row>
    <row r="65212" spans="3:13" ht="12.75" customHeight="1">
      <c r="C65212"/>
      <c r="M65212"/>
    </row>
    <row r="65213" spans="3:13" ht="12.75" customHeight="1">
      <c r="C65213"/>
      <c r="M65213"/>
    </row>
    <row r="65214" spans="3:13" ht="12.75" customHeight="1">
      <c r="C65214"/>
      <c r="M65214"/>
    </row>
    <row r="65215" spans="3:13" ht="12.75" customHeight="1">
      <c r="C65215"/>
      <c r="M65215"/>
    </row>
    <row r="65216" spans="3:13" ht="12.75" customHeight="1">
      <c r="C65216"/>
      <c r="M65216"/>
    </row>
    <row r="65217" spans="3:13" ht="12.75" customHeight="1">
      <c r="C65217"/>
      <c r="M65217"/>
    </row>
    <row r="65218" spans="3:13" ht="12.75" customHeight="1">
      <c r="C65218"/>
      <c r="M65218"/>
    </row>
    <row r="65219" spans="3:13" ht="12.75" customHeight="1">
      <c r="C65219"/>
      <c r="M65219"/>
    </row>
    <row r="65220" spans="3:13" ht="12.75" customHeight="1">
      <c r="C65220"/>
      <c r="M65220"/>
    </row>
    <row r="65221" spans="3:13" ht="12.75" customHeight="1">
      <c r="C65221"/>
      <c r="M65221"/>
    </row>
    <row r="65222" spans="3:13" ht="12.75" customHeight="1">
      <c r="C65222"/>
      <c r="M65222"/>
    </row>
    <row r="65223" spans="3:13" ht="12.75" customHeight="1">
      <c r="C65223"/>
      <c r="M65223"/>
    </row>
    <row r="65224" spans="3:13" ht="12.75" customHeight="1">
      <c r="C65224"/>
      <c r="M65224"/>
    </row>
    <row r="65225" spans="3:13" ht="12.75" customHeight="1">
      <c r="C65225"/>
      <c r="M65225"/>
    </row>
    <row r="65226" spans="3:13" ht="12.75" customHeight="1">
      <c r="C65226"/>
      <c r="M65226"/>
    </row>
    <row r="65227" spans="3:13" ht="12.75" customHeight="1">
      <c r="C65227"/>
      <c r="M65227"/>
    </row>
    <row r="65228" spans="3:13" ht="12.75" customHeight="1">
      <c r="C65228"/>
      <c r="M65228"/>
    </row>
    <row r="65229" spans="3:13" ht="12.75" customHeight="1">
      <c r="C65229"/>
      <c r="M65229"/>
    </row>
    <row r="65230" spans="3:13" ht="12.75" customHeight="1">
      <c r="C65230"/>
      <c r="M65230"/>
    </row>
    <row r="65231" spans="3:13" ht="12.75" customHeight="1">
      <c r="C65231"/>
      <c r="M65231"/>
    </row>
    <row r="65232" spans="3:13" ht="12.75" customHeight="1">
      <c r="C65232"/>
      <c r="M65232"/>
    </row>
    <row r="65233" spans="3:13" ht="12.75" customHeight="1">
      <c r="C65233"/>
      <c r="M65233"/>
    </row>
    <row r="65234" spans="3:13" ht="12.75" customHeight="1">
      <c r="C65234"/>
      <c r="M65234"/>
    </row>
    <row r="65235" spans="3:13" ht="12.75" customHeight="1">
      <c r="C65235"/>
      <c r="M65235"/>
    </row>
    <row r="65236" spans="3:13" ht="12.75" customHeight="1">
      <c r="C65236"/>
      <c r="M65236"/>
    </row>
    <row r="65237" spans="3:13" ht="12.75" customHeight="1">
      <c r="C65237"/>
      <c r="M65237"/>
    </row>
    <row r="65238" spans="3:13" ht="12.75" customHeight="1">
      <c r="C65238"/>
      <c r="M65238"/>
    </row>
    <row r="65239" spans="3:13" ht="12.75" customHeight="1">
      <c r="C65239"/>
      <c r="M65239"/>
    </row>
    <row r="65240" spans="3:13" ht="12.75" customHeight="1">
      <c r="C65240"/>
      <c r="M65240"/>
    </row>
    <row r="65241" spans="3:13" ht="12.75" customHeight="1">
      <c r="C65241"/>
      <c r="M65241"/>
    </row>
    <row r="65242" spans="3:13" ht="12.75" customHeight="1">
      <c r="C65242"/>
      <c r="M65242"/>
    </row>
    <row r="65243" spans="3:13" ht="12.75" customHeight="1">
      <c r="C65243"/>
      <c r="M65243"/>
    </row>
    <row r="65244" spans="3:13" ht="12.75" customHeight="1">
      <c r="C65244"/>
      <c r="M65244"/>
    </row>
    <row r="65245" spans="3:13" ht="12.75" customHeight="1">
      <c r="C65245"/>
      <c r="M65245"/>
    </row>
    <row r="65246" spans="3:13" ht="12.75" customHeight="1">
      <c r="C65246"/>
      <c r="M65246"/>
    </row>
    <row r="65247" spans="3:13" ht="12.75" customHeight="1">
      <c r="C65247"/>
      <c r="M65247"/>
    </row>
    <row r="65248" spans="3:13" ht="12.75" customHeight="1">
      <c r="C65248"/>
      <c r="M65248"/>
    </row>
    <row r="65249" spans="3:13" ht="12.75" customHeight="1">
      <c r="C65249"/>
      <c r="M65249"/>
    </row>
    <row r="65250" spans="3:13" ht="12.75" customHeight="1">
      <c r="C65250"/>
      <c r="M65250"/>
    </row>
    <row r="65251" spans="3:13" ht="12.75" customHeight="1">
      <c r="C65251"/>
      <c r="M65251"/>
    </row>
    <row r="65252" spans="3:13" ht="12.75" customHeight="1">
      <c r="C65252"/>
      <c r="M65252"/>
    </row>
    <row r="65253" spans="3:13" ht="12.75" customHeight="1">
      <c r="C65253"/>
      <c r="M65253"/>
    </row>
    <row r="65254" spans="3:13" ht="12.75" customHeight="1">
      <c r="C65254"/>
      <c r="M65254"/>
    </row>
    <row r="65255" spans="3:13" ht="12.75" customHeight="1">
      <c r="C65255"/>
      <c r="M65255"/>
    </row>
    <row r="65256" spans="3:13" ht="12.75" customHeight="1">
      <c r="C65256"/>
      <c r="M65256"/>
    </row>
    <row r="65257" spans="3:13" ht="12.75" customHeight="1">
      <c r="C65257"/>
      <c r="M65257"/>
    </row>
    <row r="65258" spans="3:13" ht="12.75" customHeight="1">
      <c r="C65258"/>
      <c r="M65258"/>
    </row>
    <row r="65259" spans="3:13" ht="12.75" customHeight="1">
      <c r="C65259"/>
      <c r="M65259"/>
    </row>
    <row r="65260" spans="3:13" ht="12.75" customHeight="1">
      <c r="C65260"/>
      <c r="M65260"/>
    </row>
    <row r="65261" spans="3:13" ht="12.75" customHeight="1">
      <c r="C65261"/>
      <c r="M65261"/>
    </row>
    <row r="65262" spans="3:13" ht="12.75" customHeight="1">
      <c r="C65262"/>
      <c r="M65262"/>
    </row>
    <row r="65263" spans="3:13" ht="12.75" customHeight="1">
      <c r="C65263"/>
      <c r="M65263"/>
    </row>
    <row r="65264" spans="3:13" ht="12.75" customHeight="1">
      <c r="C65264"/>
      <c r="M65264"/>
    </row>
    <row r="65265" spans="3:13" ht="12.75" customHeight="1">
      <c r="C65265"/>
      <c r="M65265"/>
    </row>
    <row r="65266" spans="3:13" ht="12.75" customHeight="1">
      <c r="C65266"/>
      <c r="M65266"/>
    </row>
    <row r="65267" spans="3:13" ht="12.75" customHeight="1">
      <c r="C65267"/>
      <c r="M65267"/>
    </row>
    <row r="65268" spans="3:13" ht="12.75" customHeight="1">
      <c r="C65268"/>
      <c r="M65268"/>
    </row>
    <row r="65269" spans="3:13" ht="12.75" customHeight="1">
      <c r="C65269"/>
      <c r="M65269"/>
    </row>
    <row r="65270" spans="3:13" ht="12.75" customHeight="1">
      <c r="C65270"/>
      <c r="M65270"/>
    </row>
    <row r="65271" spans="3:13" ht="12.75" customHeight="1">
      <c r="C65271"/>
      <c r="M65271"/>
    </row>
    <row r="65272" spans="3:13" ht="12.75" customHeight="1">
      <c r="C65272"/>
      <c r="M65272"/>
    </row>
    <row r="65273" spans="3:13" ht="12.75" customHeight="1">
      <c r="C65273"/>
      <c r="M65273"/>
    </row>
    <row r="65274" spans="3:13" ht="12.75" customHeight="1">
      <c r="C65274"/>
      <c r="M65274"/>
    </row>
    <row r="65275" spans="3:13" ht="12.75" customHeight="1">
      <c r="C65275"/>
      <c r="M65275"/>
    </row>
    <row r="65276" spans="3:13" ht="12.75" customHeight="1">
      <c r="C65276"/>
      <c r="M65276"/>
    </row>
    <row r="65277" spans="3:13" ht="12.75" customHeight="1">
      <c r="C65277"/>
      <c r="M65277"/>
    </row>
    <row r="65278" spans="3:13" ht="12.75" customHeight="1">
      <c r="C65278"/>
      <c r="M65278"/>
    </row>
    <row r="65279" spans="3:13" ht="12.75" customHeight="1">
      <c r="C65279"/>
      <c r="M65279"/>
    </row>
    <row r="65280" spans="3:13" ht="12.75" customHeight="1">
      <c r="C65280"/>
      <c r="M65280"/>
    </row>
    <row r="65281" spans="3:13" ht="12.75" customHeight="1">
      <c r="C65281"/>
      <c r="M65281"/>
    </row>
    <row r="65282" spans="3:13" ht="12.75" customHeight="1">
      <c r="C65282"/>
      <c r="M65282"/>
    </row>
    <row r="65283" spans="3:13" ht="12.75" customHeight="1">
      <c r="C65283"/>
      <c r="M65283"/>
    </row>
    <row r="65284" spans="3:13" ht="12.75" customHeight="1">
      <c r="C65284"/>
      <c r="M65284"/>
    </row>
    <row r="65285" spans="3:13" ht="12.75" customHeight="1">
      <c r="C65285"/>
      <c r="M65285"/>
    </row>
    <row r="65286" spans="3:13" ht="12.75" customHeight="1">
      <c r="C65286"/>
      <c r="M65286"/>
    </row>
    <row r="65287" spans="3:13" ht="12.75" customHeight="1">
      <c r="C65287"/>
      <c r="M65287"/>
    </row>
    <row r="65288" spans="3:13" ht="12.75" customHeight="1">
      <c r="C65288"/>
      <c r="M65288"/>
    </row>
    <row r="65289" spans="3:13" ht="12.75" customHeight="1">
      <c r="C65289"/>
      <c r="M65289"/>
    </row>
    <row r="65290" spans="3:13" ht="12.75" customHeight="1">
      <c r="C65290"/>
      <c r="M65290"/>
    </row>
    <row r="65291" spans="3:13" ht="12.75" customHeight="1">
      <c r="C65291"/>
      <c r="M65291"/>
    </row>
    <row r="65292" spans="3:13" ht="12.75" customHeight="1">
      <c r="C65292"/>
      <c r="M65292"/>
    </row>
    <row r="65293" spans="3:13" ht="12.75" customHeight="1">
      <c r="C65293"/>
      <c r="M65293"/>
    </row>
    <row r="65294" spans="3:13" ht="12.75" customHeight="1">
      <c r="C65294"/>
      <c r="M65294"/>
    </row>
    <row r="65295" spans="3:13" ht="12.75" customHeight="1">
      <c r="C65295"/>
      <c r="M65295"/>
    </row>
    <row r="65296" spans="3:13" ht="12.75" customHeight="1">
      <c r="C65296"/>
      <c r="M65296"/>
    </row>
    <row r="65297" spans="3:13" ht="12.75" customHeight="1">
      <c r="C65297"/>
      <c r="M65297"/>
    </row>
    <row r="65298" spans="3:13" ht="12.75" customHeight="1">
      <c r="C65298"/>
      <c r="M65298"/>
    </row>
    <row r="65299" spans="3:13" ht="12.75" customHeight="1">
      <c r="C65299"/>
      <c r="M65299"/>
    </row>
    <row r="65300" spans="3:13" ht="12.75" customHeight="1">
      <c r="C65300"/>
      <c r="M65300"/>
    </row>
    <row r="65301" spans="3:13" ht="12.75" customHeight="1">
      <c r="C65301"/>
      <c r="M65301"/>
    </row>
    <row r="65302" spans="3:13" ht="12.75" customHeight="1">
      <c r="C65302"/>
      <c r="M65302"/>
    </row>
    <row r="65303" spans="3:13" ht="12.75" customHeight="1">
      <c r="C65303"/>
      <c r="M65303"/>
    </row>
    <row r="65304" spans="3:13" ht="12.75" customHeight="1">
      <c r="C65304"/>
      <c r="M65304"/>
    </row>
    <row r="65305" spans="3:13" ht="12.75" customHeight="1">
      <c r="C65305"/>
      <c r="M65305"/>
    </row>
    <row r="65306" spans="3:13" ht="12.75" customHeight="1">
      <c r="C65306"/>
      <c r="M65306"/>
    </row>
    <row r="65307" spans="3:13" ht="12.75" customHeight="1">
      <c r="C65307"/>
      <c r="M65307"/>
    </row>
    <row r="65308" spans="3:13" ht="12.75" customHeight="1">
      <c r="C65308"/>
      <c r="M65308"/>
    </row>
    <row r="65309" spans="3:13" ht="12.75" customHeight="1">
      <c r="C65309"/>
      <c r="M65309"/>
    </row>
    <row r="65310" spans="3:13" ht="12.75" customHeight="1">
      <c r="C65310"/>
      <c r="M65310"/>
    </row>
    <row r="65311" spans="3:13" ht="12.75" customHeight="1">
      <c r="C65311"/>
      <c r="M65311"/>
    </row>
    <row r="65312" spans="3:13" ht="12.75" customHeight="1">
      <c r="C65312"/>
      <c r="M65312"/>
    </row>
    <row r="65313" spans="3:13" ht="12.75" customHeight="1">
      <c r="C65313"/>
      <c r="M65313"/>
    </row>
    <row r="65314" spans="3:13" ht="12.75" customHeight="1">
      <c r="C65314"/>
      <c r="M65314"/>
    </row>
    <row r="65315" spans="3:13" ht="12.75" customHeight="1">
      <c r="C65315"/>
      <c r="M65315"/>
    </row>
    <row r="65316" spans="3:13" ht="12.75" customHeight="1">
      <c r="C65316"/>
      <c r="M65316"/>
    </row>
    <row r="65317" spans="3:13" ht="12.75" customHeight="1">
      <c r="C65317"/>
      <c r="M65317"/>
    </row>
    <row r="65318" spans="3:13" ht="12.75" customHeight="1">
      <c r="C65318"/>
      <c r="M65318"/>
    </row>
    <row r="65319" spans="3:13" ht="12.75" customHeight="1">
      <c r="C65319"/>
      <c r="M65319"/>
    </row>
    <row r="65320" spans="3:13" ht="12.75" customHeight="1">
      <c r="C65320"/>
      <c r="M65320"/>
    </row>
    <row r="65321" spans="3:13" ht="12.75" customHeight="1">
      <c r="C65321"/>
      <c r="M65321"/>
    </row>
    <row r="65322" spans="3:13" ht="12.75" customHeight="1">
      <c r="C65322"/>
      <c r="M65322"/>
    </row>
    <row r="65323" spans="3:13" ht="12.75" customHeight="1">
      <c r="C65323"/>
      <c r="M65323"/>
    </row>
    <row r="65324" spans="3:13" ht="12.75" customHeight="1">
      <c r="C65324"/>
      <c r="M65324"/>
    </row>
    <row r="65325" spans="3:13" ht="12.75" customHeight="1">
      <c r="C65325"/>
      <c r="M65325"/>
    </row>
    <row r="65326" spans="3:13" ht="12.75" customHeight="1">
      <c r="C65326"/>
      <c r="M65326"/>
    </row>
    <row r="65327" spans="3:13" ht="12.75" customHeight="1">
      <c r="C65327"/>
      <c r="M65327"/>
    </row>
    <row r="65328" spans="3:13" ht="12.75" customHeight="1">
      <c r="C65328"/>
      <c r="M65328"/>
    </row>
    <row r="65329" spans="3:13" ht="12.75" customHeight="1">
      <c r="C65329"/>
      <c r="M65329"/>
    </row>
    <row r="65330" spans="3:13" ht="12.75" customHeight="1">
      <c r="C65330"/>
      <c r="M65330"/>
    </row>
    <row r="65331" spans="3:13" ht="12.75" customHeight="1">
      <c r="C65331"/>
      <c r="M65331"/>
    </row>
    <row r="65332" spans="3:13" ht="12.75" customHeight="1">
      <c r="C65332"/>
      <c r="M65332"/>
    </row>
    <row r="65333" spans="3:13" ht="12.75" customHeight="1">
      <c r="C65333"/>
      <c r="M65333"/>
    </row>
    <row r="65334" spans="3:13" ht="12.75" customHeight="1">
      <c r="C65334"/>
      <c r="M65334"/>
    </row>
    <row r="65335" spans="3:13" ht="12.75" customHeight="1">
      <c r="C65335"/>
      <c r="M65335"/>
    </row>
    <row r="65336" spans="3:13" ht="12.75" customHeight="1">
      <c r="C65336"/>
      <c r="M65336"/>
    </row>
    <row r="65337" spans="3:13" ht="12.75" customHeight="1">
      <c r="C65337"/>
      <c r="M65337"/>
    </row>
    <row r="65338" spans="3:13" ht="12.75" customHeight="1">
      <c r="C65338"/>
      <c r="M65338"/>
    </row>
    <row r="65339" spans="3:13" ht="12.75" customHeight="1">
      <c r="C65339"/>
      <c r="M65339"/>
    </row>
    <row r="65340" spans="3:13" ht="12.75" customHeight="1">
      <c r="C65340"/>
      <c r="M65340"/>
    </row>
    <row r="65341" spans="3:13" ht="12.75" customHeight="1">
      <c r="C65341"/>
      <c r="M65341"/>
    </row>
    <row r="65342" spans="3:13" ht="12.75" customHeight="1">
      <c r="C65342"/>
      <c r="M65342"/>
    </row>
    <row r="65343" spans="3:13" ht="12.75" customHeight="1">
      <c r="C65343"/>
      <c r="M65343"/>
    </row>
    <row r="65344" spans="3:13" ht="12.75" customHeight="1">
      <c r="C65344"/>
      <c r="M65344"/>
    </row>
    <row r="65345" spans="3:13" ht="12.75" customHeight="1">
      <c r="C65345"/>
      <c r="M65345"/>
    </row>
    <row r="65346" spans="3:13" ht="12.75" customHeight="1">
      <c r="C65346"/>
      <c r="M65346"/>
    </row>
    <row r="65347" spans="3:13" ht="12.75" customHeight="1">
      <c r="C65347"/>
      <c r="M65347"/>
    </row>
    <row r="65348" spans="3:13" ht="12.75" customHeight="1">
      <c r="C65348"/>
      <c r="M65348"/>
    </row>
    <row r="65349" spans="3:13" ht="12.75" customHeight="1">
      <c r="C65349"/>
      <c r="M65349"/>
    </row>
    <row r="65350" spans="3:13" ht="12.75" customHeight="1">
      <c r="C65350"/>
      <c r="M65350"/>
    </row>
    <row r="65351" spans="3:13" ht="12.75" customHeight="1">
      <c r="C65351"/>
      <c r="M65351"/>
    </row>
    <row r="65352" spans="3:13" ht="12.75" customHeight="1">
      <c r="C65352"/>
      <c r="M65352"/>
    </row>
    <row r="65353" spans="3:13" ht="12.75" customHeight="1">
      <c r="C65353"/>
      <c r="M65353"/>
    </row>
    <row r="65354" spans="3:13" ht="12.75" customHeight="1">
      <c r="C65354"/>
      <c r="M65354"/>
    </row>
    <row r="65355" spans="3:13" ht="12.75" customHeight="1">
      <c r="C65355"/>
      <c r="M65355"/>
    </row>
    <row r="65356" spans="3:13" ht="12.75" customHeight="1">
      <c r="C65356"/>
      <c r="M65356"/>
    </row>
    <row r="65357" spans="3:13" ht="12.75" customHeight="1">
      <c r="C65357"/>
      <c r="M65357"/>
    </row>
    <row r="65358" spans="3:13" ht="12.75" customHeight="1">
      <c r="C65358"/>
      <c r="M65358"/>
    </row>
    <row r="65359" spans="3:13" ht="12.75" customHeight="1">
      <c r="C65359"/>
      <c r="M65359"/>
    </row>
    <row r="65360" spans="3:13" ht="12.75" customHeight="1">
      <c r="C65360"/>
      <c r="M65360"/>
    </row>
    <row r="65361" spans="3:13" ht="12.75" customHeight="1">
      <c r="C65361"/>
      <c r="M65361"/>
    </row>
    <row r="65362" spans="3:13" ht="12.75" customHeight="1">
      <c r="C65362"/>
      <c r="M65362"/>
    </row>
    <row r="65363" spans="3:13" ht="12.75" customHeight="1">
      <c r="C65363"/>
      <c r="M65363"/>
    </row>
    <row r="65364" spans="3:13" ht="12.75" customHeight="1">
      <c r="C65364"/>
      <c r="M65364"/>
    </row>
    <row r="65365" spans="3:13" ht="12.75" customHeight="1">
      <c r="C65365"/>
      <c r="M65365"/>
    </row>
    <row r="65366" spans="3:13" ht="12.75" customHeight="1">
      <c r="C65366"/>
      <c r="M65366"/>
    </row>
    <row r="65367" spans="3:13" ht="12.75" customHeight="1">
      <c r="C65367"/>
      <c r="M65367"/>
    </row>
    <row r="65368" spans="3:13" ht="12.75" customHeight="1">
      <c r="C65368"/>
      <c r="M65368"/>
    </row>
    <row r="65369" spans="3:13" ht="12.75" customHeight="1">
      <c r="C65369"/>
      <c r="M65369"/>
    </row>
    <row r="65370" spans="3:13" ht="12.75" customHeight="1">
      <c r="C65370"/>
      <c r="M65370"/>
    </row>
    <row r="65371" spans="3:13" ht="12.75" customHeight="1">
      <c r="C65371"/>
      <c r="M65371"/>
    </row>
    <row r="65372" spans="3:13" ht="12.75" customHeight="1">
      <c r="C65372"/>
      <c r="M65372"/>
    </row>
    <row r="65373" spans="3:13" ht="12.75" customHeight="1">
      <c r="C65373"/>
      <c r="M65373"/>
    </row>
    <row r="65374" spans="3:13" ht="12.75" customHeight="1">
      <c r="C65374"/>
      <c r="M65374"/>
    </row>
    <row r="65375" spans="3:13" ht="12.75" customHeight="1">
      <c r="C65375"/>
      <c r="M65375"/>
    </row>
    <row r="65376" spans="3:13" ht="12.75" customHeight="1">
      <c r="C65376"/>
      <c r="M65376"/>
    </row>
    <row r="65377" spans="3:13" ht="12.75" customHeight="1">
      <c r="C65377"/>
      <c r="M65377"/>
    </row>
    <row r="65378" spans="3:13" ht="12.75" customHeight="1">
      <c r="C65378"/>
      <c r="M65378"/>
    </row>
    <row r="65379" spans="3:13" ht="12.75" customHeight="1">
      <c r="C65379"/>
      <c r="M65379"/>
    </row>
    <row r="65380" spans="3:13" ht="12.75" customHeight="1">
      <c r="C65380"/>
      <c r="M65380"/>
    </row>
    <row r="65381" spans="3:13" ht="12.75" customHeight="1">
      <c r="C65381"/>
      <c r="M65381"/>
    </row>
    <row r="65382" spans="3:13" ht="12.75" customHeight="1">
      <c r="C65382"/>
      <c r="M65382"/>
    </row>
    <row r="65383" spans="3:13" ht="12.75" customHeight="1">
      <c r="C65383"/>
      <c r="M65383"/>
    </row>
    <row r="65384" spans="3:13" ht="12.75" customHeight="1">
      <c r="C65384"/>
      <c r="M65384"/>
    </row>
    <row r="65385" spans="3:13" ht="12.75" customHeight="1">
      <c r="C65385"/>
      <c r="M65385"/>
    </row>
    <row r="65386" spans="3:13" ht="12.75" customHeight="1">
      <c r="C65386"/>
      <c r="M65386"/>
    </row>
    <row r="65387" spans="3:13" ht="12.75" customHeight="1">
      <c r="C65387"/>
      <c r="M65387"/>
    </row>
    <row r="65388" spans="3:13" ht="12.75" customHeight="1">
      <c r="C65388"/>
      <c r="M65388"/>
    </row>
    <row r="65389" spans="3:13" ht="12.75" customHeight="1">
      <c r="C65389"/>
      <c r="M65389"/>
    </row>
    <row r="65390" spans="3:13" ht="12.75" customHeight="1">
      <c r="C65390"/>
      <c r="M65390"/>
    </row>
    <row r="65391" spans="3:13" ht="12.75" customHeight="1">
      <c r="C65391"/>
      <c r="M65391"/>
    </row>
    <row r="65392" spans="3:13" ht="12.75" customHeight="1">
      <c r="C65392"/>
      <c r="M65392"/>
    </row>
    <row r="65393" spans="3:13" ht="12.75" customHeight="1">
      <c r="C65393"/>
      <c r="M65393"/>
    </row>
    <row r="65394" spans="3:13" ht="12.75" customHeight="1">
      <c r="C65394"/>
      <c r="M65394"/>
    </row>
    <row r="65395" spans="3:13" ht="12.75" customHeight="1">
      <c r="C65395"/>
      <c r="M65395"/>
    </row>
    <row r="65396" spans="3:13" ht="12.75" customHeight="1">
      <c r="C65396"/>
      <c r="M65396"/>
    </row>
    <row r="65397" spans="3:13" ht="12.75" customHeight="1">
      <c r="C65397"/>
      <c r="M65397"/>
    </row>
    <row r="65398" spans="3:13" ht="12.75" customHeight="1">
      <c r="C65398"/>
      <c r="M65398"/>
    </row>
    <row r="65399" spans="3:13" ht="12.75" customHeight="1">
      <c r="C65399"/>
      <c r="M65399"/>
    </row>
    <row r="65400" spans="3:13" ht="12.75" customHeight="1">
      <c r="C65400"/>
      <c r="M65400"/>
    </row>
    <row r="65401" spans="3:13" ht="12.75" customHeight="1">
      <c r="C65401"/>
      <c r="M65401"/>
    </row>
    <row r="65402" spans="3:13" ht="12.75" customHeight="1">
      <c r="C65402"/>
      <c r="M65402"/>
    </row>
    <row r="65403" spans="3:13" ht="12.75" customHeight="1">
      <c r="C65403"/>
      <c r="M65403"/>
    </row>
    <row r="65404" spans="3:13" ht="12.75" customHeight="1">
      <c r="C65404"/>
      <c r="M65404"/>
    </row>
    <row r="65405" spans="3:13" ht="12.75" customHeight="1">
      <c r="C65405"/>
      <c r="M65405"/>
    </row>
    <row r="65406" spans="3:13" ht="12.75" customHeight="1">
      <c r="C65406"/>
      <c r="M65406"/>
    </row>
    <row r="65407" spans="3:13" ht="12.75" customHeight="1">
      <c r="C65407"/>
      <c r="M65407"/>
    </row>
    <row r="65408" spans="3:13" ht="12.75" customHeight="1">
      <c r="C65408"/>
      <c r="M65408"/>
    </row>
    <row r="65409" spans="3:13" ht="12.75" customHeight="1">
      <c r="C65409"/>
      <c r="M65409"/>
    </row>
    <row r="65410" spans="3:13" ht="12.75" customHeight="1">
      <c r="C65410"/>
      <c r="M65410"/>
    </row>
    <row r="65411" spans="3:13" ht="12.75" customHeight="1">
      <c r="C65411"/>
      <c r="M65411"/>
    </row>
    <row r="65412" spans="3:13" ht="12.75" customHeight="1">
      <c r="C65412"/>
      <c r="M65412"/>
    </row>
    <row r="65413" spans="3:13" ht="12.75" customHeight="1">
      <c r="C65413"/>
      <c r="M65413"/>
    </row>
    <row r="65414" spans="3:13" ht="12.75" customHeight="1">
      <c r="C65414"/>
      <c r="M65414"/>
    </row>
    <row r="65415" spans="3:13" ht="12.75" customHeight="1">
      <c r="C65415"/>
      <c r="M65415"/>
    </row>
    <row r="65416" spans="3:13" ht="12.75" customHeight="1">
      <c r="C65416"/>
      <c r="M65416"/>
    </row>
    <row r="65417" spans="3:13" ht="12.75" customHeight="1">
      <c r="C65417"/>
      <c r="M65417"/>
    </row>
    <row r="65418" spans="3:13" ht="12.75" customHeight="1">
      <c r="C65418"/>
      <c r="M65418"/>
    </row>
    <row r="65419" spans="3:13" ht="12.75" customHeight="1">
      <c r="C65419"/>
      <c r="M65419"/>
    </row>
    <row r="65420" spans="3:13" ht="12.75" customHeight="1">
      <c r="C65420"/>
      <c r="M65420"/>
    </row>
    <row r="65421" spans="3:13" ht="12.75" customHeight="1">
      <c r="C65421"/>
      <c r="M65421"/>
    </row>
    <row r="65422" spans="3:13" ht="12.75" customHeight="1">
      <c r="C65422"/>
      <c r="M65422"/>
    </row>
    <row r="65423" spans="3:13" ht="12.75" customHeight="1">
      <c r="C65423"/>
      <c r="M65423"/>
    </row>
    <row r="65424" spans="3:13" ht="12.75" customHeight="1">
      <c r="C65424"/>
      <c r="M65424"/>
    </row>
    <row r="65425" spans="3:13" ht="12.75" customHeight="1">
      <c r="C65425"/>
      <c r="M65425"/>
    </row>
    <row r="65426" spans="3:13" ht="12.75" customHeight="1">
      <c r="C65426"/>
      <c r="M65426"/>
    </row>
    <row r="65427" spans="3:13" ht="12.75" customHeight="1">
      <c r="C65427"/>
      <c r="M65427"/>
    </row>
    <row r="65428" spans="3:13" ht="12.75" customHeight="1">
      <c r="C65428"/>
      <c r="M65428"/>
    </row>
    <row r="65429" spans="3:13" ht="12.75" customHeight="1">
      <c r="C65429"/>
      <c r="M65429"/>
    </row>
    <row r="65430" spans="3:13" ht="12.75" customHeight="1">
      <c r="C65430"/>
      <c r="M65430"/>
    </row>
    <row r="65431" spans="3:13" ht="12.75" customHeight="1">
      <c r="C65431"/>
      <c r="M65431"/>
    </row>
    <row r="65432" spans="3:13" ht="12.75" customHeight="1">
      <c r="C65432"/>
      <c r="M65432"/>
    </row>
    <row r="65433" spans="3:13" ht="12.75" customHeight="1">
      <c r="C65433"/>
      <c r="M65433"/>
    </row>
    <row r="65434" spans="3:13" ht="12.75" customHeight="1">
      <c r="C65434"/>
      <c r="M65434"/>
    </row>
    <row r="65435" spans="3:13" ht="12.75" customHeight="1">
      <c r="C65435"/>
      <c r="M65435"/>
    </row>
    <row r="65436" spans="3:13" ht="12.75" customHeight="1">
      <c r="C65436"/>
      <c r="M65436"/>
    </row>
    <row r="65437" spans="3:13" ht="12.75" customHeight="1">
      <c r="C65437"/>
      <c r="M65437"/>
    </row>
    <row r="65438" spans="3:13" ht="12.75" customHeight="1">
      <c r="C65438"/>
      <c r="M65438"/>
    </row>
    <row r="65439" spans="3:13" ht="12.75" customHeight="1">
      <c r="C65439"/>
      <c r="M65439"/>
    </row>
    <row r="65440" spans="3:13" ht="12.75" customHeight="1">
      <c r="C65440"/>
      <c r="M65440"/>
    </row>
    <row r="65441" spans="3:13" ht="12.75" customHeight="1">
      <c r="C65441"/>
      <c r="M65441"/>
    </row>
    <row r="65442" spans="3:13" ht="12.75" customHeight="1">
      <c r="C65442"/>
      <c r="M65442"/>
    </row>
    <row r="65443" spans="3:13" ht="12.75" customHeight="1">
      <c r="C65443"/>
      <c r="M65443"/>
    </row>
    <row r="65444" spans="3:13" ht="12.75" customHeight="1">
      <c r="C65444"/>
      <c r="M65444"/>
    </row>
    <row r="65445" spans="3:13" ht="12.75" customHeight="1">
      <c r="C65445"/>
      <c r="M65445"/>
    </row>
    <row r="65446" spans="3:13" ht="12.75" customHeight="1">
      <c r="C65446"/>
      <c r="M65446"/>
    </row>
    <row r="65447" spans="3:13" ht="12.75" customHeight="1">
      <c r="C65447"/>
      <c r="M65447"/>
    </row>
    <row r="65448" spans="3:13" ht="12.75" customHeight="1">
      <c r="C65448"/>
      <c r="M65448"/>
    </row>
    <row r="65449" spans="3:13" ht="12.75" customHeight="1">
      <c r="C65449"/>
      <c r="M65449"/>
    </row>
    <row r="65450" spans="3:13" ht="12.75" customHeight="1">
      <c r="C65450"/>
      <c r="M65450"/>
    </row>
    <row r="65451" spans="3:13" ht="12.75" customHeight="1">
      <c r="C65451"/>
      <c r="M65451"/>
    </row>
    <row r="65452" spans="3:13" ht="12.75" customHeight="1">
      <c r="C65452"/>
      <c r="M65452"/>
    </row>
    <row r="65453" spans="3:13" ht="12.75" customHeight="1">
      <c r="C65453"/>
      <c r="M65453"/>
    </row>
    <row r="65454" spans="3:13" ht="12.75" customHeight="1">
      <c r="C65454"/>
      <c r="M65454"/>
    </row>
    <row r="65455" spans="3:13" ht="12.75" customHeight="1">
      <c r="C65455"/>
      <c r="M65455"/>
    </row>
    <row r="65456" spans="3:13" ht="12.75" customHeight="1">
      <c r="C65456"/>
      <c r="M65456"/>
    </row>
    <row r="65457" spans="3:13" ht="12.75" customHeight="1">
      <c r="C65457"/>
      <c r="M65457"/>
    </row>
    <row r="65458" spans="3:13" ht="12.75" customHeight="1">
      <c r="C65458"/>
      <c r="M65458"/>
    </row>
    <row r="65459" spans="3:13" ht="12.75" customHeight="1">
      <c r="C65459"/>
      <c r="M65459"/>
    </row>
    <row r="65460" spans="3:13" ht="12.75" customHeight="1">
      <c r="C65460"/>
      <c r="M65460"/>
    </row>
    <row r="65461" spans="3:13" ht="12.75" customHeight="1">
      <c r="C65461"/>
      <c r="M65461"/>
    </row>
    <row r="65462" spans="3:13" ht="12.75" customHeight="1">
      <c r="C65462"/>
      <c r="M65462"/>
    </row>
    <row r="65463" spans="3:13" ht="12.75" customHeight="1">
      <c r="C65463"/>
      <c r="M65463"/>
    </row>
    <row r="65464" spans="3:13" ht="12.75" customHeight="1">
      <c r="C65464"/>
      <c r="M65464"/>
    </row>
    <row r="65465" spans="3:13" ht="12.75" customHeight="1">
      <c r="C65465"/>
      <c r="M65465"/>
    </row>
    <row r="65466" spans="3:13" ht="12.75" customHeight="1">
      <c r="C65466"/>
      <c r="M65466"/>
    </row>
    <row r="65467" spans="3:13" ht="12.75" customHeight="1">
      <c r="C65467"/>
      <c r="M65467"/>
    </row>
    <row r="65468" spans="3:13" ht="12.75" customHeight="1">
      <c r="C65468"/>
      <c r="M65468"/>
    </row>
    <row r="65469" spans="3:13" ht="12.75" customHeight="1">
      <c r="C65469"/>
      <c r="M65469"/>
    </row>
    <row r="65470" spans="3:13" ht="12.75" customHeight="1">
      <c r="C65470"/>
      <c r="M65470"/>
    </row>
    <row r="65471" spans="3:13" ht="12.75" customHeight="1">
      <c r="C65471"/>
      <c r="M65471"/>
    </row>
    <row r="65472" spans="3:13" ht="12.75" customHeight="1">
      <c r="C65472"/>
      <c r="M65472"/>
    </row>
    <row r="65473" spans="3:13" ht="12.75" customHeight="1">
      <c r="C65473"/>
      <c r="M65473"/>
    </row>
    <row r="65474" spans="3:13" ht="12.75" customHeight="1">
      <c r="C65474"/>
      <c r="M65474"/>
    </row>
    <row r="65475" spans="3:13" ht="12.75" customHeight="1">
      <c r="C65475"/>
      <c r="M65475"/>
    </row>
    <row r="65476" spans="3:13" ht="12.75" customHeight="1">
      <c r="C65476"/>
      <c r="M65476"/>
    </row>
    <row r="65477" spans="3:13" ht="12.75" customHeight="1">
      <c r="C65477"/>
      <c r="M65477"/>
    </row>
    <row r="65478" spans="3:13" ht="12.75" customHeight="1">
      <c r="C65478"/>
      <c r="M65478"/>
    </row>
    <row r="65479" spans="3:13" ht="12.75" customHeight="1">
      <c r="C65479"/>
      <c r="M65479"/>
    </row>
    <row r="65480" spans="3:13" ht="12.75" customHeight="1">
      <c r="C65480"/>
      <c r="M65480"/>
    </row>
    <row r="65481" spans="3:13" ht="12.75" customHeight="1">
      <c r="C65481"/>
      <c r="M65481"/>
    </row>
    <row r="65482" spans="3:13" ht="12.75" customHeight="1">
      <c r="C65482"/>
      <c r="M65482"/>
    </row>
    <row r="65483" spans="3:13" ht="12.75" customHeight="1">
      <c r="C65483"/>
      <c r="M65483"/>
    </row>
    <row r="65484" spans="3:13" ht="12.75" customHeight="1">
      <c r="C65484"/>
      <c r="M65484"/>
    </row>
    <row r="65485" spans="3:13" ht="12.75" customHeight="1">
      <c r="C65485"/>
      <c r="M65485"/>
    </row>
    <row r="65486" spans="3:13" ht="12.75" customHeight="1">
      <c r="C65486"/>
      <c r="M65486"/>
    </row>
    <row r="65487" spans="3:13" ht="12.75" customHeight="1">
      <c r="C65487"/>
      <c r="M65487"/>
    </row>
    <row r="65488" spans="3:13" ht="12.75" customHeight="1">
      <c r="C65488"/>
      <c r="M65488"/>
    </row>
    <row r="65489" spans="3:13" ht="12.75" customHeight="1">
      <c r="C65489"/>
      <c r="M65489"/>
    </row>
    <row r="65490" spans="3:13" ht="12.75" customHeight="1">
      <c r="C65490"/>
      <c r="M65490"/>
    </row>
    <row r="65491" spans="3:13" ht="12.75" customHeight="1">
      <c r="C65491"/>
      <c r="M65491"/>
    </row>
    <row r="65492" spans="3:13" ht="12.75" customHeight="1">
      <c r="C65492"/>
      <c r="M65492"/>
    </row>
    <row r="65493" spans="3:13" ht="12.75" customHeight="1">
      <c r="C65493"/>
      <c r="M65493"/>
    </row>
    <row r="65494" spans="3:13" ht="12.75" customHeight="1">
      <c r="C65494"/>
      <c r="M65494"/>
    </row>
    <row r="65495" spans="3:13" ht="12.75" customHeight="1">
      <c r="C65495"/>
      <c r="M65495"/>
    </row>
    <row r="65496" spans="3:13" ht="12.75" customHeight="1">
      <c r="C65496"/>
      <c r="M65496"/>
    </row>
    <row r="65497" spans="3:13" ht="12.75" customHeight="1">
      <c r="C65497"/>
      <c r="M65497"/>
    </row>
    <row r="65498" spans="3:13" ht="12.75" customHeight="1">
      <c r="C65498"/>
      <c r="M65498"/>
    </row>
    <row r="65499" spans="3:13" ht="12.75" customHeight="1">
      <c r="C65499"/>
      <c r="M65499"/>
    </row>
    <row r="65500" spans="3:13" ht="12.75" customHeight="1">
      <c r="C65500"/>
      <c r="M65500"/>
    </row>
    <row r="65501" spans="3:13" ht="12.75" customHeight="1">
      <c r="C65501"/>
      <c r="M65501"/>
    </row>
    <row r="65502" spans="3:13" ht="12.75" customHeight="1">
      <c r="C65502"/>
      <c r="M65502"/>
    </row>
    <row r="65503" spans="3:13" ht="12.75" customHeight="1">
      <c r="C65503"/>
      <c r="M65503"/>
    </row>
    <row r="65504" spans="3:13" ht="12.75" customHeight="1">
      <c r="C65504"/>
      <c r="M65504"/>
    </row>
    <row r="65505" spans="3:13" ht="12.75" customHeight="1">
      <c r="C65505"/>
      <c r="M65505"/>
    </row>
    <row r="65506" spans="3:13" ht="12.75" customHeight="1">
      <c r="C65506"/>
      <c r="M65506"/>
    </row>
    <row r="65507" spans="3:13" ht="12.75" customHeight="1">
      <c r="C65507"/>
      <c r="M65507"/>
    </row>
    <row r="65508" spans="3:13" ht="12.75" customHeight="1">
      <c r="C65508"/>
      <c r="M65508"/>
    </row>
    <row r="65509" spans="3:13" ht="12.75" customHeight="1">
      <c r="C65509"/>
      <c r="M65509"/>
    </row>
    <row r="65510" spans="3:13" ht="12.75" customHeight="1">
      <c r="C65510"/>
      <c r="M65510"/>
    </row>
    <row r="65511" spans="3:13" ht="12.75" customHeight="1">
      <c r="C65511"/>
      <c r="M65511"/>
    </row>
    <row r="65512" spans="3:13" ht="12.75" customHeight="1">
      <c r="C65512"/>
      <c r="M65512"/>
    </row>
    <row r="65513" spans="3:13" ht="12.75" customHeight="1">
      <c r="C65513"/>
      <c r="M65513"/>
    </row>
    <row r="65514" spans="3:13" ht="12.75" customHeight="1">
      <c r="C65514"/>
      <c r="M65514"/>
    </row>
    <row r="65515" spans="3:13" ht="12.75" customHeight="1">
      <c r="C65515"/>
      <c r="M65515"/>
    </row>
    <row r="65516" spans="3:13" ht="12.75" customHeight="1">
      <c r="C65516"/>
      <c r="M65516"/>
    </row>
    <row r="65517" spans="3:13" ht="12.75" customHeight="1">
      <c r="C65517"/>
      <c r="M65517"/>
    </row>
    <row r="65518" spans="3:13" ht="12.75" customHeight="1">
      <c r="C65518"/>
      <c r="M65518"/>
    </row>
    <row r="65519" spans="3:13" ht="12.75" customHeight="1">
      <c r="C65519"/>
      <c r="M65519"/>
    </row>
    <row r="65520" spans="3:13" ht="12.75" customHeight="1">
      <c r="C65520"/>
      <c r="M65520"/>
    </row>
    <row r="65521" spans="3:13" ht="12.75" customHeight="1">
      <c r="C65521"/>
      <c r="M65521"/>
    </row>
    <row r="65522" spans="3:13" ht="12.75" customHeight="1">
      <c r="C65522"/>
      <c r="M65522"/>
    </row>
    <row r="65523" spans="3:13" ht="12.75" customHeight="1">
      <c r="C65523"/>
      <c r="M65523"/>
    </row>
    <row r="65524" spans="3:13" ht="12.75" customHeight="1">
      <c r="C65524"/>
      <c r="M65524"/>
    </row>
    <row r="65525" spans="3:13" ht="12.75" customHeight="1">
      <c r="C65525"/>
      <c r="M65525"/>
    </row>
    <row r="65526" spans="3:13" ht="12.75" customHeight="1">
      <c r="C65526"/>
      <c r="M65526"/>
    </row>
    <row r="65527" spans="3:13" ht="12.75" customHeight="1">
      <c r="C65527"/>
      <c r="M65527"/>
    </row>
    <row r="65528" spans="3:13" ht="12.75" customHeight="1">
      <c r="C65528"/>
      <c r="M65528"/>
    </row>
    <row r="65529" spans="3:13" ht="12.75" customHeight="1">
      <c r="C65529"/>
      <c r="M65529"/>
    </row>
    <row r="65530" spans="3:13" ht="12.75" customHeight="1">
      <c r="C65530"/>
      <c r="M65530"/>
    </row>
    <row r="65531" spans="3:13" ht="12.75" customHeight="1">
      <c r="C65531"/>
      <c r="M65531"/>
    </row>
    <row r="65532" spans="3:13" ht="12.75" customHeight="1">
      <c r="C65532"/>
      <c r="M65532"/>
    </row>
  </sheetData>
  <sheetProtection password="BD1F" sheet="1" objects="1" scenarios="1" autoFilter="0"/>
  <autoFilter ref="C15:C264"/>
  <mergeCells count="15">
    <mergeCell ref="E15:H15"/>
    <mergeCell ref="E4:F4"/>
    <mergeCell ref="G4:H4"/>
    <mergeCell ref="S4:T4"/>
    <mergeCell ref="U4:Z4"/>
    <mergeCell ref="E5:F5"/>
    <mergeCell ref="G5:H5"/>
    <mergeCell ref="S5:T5"/>
    <mergeCell ref="U5:Z5"/>
    <mergeCell ref="F1:H1"/>
    <mergeCell ref="Q1:R1"/>
    <mergeCell ref="Y1:Z1"/>
    <mergeCell ref="F2:H2"/>
    <mergeCell ref="Q2:R2"/>
    <mergeCell ref="Y2:Z2"/>
  </mergeCells>
  <phoneticPr fontId="38" type="noConversion"/>
  <conditionalFormatting sqref="D14:I14 D16:I40">
    <cfRule type="expression" dxfId="358" priority="5325" stopIfTrue="1">
      <formula>$B14=1</formula>
    </cfRule>
    <cfRule type="expression" dxfId="357" priority="5326" stopIfTrue="1">
      <formula>OR($B14=0,$B14=2,$B14=3,$B14=4)</formula>
    </cfRule>
  </conditionalFormatting>
  <conditionalFormatting sqref="M264:N264 M12:N40">
    <cfRule type="expression" dxfId="356" priority="5327" stopIfTrue="1">
      <formula>ACOMPANHAMENTO="BM"</formula>
    </cfRule>
    <cfRule type="expression" dxfId="355" priority="5328" stopIfTrue="1">
      <formula>OR($B12=0,$B12=2,$B12=3,$B12=4)</formula>
    </cfRule>
    <cfRule type="expression" dxfId="354" priority="5329" stopIfTrue="1">
      <formula>$B12=1</formula>
    </cfRule>
  </conditionalFormatting>
  <conditionalFormatting sqref="K12:K264">
    <cfRule type="expression" dxfId="353" priority="5330" stopIfTrue="1">
      <formula>OR(ACOMPANHAMENTO="BM",$A$12&lt;&gt;"Manual")</formula>
    </cfRule>
    <cfRule type="expression" dxfId="352" priority="5331" stopIfTrue="1">
      <formula>$B12=1</formula>
    </cfRule>
    <cfRule type="expression" dxfId="351" priority="5332" stopIfTrue="1">
      <formula>OR($B12=2,$B12=3,$B12=4,$B12=0)</formula>
    </cfRule>
  </conditionalFormatting>
  <conditionalFormatting sqref="O12:AA264">
    <cfRule type="expression" dxfId="350" priority="5333" stopIfTrue="1">
      <formula>ACOMPANHAMENTO="BM"</formula>
    </cfRule>
    <cfRule type="expression" dxfId="349" priority="5334" stopIfTrue="1">
      <formula>AND(O$12&lt;&gt;".",OR($B12=0,$B12=2,$B12=3,$B12=4,AND(O$12="",$B12&lt;&gt;"Empty"),OFFSET(O$12,0,-1)=""))</formula>
    </cfRule>
    <cfRule type="expression" dxfId="348" priority="5335" stopIfTrue="1">
      <formula>AND($B12=1,O$12&lt;&gt;".")</formula>
    </cfRule>
  </conditionalFormatting>
  <conditionalFormatting sqref="D41:I49">
    <cfRule type="expression" dxfId="347" priority="276" stopIfTrue="1">
      <formula>$B41=1</formula>
    </cfRule>
    <cfRule type="expression" dxfId="346" priority="277" stopIfTrue="1">
      <formula>OR($B41=0,$B41=2,$B41=3,$B41=4)</formula>
    </cfRule>
  </conditionalFormatting>
  <conditionalFormatting sqref="M41:N49">
    <cfRule type="expression" dxfId="345" priority="278" stopIfTrue="1">
      <formula>ACOMPANHAMENTO="BM"</formula>
    </cfRule>
    <cfRule type="expression" dxfId="344" priority="279" stopIfTrue="1">
      <formula>OR($B41=0,$B41=2,$B41=3,$B41=4)</formula>
    </cfRule>
    <cfRule type="expression" dxfId="343" priority="280" stopIfTrue="1">
      <formula>$B41=1</formula>
    </cfRule>
  </conditionalFormatting>
  <conditionalFormatting sqref="D50:I58">
    <cfRule type="expression" dxfId="342" priority="265" stopIfTrue="1">
      <formula>$B50=1</formula>
    </cfRule>
    <cfRule type="expression" dxfId="341" priority="266" stopIfTrue="1">
      <formula>OR($B50=0,$B50=2,$B50=3,$B50=4)</formula>
    </cfRule>
  </conditionalFormatting>
  <conditionalFormatting sqref="M50:N58">
    <cfRule type="expression" dxfId="340" priority="267" stopIfTrue="1">
      <formula>ACOMPANHAMENTO="BM"</formula>
    </cfRule>
    <cfRule type="expression" dxfId="339" priority="268" stopIfTrue="1">
      <formula>OR($B50=0,$B50=2,$B50=3,$B50=4)</formula>
    </cfRule>
    <cfRule type="expression" dxfId="338" priority="269" stopIfTrue="1">
      <formula>$B50=1</formula>
    </cfRule>
  </conditionalFormatting>
  <conditionalFormatting sqref="D59:I67">
    <cfRule type="expression" dxfId="337" priority="254" stopIfTrue="1">
      <formula>$B59=1</formula>
    </cfRule>
    <cfRule type="expression" dxfId="336" priority="255" stopIfTrue="1">
      <formula>OR($B59=0,$B59=2,$B59=3,$B59=4)</formula>
    </cfRule>
  </conditionalFormatting>
  <conditionalFormatting sqref="M59:N67">
    <cfRule type="expression" dxfId="335" priority="256" stopIfTrue="1">
      <formula>ACOMPANHAMENTO="BM"</formula>
    </cfRule>
    <cfRule type="expression" dxfId="334" priority="257" stopIfTrue="1">
      <formula>OR($B59=0,$B59=2,$B59=3,$B59=4)</formula>
    </cfRule>
    <cfRule type="expression" dxfId="333" priority="258" stopIfTrue="1">
      <formula>$B59=1</formula>
    </cfRule>
  </conditionalFormatting>
  <conditionalFormatting sqref="D68:I76">
    <cfRule type="expression" dxfId="332" priority="243" stopIfTrue="1">
      <formula>$B68=1</formula>
    </cfRule>
    <cfRule type="expression" dxfId="331" priority="244" stopIfTrue="1">
      <formula>OR($B68=0,$B68=2,$B68=3,$B68=4)</formula>
    </cfRule>
  </conditionalFormatting>
  <conditionalFormatting sqref="M68:N76">
    <cfRule type="expression" dxfId="330" priority="245" stopIfTrue="1">
      <formula>ACOMPANHAMENTO="BM"</formula>
    </cfRule>
    <cfRule type="expression" dxfId="329" priority="246" stopIfTrue="1">
      <formula>OR($B68=0,$B68=2,$B68=3,$B68=4)</formula>
    </cfRule>
    <cfRule type="expression" dxfId="328" priority="247" stopIfTrue="1">
      <formula>$B68=1</formula>
    </cfRule>
  </conditionalFormatting>
  <conditionalFormatting sqref="D77:I85">
    <cfRule type="expression" dxfId="327" priority="232" stopIfTrue="1">
      <formula>$B77=1</formula>
    </cfRule>
    <cfRule type="expression" dxfId="326" priority="233" stopIfTrue="1">
      <formula>OR($B77=0,$B77=2,$B77=3,$B77=4)</formula>
    </cfRule>
  </conditionalFormatting>
  <conditionalFormatting sqref="M77:N85">
    <cfRule type="expression" dxfId="325" priority="234" stopIfTrue="1">
      <formula>ACOMPANHAMENTO="BM"</formula>
    </cfRule>
    <cfRule type="expression" dxfId="324" priority="235" stopIfTrue="1">
      <formula>OR($B77=0,$B77=2,$B77=3,$B77=4)</formula>
    </cfRule>
    <cfRule type="expression" dxfId="323" priority="236" stopIfTrue="1">
      <formula>$B77=1</formula>
    </cfRule>
  </conditionalFormatting>
  <conditionalFormatting sqref="D86:I94">
    <cfRule type="expression" dxfId="322" priority="221" stopIfTrue="1">
      <formula>$B86=1</formula>
    </cfRule>
    <cfRule type="expression" dxfId="321" priority="222" stopIfTrue="1">
      <formula>OR($B86=0,$B86=2,$B86=3,$B86=4)</formula>
    </cfRule>
  </conditionalFormatting>
  <conditionalFormatting sqref="M86:N94">
    <cfRule type="expression" dxfId="320" priority="223" stopIfTrue="1">
      <formula>ACOMPANHAMENTO="BM"</formula>
    </cfRule>
    <cfRule type="expression" dxfId="319" priority="224" stopIfTrue="1">
      <formula>OR($B86=0,$B86=2,$B86=3,$B86=4)</formula>
    </cfRule>
    <cfRule type="expression" dxfId="318" priority="225" stopIfTrue="1">
      <formula>$B86=1</formula>
    </cfRule>
  </conditionalFormatting>
  <conditionalFormatting sqref="D95:I103">
    <cfRule type="expression" dxfId="317" priority="210" stopIfTrue="1">
      <formula>$B95=1</formula>
    </cfRule>
    <cfRule type="expression" dxfId="316" priority="211" stopIfTrue="1">
      <formula>OR($B95=0,$B95=2,$B95=3,$B95=4)</formula>
    </cfRule>
  </conditionalFormatting>
  <conditionalFormatting sqref="M95:N103">
    <cfRule type="expression" dxfId="315" priority="212" stopIfTrue="1">
      <formula>ACOMPANHAMENTO="BM"</formula>
    </cfRule>
    <cfRule type="expression" dxfId="314" priority="213" stopIfTrue="1">
      <formula>OR($B95=0,$B95=2,$B95=3,$B95=4)</formula>
    </cfRule>
    <cfRule type="expression" dxfId="313" priority="214" stopIfTrue="1">
      <formula>$B95=1</formula>
    </cfRule>
  </conditionalFormatting>
  <conditionalFormatting sqref="D104:I112">
    <cfRule type="expression" dxfId="312" priority="199" stopIfTrue="1">
      <formula>$B104=1</formula>
    </cfRule>
    <cfRule type="expression" dxfId="311" priority="200" stopIfTrue="1">
      <formula>OR($B104=0,$B104=2,$B104=3,$B104=4)</formula>
    </cfRule>
  </conditionalFormatting>
  <conditionalFormatting sqref="M104:N112">
    <cfRule type="expression" dxfId="310" priority="201" stopIfTrue="1">
      <formula>ACOMPANHAMENTO="BM"</formula>
    </cfRule>
    <cfRule type="expression" dxfId="309" priority="202" stopIfTrue="1">
      <formula>OR($B104=0,$B104=2,$B104=3,$B104=4)</formula>
    </cfRule>
    <cfRule type="expression" dxfId="308" priority="203" stopIfTrue="1">
      <formula>$B104=1</formula>
    </cfRule>
  </conditionalFormatting>
  <conditionalFormatting sqref="D113:I121">
    <cfRule type="expression" dxfId="307" priority="188" stopIfTrue="1">
      <formula>$B113=1</formula>
    </cfRule>
    <cfRule type="expression" dxfId="306" priority="189" stopIfTrue="1">
      <formula>OR($B113=0,$B113=2,$B113=3,$B113=4)</formula>
    </cfRule>
  </conditionalFormatting>
  <conditionalFormatting sqref="M113:N121">
    <cfRule type="expression" dxfId="305" priority="190" stopIfTrue="1">
      <formula>ACOMPANHAMENTO="BM"</formula>
    </cfRule>
    <cfRule type="expression" dxfId="304" priority="191" stopIfTrue="1">
      <formula>OR($B113=0,$B113=2,$B113=3,$B113=4)</formula>
    </cfRule>
    <cfRule type="expression" dxfId="303" priority="192" stopIfTrue="1">
      <formula>$B113=1</formula>
    </cfRule>
  </conditionalFormatting>
  <conditionalFormatting sqref="D122:I130">
    <cfRule type="expression" dxfId="302" priority="177" stopIfTrue="1">
      <formula>$B122=1</formula>
    </cfRule>
    <cfRule type="expression" dxfId="301" priority="178" stopIfTrue="1">
      <formula>OR($B122=0,$B122=2,$B122=3,$B122=4)</formula>
    </cfRule>
  </conditionalFormatting>
  <conditionalFormatting sqref="M122:N130">
    <cfRule type="expression" dxfId="300" priority="179" stopIfTrue="1">
      <formula>ACOMPANHAMENTO="BM"</formula>
    </cfRule>
    <cfRule type="expression" dxfId="299" priority="180" stopIfTrue="1">
      <formula>OR($B122=0,$B122=2,$B122=3,$B122=4)</formula>
    </cfRule>
    <cfRule type="expression" dxfId="298" priority="181" stopIfTrue="1">
      <formula>$B122=1</formula>
    </cfRule>
  </conditionalFormatting>
  <conditionalFormatting sqref="D131:I139">
    <cfRule type="expression" dxfId="297" priority="166" stopIfTrue="1">
      <formula>$B131=1</formula>
    </cfRule>
    <cfRule type="expression" dxfId="296" priority="167" stopIfTrue="1">
      <formula>OR($B131=0,$B131=2,$B131=3,$B131=4)</formula>
    </cfRule>
  </conditionalFormatting>
  <conditionalFormatting sqref="M131:N139">
    <cfRule type="expression" dxfId="295" priority="168" stopIfTrue="1">
      <formula>ACOMPANHAMENTO="BM"</formula>
    </cfRule>
    <cfRule type="expression" dxfId="294" priority="169" stopIfTrue="1">
      <formula>OR($B131=0,$B131=2,$B131=3,$B131=4)</formula>
    </cfRule>
    <cfRule type="expression" dxfId="293" priority="170" stopIfTrue="1">
      <formula>$B131=1</formula>
    </cfRule>
  </conditionalFormatting>
  <conditionalFormatting sqref="D140:I148">
    <cfRule type="expression" dxfId="292" priority="155" stopIfTrue="1">
      <formula>$B140=1</formula>
    </cfRule>
    <cfRule type="expression" dxfId="291" priority="156" stopIfTrue="1">
      <formula>OR($B140=0,$B140=2,$B140=3,$B140=4)</formula>
    </cfRule>
  </conditionalFormatting>
  <conditionalFormatting sqref="M140:N148">
    <cfRule type="expression" dxfId="290" priority="157" stopIfTrue="1">
      <formula>ACOMPANHAMENTO="BM"</formula>
    </cfRule>
    <cfRule type="expression" dxfId="289" priority="158" stopIfTrue="1">
      <formula>OR($B140=0,$B140=2,$B140=3,$B140=4)</formula>
    </cfRule>
    <cfRule type="expression" dxfId="288" priority="159" stopIfTrue="1">
      <formula>$B140=1</formula>
    </cfRule>
  </conditionalFormatting>
  <conditionalFormatting sqref="D149:I157">
    <cfRule type="expression" dxfId="287" priority="144" stopIfTrue="1">
      <formula>$B149=1</formula>
    </cfRule>
    <cfRule type="expression" dxfId="286" priority="145" stopIfTrue="1">
      <formula>OR($B149=0,$B149=2,$B149=3,$B149=4)</formula>
    </cfRule>
  </conditionalFormatting>
  <conditionalFormatting sqref="M149:N157">
    <cfRule type="expression" dxfId="285" priority="146" stopIfTrue="1">
      <formula>ACOMPANHAMENTO="BM"</formula>
    </cfRule>
    <cfRule type="expression" dxfId="284" priority="147" stopIfTrue="1">
      <formula>OR($B149=0,$B149=2,$B149=3,$B149=4)</formula>
    </cfRule>
    <cfRule type="expression" dxfId="283" priority="148" stopIfTrue="1">
      <formula>$B149=1</formula>
    </cfRule>
  </conditionalFormatting>
  <conditionalFormatting sqref="D158:I166">
    <cfRule type="expression" dxfId="282" priority="133" stopIfTrue="1">
      <formula>$B158=1</formula>
    </cfRule>
    <cfRule type="expression" dxfId="281" priority="134" stopIfTrue="1">
      <formula>OR($B158=0,$B158=2,$B158=3,$B158=4)</formula>
    </cfRule>
  </conditionalFormatting>
  <conditionalFormatting sqref="M158:N166">
    <cfRule type="expression" dxfId="280" priority="135" stopIfTrue="1">
      <formula>ACOMPANHAMENTO="BM"</formula>
    </cfRule>
    <cfRule type="expression" dxfId="279" priority="136" stopIfTrue="1">
      <formula>OR($B158=0,$B158=2,$B158=3,$B158=4)</formula>
    </cfRule>
    <cfRule type="expression" dxfId="278" priority="137" stopIfTrue="1">
      <formula>$B158=1</formula>
    </cfRule>
  </conditionalFormatting>
  <conditionalFormatting sqref="D167:I175">
    <cfRule type="expression" dxfId="277" priority="122" stopIfTrue="1">
      <formula>$B167=1</formula>
    </cfRule>
    <cfRule type="expression" dxfId="276" priority="123" stopIfTrue="1">
      <formula>OR($B167=0,$B167=2,$B167=3,$B167=4)</formula>
    </cfRule>
  </conditionalFormatting>
  <conditionalFormatting sqref="M167:N175">
    <cfRule type="expression" dxfId="275" priority="124" stopIfTrue="1">
      <formula>ACOMPANHAMENTO="BM"</formula>
    </cfRule>
    <cfRule type="expression" dxfId="274" priority="125" stopIfTrue="1">
      <formula>OR($B167=0,$B167=2,$B167=3,$B167=4)</formula>
    </cfRule>
    <cfRule type="expression" dxfId="273" priority="126" stopIfTrue="1">
      <formula>$B167=1</formula>
    </cfRule>
  </conditionalFormatting>
  <conditionalFormatting sqref="D176:I184">
    <cfRule type="expression" dxfId="272" priority="111" stopIfTrue="1">
      <formula>$B176=1</formula>
    </cfRule>
    <cfRule type="expression" dxfId="271" priority="112" stopIfTrue="1">
      <formula>OR($B176=0,$B176=2,$B176=3,$B176=4)</formula>
    </cfRule>
  </conditionalFormatting>
  <conditionalFormatting sqref="M176:N184">
    <cfRule type="expression" dxfId="270" priority="113" stopIfTrue="1">
      <formula>ACOMPANHAMENTO="BM"</formula>
    </cfRule>
    <cfRule type="expression" dxfId="269" priority="114" stopIfTrue="1">
      <formula>OR($B176=0,$B176=2,$B176=3,$B176=4)</formula>
    </cfRule>
    <cfRule type="expression" dxfId="268" priority="115" stopIfTrue="1">
      <formula>$B176=1</formula>
    </cfRule>
  </conditionalFormatting>
  <conditionalFormatting sqref="D185:I193">
    <cfRule type="expression" dxfId="267" priority="100" stopIfTrue="1">
      <formula>$B185=1</formula>
    </cfRule>
    <cfRule type="expression" dxfId="266" priority="101" stopIfTrue="1">
      <formula>OR($B185=0,$B185=2,$B185=3,$B185=4)</formula>
    </cfRule>
  </conditionalFormatting>
  <conditionalFormatting sqref="M185:N193">
    <cfRule type="expression" dxfId="265" priority="102" stopIfTrue="1">
      <formula>ACOMPANHAMENTO="BM"</formula>
    </cfRule>
    <cfRule type="expression" dxfId="264" priority="103" stopIfTrue="1">
      <formula>OR($B185=0,$B185=2,$B185=3,$B185=4)</formula>
    </cfRule>
    <cfRule type="expression" dxfId="263" priority="104" stopIfTrue="1">
      <formula>$B185=1</formula>
    </cfRule>
  </conditionalFormatting>
  <conditionalFormatting sqref="D194:I202">
    <cfRule type="expression" dxfId="262" priority="89" stopIfTrue="1">
      <formula>$B194=1</formula>
    </cfRule>
    <cfRule type="expression" dxfId="261" priority="90" stopIfTrue="1">
      <formula>OR($B194=0,$B194=2,$B194=3,$B194=4)</formula>
    </cfRule>
  </conditionalFormatting>
  <conditionalFormatting sqref="M194:N202">
    <cfRule type="expression" dxfId="260" priority="91" stopIfTrue="1">
      <formula>ACOMPANHAMENTO="BM"</formula>
    </cfRule>
    <cfRule type="expression" dxfId="259" priority="92" stopIfTrue="1">
      <formula>OR($B194=0,$B194=2,$B194=3,$B194=4)</formula>
    </cfRule>
    <cfRule type="expression" dxfId="258" priority="93" stopIfTrue="1">
      <formula>$B194=1</formula>
    </cfRule>
  </conditionalFormatting>
  <conditionalFormatting sqref="D203:I211">
    <cfRule type="expression" dxfId="257" priority="78" stopIfTrue="1">
      <formula>$B203=1</formula>
    </cfRule>
    <cfRule type="expression" dxfId="256" priority="79" stopIfTrue="1">
      <formula>OR($B203=0,$B203=2,$B203=3,$B203=4)</formula>
    </cfRule>
  </conditionalFormatting>
  <conditionalFormatting sqref="M203:N211">
    <cfRule type="expression" dxfId="255" priority="80" stopIfTrue="1">
      <formula>ACOMPANHAMENTO="BM"</formula>
    </cfRule>
    <cfRule type="expression" dxfId="254" priority="81" stopIfTrue="1">
      <formula>OR($B203=0,$B203=2,$B203=3,$B203=4)</formula>
    </cfRule>
    <cfRule type="expression" dxfId="253" priority="82" stopIfTrue="1">
      <formula>$B203=1</formula>
    </cfRule>
  </conditionalFormatting>
  <conditionalFormatting sqref="D212:I220">
    <cfRule type="expression" dxfId="252" priority="67" stopIfTrue="1">
      <formula>$B212=1</formula>
    </cfRule>
    <cfRule type="expression" dxfId="251" priority="68" stopIfTrue="1">
      <formula>OR($B212=0,$B212=2,$B212=3,$B212=4)</formula>
    </cfRule>
  </conditionalFormatting>
  <conditionalFormatting sqref="M212:N220">
    <cfRule type="expression" dxfId="250" priority="69" stopIfTrue="1">
      <formula>ACOMPANHAMENTO="BM"</formula>
    </cfRule>
    <cfRule type="expression" dxfId="249" priority="70" stopIfTrue="1">
      <formula>OR($B212=0,$B212=2,$B212=3,$B212=4)</formula>
    </cfRule>
    <cfRule type="expression" dxfId="248" priority="71" stopIfTrue="1">
      <formula>$B212=1</formula>
    </cfRule>
  </conditionalFormatting>
  <conditionalFormatting sqref="D221:I229">
    <cfRule type="expression" dxfId="247" priority="56" stopIfTrue="1">
      <formula>$B221=1</formula>
    </cfRule>
    <cfRule type="expression" dxfId="246" priority="57" stopIfTrue="1">
      <formula>OR($B221=0,$B221=2,$B221=3,$B221=4)</formula>
    </cfRule>
  </conditionalFormatting>
  <conditionalFormatting sqref="M221:N229">
    <cfRule type="expression" dxfId="245" priority="58" stopIfTrue="1">
      <formula>ACOMPANHAMENTO="BM"</formula>
    </cfRule>
    <cfRule type="expression" dxfId="244" priority="59" stopIfTrue="1">
      <formula>OR($B221=0,$B221=2,$B221=3,$B221=4)</formula>
    </cfRule>
    <cfRule type="expression" dxfId="243" priority="60" stopIfTrue="1">
      <formula>$B221=1</formula>
    </cfRule>
  </conditionalFormatting>
  <conditionalFormatting sqref="D230:I238">
    <cfRule type="expression" dxfId="242" priority="45" stopIfTrue="1">
      <formula>$B230=1</formula>
    </cfRule>
    <cfRule type="expression" dxfId="241" priority="46" stopIfTrue="1">
      <formula>OR($B230=0,$B230=2,$B230=3,$B230=4)</formula>
    </cfRule>
  </conditionalFormatting>
  <conditionalFormatting sqref="M230:N238">
    <cfRule type="expression" dxfId="240" priority="47" stopIfTrue="1">
      <formula>ACOMPANHAMENTO="BM"</formula>
    </cfRule>
    <cfRule type="expression" dxfId="239" priority="48" stopIfTrue="1">
      <formula>OR($B230=0,$B230=2,$B230=3,$B230=4)</formula>
    </cfRule>
    <cfRule type="expression" dxfId="238" priority="49" stopIfTrue="1">
      <formula>$B230=1</formula>
    </cfRule>
  </conditionalFormatting>
  <conditionalFormatting sqref="D239:I247">
    <cfRule type="expression" dxfId="237" priority="34" stopIfTrue="1">
      <formula>$B239=1</formula>
    </cfRule>
    <cfRule type="expression" dxfId="236" priority="35" stopIfTrue="1">
      <formula>OR($B239=0,$B239=2,$B239=3,$B239=4)</formula>
    </cfRule>
  </conditionalFormatting>
  <conditionalFormatting sqref="M239:N247">
    <cfRule type="expression" dxfId="235" priority="36" stopIfTrue="1">
      <formula>ACOMPANHAMENTO="BM"</formula>
    </cfRule>
    <cfRule type="expression" dxfId="234" priority="37" stopIfTrue="1">
      <formula>OR($B239=0,$B239=2,$B239=3,$B239=4)</formula>
    </cfRule>
    <cfRule type="expression" dxfId="233" priority="38" stopIfTrue="1">
      <formula>$B239=1</formula>
    </cfRule>
  </conditionalFormatting>
  <conditionalFormatting sqref="D248:I256">
    <cfRule type="expression" dxfId="232" priority="23" stopIfTrue="1">
      <formula>$B248=1</formula>
    </cfRule>
    <cfRule type="expression" dxfId="231" priority="24" stopIfTrue="1">
      <formula>OR($B248=0,$B248=2,$B248=3,$B248=4)</formula>
    </cfRule>
  </conditionalFormatting>
  <conditionalFormatting sqref="M248:N256">
    <cfRule type="expression" dxfId="230" priority="25" stopIfTrue="1">
      <formula>ACOMPANHAMENTO="BM"</formula>
    </cfRule>
    <cfRule type="expression" dxfId="229" priority="26" stopIfTrue="1">
      <formula>OR($B248=0,$B248=2,$B248=3,$B248=4)</formula>
    </cfRule>
    <cfRule type="expression" dxfId="228" priority="27" stopIfTrue="1">
      <formula>$B248=1</formula>
    </cfRule>
  </conditionalFormatting>
  <conditionalFormatting sqref="D257:I263">
    <cfRule type="expression" dxfId="227" priority="12" stopIfTrue="1">
      <formula>$B257=1</formula>
    </cfRule>
    <cfRule type="expression" dxfId="226" priority="13" stopIfTrue="1">
      <formula>OR($B257=0,$B257=2,$B257=3,$B257=4)</formula>
    </cfRule>
  </conditionalFormatting>
  <conditionalFormatting sqref="M257:N263">
    <cfRule type="expression" dxfId="225" priority="14" stopIfTrue="1">
      <formula>ACOMPANHAMENTO="BM"</formula>
    </cfRule>
    <cfRule type="expression" dxfId="224" priority="15" stopIfTrue="1">
      <formula>OR($B257=0,$B257=2,$B257=3,$B257=4)</formula>
    </cfRule>
    <cfRule type="expression" dxfId="223" priority="16" stopIfTrue="1">
      <formula>$B257=1</formula>
    </cfRule>
  </conditionalFormatting>
  <conditionalFormatting sqref="D22:I27">
    <cfRule type="expression" dxfId="222" priority="10" stopIfTrue="1">
      <formula>$B22=1</formula>
    </cfRule>
    <cfRule type="expression" dxfId="221" priority="11" stopIfTrue="1">
      <formula>OR($B22=0,$B22=2,$B22=3,$B22=4)</formula>
    </cfRule>
  </conditionalFormatting>
  <conditionalFormatting sqref="M22:N27">
    <cfRule type="expression" dxfId="220" priority="7" stopIfTrue="1">
      <formula>ACOMPANHAMENTO="BM"</formula>
    </cfRule>
    <cfRule type="expression" dxfId="219" priority="8" stopIfTrue="1">
      <formula>OR($B22=0,$B22=2,$B22=3,$B22=4)</formula>
    </cfRule>
    <cfRule type="expression" dxfId="218" priority="9" stopIfTrue="1">
      <formula>$B22=1</formula>
    </cfRule>
  </conditionalFormatting>
  <dataValidations count="4">
    <dataValidation type="decimal" operator="greaterThan" allowBlank="1" showErrorMessage="1" error="Apenas números decimais maiores que zero." sqref="O14 Q16:Z263 O16:O263 Q14:Z14">
      <formula1>0</formula1>
      <formula2>0</formula2>
    </dataValidation>
    <dataValidation type="list" allowBlank="1" showErrorMessage="1" sqref="K14 K16:K263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263"/>
    <dataValidation allowBlank="1" showInputMessage="1" showErrorMessage="1" prompt="A frente de obra é uma porção física da obra. Exemplos: Única; Rua A; Rua B; Trecho 01; Trecho 02; 1º Andar; 2º Andar; Copa; Banheiro" sqref="Q12"/>
  </dataValidations>
  <pageMargins left="0.78740157480314998" right="0.78740157480314998" top="0.78740157480314998" bottom="0.78740157480314998" header="0.59055118110236204" footer="0.59055118110236204"/>
  <pageSetup paperSize="9" scale="65" firstPageNumber="0" orientation="landscape" r:id="rId1"/>
  <headerFooter alignWithMargins="0">
    <oddHeader>&amp;C&amp;14I</oddHeader>
    <oddFooter>&amp;LPMv3.0.6&amp;R&amp;P / &amp;N</oddFooter>
  </headerFooter>
  <colBreaks count="1" manualBreakCount="1"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Plan8">
    <pageSetUpPr fitToPage="1"/>
  </sheetPr>
  <dimension ref="B2:F21"/>
  <sheetViews>
    <sheetView showGridLines="0" zoomScale="90" zoomScaleNormal="90" workbookViewId="0">
      <pane ySplit="14" topLeftCell="A15" activePane="bottomLeft" state="frozen"/>
      <selection pane="bottomLeft" activeCell="A20" sqref="A20"/>
    </sheetView>
  </sheetViews>
  <sheetFormatPr defaultRowHeight="13.2"/>
  <cols>
    <col min="2" max="2" width="0" hidden="1" customWidth="1"/>
    <col min="3" max="3" width="12.6640625" customWidth="1"/>
    <col min="4" max="4" width="30.6640625" customWidth="1"/>
    <col min="6" max="6" width="25.6640625" customWidth="1"/>
  </cols>
  <sheetData>
    <row r="2" spans="2:6" ht="15.6">
      <c r="C2" s="98" t="s">
        <v>264</v>
      </c>
    </row>
    <row r="4" spans="2:6">
      <c r="C4" t="s">
        <v>265</v>
      </c>
    </row>
    <row r="6" spans="2:6">
      <c r="C6" s="722" t="s">
        <v>408</v>
      </c>
      <c r="D6" s="722"/>
      <c r="E6" s="722"/>
      <c r="F6" s="722"/>
    </row>
    <row r="8" spans="2:6" ht="33.75" customHeight="1"/>
    <row r="9" spans="2:6" ht="12" customHeight="1">
      <c r="C9" s="723" t="str">
        <f>IF(ACOMPANHAMENTO="BM","Foi selecionado na aba 'MENU' o acompanhamento por BM. Não há necessidade de definição de Eventos.","")</f>
        <v/>
      </c>
      <c r="D9" s="723"/>
      <c r="E9" s="723"/>
      <c r="F9" s="723"/>
    </row>
    <row r="10" spans="2:6" ht="12" customHeight="1">
      <c r="C10" s="723"/>
      <c r="D10" s="723"/>
      <c r="E10" s="723"/>
      <c r="F10" s="723"/>
    </row>
    <row r="11" spans="2:6" ht="12" customHeight="1">
      <c r="C11" s="723"/>
      <c r="D11" s="723"/>
      <c r="E11" s="723"/>
      <c r="F11" s="723"/>
    </row>
    <row r="12" spans="2:6" ht="12" customHeight="1"/>
    <row r="13" spans="2:6" ht="14.4">
      <c r="C13" s="226" t="s">
        <v>266</v>
      </c>
      <c r="D13" s="724" t="s">
        <v>267</v>
      </c>
      <c r="E13" s="724"/>
      <c r="F13" s="227" t="s">
        <v>268</v>
      </c>
    </row>
    <row r="14" spans="2:6" hidden="1">
      <c r="B14" t="e">
        <f ca="1">CONCATENATE(C14,".",D14)</f>
        <v>#VALUE!</v>
      </c>
      <c r="C14" s="228" t="e">
        <f ca="1">OFFSET(C14,-1,0)+1</f>
        <v>#VALUE!</v>
      </c>
      <c r="D14" s="721"/>
      <c r="E14" s="721"/>
      <c r="F14" s="229">
        <f ca="1">IF(AUTOEVENTO="Manual",ROUND(SUMPRODUCT((CÁLCULO!$M$15:$M$264=EVENTOS!$C14)*(OFFSET(CÁLCULO!$AA$15,0,1):OFFSET(CÁLCULO!$AL$264,0,-1))),2),0)</f>
        <v>0</v>
      </c>
    </row>
    <row r="15" spans="2:6">
      <c r="B15" t="str">
        <f>CONCATENATE(C15,".",D15)</f>
        <v>1.Administração Local</v>
      </c>
      <c r="C15" s="230">
        <v>1</v>
      </c>
      <c r="D15" s="725" t="s">
        <v>269</v>
      </c>
      <c r="E15" s="725"/>
      <c r="F15" s="231">
        <f ca="1">IF(AUTOEVENTO="Manual",ROUND(SUMIF(CÁLCULO!$M$15:$M$264,1,ORÇAMENTO!$X$15:$X$264),2),0)</f>
        <v>0</v>
      </c>
    </row>
    <row r="16" spans="2:6">
      <c r="B16" t="str">
        <f t="shared" ref="B16:B19" ca="1" si="0">CONCATENATE(C16,".",D16)</f>
        <v>2.</v>
      </c>
      <c r="C16" s="228">
        <f t="shared" ref="C16:C19" ca="1" si="1">OFFSET(C16,-1,0)+1</f>
        <v>2</v>
      </c>
      <c r="D16" s="721"/>
      <c r="E16" s="721"/>
      <c r="F16" s="229">
        <f ca="1">IF(AUTOEVENTO="Manual",ROUND(SUMPRODUCT((CÁLCULO!$M$15:$M$264=EVENTOS!$C16)*(OFFSET(CÁLCULO!$AA$15,0,1):OFFSET(CÁLCULO!$AL$264,0,-1))),2),0)</f>
        <v>0</v>
      </c>
    </row>
    <row r="17" spans="2:6">
      <c r="B17" t="str">
        <f t="shared" ca="1" si="0"/>
        <v>3.</v>
      </c>
      <c r="C17" s="228">
        <f t="shared" ca="1" si="1"/>
        <v>3</v>
      </c>
      <c r="D17" s="721"/>
      <c r="E17" s="721"/>
      <c r="F17" s="229">
        <f ca="1">IF(AUTOEVENTO="Manual",ROUND(SUMPRODUCT((CÁLCULO!$M$15:$M$264=EVENTOS!$C17)*(OFFSET(CÁLCULO!$AA$15,0,1):OFFSET(CÁLCULO!$AL$264,0,-1))),2),0)</f>
        <v>0</v>
      </c>
    </row>
    <row r="18" spans="2:6">
      <c r="B18" t="str">
        <f t="shared" ca="1" si="0"/>
        <v>4.</v>
      </c>
      <c r="C18" s="228">
        <f t="shared" ca="1" si="1"/>
        <v>4</v>
      </c>
      <c r="D18" s="721"/>
      <c r="E18" s="721"/>
      <c r="F18" s="229">
        <f ca="1">IF(AUTOEVENTO="Manual",ROUND(SUMPRODUCT((CÁLCULO!$M$15:$M$264=EVENTOS!$C18)*(OFFSET(CÁLCULO!$AA$15,0,1):OFFSET(CÁLCULO!$AL$264,0,-1))),2),0)</f>
        <v>0</v>
      </c>
    </row>
    <row r="19" spans="2:6">
      <c r="B19" t="str">
        <f t="shared" ca="1" si="0"/>
        <v>5.</v>
      </c>
      <c r="C19" s="228">
        <f t="shared" ca="1" si="1"/>
        <v>5</v>
      </c>
      <c r="D19" s="721"/>
      <c r="E19" s="721"/>
      <c r="F19" s="229">
        <f ca="1">IF(AUTOEVENTO="Manual",ROUND(SUMPRODUCT((CÁLCULO!$M$15:$M$264=EVENTOS!$C19)*(OFFSET(CÁLCULO!$AA$15,0,1):OFFSET(CÁLCULO!$AL$264,0,-1))),2),0)</f>
        <v>0</v>
      </c>
    </row>
    <row r="20" spans="2:6">
      <c r="B20" t="str">
        <f ca="1">CONCATENATE(C20,".",D20)</f>
        <v>6.</v>
      </c>
      <c r="C20" s="228">
        <f ca="1">OFFSET(C20,-1,0)+1</f>
        <v>6</v>
      </c>
      <c r="D20" s="721"/>
      <c r="E20" s="721"/>
      <c r="F20" s="229">
        <f ca="1">IF(AUTOEVENTO="Manual",ROUND(SUMPRODUCT((CÁLCULO!$M$15:$M$264=EVENTOS!$C20)*(OFFSET(CÁLCULO!$AA$15,0,1):OFFSET(CÁLCULO!$AL$264,0,-1))),2),0)</f>
        <v>0</v>
      </c>
    </row>
    <row r="21" spans="2:6" ht="5.0999999999999996" customHeight="1">
      <c r="C21" s="221"/>
      <c r="D21" s="232"/>
      <c r="E21" s="232"/>
      <c r="F21" s="233"/>
    </row>
  </sheetData>
  <sheetProtection password="BD1F" sheet="1" objects="1" scenarios="1"/>
  <mergeCells count="10">
    <mergeCell ref="D20:E20"/>
    <mergeCell ref="C6:F6"/>
    <mergeCell ref="C9:F11"/>
    <mergeCell ref="D13:E13"/>
    <mergeCell ref="D14:E14"/>
    <mergeCell ref="D19:E19"/>
    <mergeCell ref="D15:E15"/>
    <mergeCell ref="D16:E16"/>
    <mergeCell ref="D17:E17"/>
    <mergeCell ref="D18:E18"/>
  </mergeCells>
  <phoneticPr fontId="38" type="noConversion"/>
  <conditionalFormatting sqref="C13:F21">
    <cfRule type="expression" dxfId="217" priority="112" stopIfTrue="1">
      <formula>OR(AUTOEVENTO&lt;&gt;"Manual",ACOMPANHAMENTO="BM")</formula>
    </cfRule>
  </conditionalFormatting>
  <dataValidations count="1">
    <dataValidation type="list" allowBlank="1" showErrorMessage="1" sqref="C6">
      <formula1>"Automática, conforme os agrupadores Nível 2 do Orçamento,Automática, conforme os agrupadores Nível 3 do Orçamento,Automática, conforme os agrupadores Nível 4 do Orçamento,Definir Manualmente"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Plan9" filterMode="1"/>
  <dimension ref="A1:AF48"/>
  <sheetViews>
    <sheetView showGridLines="0" zoomScale="110" zoomScaleNormal="11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U42" sqref="U42"/>
    </sheetView>
  </sheetViews>
  <sheetFormatPr defaultColWidth="9.109375" defaultRowHeight="13.2"/>
  <cols>
    <col min="1" max="3" width="9.109375" style="234" hidden="1" customWidth="1"/>
    <col min="4" max="4" width="11" style="235" hidden="1" customWidth="1"/>
    <col min="5" max="5" width="19" style="234" hidden="1" customWidth="1"/>
    <col min="6" max="6" width="3.6640625" style="235" customWidth="1"/>
    <col min="7" max="7" width="12.6640625" style="234" customWidth="1"/>
    <col min="8" max="8" width="7.109375" style="235" customWidth="1"/>
    <col min="9" max="9" width="14.5546875" style="235" customWidth="1"/>
    <col min="10" max="10" width="12" style="235" customWidth="1"/>
    <col min="11" max="11" width="11" style="235" customWidth="1"/>
    <col min="12" max="17" width="0" style="234" hidden="1" customWidth="1"/>
    <col min="18" max="18" width="11.44140625" style="236" customWidth="1"/>
    <col min="19" max="19" width="10.6640625" style="236" customWidth="1"/>
    <col min="20" max="31" width="11" style="235" customWidth="1"/>
    <col min="32" max="32" width="0.109375" style="235" customWidth="1"/>
    <col min="33" max="16384" width="9.109375" style="235"/>
  </cols>
  <sheetData>
    <row r="1" spans="1:32" hidden="1">
      <c r="A1" s="234" t="e">
        <f ca="1">OFFSET(A1,-3,0)+1</f>
        <v>#REF!</v>
      </c>
      <c r="B1" s="234" t="e">
        <f ca="1">IF($Q1&lt;&gt;2,0,IF($R1=0,1,IF(E2&gt;0,OFFSET(QCI!$M$13,SUBSTITUTE(E2,".",""),0),OFFSET(ORÇAMENTO!$AA$15,CRONO!$E1,0))/$R1))</f>
        <v>#REF!</v>
      </c>
      <c r="C1" s="234" t="e">
        <f ca="1">IF($Q1&lt;&gt;2,0,IF($R1=0,1,IF(E2&gt;0,OFFSET(QCI!$N$13,SUBSTITUTE(E2,".",""),0),OFFSET(ORÇAMENTO!$AB$15,CRONO!$E1,0))/$R1))</f>
        <v>#REF!</v>
      </c>
      <c r="D1" s="237" t="e">
        <f ca="1">IF(AND($Q1=2,ACOMPANHAMENTO="BM"),D2,D3/$R1)</f>
        <v>#REF!</v>
      </c>
      <c r="E1" s="234" t="e">
        <f ca="1">IF(A1&lt;=ORÇAMENTO.MáximoListaCrono,MATCH(A1,ORÇAMENTO.ListaCrono,0),NA())</f>
        <v>#REF!</v>
      </c>
      <c r="F1" s="234" t="e">
        <f ca="1">IF(AND($E2&lt;&gt;-1,$R1&gt;0),"F","")</f>
        <v>#REF!</v>
      </c>
      <c r="G1" s="238" t="e">
        <f ca="1">IF(OR(R1=0,R1=""),"Linha",IF(AND(OR(ACOMPANHAMENTO="PLE",$Q1&lt;&gt;2),$E2=0),"Linha",1-SUM(T1:AF1)))</f>
        <v>#REF!</v>
      </c>
      <c r="H1" s="239" t="e">
        <f ca="1">IF($E2=0,OFFSET(ORÇAMENTO!O$15,$E1,0),IF($E2&lt;&gt;-1,OFFSET(QCI!$D$13,$E2,0),""))</f>
        <v>#REF!</v>
      </c>
      <c r="I1" s="240" t="e">
        <f ca="1">IF($E2=0,OFFSET(ORÇAMENTO!R$15,$E1,0),IF($E2&lt;&gt;-1,OFFSET(QCI!$G$13,$E2,0),""))</f>
        <v>#REF!</v>
      </c>
      <c r="J1" s="240"/>
      <c r="K1" s="240"/>
      <c r="L1" s="241" t="e">
        <f ca="1">IF($E2=0,OFFSET(ORÇAMENTO!C$15,$E1,0),1)</f>
        <v>#REF!</v>
      </c>
      <c r="M1" s="242" t="e">
        <f ca="1">IF($E2=-1,0,IF(M$13&lt;=$L1,IF(ISERROR(MATCH(M$13,OFFSET($L1,1,0,ROW($L$32)-ROW($L1)-1),0)),ROW($L$32)-ROW($L1)-1,MATCH(M$13,OFFSET($L1,1,0,ROW($L$32)-ROW($L1)-1),0)-1),0))</f>
        <v>#REF!</v>
      </c>
      <c r="N1" s="242" t="e">
        <f ca="1">IF($E2=-1,0,IF(N$13&lt;=$L1,IF(ISERROR(MATCH(N$13,OFFSET($L1,1,0,ROW($L$32)-ROW($L1)-1),0)),ROW($L$32)-ROW($L1)-1,MATCH(N$13,OFFSET($L1,1,0,ROW($L$32)-ROW($L1)-1),0)-1),0))</f>
        <v>#REF!</v>
      </c>
      <c r="O1" s="242" t="e">
        <f ca="1">IF($E2=-1,0,IF(O$13&lt;=$L1,IF(ISERROR(MATCH(O$13,OFFSET($L1,1,0,ROW($L$32)-ROW($L1)-1),0)),ROW($L$32)-ROW($L1)-1,MATCH(O$13,OFFSET($L1,1,0,ROW($L$32)-ROW($L1)-1),0)-1),0))</f>
        <v>#REF!</v>
      </c>
      <c r="P1" s="242" t="e">
        <f ca="1">IF($E2=-1,0,IF(P$13&lt;=$L1,IF(ISERROR(MATCH(P$13,OFFSET($L1,1,0,ROW($L$32)-ROW($L1)-1),0)),ROW($L$32)-ROW($L1)-1,MATCH(P$13,OFFSET($L1,1,0,ROW($L$32)-ROW($L1)-1),0)-1),0))</f>
        <v>#REF!</v>
      </c>
      <c r="Q1" s="242" t="e">
        <f ca="1">MIN(OFFSET(L1,0,1,,L1))</f>
        <v>#REF!</v>
      </c>
      <c r="R1" s="243" t="e">
        <f ca="1">IF($E2=0,OFFSET(ORÇAMENTO!X$15,$E1,0),IF($E2&lt;&gt;-1,OFFSET(QCI!$O$13,$E2,0),""))</f>
        <v>#REF!</v>
      </c>
      <c r="S1" s="244" t="s">
        <v>270</v>
      </c>
      <c r="T1" s="245" t="e">
        <f t="shared" ref="T1:AE1" ca="1" si="0">IF(AND($Q1=2,ACOMPANHAMENTO="BM"),T2,T3/$R1)</f>
        <v>#REF!</v>
      </c>
      <c r="U1" s="237" t="e">
        <f t="shared" ca="1" si="0"/>
        <v>#REF!</v>
      </c>
      <c r="V1" s="237" t="e">
        <f t="shared" ca="1" si="0"/>
        <v>#REF!</v>
      </c>
      <c r="W1" s="237" t="e">
        <f t="shared" ca="1" si="0"/>
        <v>#REF!</v>
      </c>
      <c r="X1" s="237" t="e">
        <f t="shared" ca="1" si="0"/>
        <v>#REF!</v>
      </c>
      <c r="Y1" s="237" t="e">
        <f t="shared" ca="1" si="0"/>
        <v>#REF!</v>
      </c>
      <c r="Z1" s="237" t="e">
        <f t="shared" ca="1" si="0"/>
        <v>#REF!</v>
      </c>
      <c r="AA1" s="237" t="e">
        <f t="shared" ca="1" si="0"/>
        <v>#REF!</v>
      </c>
      <c r="AB1" s="237" t="e">
        <f t="shared" ca="1" si="0"/>
        <v>#REF!</v>
      </c>
      <c r="AC1" s="237" t="e">
        <f t="shared" ca="1" si="0"/>
        <v>#REF!</v>
      </c>
      <c r="AD1" s="237" t="e">
        <f t="shared" ca="1" si="0"/>
        <v>#REF!</v>
      </c>
      <c r="AE1" s="246" t="e">
        <f t="shared" ca="1" si="0"/>
        <v>#REF!</v>
      </c>
    </row>
    <row r="2" spans="1:32" ht="12.75" hidden="1" customHeight="1">
      <c r="D2" s="653"/>
      <c r="E2" s="234" t="e">
        <f ca="1">IF(ISERROR(E1),IF(1+COUNTIF($L$13:OFFSET(L1,-1,0),1)&lt;=MAX(QCI!$D$13:$D$24),1+COUNTIF($L$13:OFFSET(L1,-1,0),1),-1),0)</f>
        <v>#REF!</v>
      </c>
      <c r="F2" s="234" t="e">
        <f ca="1">IF(AND($E2&lt;&gt;-1,$R1&gt;0),"F","")</f>
        <v>#REF!</v>
      </c>
      <c r="G2" s="247" t="e">
        <f ca="1">IF(OR(R1=0,R1=""),"vazia",IF(AND(OR(ACOMPANHAMENTO="PLE",$Q1&lt;&gt;2),$E2=0),"calculada","--&gt;"))</f>
        <v>#REF!</v>
      </c>
      <c r="H2" s="248"/>
      <c r="I2" s="249" t="e">
        <f ca="1">IF(AND(G1&lt;&gt;0,ISNUMBER(G1)),"PREENCHA ESTA LINHA --&gt;","")</f>
        <v>#REF!</v>
      </c>
      <c r="J2" s="249"/>
      <c r="K2" s="249"/>
      <c r="L2" s="250"/>
      <c r="M2" s="250"/>
      <c r="N2" s="250"/>
      <c r="O2" s="250"/>
      <c r="P2" s="250"/>
      <c r="Q2" s="250"/>
      <c r="R2" s="251"/>
      <c r="S2" s="252"/>
      <c r="T2" s="654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5"/>
      <c r="AF2" s="613"/>
    </row>
    <row r="3" spans="1:32" ht="0.15" hidden="1" customHeight="1">
      <c r="D3" s="253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$264,"="&amp;CRONO!D$12,CÁLCULO!$AB$15:$AL$264)/(ORÇAMENTO!$X$15-CÁLCULO.TotalAdmLocal)*CRONO!$E3,0),D2*$R1),SUMIF(OFFSET($R3,1,0,$Q1-2),($L1+1)&amp;"$",OFFSET(D3,1,0,$Q1-2)))</f>
        <v>#REF!</v>
      </c>
      <c r="E3" s="234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54"/>
      <c r="R3" s="255" t="e">
        <f ca="1">L1&amp;"$"</f>
        <v>#REF!</v>
      </c>
      <c r="S3" s="256"/>
      <c r="T3" s="257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$264,"&lt;="&amp;CRONO!T$12,CÁLCULO!$AB$15:$AL$264)/(ORÇAMENTO!$X$15-CÁLCULO.TotalAdmLocal)*CRONO!$E3,0),T2*$R1),SUMIF(OFFSET($R3,1,0,$Q1-2),($L1+1)&amp;"$",OFFSET(T3,1,0,$Q1-2)))</f>
        <v>#REF!</v>
      </c>
      <c r="U3" s="253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$264,"="&amp;CRONO!U$12,CÁLCULO!$AB$15:$AL$264)/(ORÇAMENTO!$X$15-CÁLCULO.TotalAdmLocal)*CRONO!$E3,0),U2*$R1),SUMIF(OFFSET($R3,1,0,$Q1-2),($L1+1)&amp;"$",OFFSET(U3,1,0,$Q1-2)))</f>
        <v>#REF!</v>
      </c>
      <c r="V3" s="253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$264,"="&amp;CRONO!V$12,CÁLCULO!$AB$15:$AL$264)/(ORÇAMENTO!$X$15-CÁLCULO.TotalAdmLocal)*CRONO!$E3,0),V2*$R1),SUMIF(OFFSET($R3,1,0,$Q1-2),($L1+1)&amp;"$",OFFSET(V3,1,0,$Q1-2)))</f>
        <v>#REF!</v>
      </c>
      <c r="W3" s="253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$264,"="&amp;CRONO!W$12,CÁLCULO!$AB$15:$AL$264)/(ORÇAMENTO!$X$15-CÁLCULO.TotalAdmLocal)*CRONO!$E3,0),W2*$R1),SUMIF(OFFSET($R3,1,0,$Q1-2),($L1+1)&amp;"$",OFFSET(W3,1,0,$Q1-2)))</f>
        <v>#REF!</v>
      </c>
      <c r="X3" s="253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$264,"="&amp;CRONO!X$12,CÁLCULO!$AB$15:$AL$264)/(ORÇAMENTO!$X$15-CÁLCULO.TotalAdmLocal)*CRONO!$E3,0),X2*$R1),SUMIF(OFFSET($R3,1,0,$Q1-2),($L1+1)&amp;"$",OFFSET(X3,1,0,$Q1-2)))</f>
        <v>#REF!</v>
      </c>
      <c r="Y3" s="253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$264,"="&amp;CRONO!Y$12,CÁLCULO!$AB$15:$AL$264)/(ORÇAMENTO!$X$15-CÁLCULO.TotalAdmLocal)*CRONO!$E3,0),Y2*$R1),SUMIF(OFFSET($R3,1,0,$Q1-2),($L1+1)&amp;"$",OFFSET(Y3,1,0,$Q1-2)))</f>
        <v>#REF!</v>
      </c>
      <c r="Z3" s="253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$264,"="&amp;CRONO!Z$12,CÁLCULO!$AB$15:$AL$264)/(ORÇAMENTO!$X$15-CÁLCULO.TotalAdmLocal)*CRONO!$E3,0),Z2*$R1),SUMIF(OFFSET($R3,1,0,$Q1-2),($L1+1)&amp;"$",OFFSET(Z3,1,0,$Q1-2)))</f>
        <v>#REF!</v>
      </c>
      <c r="AA3" s="253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$264,"="&amp;CRONO!AA$12,CÁLCULO!$AB$15:$AL$264)/(ORÇAMENTO!$X$15-CÁLCULO.TotalAdmLocal)*CRONO!$E3,0),AA2*$R1),SUMIF(OFFSET($R3,1,0,$Q1-2),($L1+1)&amp;"$",OFFSET(AA3,1,0,$Q1-2)))</f>
        <v>#REF!</v>
      </c>
      <c r="AB3" s="253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$264,"="&amp;CRONO!AB$12,CÁLCULO!$AB$15:$AL$264)/(ORÇAMENTO!$X$15-CÁLCULO.TotalAdmLocal)*CRONO!$E3,0),AB2*$R1),SUMIF(OFFSET($R3,1,0,$Q1-2),($L1+1)&amp;"$",OFFSET(AB3,1,0,$Q1-2)))</f>
        <v>#REF!</v>
      </c>
      <c r="AC3" s="253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$264,"="&amp;CRONO!AC$12,CÁLCULO!$AB$15:$AL$264)/(ORÇAMENTO!$X$15-CÁLCULO.TotalAdmLocal)*CRONO!$E3,0),AC2*$R1),SUMIF(OFFSET($R3,1,0,$Q1-2),($L1+1)&amp;"$",OFFSET(AC3,1,0,$Q1-2)))</f>
        <v>#REF!</v>
      </c>
      <c r="AD3" s="253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$264,"="&amp;CRONO!AD$12,CÁLCULO!$AB$15:$AL$264)/(ORÇAMENTO!$X$15-CÁLCULO.TotalAdmLocal)*CRONO!$E3,0),AD2*$R1),SUMIF(OFFSET($R3,1,0,$Q1-2),($L1+1)&amp;"$",OFFSET(AD3,1,0,$Q1-2)))</f>
        <v>#REF!</v>
      </c>
      <c r="AE3" s="258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$264,"="&amp;CRONO!AE$12,CÁLCULO!$AB$15:$AL$264)/(ORÇAMENTO!$X$15-CÁLCULO.TotalAdmLocal)*CRONO!$E3,0),AE2*$R1),SUMIF(OFFSET($R3,1,0,$Q1-2),($L1+1)&amp;"$",OFFSET(AE3,1,0,$Q1-2)))</f>
        <v>#REF!</v>
      </c>
    </row>
    <row r="4" spans="1:32" ht="15" customHeight="1">
      <c r="R4" s="259" t="str">
        <f>IF(TIPOORCAMENTO="licitado","CRONOGRAMA FÍSICO-FINANCEIRO LICITADO","CRONOGRAMA FÍSICO-FINANCEIRO")</f>
        <v>CRONOGRAMA FÍSICO-FINANCEIRO</v>
      </c>
      <c r="AD4" s="675" t="s">
        <v>140</v>
      </c>
      <c r="AE4" s="675"/>
    </row>
    <row r="5" spans="1:32" ht="15">
      <c r="R5" s="102" t="str">
        <f>import.recurso</f>
        <v>OGU</v>
      </c>
      <c r="AD5" s="676" t="s">
        <v>143</v>
      </c>
      <c r="AE5" s="676"/>
    </row>
    <row r="6" spans="1:32" ht="12.75" customHeight="1">
      <c r="D6" s="260"/>
      <c r="H6" s="260"/>
      <c r="I6" s="260"/>
      <c r="J6" s="260"/>
      <c r="K6" s="260"/>
      <c r="L6" s="261"/>
      <c r="M6" s="261"/>
      <c r="N6" s="261"/>
      <c r="O6" s="261"/>
      <c r="P6" s="261"/>
      <c r="Q6" s="261"/>
      <c r="T6" s="260"/>
      <c r="U6" s="260"/>
      <c r="V6" s="260"/>
      <c r="W6" s="260"/>
      <c r="X6" s="260"/>
      <c r="Y6" s="260"/>
      <c r="Z6" s="260"/>
      <c r="AA6" s="260"/>
      <c r="AB6" s="260"/>
      <c r="AC6" s="260"/>
      <c r="AD6" s="260"/>
      <c r="AE6" s="260"/>
    </row>
    <row r="7" spans="1:32" ht="12.75" customHeight="1">
      <c r="D7" s="260"/>
      <c r="E7" s="262"/>
      <c r="G7" s="727" t="s">
        <v>271</v>
      </c>
      <c r="H7" s="263" t="s">
        <v>146</v>
      </c>
      <c r="I7" s="264"/>
      <c r="J7" s="265" t="s">
        <v>447</v>
      </c>
      <c r="K7" s="266" t="s">
        <v>272</v>
      </c>
      <c r="L7" s="260"/>
      <c r="M7" s="260"/>
      <c r="N7" s="260"/>
      <c r="O7" s="261"/>
      <c r="P7" s="261"/>
      <c r="Q7" s="261"/>
      <c r="S7" s="267"/>
      <c r="T7" s="263" t="s">
        <v>273</v>
      </c>
      <c r="U7" s="260"/>
      <c r="V7" s="260"/>
      <c r="W7" s="260"/>
      <c r="X7" s="264"/>
      <c r="Y7" s="263" t="str">
        <f>IF(TIPOORCAMENTO="Licitado","NOME DA EMPRESA","DESCRIÇÃO DO LOTE")</f>
        <v>DESCRIÇÃO DO LOTE</v>
      </c>
      <c r="Z7" s="260"/>
      <c r="AA7" s="260"/>
      <c r="AB7" s="260"/>
      <c r="AC7" s="260"/>
      <c r="AD7" s="260"/>
      <c r="AE7" s="268" t="str">
        <f>IF(TIPOORCAMENTO="Licitado","Nº CTEF","")</f>
        <v/>
      </c>
    </row>
    <row r="8" spans="1:32" ht="13.8">
      <c r="D8" s="234"/>
      <c r="E8" s="139"/>
      <c r="F8" s="703" t="s">
        <v>209</v>
      </c>
      <c r="G8" s="727"/>
      <c r="H8" s="726">
        <f>Import.CR</f>
        <v>0</v>
      </c>
      <c r="I8" s="726"/>
      <c r="J8" s="269" t="str">
        <f>Import.TransfereGOV</f>
        <v>953208-2023</v>
      </c>
      <c r="K8" s="736" t="str">
        <f>Import.Proponente</f>
        <v>PREFEITURA MUNICIPAL DE PONTAL</v>
      </c>
      <c r="L8" s="736"/>
      <c r="M8" s="736"/>
      <c r="N8" s="736"/>
      <c r="O8" s="736"/>
      <c r="P8" s="736"/>
      <c r="Q8" s="736"/>
      <c r="R8" s="736"/>
      <c r="S8" s="736"/>
      <c r="T8" s="726" t="str">
        <f>Import.Apelido</f>
        <v>RECAPE FEDERAL</v>
      </c>
      <c r="U8" s="726"/>
      <c r="V8" s="726"/>
      <c r="W8" s="726"/>
      <c r="X8" s="726"/>
      <c r="Y8" s="733">
        <f>IF(TIPOORCAMENTO="Licitado",Import.empresa,Import.DescLote)</f>
        <v>0</v>
      </c>
      <c r="Z8" s="733"/>
      <c r="AA8" s="733"/>
      <c r="AB8" s="733"/>
      <c r="AC8" s="733"/>
      <c r="AD8" s="733"/>
      <c r="AE8" s="270" t="str">
        <f>IF(TIPOORCAMENTO="Licitado",Import.CTEF,"")</f>
        <v/>
      </c>
    </row>
    <row r="9" spans="1:32" ht="13.8">
      <c r="E9" s="139"/>
      <c r="F9" s="703"/>
      <c r="G9" s="727"/>
    </row>
    <row r="10" spans="1:32">
      <c r="E10" s="262"/>
      <c r="F10" s="703"/>
      <c r="G10" s="271">
        <v>2</v>
      </c>
      <c r="J10" s="737" t="str">
        <f ca="1">IF(MAX($A$13:$A$32)&lt;CRONO.LinhasNecessarias,"ERRO: NÚMERO DE LINHAS DO CRONOGRAMA INSUFICIENTE. CLIQUE EM ATUALIZAR LINHAS.",IF(AND(ACOMPANHAMENTO="PLE",ROUND(OFFSET($AF$42,0,-1),2)=0),"CRONOGRAMA DEVE SER PREENCHIDO POR EVENTOS",IF(ROUND(OFFSET($AF$42,0,-1),2)&lt;&gt;$Q$33,"ERRO: CRONOGRAMA NÃO FECHA 100%","")))</f>
        <v/>
      </c>
      <c r="K10" s="737"/>
      <c r="L10" s="737"/>
      <c r="M10" s="737"/>
      <c r="N10" s="737"/>
      <c r="O10" s="737"/>
      <c r="P10" s="737"/>
      <c r="Q10" s="737"/>
      <c r="R10" s="737"/>
      <c r="S10" s="737"/>
    </row>
    <row r="11" spans="1:32" ht="12.75" customHeight="1">
      <c r="F11" s="703"/>
      <c r="H11" s="272"/>
      <c r="I11" s="272"/>
      <c r="J11" s="737"/>
      <c r="K11" s="737"/>
      <c r="L11" s="737"/>
      <c r="M11" s="737"/>
      <c r="N11" s="737"/>
      <c r="O11" s="737"/>
      <c r="P11" s="737"/>
      <c r="Q11" s="737"/>
      <c r="R11" s="737"/>
      <c r="S11" s="737"/>
    </row>
    <row r="12" spans="1:32" ht="12.75" customHeight="1">
      <c r="D12" s="273">
        <f ca="1">OFFSET(D12,0,-1)+1</f>
        <v>1</v>
      </c>
      <c r="F12" s="131" t="s">
        <v>217</v>
      </c>
      <c r="G12" s="729" t="s">
        <v>274</v>
      </c>
      <c r="H12" s="730" t="s">
        <v>231</v>
      </c>
      <c r="I12" s="731" t="s">
        <v>234</v>
      </c>
      <c r="J12" s="274"/>
      <c r="K12" s="274"/>
      <c r="L12" s="275"/>
      <c r="M12" s="275"/>
      <c r="N12" s="275"/>
      <c r="O12" s="275"/>
      <c r="P12" s="275"/>
      <c r="Q12" s="275"/>
      <c r="R12" s="734" t="s">
        <v>275</v>
      </c>
      <c r="S12" s="735" t="s">
        <v>276</v>
      </c>
      <c r="T12" s="276">
        <v>1</v>
      </c>
      <c r="U12" s="273">
        <f ca="1">OFFSET(U12,0,-1)+1</f>
        <v>2</v>
      </c>
      <c r="V12" s="273">
        <f t="shared" ref="V12:AE12" ca="1" si="1">OFFSET(V12,0,-1)+1</f>
        <v>3</v>
      </c>
      <c r="W12" s="273">
        <f t="shared" ca="1" si="1"/>
        <v>4</v>
      </c>
      <c r="X12" s="273">
        <f t="shared" ca="1" si="1"/>
        <v>5</v>
      </c>
      <c r="Y12" s="273">
        <f t="shared" ca="1" si="1"/>
        <v>6</v>
      </c>
      <c r="Z12" s="273">
        <f t="shared" ca="1" si="1"/>
        <v>7</v>
      </c>
      <c r="AA12" s="273">
        <f t="shared" ca="1" si="1"/>
        <v>8</v>
      </c>
      <c r="AB12" s="273">
        <f t="shared" ca="1" si="1"/>
        <v>9</v>
      </c>
      <c r="AC12" s="273">
        <f t="shared" ca="1" si="1"/>
        <v>10</v>
      </c>
      <c r="AD12" s="273">
        <f t="shared" ca="1" si="1"/>
        <v>11</v>
      </c>
      <c r="AE12" s="277">
        <f t="shared" ca="1" si="1"/>
        <v>12</v>
      </c>
    </row>
    <row r="13" spans="1:32" ht="24.9" customHeight="1">
      <c r="A13" s="278" t="s">
        <v>277</v>
      </c>
      <c r="B13" s="278" t="s">
        <v>169</v>
      </c>
      <c r="C13" s="278" t="s">
        <v>278</v>
      </c>
      <c r="D13" s="279" t="e">
        <f ca="1">OFFSET(D13,0,-1)+41-DAY(OFFSET(D13,0,-1)+40)</f>
        <v>#VALUE!</v>
      </c>
      <c r="E13" s="278" t="s">
        <v>279</v>
      </c>
      <c r="G13" s="729"/>
      <c r="H13" s="730"/>
      <c r="I13" s="731"/>
      <c r="J13" s="280"/>
      <c r="K13" s="280"/>
      <c r="L13" s="281" t="s">
        <v>229</v>
      </c>
      <c r="M13" s="281">
        <v>1</v>
      </c>
      <c r="N13" s="281">
        <v>2</v>
      </c>
      <c r="O13" s="281">
        <v>3</v>
      </c>
      <c r="P13" s="281">
        <v>4</v>
      </c>
      <c r="Q13" s="282" t="s">
        <v>280</v>
      </c>
      <c r="R13" s="734"/>
      <c r="S13" s="735"/>
      <c r="T13" s="283">
        <v>45200</v>
      </c>
      <c r="U13" s="279">
        <f ca="1">OFFSET(U13,0,-1)+41-DAY(OFFSET(U13,0,-1)+40)</f>
        <v>45231</v>
      </c>
      <c r="V13" s="279">
        <f ca="1">OFFSET(V13,0,-1)+41-DAY(OFFSET(V13,0,-1)+40)</f>
        <v>45261</v>
      </c>
      <c r="W13" s="279">
        <f t="shared" ref="W13:AE13" ca="1" si="2">OFFSET(W13,0,-1)+41-DAY(OFFSET(W13,0,-1)+40)</f>
        <v>45292</v>
      </c>
      <c r="X13" s="279">
        <f t="shared" ca="1" si="2"/>
        <v>45323</v>
      </c>
      <c r="Y13" s="279">
        <f t="shared" ca="1" si="2"/>
        <v>45352</v>
      </c>
      <c r="Z13" s="279">
        <f t="shared" ca="1" si="2"/>
        <v>45383</v>
      </c>
      <c r="AA13" s="279">
        <f t="shared" ca="1" si="2"/>
        <v>45413</v>
      </c>
      <c r="AB13" s="279">
        <f t="shared" ca="1" si="2"/>
        <v>45444</v>
      </c>
      <c r="AC13" s="279">
        <f t="shared" ca="1" si="2"/>
        <v>45474</v>
      </c>
      <c r="AD13" s="279">
        <f t="shared" ca="1" si="2"/>
        <v>45505</v>
      </c>
      <c r="AE13" s="284">
        <f t="shared" ca="1" si="2"/>
        <v>45536</v>
      </c>
    </row>
    <row r="14" spans="1:32">
      <c r="A14" s="234">
        <f t="shared" ref="A14" ca="1" si="3">OFFSET(A14,-3,0)+1</f>
        <v>1</v>
      </c>
      <c r="B14" s="234">
        <f ca="1">IF($Q14&lt;&gt;2,0,IF($R14=0,1,IF(E15&gt;0,OFFSET(QCI!$M$13,SUBSTITUTE(E15,".",""),0),OFFSET(ORÇAMENTO!$AA$15,CRONO!$E14,0))/$R14))</f>
        <v>0</v>
      </c>
      <c r="C14" s="234">
        <f ca="1">IF($Q14&lt;&gt;2,0,IF($R14=0,1,IF(E15&gt;0,OFFSET(QCI!$N$13,SUBSTITUTE(E15,".",""),0),OFFSET(ORÇAMENTO!$AB$15,CRONO!$E14,0))/$R14))</f>
        <v>0</v>
      </c>
      <c r="D14" s="237">
        <f ca="1">IF(AND($Q14=2,ACOMPANHAMENTO="BM"),D15,D16/$R14)</f>
        <v>0.55112133095845262</v>
      </c>
      <c r="E14" s="234">
        <f ca="1">IF(A14&lt;=ORÇAMENTO.MáximoListaCrono,MATCH(A14,ORÇAMENTO.ListaCrono,0),NA())</f>
        <v>1</v>
      </c>
      <c r="F14" s="234" t="str">
        <f t="shared" ref="F14" ca="1" si="4">IF(AND($E15&lt;&gt;-1,$R14&gt;0),"F","")</f>
        <v>F</v>
      </c>
      <c r="G14" s="238" t="str">
        <f ca="1">IF(OR(R14=0,R14=""),"Linha",IF(AND(OR(ACOMPANHAMENTO="PLE",$Q14&lt;&gt;2),$E15=0),"Linha",1-SUM(T14:AF14)))</f>
        <v>Linha</v>
      </c>
      <c r="H14" s="239" t="str">
        <f ca="1">IF($E15=0,OFFSET(ORÇAMENTO!O$15,$E14,0),IF($E15&lt;&gt;-1,OFFSET(QCI!$D$13,$E15,0),""))</f>
        <v>1.</v>
      </c>
      <c r="I14" s="240" t="str">
        <f ca="1">IF($E15=0,OFFSET(ORÇAMENTO!R$15,$E14,0),IF($E15&lt;&gt;-1,OFFSET(QCI!$G$13,$E15,0),""))</f>
        <v>RECAPEAMENTO ASFALTICO EM DIVERSAS RUAS</v>
      </c>
      <c r="J14" s="240"/>
      <c r="K14" s="240"/>
      <c r="L14" s="241">
        <f ca="1">IF($E15=0,OFFSET(ORÇAMENTO!C$15,$E14,0),1)</f>
        <v>1</v>
      </c>
      <c r="M14" s="242">
        <f ca="1">IF($E15=-1,0,IF(M$13&lt;=$L14,IF(ISERROR(MATCH(M$13,OFFSET($L14,1,0,ROW($L$32)-ROW($L14)-1),0)),ROW($L$32)-ROW($L14)-1,MATCH(M$13,OFFSET($L14,1,0,ROW($L$32)-ROW($L14)-1),0)-1),0))</f>
        <v>17</v>
      </c>
      <c r="N14" s="242">
        <f ca="1">IF($E15=-1,0,IF(N$13&lt;=$L14,IF(ISERROR(MATCH(N$13,OFFSET($L14,1,0,ROW($L$32)-ROW($L14)-1),0)),ROW($L$32)-ROW($L14)-1,MATCH(N$13,OFFSET($L14,1,0,ROW($L$32)-ROW($L14)-1),0)-1),0))</f>
        <v>0</v>
      </c>
      <c r="O14" s="242">
        <f ca="1">IF($E15=-1,0,IF(O$13&lt;=$L14,IF(ISERROR(MATCH(O$13,OFFSET($L14,1,0,ROW($L$32)-ROW($L14)-1),0)),ROW($L$32)-ROW($L14)-1,MATCH(O$13,OFFSET($L14,1,0,ROW($L$32)-ROW($L14)-1),0)-1),0))</f>
        <v>0</v>
      </c>
      <c r="P14" s="242">
        <f ca="1">IF($E15=-1,0,IF(P$13&lt;=$L14,IF(ISERROR(MATCH(P$13,OFFSET($L14,1,0,ROW($L$32)-ROW($L14)-1),0)),ROW($L$32)-ROW($L14)-1,MATCH(P$13,OFFSET($L14,1,0,ROW($L$32)-ROW($L14)-1),0)-1),0))</f>
        <v>0</v>
      </c>
      <c r="Q14" s="242">
        <f t="shared" ref="Q14" ca="1" si="5">MIN(OFFSET(L14,0,1,,L14))</f>
        <v>17</v>
      </c>
      <c r="R14" s="243">
        <f ca="1">IF($E15=0,OFFSET(ORÇAMENTO!X$15,$E14,0),IF($E15&lt;&gt;-1,OFFSET(QCI!$O$13,$E15,0),""))</f>
        <v>1048093.8</v>
      </c>
      <c r="S14" s="244" t="s">
        <v>270</v>
      </c>
      <c r="T14" s="245">
        <f t="shared" ref="T14:AE14" ca="1" si="6">IF(AND($Q14=2,ACOMPANHAMENTO="BM"),T15,T16/$R14)</f>
        <v>0.55112133095845262</v>
      </c>
      <c r="U14" s="237">
        <f t="shared" ca="1" si="6"/>
        <v>0.44887866904154716</v>
      </c>
      <c r="V14" s="237">
        <f t="shared" ca="1" si="6"/>
        <v>0</v>
      </c>
      <c r="W14" s="237">
        <f t="shared" ca="1" si="6"/>
        <v>0</v>
      </c>
      <c r="X14" s="237">
        <f t="shared" ca="1" si="6"/>
        <v>0</v>
      </c>
      <c r="Y14" s="237">
        <f t="shared" ca="1" si="6"/>
        <v>0</v>
      </c>
      <c r="Z14" s="237">
        <f t="shared" ca="1" si="6"/>
        <v>0</v>
      </c>
      <c r="AA14" s="237">
        <f t="shared" ca="1" si="6"/>
        <v>0</v>
      </c>
      <c r="AB14" s="237">
        <f t="shared" ca="1" si="6"/>
        <v>0</v>
      </c>
      <c r="AC14" s="237">
        <f t="shared" ca="1" si="6"/>
        <v>0</v>
      </c>
      <c r="AD14" s="237">
        <f t="shared" ca="1" si="6"/>
        <v>0</v>
      </c>
      <c r="AE14" s="246">
        <f t="shared" ca="1" si="6"/>
        <v>0</v>
      </c>
    </row>
    <row r="15" spans="1:32" ht="12.75" customHeight="1">
      <c r="D15" s="653"/>
      <c r="E15" s="234">
        <f ca="1">IF(ISERROR(E14),IF(1+COUNTIF($L$13:OFFSET(L14,-1,0),1)&lt;=MAX(QCI!$D$13:$D$24),1+COUNTIF($L$13:OFFSET(L14,-1,0),1),-1),0)</f>
        <v>0</v>
      </c>
      <c r="F15" s="234" t="str">
        <f t="shared" ref="F15" ca="1" si="7">IF(AND($E15&lt;&gt;-1,$R14&gt;0),"F","")</f>
        <v>F</v>
      </c>
      <c r="G15" s="247" t="str">
        <f ca="1">IF(OR(R14=0,R14=""),"vazia",IF(AND(OR(ACOMPANHAMENTO="PLE",$Q14&lt;&gt;2),$E15=0),"calculada","--&gt;"))</f>
        <v>calculada</v>
      </c>
      <c r="H15" s="248"/>
      <c r="I15" s="249" t="str">
        <f t="shared" ref="I15" ca="1" si="8">IF(AND(G14&lt;&gt;0,ISNUMBER(G14)),"PREENCHA ESTA LINHA --&gt;","")</f>
        <v/>
      </c>
      <c r="J15" s="249"/>
      <c r="K15" s="249"/>
      <c r="L15" s="250"/>
      <c r="M15" s="250"/>
      <c r="N15" s="250"/>
      <c r="O15" s="250"/>
      <c r="P15" s="250"/>
      <c r="Q15" s="250"/>
      <c r="R15" s="251"/>
      <c r="S15" s="252"/>
      <c r="T15" s="654"/>
      <c r="U15" s="653"/>
      <c r="V15" s="653"/>
      <c r="W15" s="653"/>
      <c r="X15" s="653"/>
      <c r="Y15" s="653"/>
      <c r="Z15" s="653"/>
      <c r="AA15" s="653"/>
      <c r="AB15" s="653"/>
      <c r="AC15" s="653"/>
      <c r="AD15" s="653"/>
      <c r="AE15" s="655"/>
      <c r="AF15" s="613"/>
    </row>
    <row r="16" spans="1:32" ht="0.15" hidden="1" customHeight="1">
      <c r="D16" s="253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$264,"="&amp;CRONO!D$12,CÁLCULO!$AB$15:$AL$264)/(ORÇAMENTO!$X$15-CÁLCULO.TotalAdmLocal)*CRONO!$E16,0),D15*$R14),SUMIF(OFFSET($R16,1,0,$Q14-2),($L14+1)&amp;"$",OFFSET(D16,1,0,$Q14-2)))</f>
        <v>577626.85002530226</v>
      </c>
      <c r="E16" s="234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54"/>
      <c r="R16" s="255" t="str">
        <f t="shared" ref="R16" ca="1" si="9">L14&amp;"$"</f>
        <v>1$</v>
      </c>
      <c r="S16" s="256"/>
      <c r="T16" s="257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$264,"&lt;="&amp;CRONO!T$12,CÁLCULO!$AB$15:$AL$264)/(ORÇAMENTO!$X$15-CÁLCULO.TotalAdmLocal)*CRONO!$E16,0),T15*$R14),SUMIF(OFFSET($R16,1,0,$Q14-2),($L14+1)&amp;"$",OFFSET(T16,1,0,$Q14-2)))</f>
        <v>577626.85002530226</v>
      </c>
      <c r="U16" s="253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$264,"="&amp;CRONO!U$12,CÁLCULO!$AB$15:$AL$264)/(ORÇAMENTO!$X$15-CÁLCULO.TotalAdmLocal)*CRONO!$E16,0),U15*$R14),SUMIF(OFFSET($R16,1,0,$Q14-2),($L14+1)&amp;"$",OFFSET(U16,1,0,$Q14-2)))</f>
        <v>470466.94997469755</v>
      </c>
      <c r="V16" s="253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$264,"="&amp;CRONO!V$12,CÁLCULO!$AB$15:$AL$264)/(ORÇAMENTO!$X$15-CÁLCULO.TotalAdmLocal)*CRONO!$E16,0),V15*$R14),SUMIF(OFFSET($R16,1,0,$Q14-2),($L14+1)&amp;"$",OFFSET(V16,1,0,$Q14-2)))</f>
        <v>0</v>
      </c>
      <c r="W16" s="253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$264,"="&amp;CRONO!W$12,CÁLCULO!$AB$15:$AL$264)/(ORÇAMENTO!$X$15-CÁLCULO.TotalAdmLocal)*CRONO!$E16,0),W15*$R14),SUMIF(OFFSET($R16,1,0,$Q14-2),($L14+1)&amp;"$",OFFSET(W16,1,0,$Q14-2)))</f>
        <v>0</v>
      </c>
      <c r="X16" s="253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$264,"="&amp;CRONO!X$12,CÁLCULO!$AB$15:$AL$264)/(ORÇAMENTO!$X$15-CÁLCULO.TotalAdmLocal)*CRONO!$E16,0),X15*$R14),SUMIF(OFFSET($R16,1,0,$Q14-2),($L14+1)&amp;"$",OFFSET(X16,1,0,$Q14-2)))</f>
        <v>0</v>
      </c>
      <c r="Y16" s="253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$264,"="&amp;CRONO!Y$12,CÁLCULO!$AB$15:$AL$264)/(ORÇAMENTO!$X$15-CÁLCULO.TotalAdmLocal)*CRONO!$E16,0),Y15*$R14),SUMIF(OFFSET($R16,1,0,$Q14-2),($L14+1)&amp;"$",OFFSET(Y16,1,0,$Q14-2)))</f>
        <v>0</v>
      </c>
      <c r="Z16" s="253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$264,"="&amp;CRONO!Z$12,CÁLCULO!$AB$15:$AL$264)/(ORÇAMENTO!$X$15-CÁLCULO.TotalAdmLocal)*CRONO!$E16,0),Z15*$R14),SUMIF(OFFSET($R16,1,0,$Q14-2),($L14+1)&amp;"$",OFFSET(Z16,1,0,$Q14-2)))</f>
        <v>0</v>
      </c>
      <c r="AA16" s="253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$264,"="&amp;CRONO!AA$12,CÁLCULO!$AB$15:$AL$264)/(ORÇAMENTO!$X$15-CÁLCULO.TotalAdmLocal)*CRONO!$E16,0),AA15*$R14),SUMIF(OFFSET($R16,1,0,$Q14-2),($L14+1)&amp;"$",OFFSET(AA16,1,0,$Q14-2)))</f>
        <v>0</v>
      </c>
      <c r="AB16" s="253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$264,"="&amp;CRONO!AB$12,CÁLCULO!$AB$15:$AL$264)/(ORÇAMENTO!$X$15-CÁLCULO.TotalAdmLocal)*CRONO!$E16,0),AB15*$R14),SUMIF(OFFSET($R16,1,0,$Q14-2),($L14+1)&amp;"$",OFFSET(AB16,1,0,$Q14-2)))</f>
        <v>0</v>
      </c>
      <c r="AC16" s="253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$264,"="&amp;CRONO!AC$12,CÁLCULO!$AB$15:$AL$264)/(ORÇAMENTO!$X$15-CÁLCULO.TotalAdmLocal)*CRONO!$E16,0),AC15*$R14),SUMIF(OFFSET($R16,1,0,$Q14-2),($L14+1)&amp;"$",OFFSET(AC16,1,0,$Q14-2)))</f>
        <v>0</v>
      </c>
      <c r="AD16" s="253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$264,"="&amp;CRONO!AD$12,CÁLCULO!$AB$15:$AL$264)/(ORÇAMENTO!$X$15-CÁLCULO.TotalAdmLocal)*CRONO!$E16,0),AD15*$R14),SUMIF(OFFSET($R16,1,0,$Q14-2),($L14+1)&amp;"$",OFFSET(AD16,1,0,$Q14-2)))</f>
        <v>0</v>
      </c>
      <c r="AE16" s="258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$264,"="&amp;CRONO!AE$12,CÁLCULO!$AB$15:$AL$264)/(ORÇAMENTO!$X$15-CÁLCULO.TotalAdmLocal)*CRONO!$E16,0),AE15*$R14),SUMIF(OFFSET($R16,1,0,$Q14-2),($L14+1)&amp;"$",OFFSET(AE16,1,0,$Q14-2)))</f>
        <v>0</v>
      </c>
    </row>
    <row r="17" spans="1:32">
      <c r="A17" s="234">
        <f t="shared" ref="A17" ca="1" si="10">OFFSET(A17,-3,0)+1</f>
        <v>2</v>
      </c>
      <c r="B17" s="234">
        <f ca="1">IF($Q17&lt;&gt;2,0,IF($R17=0,1,IF(E18&gt;0,OFFSET(QCI!$M$13,SUBSTITUTE(E18,".",""),0),OFFSET(ORÇAMENTO!$AA$15,CRONO!$E17,0))/$R17))</f>
        <v>8.4033318391922601E-2</v>
      </c>
      <c r="C17" s="234">
        <f ca="1">IF($Q17&lt;&gt;2,0,IF($R17=0,1,IF(E18&gt;0,OFFSET(QCI!$N$13,SUBSTITUTE(E18,".",""),0),OFFSET(ORÇAMENTO!$AB$15,CRONO!$E17,0))/$R17))</f>
        <v>0</v>
      </c>
      <c r="D17" s="237">
        <f ca="1">IF(AND($Q17=2,ACOMPANHAMENTO="BM"),D18,D19/$R17)</f>
        <v>1</v>
      </c>
      <c r="E17" s="234">
        <f ca="1">IF(A17&lt;=ORÇAMENTO.MáximoListaCrono,MATCH(A17,ORÇAMENTO.ListaCrono,0),NA())</f>
        <v>2</v>
      </c>
      <c r="F17" s="234" t="str">
        <f t="shared" ref="F17" ca="1" si="11">IF(AND($E18&lt;&gt;-1,$R17&gt;0),"F","")</f>
        <v>F</v>
      </c>
      <c r="G17" s="238" t="str">
        <f ca="1">IF(OR(R17=0,R17=""),"Linha",IF(AND(OR(ACOMPANHAMENTO="PLE",$Q17&lt;&gt;2),$E18=0),"Linha",1-SUM(T17:AF17)))</f>
        <v>Linha</v>
      </c>
      <c r="H17" s="239" t="str">
        <f ca="1">IF($E18=0,OFFSET(ORÇAMENTO!O$15,$E17,0),IF($E18&lt;&gt;-1,OFFSET(QCI!$D$13,$E18,0),""))</f>
        <v>1.1.</v>
      </c>
      <c r="I17" s="240" t="str">
        <f ca="1">IF($E18=0,OFFSET(ORÇAMENTO!R$15,$E17,0),IF($E18&lt;&gt;-1,OFFSET(QCI!$G$13,$E18,0),""))</f>
        <v>SERVIÇOS PRELIMINARES</v>
      </c>
      <c r="J17" s="240"/>
      <c r="K17" s="240"/>
      <c r="L17" s="241">
        <f ca="1">IF($E18=0,OFFSET(ORÇAMENTO!C$15,$E17,0),1)</f>
        <v>2</v>
      </c>
      <c r="M17" s="242">
        <f ca="1">IF($E18=-1,0,IF(M$13&lt;=$L17,IF(ISERROR(MATCH(M$13,OFFSET($L17,1,0,ROW($L$32)-ROW($L17)-1),0)),ROW($L$32)-ROW($L17)-1,MATCH(M$13,OFFSET($L17,1,0,ROW($L$32)-ROW($L17)-1),0)-1),0))</f>
        <v>14</v>
      </c>
      <c r="N17" s="242">
        <f ca="1">IF($E18=-1,0,IF(N$13&lt;=$L17,IF(ISERROR(MATCH(N$13,OFFSET($L17,1,0,ROW($L$32)-ROW($L17)-1),0)),ROW($L$32)-ROW($L17)-1,MATCH(N$13,OFFSET($L17,1,0,ROW($L$32)-ROW($L17)-1),0)-1),0))</f>
        <v>2</v>
      </c>
      <c r="O17" s="242">
        <f ca="1">IF($E18=-1,0,IF(O$13&lt;=$L17,IF(ISERROR(MATCH(O$13,OFFSET($L17,1,0,ROW($L$32)-ROW($L17)-1),0)),ROW($L$32)-ROW($L17)-1,MATCH(O$13,OFFSET($L17,1,0,ROW($L$32)-ROW($L17)-1),0)-1),0))</f>
        <v>0</v>
      </c>
      <c r="P17" s="242">
        <f ca="1">IF($E18=-1,0,IF(P$13&lt;=$L17,IF(ISERROR(MATCH(P$13,OFFSET($L17,1,0,ROW($L$32)-ROW($L17)-1),0)),ROW($L$32)-ROW($L17)-1,MATCH(P$13,OFFSET($L17,1,0,ROW($L$32)-ROW($L17)-1),0)-1),0))</f>
        <v>0</v>
      </c>
      <c r="Q17" s="242">
        <f t="shared" ref="Q17" ca="1" si="12">MIN(OFFSET(L17,0,1,,L17))</f>
        <v>2</v>
      </c>
      <c r="R17" s="243">
        <f ca="1">IF($E18=0,OFFSET(ORÇAMENTO!X$15,$E17,0),IF($E18&lt;&gt;-1,OFFSET(QCI!$O$13,$E18,0),""))</f>
        <v>4588</v>
      </c>
      <c r="S17" s="244" t="s">
        <v>270</v>
      </c>
      <c r="T17" s="245">
        <f t="shared" ref="T17:AE17" ca="1" si="13">IF(AND($Q17=2,ACOMPANHAMENTO="BM"),T18,T19/$R17)</f>
        <v>1</v>
      </c>
      <c r="U17" s="237">
        <f t="shared" ca="1" si="13"/>
        <v>0</v>
      </c>
      <c r="V17" s="237">
        <f t="shared" ca="1" si="13"/>
        <v>0</v>
      </c>
      <c r="W17" s="237">
        <f t="shared" ca="1" si="13"/>
        <v>0</v>
      </c>
      <c r="X17" s="237">
        <f t="shared" ca="1" si="13"/>
        <v>0</v>
      </c>
      <c r="Y17" s="237">
        <f t="shared" ca="1" si="13"/>
        <v>0</v>
      </c>
      <c r="Z17" s="237">
        <f t="shared" ca="1" si="13"/>
        <v>0</v>
      </c>
      <c r="AA17" s="237">
        <f t="shared" ca="1" si="13"/>
        <v>0</v>
      </c>
      <c r="AB17" s="237">
        <f t="shared" ca="1" si="13"/>
        <v>0</v>
      </c>
      <c r="AC17" s="237">
        <f t="shared" ca="1" si="13"/>
        <v>0</v>
      </c>
      <c r="AD17" s="237">
        <f t="shared" ca="1" si="13"/>
        <v>0</v>
      </c>
      <c r="AE17" s="246">
        <f t="shared" ca="1" si="13"/>
        <v>0</v>
      </c>
    </row>
    <row r="18" spans="1:32" ht="12.75" customHeight="1">
      <c r="D18" s="653"/>
      <c r="E18" s="234">
        <f ca="1">IF(ISERROR(E17),IF(1+COUNTIF($L$13:OFFSET(L17,-1,0),1)&lt;=MAX(QCI!$D$13:$D$24),1+COUNTIF($L$13:OFFSET(L17,-1,0),1),-1),0)</f>
        <v>0</v>
      </c>
      <c r="F18" s="234" t="str">
        <f t="shared" ref="F18" ca="1" si="14">IF(AND($E18&lt;&gt;-1,$R17&gt;0),"F","")</f>
        <v>F</v>
      </c>
      <c r="G18" s="247" t="str">
        <f ca="1">IF(OR(R17=0,R17=""),"vazia",IF(AND(OR(ACOMPANHAMENTO="PLE",$Q17&lt;&gt;2),$E18=0),"calculada","--&gt;"))</f>
        <v>calculada</v>
      </c>
      <c r="H18" s="248"/>
      <c r="I18" s="249" t="str">
        <f t="shared" ref="I18" ca="1" si="15">IF(AND(G17&lt;&gt;0,ISNUMBER(G17)),"PREENCHA ESTA LINHA --&gt;","")</f>
        <v/>
      </c>
      <c r="J18" s="249"/>
      <c r="K18" s="249"/>
      <c r="L18" s="250"/>
      <c r="M18" s="250"/>
      <c r="N18" s="250"/>
      <c r="O18" s="250"/>
      <c r="P18" s="250"/>
      <c r="Q18" s="250"/>
      <c r="R18" s="251"/>
      <c r="S18" s="252"/>
      <c r="T18" s="654"/>
      <c r="U18" s="653"/>
      <c r="V18" s="653"/>
      <c r="W18" s="653"/>
      <c r="X18" s="653"/>
      <c r="Y18" s="653"/>
      <c r="Z18" s="653"/>
      <c r="AA18" s="653"/>
      <c r="AB18" s="653"/>
      <c r="AC18" s="653"/>
      <c r="AD18" s="653"/>
      <c r="AE18" s="655"/>
      <c r="AF18" s="613"/>
    </row>
    <row r="19" spans="1:32" ht="0.15" hidden="1" customHeight="1">
      <c r="D19" s="253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$264,"="&amp;CRONO!D$12,CÁLCULO!$AB$15:$AL$264)/(ORÇAMENTO!$X$15-CÁLCULO.TotalAdmLocal)*CRONO!$E19,0),D18*$R17),SUMIF(OFFSET($R19,1,0,$Q17-2),($L17+1)&amp;"$",OFFSET(D19,1,0,$Q17-2)))</f>
        <v>4588</v>
      </c>
      <c r="E19" s="234" t="str">
        <f ca="1">IF(OR($Q17&lt;&gt;2,AUTOEVENTO&lt;&gt;"manual",$E18&gt;0),"",SUMIF(OFFSET(CÁLCULO!$M$15,CRONO!$E17,0,OFFSET(ORÇAMENTO!$D$15,CRONO!$E17,0)),1,OFFSET(ORÇAMENTO!$X$15,CRONO!$E17,0,OFFSET(ORÇAMENTO!$D$15,CRONO!$E17,0))))</f>
        <v/>
      </c>
      <c r="G19" s="254"/>
      <c r="R19" s="255" t="str">
        <f t="shared" ref="R19" ca="1" si="16">L17&amp;"$"</f>
        <v>2$</v>
      </c>
      <c r="S19" s="256"/>
      <c r="T19" s="257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$264,"&lt;="&amp;CRONO!T$12,CÁLCULO!$AB$15:$AL$264)/(ORÇAMENTO!$X$15-CÁLCULO.TotalAdmLocal)*CRONO!$E19,0),T18*$R17),SUMIF(OFFSET($R19,1,0,$Q17-2),($L17+1)&amp;"$",OFFSET(T19,1,0,$Q17-2)))</f>
        <v>4588</v>
      </c>
      <c r="U19" s="253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$264,"="&amp;CRONO!U$12,CÁLCULO!$AB$15:$AL$264)/(ORÇAMENTO!$X$15-CÁLCULO.TotalAdmLocal)*CRONO!$E19,0),U18*$R17),SUMIF(OFFSET($R19,1,0,$Q17-2),($L17+1)&amp;"$",OFFSET(U19,1,0,$Q17-2)))</f>
        <v>0</v>
      </c>
      <c r="V19" s="253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$264,"="&amp;CRONO!V$12,CÁLCULO!$AB$15:$AL$264)/(ORÇAMENTO!$X$15-CÁLCULO.TotalAdmLocal)*CRONO!$E19,0),V18*$R17),SUMIF(OFFSET($R19,1,0,$Q17-2),($L17+1)&amp;"$",OFFSET(V19,1,0,$Q17-2)))</f>
        <v>0</v>
      </c>
      <c r="W19" s="253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$264,"="&amp;CRONO!W$12,CÁLCULO!$AB$15:$AL$264)/(ORÇAMENTO!$X$15-CÁLCULO.TotalAdmLocal)*CRONO!$E19,0),W18*$R17),SUMIF(OFFSET($R19,1,0,$Q17-2),($L17+1)&amp;"$",OFFSET(W19,1,0,$Q17-2)))</f>
        <v>0</v>
      </c>
      <c r="X19" s="253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$264,"="&amp;CRONO!X$12,CÁLCULO!$AB$15:$AL$264)/(ORÇAMENTO!$X$15-CÁLCULO.TotalAdmLocal)*CRONO!$E19,0),X18*$R17),SUMIF(OFFSET($R19,1,0,$Q17-2),($L17+1)&amp;"$",OFFSET(X19,1,0,$Q17-2)))</f>
        <v>0</v>
      </c>
      <c r="Y19" s="253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$264,"="&amp;CRONO!Y$12,CÁLCULO!$AB$15:$AL$264)/(ORÇAMENTO!$X$15-CÁLCULO.TotalAdmLocal)*CRONO!$E19,0),Y18*$R17),SUMIF(OFFSET($R19,1,0,$Q17-2),($L17+1)&amp;"$",OFFSET(Y19,1,0,$Q17-2)))</f>
        <v>0</v>
      </c>
      <c r="Z19" s="253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$264,"="&amp;CRONO!Z$12,CÁLCULO!$AB$15:$AL$264)/(ORÇAMENTO!$X$15-CÁLCULO.TotalAdmLocal)*CRONO!$E19,0),Z18*$R17),SUMIF(OFFSET($R19,1,0,$Q17-2),($L17+1)&amp;"$",OFFSET(Z19,1,0,$Q17-2)))</f>
        <v>0</v>
      </c>
      <c r="AA19" s="253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$264,"="&amp;CRONO!AA$12,CÁLCULO!$AB$15:$AL$264)/(ORÇAMENTO!$X$15-CÁLCULO.TotalAdmLocal)*CRONO!$E19,0),AA18*$R17),SUMIF(OFFSET($R19,1,0,$Q17-2),($L17+1)&amp;"$",OFFSET(AA19,1,0,$Q17-2)))</f>
        <v>0</v>
      </c>
      <c r="AB19" s="253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$264,"="&amp;CRONO!AB$12,CÁLCULO!$AB$15:$AL$264)/(ORÇAMENTO!$X$15-CÁLCULO.TotalAdmLocal)*CRONO!$E19,0),AB18*$R17),SUMIF(OFFSET($R19,1,0,$Q17-2),($L17+1)&amp;"$",OFFSET(AB19,1,0,$Q17-2)))</f>
        <v>0</v>
      </c>
      <c r="AC19" s="253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$264,"="&amp;CRONO!AC$12,CÁLCULO!$AB$15:$AL$264)/(ORÇAMENTO!$X$15-CÁLCULO.TotalAdmLocal)*CRONO!$E19,0),AC18*$R17),SUMIF(OFFSET($R19,1,0,$Q17-2),($L17+1)&amp;"$",OFFSET(AC19,1,0,$Q17-2)))</f>
        <v>0</v>
      </c>
      <c r="AD19" s="253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$264,"="&amp;CRONO!AD$12,CÁLCULO!$AB$15:$AL$264)/(ORÇAMENTO!$X$15-CÁLCULO.TotalAdmLocal)*CRONO!$E19,0),AD18*$R17),SUMIF(OFFSET($R19,1,0,$Q17-2),($L17+1)&amp;"$",OFFSET(AD19,1,0,$Q17-2)))</f>
        <v>0</v>
      </c>
      <c r="AE19" s="258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$264,"="&amp;CRONO!AE$12,CÁLCULO!$AB$15:$AL$264)/(ORÇAMENTO!$X$15-CÁLCULO.TotalAdmLocal)*CRONO!$E19,0),AE18*$R17),SUMIF(OFFSET($R19,1,0,$Q17-2),($L17+1)&amp;"$",OFFSET(AE19,1,0,$Q17-2)))</f>
        <v>0</v>
      </c>
    </row>
    <row r="20" spans="1:32">
      <c r="A20" s="234">
        <f t="shared" ref="A20" ca="1" si="17">OFFSET(A20,-3,0)+1</f>
        <v>3</v>
      </c>
      <c r="B20" s="234">
        <f ca="1">IF($Q20&lt;&gt;2,0,IF($R20=0,1,IF(E21&gt;0,OFFSET(QCI!$M$13,SUBSTITUTE(E21,".",""),0),OFFSET(ORÇAMENTO!$AA$15,CRONO!$E20,0))/$R20))</f>
        <v>8.4033318391922601E-2</v>
      </c>
      <c r="C20" s="234">
        <f ca="1">IF($Q20&lt;&gt;2,0,IF($R20=0,1,IF(E21&gt;0,OFFSET(QCI!$N$13,SUBSTITUTE(E21,".",""),0),OFFSET(ORÇAMENTO!$AB$15,CRONO!$E20,0))/$R20))</f>
        <v>0</v>
      </c>
      <c r="D20" s="237">
        <f ca="1">IF(AND($Q20=2,ACOMPANHAMENTO="BM"),D21,D22/$R20)</f>
        <v>0.56029333181496077</v>
      </c>
      <c r="E20" s="234">
        <f ca="1">IF(A20&lt;=ORÇAMENTO.MáximoListaCrono,MATCH(A20,ORÇAMENTO.ListaCrono,0),NA())</f>
        <v>4</v>
      </c>
      <c r="F20" s="234" t="str">
        <f t="shared" ref="F20" ca="1" si="18">IF(AND($E21&lt;&gt;-1,$R20&gt;0),"F","")</f>
        <v>F</v>
      </c>
      <c r="G20" s="238" t="str">
        <f ca="1">IF(OR(R20=0,R20=""),"Linha",IF(AND(OR(ACOMPANHAMENTO="PLE",$Q20&lt;&gt;2),$E21=0),"Linha",1-SUM(T20:AF20)))</f>
        <v>Linha</v>
      </c>
      <c r="H20" s="239" t="str">
        <f ca="1">IF($E21=0,OFFSET(ORÇAMENTO!O$15,$E20,0),IF($E21&lt;&gt;-1,OFFSET(QCI!$D$13,$E21,0),""))</f>
        <v>1.2.</v>
      </c>
      <c r="I20" s="240" t="str">
        <f ca="1">IF($E21=0,OFFSET(ORÇAMENTO!R$15,$E20,0),IF($E21&lt;&gt;-1,OFFSET(QCI!$G$13,$E21,0),""))</f>
        <v>RECAPEAMENTO ASFÁLTICO</v>
      </c>
      <c r="J20" s="240"/>
      <c r="K20" s="240"/>
      <c r="L20" s="241">
        <f ca="1">IF($E21=0,OFFSET(ORÇAMENTO!C$15,$E20,0),1)</f>
        <v>2</v>
      </c>
      <c r="M20" s="242">
        <f ca="1">IF($E21=-1,0,IF(M$13&lt;=$L20,IF(ISERROR(MATCH(M$13,OFFSET($L20,1,0,ROW($L$32)-ROW($L20)-1),0)),ROW($L$32)-ROW($L20)-1,MATCH(M$13,OFFSET($L20,1,0,ROW($L$32)-ROW($L20)-1),0)-1),0))</f>
        <v>11</v>
      </c>
      <c r="N20" s="242">
        <f ca="1">IF($E21=-1,0,IF(N$13&lt;=$L20,IF(ISERROR(MATCH(N$13,OFFSET($L20,1,0,ROW($L$32)-ROW($L20)-1),0)),ROW($L$32)-ROW($L20)-1,MATCH(N$13,OFFSET($L20,1,0,ROW($L$32)-ROW($L20)-1),0)-1),0))</f>
        <v>2</v>
      </c>
      <c r="O20" s="242">
        <f ca="1">IF($E21=-1,0,IF(O$13&lt;=$L20,IF(ISERROR(MATCH(O$13,OFFSET($L20,1,0,ROW($L$32)-ROW($L20)-1),0)),ROW($L$32)-ROW($L20)-1,MATCH(O$13,OFFSET($L20,1,0,ROW($L$32)-ROW($L20)-1),0)-1),0))</f>
        <v>0</v>
      </c>
      <c r="P20" s="242">
        <f ca="1">IF($E21=-1,0,IF(P$13&lt;=$L20,IF(ISERROR(MATCH(P$13,OFFSET($L20,1,0,ROW($L$32)-ROW($L20)-1),0)),ROW($L$32)-ROW($L20)-1,MATCH(P$13,OFFSET($L20,1,0,ROW($L$32)-ROW($L20)-1),0)-1),0))</f>
        <v>0</v>
      </c>
      <c r="Q20" s="242">
        <f t="shared" ref="Q20" ca="1" si="19">MIN(OFFSET(L20,0,1,,L20))</f>
        <v>2</v>
      </c>
      <c r="R20" s="243">
        <f ca="1">IF($E21=0,OFFSET(ORÇAMENTO!X$15,$E20,0),IF($E21&lt;&gt;-1,OFFSET(QCI!$O$13,$E21,0),""))</f>
        <v>991066.69</v>
      </c>
      <c r="S20" s="244" t="s">
        <v>270</v>
      </c>
      <c r="T20" s="245">
        <f t="shared" ref="T20:AE20" ca="1" si="20">IF(AND($Q20=2,ACOMPANHAMENTO="BM"),T21,T22/$R20)</f>
        <v>0.56029333181496077</v>
      </c>
      <c r="U20" s="237">
        <f t="shared" ca="1" si="20"/>
        <v>0.43970666818503917</v>
      </c>
      <c r="V20" s="237">
        <f t="shared" ca="1" si="20"/>
        <v>0</v>
      </c>
      <c r="W20" s="237">
        <f t="shared" ca="1" si="20"/>
        <v>0</v>
      </c>
      <c r="X20" s="237">
        <f t="shared" ca="1" si="20"/>
        <v>0</v>
      </c>
      <c r="Y20" s="237">
        <f t="shared" ca="1" si="20"/>
        <v>0</v>
      </c>
      <c r="Z20" s="237">
        <f t="shared" ca="1" si="20"/>
        <v>0</v>
      </c>
      <c r="AA20" s="237">
        <f t="shared" ca="1" si="20"/>
        <v>0</v>
      </c>
      <c r="AB20" s="237">
        <f t="shared" ca="1" si="20"/>
        <v>0</v>
      </c>
      <c r="AC20" s="237">
        <f t="shared" ca="1" si="20"/>
        <v>0</v>
      </c>
      <c r="AD20" s="237">
        <f t="shared" ca="1" si="20"/>
        <v>0</v>
      </c>
      <c r="AE20" s="246">
        <f t="shared" ca="1" si="20"/>
        <v>0</v>
      </c>
    </row>
    <row r="21" spans="1:32" ht="12.75" customHeight="1">
      <c r="D21" s="653"/>
      <c r="E21" s="234">
        <f ca="1">IF(ISERROR(E20),IF(1+COUNTIF($L$13:OFFSET(L20,-1,0),1)&lt;=MAX(QCI!$D$13:$D$24),1+COUNTIF($L$13:OFFSET(L20,-1,0),1),-1),0)</f>
        <v>0</v>
      </c>
      <c r="F21" s="234" t="str">
        <f t="shared" ref="F21" ca="1" si="21">IF(AND($E21&lt;&gt;-1,$R20&gt;0),"F","")</f>
        <v>F</v>
      </c>
      <c r="G21" s="247" t="str">
        <f ca="1">IF(OR(R20=0,R20=""),"vazia",IF(AND(OR(ACOMPANHAMENTO="PLE",$Q20&lt;&gt;2),$E21=0),"calculada","--&gt;"))</f>
        <v>calculada</v>
      </c>
      <c r="H21" s="248"/>
      <c r="I21" s="249" t="str">
        <f t="shared" ref="I21" ca="1" si="22">IF(AND(G20&lt;&gt;0,ISNUMBER(G20)),"PREENCHA ESTA LINHA --&gt;","")</f>
        <v/>
      </c>
      <c r="J21" s="249"/>
      <c r="K21" s="249"/>
      <c r="L21" s="250"/>
      <c r="M21" s="250"/>
      <c r="N21" s="250"/>
      <c r="O21" s="250"/>
      <c r="P21" s="250"/>
      <c r="Q21" s="250"/>
      <c r="R21" s="251"/>
      <c r="S21" s="252"/>
      <c r="T21" s="654"/>
      <c r="U21" s="653"/>
      <c r="V21" s="653"/>
      <c r="W21" s="653"/>
      <c r="X21" s="653"/>
      <c r="Y21" s="653"/>
      <c r="Z21" s="653"/>
      <c r="AA21" s="653"/>
      <c r="AB21" s="653"/>
      <c r="AC21" s="653"/>
      <c r="AD21" s="653"/>
      <c r="AE21" s="655"/>
      <c r="AF21" s="613"/>
    </row>
    <row r="22" spans="1:32" ht="0.15" hidden="1" customHeight="1">
      <c r="D22" s="253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$264,"="&amp;CRONO!D$12,CÁLCULO!$AB$15:$AL$264)/(ORÇAMENTO!$X$15-CÁLCULO.TotalAdmLocal)*CRONO!$E22,0),D21*$R20),SUMIF(OFFSET($R22,1,0,$Q20-2),($L20+1)&amp;"$",OFFSET(D22,1,0,$Q20-2)))</f>
        <v>555288.05779092479</v>
      </c>
      <c r="E22" s="234" t="str">
        <f ca="1">IF(OR($Q20&lt;&gt;2,AUTOEVENTO&lt;&gt;"manual",$E21&gt;0),"",SUMIF(OFFSET(CÁLCULO!$M$15,CRONO!$E20,0,OFFSET(ORÇAMENTO!$D$15,CRONO!$E20,0)),1,OFFSET(ORÇAMENTO!$X$15,CRONO!$E20,0,OFFSET(ORÇAMENTO!$D$15,CRONO!$E20,0))))</f>
        <v/>
      </c>
      <c r="G22" s="254"/>
      <c r="R22" s="255" t="str">
        <f t="shared" ref="R22" ca="1" si="23">L20&amp;"$"</f>
        <v>2$</v>
      </c>
      <c r="S22" s="256"/>
      <c r="T22" s="257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$264,"&lt;="&amp;CRONO!T$12,CÁLCULO!$AB$15:$AL$264)/(ORÇAMENTO!$X$15-CÁLCULO.TotalAdmLocal)*CRONO!$E22,0),T21*$R20),SUMIF(OFFSET($R22,1,0,$Q20-2),($L20+1)&amp;"$",OFFSET(T22,1,0,$Q20-2)))</f>
        <v>555288.05779092479</v>
      </c>
      <c r="U22" s="253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$264,"="&amp;CRONO!U$12,CÁLCULO!$AB$15:$AL$264)/(ORÇAMENTO!$X$15-CÁLCULO.TotalAdmLocal)*CRONO!$E22,0),U21*$R20),SUMIF(OFFSET($R22,1,0,$Q20-2),($L20+1)&amp;"$",OFFSET(U22,1,0,$Q20-2)))</f>
        <v>435778.63220907503</v>
      </c>
      <c r="V22" s="253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$264,"="&amp;CRONO!V$12,CÁLCULO!$AB$15:$AL$264)/(ORÇAMENTO!$X$15-CÁLCULO.TotalAdmLocal)*CRONO!$E22,0),V21*$R20),SUMIF(OFFSET($R22,1,0,$Q20-2),($L20+1)&amp;"$",OFFSET(V22,1,0,$Q20-2)))</f>
        <v>0</v>
      </c>
      <c r="W22" s="253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$264,"="&amp;CRONO!W$12,CÁLCULO!$AB$15:$AL$264)/(ORÇAMENTO!$X$15-CÁLCULO.TotalAdmLocal)*CRONO!$E22,0),W21*$R20),SUMIF(OFFSET($R22,1,0,$Q20-2),($L20+1)&amp;"$",OFFSET(W22,1,0,$Q20-2)))</f>
        <v>0</v>
      </c>
      <c r="X22" s="253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$264,"="&amp;CRONO!X$12,CÁLCULO!$AB$15:$AL$264)/(ORÇAMENTO!$X$15-CÁLCULO.TotalAdmLocal)*CRONO!$E22,0),X21*$R20),SUMIF(OFFSET($R22,1,0,$Q20-2),($L20+1)&amp;"$",OFFSET(X22,1,0,$Q20-2)))</f>
        <v>0</v>
      </c>
      <c r="Y22" s="253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$264,"="&amp;CRONO!Y$12,CÁLCULO!$AB$15:$AL$264)/(ORÇAMENTO!$X$15-CÁLCULO.TotalAdmLocal)*CRONO!$E22,0),Y21*$R20),SUMIF(OFFSET($R22,1,0,$Q20-2),($L20+1)&amp;"$",OFFSET(Y22,1,0,$Q20-2)))</f>
        <v>0</v>
      </c>
      <c r="Z22" s="253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$264,"="&amp;CRONO!Z$12,CÁLCULO!$AB$15:$AL$264)/(ORÇAMENTO!$X$15-CÁLCULO.TotalAdmLocal)*CRONO!$E22,0),Z21*$R20),SUMIF(OFFSET($R22,1,0,$Q20-2),($L20+1)&amp;"$",OFFSET(Z22,1,0,$Q20-2)))</f>
        <v>0</v>
      </c>
      <c r="AA22" s="253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$264,"="&amp;CRONO!AA$12,CÁLCULO!$AB$15:$AL$264)/(ORÇAMENTO!$X$15-CÁLCULO.TotalAdmLocal)*CRONO!$E22,0),AA21*$R20),SUMIF(OFFSET($R22,1,0,$Q20-2),($L20+1)&amp;"$",OFFSET(AA22,1,0,$Q20-2)))</f>
        <v>0</v>
      </c>
      <c r="AB22" s="253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$264,"="&amp;CRONO!AB$12,CÁLCULO!$AB$15:$AL$264)/(ORÇAMENTO!$X$15-CÁLCULO.TotalAdmLocal)*CRONO!$E22,0),AB21*$R20),SUMIF(OFFSET($R22,1,0,$Q20-2),($L20+1)&amp;"$",OFFSET(AB22,1,0,$Q20-2)))</f>
        <v>0</v>
      </c>
      <c r="AC22" s="253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$264,"="&amp;CRONO!AC$12,CÁLCULO!$AB$15:$AL$264)/(ORÇAMENTO!$X$15-CÁLCULO.TotalAdmLocal)*CRONO!$E22,0),AC21*$R20),SUMIF(OFFSET($R22,1,0,$Q20-2),($L20+1)&amp;"$",OFFSET(AC22,1,0,$Q20-2)))</f>
        <v>0</v>
      </c>
      <c r="AD22" s="253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$264,"="&amp;CRONO!AD$12,CÁLCULO!$AB$15:$AL$264)/(ORÇAMENTO!$X$15-CÁLCULO.TotalAdmLocal)*CRONO!$E22,0),AD21*$R20),SUMIF(OFFSET($R22,1,0,$Q20-2),($L20+1)&amp;"$",OFFSET(AD22,1,0,$Q20-2)))</f>
        <v>0</v>
      </c>
      <c r="AE22" s="258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$264,"="&amp;CRONO!AE$12,CÁLCULO!$AB$15:$AL$264)/(ORÇAMENTO!$X$15-CÁLCULO.TotalAdmLocal)*CRONO!$E22,0),AE21*$R20),SUMIF(OFFSET($R22,1,0,$Q20-2),($L20+1)&amp;"$",OFFSET(AE22,1,0,$Q20-2)))</f>
        <v>0</v>
      </c>
    </row>
    <row r="23" spans="1:32">
      <c r="A23" s="234">
        <f t="shared" ref="A23" ca="1" si="24">OFFSET(A23,-3,0)+1</f>
        <v>4</v>
      </c>
      <c r="B23" s="234">
        <f ca="1">IF($Q23&lt;&gt;2,0,IF($R23=0,1,IF(E24&gt;0,OFFSET(QCI!$M$13,SUBSTITUTE(E24,".",""),0),OFFSET(ORÇAMENTO!$AA$15,CRONO!$E23,0))/$R23))</f>
        <v>8.4033318391922601E-2</v>
      </c>
      <c r="C23" s="234">
        <f ca="1">IF($Q23&lt;&gt;2,0,IF($R23=0,1,IF(E24&gt;0,OFFSET(QCI!$N$13,SUBSTITUTE(E24,".",""),0),OFFSET(ORÇAMENTO!$AB$15,CRONO!$E23,0))/$R23))</f>
        <v>0</v>
      </c>
      <c r="D23" s="237">
        <f ca="1">IF(AND($Q23=2,ACOMPANHAMENTO="BM"),D24,D25/$R23)</f>
        <v>0.3432578996193783</v>
      </c>
      <c r="E23" s="234">
        <f ca="1">IF(A23&lt;=ORÇAMENTO.MáximoListaCrono,MATCH(A23,ORÇAMENTO.ListaCrono,0),NA())</f>
        <v>8</v>
      </c>
      <c r="F23" s="234" t="str">
        <f t="shared" ref="F23" ca="1" si="25">IF(AND($E24&lt;&gt;-1,$R23&gt;0),"F","")</f>
        <v>F</v>
      </c>
      <c r="G23" s="238" t="str">
        <f ca="1">IF(OR(R23=0,R23=""),"Linha",IF(AND(OR(ACOMPANHAMENTO="PLE",$Q23&lt;&gt;2),$E24=0),"Linha",1-SUM(T23:AF23)))</f>
        <v>Linha</v>
      </c>
      <c r="H23" s="239" t="str">
        <f ca="1">IF($E24=0,OFFSET(ORÇAMENTO!O$15,$E23,0),IF($E24&lt;&gt;-1,OFFSET(QCI!$D$13,$E24,0),""))</f>
        <v>1.3.</v>
      </c>
      <c r="I23" s="240" t="str">
        <f ca="1">IF($E24=0,OFFSET(ORÇAMENTO!R$15,$E23,0),IF($E24&lt;&gt;-1,OFFSET(QCI!$G$13,$E24,0),""))</f>
        <v>CALÇADAS</v>
      </c>
      <c r="J23" s="240"/>
      <c r="K23" s="240"/>
      <c r="L23" s="241">
        <f ca="1">IF($E24=0,OFFSET(ORÇAMENTO!C$15,$E23,0),1)</f>
        <v>2</v>
      </c>
      <c r="M23" s="242">
        <f ca="1">IF($E24=-1,0,IF(M$13&lt;=$L23,IF(ISERROR(MATCH(M$13,OFFSET($L23,1,0,ROW($L$32)-ROW($L23)-1),0)),ROW($L$32)-ROW($L23)-1,MATCH(M$13,OFFSET($L23,1,0,ROW($L$32)-ROW($L23)-1),0)-1),0))</f>
        <v>8</v>
      </c>
      <c r="N23" s="242">
        <f ca="1">IF($E24=-1,0,IF(N$13&lt;=$L23,IF(ISERROR(MATCH(N$13,OFFSET($L23,1,0,ROW($L$32)-ROW($L23)-1),0)),ROW($L$32)-ROW($L23)-1,MATCH(N$13,OFFSET($L23,1,0,ROW($L$32)-ROW($L23)-1),0)-1),0))</f>
        <v>2</v>
      </c>
      <c r="O23" s="242">
        <f ca="1">IF($E24=-1,0,IF(O$13&lt;=$L23,IF(ISERROR(MATCH(O$13,OFFSET($L23,1,0,ROW($L$32)-ROW($L23)-1),0)),ROW($L$32)-ROW($L23)-1,MATCH(O$13,OFFSET($L23,1,0,ROW($L$32)-ROW($L23)-1),0)-1),0))</f>
        <v>0</v>
      </c>
      <c r="P23" s="242">
        <f ca="1">IF($E24=-1,0,IF(P$13&lt;=$L23,IF(ISERROR(MATCH(P$13,OFFSET($L23,1,0,ROW($L$32)-ROW($L23)-1),0)),ROW($L$32)-ROW($L23)-1,MATCH(P$13,OFFSET($L23,1,0,ROW($L$32)-ROW($L23)-1),0)-1),0))</f>
        <v>0</v>
      </c>
      <c r="Q23" s="242">
        <f t="shared" ref="Q23" ca="1" si="26">MIN(OFFSET(L23,0,1,,L23))</f>
        <v>2</v>
      </c>
      <c r="R23" s="243">
        <f ca="1">IF($E24=0,OFFSET(ORÇAMENTO!X$15,$E23,0),IF($E24&lt;&gt;-1,OFFSET(QCI!$O$13,$E24,0),""))</f>
        <v>22655.3</v>
      </c>
      <c r="S23" s="244" t="s">
        <v>270</v>
      </c>
      <c r="T23" s="245">
        <f t="shared" ref="T23:AE23" ca="1" si="27">IF(AND($Q23=2,ACOMPANHAMENTO="BM"),T24,T25/$R23)</f>
        <v>0.3432578996193783</v>
      </c>
      <c r="U23" s="237">
        <f t="shared" ca="1" si="27"/>
        <v>0.65674210038062186</v>
      </c>
      <c r="V23" s="237">
        <f t="shared" ca="1" si="27"/>
        <v>0</v>
      </c>
      <c r="W23" s="237">
        <f t="shared" ca="1" si="27"/>
        <v>0</v>
      </c>
      <c r="X23" s="237">
        <f t="shared" ca="1" si="27"/>
        <v>0</v>
      </c>
      <c r="Y23" s="237">
        <f t="shared" ca="1" si="27"/>
        <v>0</v>
      </c>
      <c r="Z23" s="237">
        <f t="shared" ca="1" si="27"/>
        <v>0</v>
      </c>
      <c r="AA23" s="237">
        <f t="shared" ca="1" si="27"/>
        <v>0</v>
      </c>
      <c r="AB23" s="237">
        <f t="shared" ca="1" si="27"/>
        <v>0</v>
      </c>
      <c r="AC23" s="237">
        <f t="shared" ca="1" si="27"/>
        <v>0</v>
      </c>
      <c r="AD23" s="237">
        <f t="shared" ca="1" si="27"/>
        <v>0</v>
      </c>
      <c r="AE23" s="246">
        <f t="shared" ca="1" si="27"/>
        <v>0</v>
      </c>
    </row>
    <row r="24" spans="1:32" ht="12.75" customHeight="1">
      <c r="D24" s="653"/>
      <c r="E24" s="234">
        <f ca="1">IF(ISERROR(E23),IF(1+COUNTIF($L$13:OFFSET(L23,-1,0),1)&lt;=MAX(QCI!$D$13:$D$24),1+COUNTIF($L$13:OFFSET(L23,-1,0),1),-1),0)</f>
        <v>0</v>
      </c>
      <c r="F24" s="234" t="str">
        <f t="shared" ref="F24" ca="1" si="28">IF(AND($E24&lt;&gt;-1,$R23&gt;0),"F","")</f>
        <v>F</v>
      </c>
      <c r="G24" s="247" t="str">
        <f ca="1">IF(OR(R23=0,R23=""),"vazia",IF(AND(OR(ACOMPANHAMENTO="PLE",$Q23&lt;&gt;2),$E24=0),"calculada","--&gt;"))</f>
        <v>calculada</v>
      </c>
      <c r="H24" s="248"/>
      <c r="I24" s="249" t="str">
        <f t="shared" ref="I24" ca="1" si="29">IF(AND(G23&lt;&gt;0,ISNUMBER(G23)),"PREENCHA ESTA LINHA --&gt;","")</f>
        <v/>
      </c>
      <c r="J24" s="249"/>
      <c r="K24" s="249"/>
      <c r="L24" s="250"/>
      <c r="M24" s="250"/>
      <c r="N24" s="250"/>
      <c r="O24" s="250"/>
      <c r="P24" s="250"/>
      <c r="Q24" s="250"/>
      <c r="R24" s="251"/>
      <c r="S24" s="252"/>
      <c r="T24" s="654"/>
      <c r="U24" s="653"/>
      <c r="V24" s="653"/>
      <c r="W24" s="653"/>
      <c r="X24" s="653"/>
      <c r="Y24" s="653"/>
      <c r="Z24" s="653"/>
      <c r="AA24" s="653"/>
      <c r="AB24" s="653"/>
      <c r="AC24" s="653"/>
      <c r="AD24" s="653"/>
      <c r="AE24" s="655"/>
      <c r="AF24" s="613"/>
    </row>
    <row r="25" spans="1:32" ht="0.15" hidden="1" customHeight="1">
      <c r="D25" s="253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$264,"="&amp;CRONO!D$12,CÁLCULO!$AB$15:$AL$264)/(ORÇAMENTO!$X$15-CÁLCULO.TotalAdmLocal)*CRONO!$E25,0),D24*$R23),SUMIF(OFFSET($R25,1,0,$Q23-2),($L23+1)&amp;"$",OFFSET(D25,1,0,$Q23-2)))</f>
        <v>7776.6106932469011</v>
      </c>
      <c r="E25" s="234" t="str">
        <f ca="1">IF(OR($Q23&lt;&gt;2,AUTOEVENTO&lt;&gt;"manual",$E24&gt;0),"",SUMIF(OFFSET(CÁLCULO!$M$15,CRONO!$E23,0,OFFSET(ORÇAMENTO!$D$15,CRONO!$E23,0)),1,OFFSET(ORÇAMENTO!$X$15,CRONO!$E23,0,OFFSET(ORÇAMENTO!$D$15,CRONO!$E23,0))))</f>
        <v/>
      </c>
      <c r="G25" s="254"/>
      <c r="R25" s="255" t="str">
        <f t="shared" ref="R25" ca="1" si="30">L23&amp;"$"</f>
        <v>2$</v>
      </c>
      <c r="S25" s="256"/>
      <c r="T25" s="257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$264,"&lt;="&amp;CRONO!T$12,CÁLCULO!$AB$15:$AL$264)/(ORÇAMENTO!$X$15-CÁLCULO.TotalAdmLocal)*CRONO!$E25,0),T24*$R23),SUMIF(OFFSET($R25,1,0,$Q23-2),($L23+1)&amp;"$",OFFSET(T25,1,0,$Q23-2)))</f>
        <v>7776.6106932469011</v>
      </c>
      <c r="U25" s="253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$264,"="&amp;CRONO!U$12,CÁLCULO!$AB$15:$AL$264)/(ORÇAMENTO!$X$15-CÁLCULO.TotalAdmLocal)*CRONO!$E25,0),U24*$R23),SUMIF(OFFSET($R25,1,0,$Q23-2),($L23+1)&amp;"$",OFFSET(U25,1,0,$Q23-2)))</f>
        <v>14878.689306753102</v>
      </c>
      <c r="V25" s="253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$264,"="&amp;CRONO!V$12,CÁLCULO!$AB$15:$AL$264)/(ORÇAMENTO!$X$15-CÁLCULO.TotalAdmLocal)*CRONO!$E25,0),V24*$R23),SUMIF(OFFSET($R25,1,0,$Q23-2),($L23+1)&amp;"$",OFFSET(V25,1,0,$Q23-2)))</f>
        <v>0</v>
      </c>
      <c r="W25" s="253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$264,"="&amp;CRONO!W$12,CÁLCULO!$AB$15:$AL$264)/(ORÇAMENTO!$X$15-CÁLCULO.TotalAdmLocal)*CRONO!$E25,0),W24*$R23),SUMIF(OFFSET($R25,1,0,$Q23-2),($L23+1)&amp;"$",OFFSET(W25,1,0,$Q23-2)))</f>
        <v>0</v>
      </c>
      <c r="X25" s="253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$264,"="&amp;CRONO!X$12,CÁLCULO!$AB$15:$AL$264)/(ORÇAMENTO!$X$15-CÁLCULO.TotalAdmLocal)*CRONO!$E25,0),X24*$R23),SUMIF(OFFSET($R25,1,0,$Q23-2),($L23+1)&amp;"$",OFFSET(X25,1,0,$Q23-2)))</f>
        <v>0</v>
      </c>
      <c r="Y25" s="253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$264,"="&amp;CRONO!Y$12,CÁLCULO!$AB$15:$AL$264)/(ORÇAMENTO!$X$15-CÁLCULO.TotalAdmLocal)*CRONO!$E25,0),Y24*$R23),SUMIF(OFFSET($R25,1,0,$Q23-2),($L23+1)&amp;"$",OFFSET(Y25,1,0,$Q23-2)))</f>
        <v>0</v>
      </c>
      <c r="Z25" s="253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$264,"="&amp;CRONO!Z$12,CÁLCULO!$AB$15:$AL$264)/(ORÇAMENTO!$X$15-CÁLCULO.TotalAdmLocal)*CRONO!$E25,0),Z24*$R23),SUMIF(OFFSET($R25,1,0,$Q23-2),($L23+1)&amp;"$",OFFSET(Z25,1,0,$Q23-2)))</f>
        <v>0</v>
      </c>
      <c r="AA25" s="253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$264,"="&amp;CRONO!AA$12,CÁLCULO!$AB$15:$AL$264)/(ORÇAMENTO!$X$15-CÁLCULO.TotalAdmLocal)*CRONO!$E25,0),AA24*$R23),SUMIF(OFFSET($R25,1,0,$Q23-2),($L23+1)&amp;"$",OFFSET(AA25,1,0,$Q23-2)))</f>
        <v>0</v>
      </c>
      <c r="AB25" s="253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$264,"="&amp;CRONO!AB$12,CÁLCULO!$AB$15:$AL$264)/(ORÇAMENTO!$X$15-CÁLCULO.TotalAdmLocal)*CRONO!$E25,0),AB24*$R23),SUMIF(OFFSET($R25,1,0,$Q23-2),($L23+1)&amp;"$",OFFSET(AB25,1,0,$Q23-2)))</f>
        <v>0</v>
      </c>
      <c r="AC25" s="253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$264,"="&amp;CRONO!AC$12,CÁLCULO!$AB$15:$AL$264)/(ORÇAMENTO!$X$15-CÁLCULO.TotalAdmLocal)*CRONO!$E25,0),AC24*$R23),SUMIF(OFFSET($R25,1,0,$Q23-2),($L23+1)&amp;"$",OFFSET(AC25,1,0,$Q23-2)))</f>
        <v>0</v>
      </c>
      <c r="AD25" s="253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$264,"="&amp;CRONO!AD$12,CÁLCULO!$AB$15:$AL$264)/(ORÇAMENTO!$X$15-CÁLCULO.TotalAdmLocal)*CRONO!$E25,0),AD24*$R23),SUMIF(OFFSET($R25,1,0,$Q23-2),($L23+1)&amp;"$",OFFSET(AD25,1,0,$Q23-2)))</f>
        <v>0</v>
      </c>
      <c r="AE25" s="258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$264,"="&amp;CRONO!AE$12,CÁLCULO!$AB$15:$AL$264)/(ORÇAMENTO!$X$15-CÁLCULO.TotalAdmLocal)*CRONO!$E25,0),AE24*$R23),SUMIF(OFFSET($R25,1,0,$Q23-2),($L23+1)&amp;"$",OFFSET(AE25,1,0,$Q23-2)))</f>
        <v>0</v>
      </c>
    </row>
    <row r="26" spans="1:32">
      <c r="A26" s="234">
        <f t="shared" ref="A26" ca="1" si="31">OFFSET(A26,-3,0)+1</f>
        <v>5</v>
      </c>
      <c r="B26" s="234">
        <f ca="1">IF($Q26&lt;&gt;2,0,IF($R26=0,1,IF(E27&gt;0,OFFSET(QCI!$M$13,SUBSTITUTE(E27,".",""),0),OFFSET(ORÇAMENTO!$AA$15,CRONO!$E26,0))/$R26))</f>
        <v>8.4033318391922601E-2</v>
      </c>
      <c r="C26" s="234">
        <f ca="1">IF($Q26&lt;&gt;2,0,IF($R26=0,1,IF(E27&gt;0,OFFSET(QCI!$N$13,SUBSTITUTE(E27,".",""),0),OFFSET(ORÇAMENTO!$AB$15,CRONO!$E26,0))/$R26))</f>
        <v>0</v>
      </c>
      <c r="D26" s="237">
        <f ca="1">IF(AND($Q26=2,ACOMPANHAMENTO="BM"),D27,D28/$R26)</f>
        <v>0.59245337574092816</v>
      </c>
      <c r="E26" s="234">
        <f ca="1">IF(A26&lt;=ORÇAMENTO.MáximoListaCrono,MATCH(A26,ORÇAMENTO.ListaCrono,0),NA())</f>
        <v>13</v>
      </c>
      <c r="F26" s="234" t="str">
        <f t="shared" ref="F26" ca="1" si="32">IF(AND($E27&lt;&gt;-1,$R26&gt;0),"F","")</f>
        <v>F</v>
      </c>
      <c r="G26" s="238" t="str">
        <f ca="1">IF(OR(R26=0,R26=""),"Linha",IF(AND(OR(ACOMPANHAMENTO="PLE",$Q26&lt;&gt;2),$E27=0),"Linha",1-SUM(T26:AF26)))</f>
        <v>Linha</v>
      </c>
      <c r="H26" s="239" t="str">
        <f ca="1">IF($E27=0,OFFSET(ORÇAMENTO!O$15,$E26,0),IF($E27&lt;&gt;-1,OFFSET(QCI!$D$13,$E27,0),""))</f>
        <v>1.4.</v>
      </c>
      <c r="I26" s="240" t="str">
        <f ca="1">IF($E27=0,OFFSET(ORÇAMENTO!R$15,$E26,0),IF($E27&lt;&gt;-1,OFFSET(QCI!$G$13,$E27,0),""))</f>
        <v>SINALIZAÇÃO VIÁRIA</v>
      </c>
      <c r="J26" s="240"/>
      <c r="K26" s="240"/>
      <c r="L26" s="241">
        <f ca="1">IF($E27=0,OFFSET(ORÇAMENTO!C$15,$E26,0),1)</f>
        <v>2</v>
      </c>
      <c r="M26" s="242">
        <f ca="1">IF($E27=-1,0,IF(M$13&lt;=$L26,IF(ISERROR(MATCH(M$13,OFFSET($L26,1,0,ROW($L$32)-ROW($L26)-1),0)),ROW($L$32)-ROW($L26)-1,MATCH(M$13,OFFSET($L26,1,0,ROW($L$32)-ROW($L26)-1),0)-1),0))</f>
        <v>5</v>
      </c>
      <c r="N26" s="242">
        <f ca="1">IF($E27=-1,0,IF(N$13&lt;=$L26,IF(ISERROR(MATCH(N$13,OFFSET($L26,1,0,ROW($L$32)-ROW($L26)-1),0)),ROW($L$32)-ROW($L26)-1,MATCH(N$13,OFFSET($L26,1,0,ROW($L$32)-ROW($L26)-1),0)-1),0))</f>
        <v>2</v>
      </c>
      <c r="O26" s="242">
        <f ca="1">IF($E27=-1,0,IF(O$13&lt;=$L26,IF(ISERROR(MATCH(O$13,OFFSET($L26,1,0,ROW($L$32)-ROW($L26)-1),0)),ROW($L$32)-ROW($L26)-1,MATCH(O$13,OFFSET($L26,1,0,ROW($L$32)-ROW($L26)-1),0)-1),0))</f>
        <v>0</v>
      </c>
      <c r="P26" s="242">
        <f ca="1">IF($E27=-1,0,IF(P$13&lt;=$L26,IF(ISERROR(MATCH(P$13,OFFSET($L26,1,0,ROW($L$32)-ROW($L26)-1),0)),ROW($L$32)-ROW($L26)-1,MATCH(P$13,OFFSET($L26,1,0,ROW($L$32)-ROW($L26)-1),0)-1),0))</f>
        <v>0</v>
      </c>
      <c r="Q26" s="242">
        <f t="shared" ref="Q26" ca="1" si="33">MIN(OFFSET(L26,0,1,,L26))</f>
        <v>2</v>
      </c>
      <c r="R26" s="243">
        <f ca="1">IF($E27=0,OFFSET(ORÇAMENTO!X$15,$E26,0),IF($E27&lt;&gt;-1,OFFSET(QCI!$O$13,$E27,0),""))</f>
        <v>12992.89</v>
      </c>
      <c r="S26" s="244" t="s">
        <v>270</v>
      </c>
      <c r="T26" s="245">
        <f t="shared" ref="T26:AE26" ca="1" si="34">IF(AND($Q26=2,ACOMPANHAMENTO="BM"),T27,T28/$R26)</f>
        <v>0.59245337574092816</v>
      </c>
      <c r="U26" s="237">
        <f t="shared" ca="1" si="34"/>
        <v>0.4075466242590719</v>
      </c>
      <c r="V26" s="237">
        <f t="shared" ca="1" si="34"/>
        <v>0</v>
      </c>
      <c r="W26" s="237">
        <f t="shared" ca="1" si="34"/>
        <v>0</v>
      </c>
      <c r="X26" s="237">
        <f t="shared" ca="1" si="34"/>
        <v>0</v>
      </c>
      <c r="Y26" s="237">
        <f t="shared" ca="1" si="34"/>
        <v>0</v>
      </c>
      <c r="Z26" s="237">
        <f t="shared" ca="1" si="34"/>
        <v>0</v>
      </c>
      <c r="AA26" s="237">
        <f t="shared" ca="1" si="34"/>
        <v>0</v>
      </c>
      <c r="AB26" s="237">
        <f t="shared" ca="1" si="34"/>
        <v>0</v>
      </c>
      <c r="AC26" s="237">
        <f t="shared" ca="1" si="34"/>
        <v>0</v>
      </c>
      <c r="AD26" s="237">
        <f t="shared" ca="1" si="34"/>
        <v>0</v>
      </c>
      <c r="AE26" s="246">
        <f t="shared" ca="1" si="34"/>
        <v>0</v>
      </c>
    </row>
    <row r="27" spans="1:32" ht="12.75" customHeight="1">
      <c r="D27" s="653"/>
      <c r="E27" s="234">
        <f ca="1">IF(ISERROR(E26),IF(1+COUNTIF($L$13:OFFSET(L26,-1,0),1)&lt;=MAX(QCI!$D$13:$D$24),1+COUNTIF($L$13:OFFSET(L26,-1,0),1),-1),0)</f>
        <v>0</v>
      </c>
      <c r="F27" s="234" t="str">
        <f t="shared" ref="F27" ca="1" si="35">IF(AND($E27&lt;&gt;-1,$R26&gt;0),"F","")</f>
        <v>F</v>
      </c>
      <c r="G27" s="247" t="str">
        <f ca="1">IF(OR(R26=0,R26=""),"vazia",IF(AND(OR(ACOMPANHAMENTO="PLE",$Q26&lt;&gt;2),$E27=0),"calculada","--&gt;"))</f>
        <v>calculada</v>
      </c>
      <c r="H27" s="248"/>
      <c r="I27" s="249" t="str">
        <f t="shared" ref="I27" ca="1" si="36">IF(AND(G26&lt;&gt;0,ISNUMBER(G26)),"PREENCHA ESTA LINHA --&gt;","")</f>
        <v/>
      </c>
      <c r="J27" s="249"/>
      <c r="K27" s="249"/>
      <c r="L27" s="250"/>
      <c r="M27" s="250"/>
      <c r="N27" s="250"/>
      <c r="O27" s="250"/>
      <c r="P27" s="250"/>
      <c r="Q27" s="250"/>
      <c r="R27" s="251"/>
      <c r="S27" s="252"/>
      <c r="T27" s="654"/>
      <c r="U27" s="653"/>
      <c r="V27" s="653"/>
      <c r="W27" s="653"/>
      <c r="X27" s="653"/>
      <c r="Y27" s="653"/>
      <c r="Z27" s="653"/>
      <c r="AA27" s="653"/>
      <c r="AB27" s="653"/>
      <c r="AC27" s="653"/>
      <c r="AD27" s="653"/>
      <c r="AE27" s="655"/>
      <c r="AF27" s="613"/>
    </row>
    <row r="28" spans="1:32" ht="0.15" hidden="1" customHeight="1">
      <c r="D28" s="253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$264,"="&amp;CRONO!D$12,CÁLCULO!$AB$15:$AL$264)/(ORÇAMENTO!$X$15-CÁLCULO.TotalAdmLocal)*CRONO!$E28,0),D27*$R26),SUMIF(OFFSET($R28,1,0,$Q26-2),($L26+1)&amp;"$",OFFSET(D28,1,0,$Q26-2)))</f>
        <v>7697.6815411305479</v>
      </c>
      <c r="E28" s="234" t="str">
        <f ca="1">IF(OR($Q26&lt;&gt;2,AUTOEVENTO&lt;&gt;"manual",$E27&gt;0),"",SUMIF(OFFSET(CÁLCULO!$M$15,CRONO!$E26,0,OFFSET(ORÇAMENTO!$D$15,CRONO!$E26,0)),1,OFFSET(ORÇAMENTO!$X$15,CRONO!$E26,0,OFFSET(ORÇAMENTO!$D$15,CRONO!$E26,0))))</f>
        <v/>
      </c>
      <c r="G28" s="254"/>
      <c r="R28" s="255" t="str">
        <f t="shared" ref="R28" ca="1" si="37">L26&amp;"$"</f>
        <v>2$</v>
      </c>
      <c r="S28" s="256"/>
      <c r="T28" s="257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$264,"&lt;="&amp;CRONO!T$12,CÁLCULO!$AB$15:$AL$264)/(ORÇAMENTO!$X$15-CÁLCULO.TotalAdmLocal)*CRONO!$E28,0),T27*$R26),SUMIF(OFFSET($R28,1,0,$Q26-2),($L26+1)&amp;"$",OFFSET(T28,1,0,$Q26-2)))</f>
        <v>7697.6815411305479</v>
      </c>
      <c r="U28" s="253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$264,"="&amp;CRONO!U$12,CÁLCULO!$AB$15:$AL$264)/(ORÇAMENTO!$X$15-CÁLCULO.TotalAdmLocal)*CRONO!$E28,0),U27*$R26),SUMIF(OFFSET($R28,1,0,$Q26-2),($L26+1)&amp;"$",OFFSET(U28,1,0,$Q26-2)))</f>
        <v>5295.2084588694524</v>
      </c>
      <c r="V28" s="253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$264,"="&amp;CRONO!V$12,CÁLCULO!$AB$15:$AL$264)/(ORÇAMENTO!$X$15-CÁLCULO.TotalAdmLocal)*CRONO!$E28,0),V27*$R26),SUMIF(OFFSET($R28,1,0,$Q26-2),($L26+1)&amp;"$",OFFSET(V28,1,0,$Q26-2)))</f>
        <v>0</v>
      </c>
      <c r="W28" s="253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$264,"="&amp;CRONO!W$12,CÁLCULO!$AB$15:$AL$264)/(ORÇAMENTO!$X$15-CÁLCULO.TotalAdmLocal)*CRONO!$E28,0),W27*$R26),SUMIF(OFFSET($R28,1,0,$Q26-2),($L26+1)&amp;"$",OFFSET(W28,1,0,$Q26-2)))</f>
        <v>0</v>
      </c>
      <c r="X28" s="253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$264,"="&amp;CRONO!X$12,CÁLCULO!$AB$15:$AL$264)/(ORÇAMENTO!$X$15-CÁLCULO.TotalAdmLocal)*CRONO!$E28,0),X27*$R26),SUMIF(OFFSET($R28,1,0,$Q26-2),($L26+1)&amp;"$",OFFSET(X28,1,0,$Q26-2)))</f>
        <v>0</v>
      </c>
      <c r="Y28" s="253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$264,"="&amp;CRONO!Y$12,CÁLCULO!$AB$15:$AL$264)/(ORÇAMENTO!$X$15-CÁLCULO.TotalAdmLocal)*CRONO!$E28,0),Y27*$R26),SUMIF(OFFSET($R28,1,0,$Q26-2),($L26+1)&amp;"$",OFFSET(Y28,1,0,$Q26-2)))</f>
        <v>0</v>
      </c>
      <c r="Z28" s="253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$264,"="&amp;CRONO!Z$12,CÁLCULO!$AB$15:$AL$264)/(ORÇAMENTO!$X$15-CÁLCULO.TotalAdmLocal)*CRONO!$E28,0),Z27*$R26),SUMIF(OFFSET($R28,1,0,$Q26-2),($L26+1)&amp;"$",OFFSET(Z28,1,0,$Q26-2)))</f>
        <v>0</v>
      </c>
      <c r="AA28" s="253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$264,"="&amp;CRONO!AA$12,CÁLCULO!$AB$15:$AL$264)/(ORÇAMENTO!$X$15-CÁLCULO.TotalAdmLocal)*CRONO!$E28,0),AA27*$R26),SUMIF(OFFSET($R28,1,0,$Q26-2),($L26+1)&amp;"$",OFFSET(AA28,1,0,$Q26-2)))</f>
        <v>0</v>
      </c>
      <c r="AB28" s="253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$264,"="&amp;CRONO!AB$12,CÁLCULO!$AB$15:$AL$264)/(ORÇAMENTO!$X$15-CÁLCULO.TotalAdmLocal)*CRONO!$E28,0),AB27*$R26),SUMIF(OFFSET($R28,1,0,$Q26-2),($L26+1)&amp;"$",OFFSET(AB28,1,0,$Q26-2)))</f>
        <v>0</v>
      </c>
      <c r="AC28" s="253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$264,"="&amp;CRONO!AC$12,CÁLCULO!$AB$15:$AL$264)/(ORÇAMENTO!$X$15-CÁLCULO.TotalAdmLocal)*CRONO!$E28,0),AC27*$R26),SUMIF(OFFSET($R28,1,0,$Q26-2),($L26+1)&amp;"$",OFFSET(AC28,1,0,$Q26-2)))</f>
        <v>0</v>
      </c>
      <c r="AD28" s="253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$264,"="&amp;CRONO!AD$12,CÁLCULO!$AB$15:$AL$264)/(ORÇAMENTO!$X$15-CÁLCULO.TotalAdmLocal)*CRONO!$E28,0),AD27*$R26),SUMIF(OFFSET($R28,1,0,$Q26-2),($L26+1)&amp;"$",OFFSET(AD28,1,0,$Q26-2)))</f>
        <v>0</v>
      </c>
      <c r="AE28" s="258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$264,"="&amp;CRONO!AE$12,CÁLCULO!$AB$15:$AL$264)/(ORÇAMENTO!$X$15-CÁLCULO.TotalAdmLocal)*CRONO!$E28,0),AE27*$R26),SUMIF(OFFSET($R28,1,0,$Q26-2),($L26+1)&amp;"$",OFFSET(AE28,1,0,$Q26-2)))</f>
        <v>0</v>
      </c>
    </row>
    <row r="29" spans="1:32">
      <c r="A29" s="234">
        <f ca="1">OFFSET(A29,-3,0)+1</f>
        <v>6</v>
      </c>
      <c r="B29" s="234">
        <f ca="1">IF($Q29&lt;&gt;2,0,IF($R29=0,1,IF(E30&gt;0,OFFSET(QCI!$M$13,SUBSTITUTE(E30,".",""),0),OFFSET(ORÇAMENTO!$AA$15,CRONO!$E29,0))/$R29))</f>
        <v>8.4033318391922615E-2</v>
      </c>
      <c r="C29" s="234">
        <f ca="1">IF($Q29&lt;&gt;2,0,IF($R29=0,1,IF(E30&gt;0,OFFSET(QCI!$N$13,SUBSTITUTE(E30,".",""),0),OFFSET(ORÇAMENTO!$AB$15,CRONO!$E29,0))/$R29))</f>
        <v>0</v>
      </c>
      <c r="D29" s="237">
        <f ca="1">IF(AND($Q29=2,ACOMPANHAMENTO="BM"),D30,D31/$R29)</f>
        <v>0.13557922972654271</v>
      </c>
      <c r="E29" s="234">
        <f ca="1">IF(A29&lt;=ORÇAMENTO.MáximoListaCrono,MATCH(A29,ORÇAMENTO.ListaCrono,0),NA())</f>
        <v>15</v>
      </c>
      <c r="F29" s="234" t="str">
        <f ca="1">IF(AND($E30&lt;&gt;-1,$R29&gt;0),"F","")</f>
        <v>F</v>
      </c>
      <c r="G29" s="238" t="str">
        <f ca="1">IF(OR(R29=0,R29=""),"Linha",IF(AND(OR(ACOMPANHAMENTO="PLE",$Q29&lt;&gt;2),$E30=0),"Linha",1-SUM(T29:AF29)))</f>
        <v>Linha</v>
      </c>
      <c r="H29" s="239" t="str">
        <f ca="1">IF($E30=0,OFFSET(ORÇAMENTO!O$15,$E29,0),IF($E30&lt;&gt;-1,OFFSET(QCI!$D$13,$E30,0),""))</f>
        <v>1.5.</v>
      </c>
      <c r="I29" s="240" t="str">
        <f ca="1">IF($E30=0,OFFSET(ORÇAMENTO!R$15,$E29,0),IF($E30&lt;&gt;-1,OFFSET(QCI!$G$13,$E30,0),""))</f>
        <v>DRENAGEM</v>
      </c>
      <c r="J29" s="240"/>
      <c r="K29" s="240"/>
      <c r="L29" s="241">
        <f ca="1">IF($E30=0,OFFSET(ORÇAMENTO!C$15,$E29,0),1)</f>
        <v>2</v>
      </c>
      <c r="M29" s="242">
        <f ca="1">IF($E30=-1,0,IF(M$13&lt;=$L29,IF(ISERROR(MATCH(M$13,OFFSET($L29,1,0,ROW($L$32)-ROW($L29)-1),0)),ROW($L$32)-ROW($L29)-1,MATCH(M$13,OFFSET($L29,1,0,ROW($L$32)-ROW($L29)-1),0)-1),0))</f>
        <v>2</v>
      </c>
      <c r="N29" s="242">
        <f ca="1">IF($E30=-1,0,IF(N$13&lt;=$L29,IF(ISERROR(MATCH(N$13,OFFSET($L29,1,0,ROW($L$32)-ROW($L29)-1),0)),ROW($L$32)-ROW($L29)-1,MATCH(N$13,OFFSET($L29,1,0,ROW($L$32)-ROW($L29)-1),0)-1),0))</f>
        <v>2</v>
      </c>
      <c r="O29" s="242">
        <f ca="1">IF($E30=-1,0,IF(O$13&lt;=$L29,IF(ISERROR(MATCH(O$13,OFFSET($L29,1,0,ROW($L$32)-ROW($L29)-1),0)),ROW($L$32)-ROW($L29)-1,MATCH(O$13,OFFSET($L29,1,0,ROW($L$32)-ROW($L29)-1),0)-1),0))</f>
        <v>0</v>
      </c>
      <c r="P29" s="242">
        <f ca="1">IF($E30=-1,0,IF(P$13&lt;=$L29,IF(ISERROR(MATCH(P$13,OFFSET($L29,1,0,ROW($L$32)-ROW($L29)-1),0)),ROW($L$32)-ROW($L29)-1,MATCH(P$13,OFFSET($L29,1,0,ROW($L$32)-ROW($L29)-1),0)-1),0))</f>
        <v>0</v>
      </c>
      <c r="Q29" s="242">
        <f ca="1">MIN(OFFSET(L29,0,1,,L29))</f>
        <v>2</v>
      </c>
      <c r="R29" s="243">
        <f ca="1">IF($E30=0,OFFSET(ORÇAMENTO!X$15,$E29,0),IF($E30&lt;&gt;-1,OFFSET(QCI!$O$13,$E30,0),""))</f>
        <v>16790.919999999998</v>
      </c>
      <c r="S29" s="244" t="s">
        <v>270</v>
      </c>
      <c r="T29" s="245">
        <f t="shared" ref="T29:AE29" ca="1" si="38">IF(AND($Q29=2,ACOMPANHAMENTO="BM"),T30,T31/$R29)</f>
        <v>0.13557922972654271</v>
      </c>
      <c r="U29" s="237">
        <f t="shared" ca="1" si="38"/>
        <v>0.86442077027345743</v>
      </c>
      <c r="V29" s="237">
        <f t="shared" ca="1" si="38"/>
        <v>0</v>
      </c>
      <c r="W29" s="237">
        <f t="shared" ca="1" si="38"/>
        <v>0</v>
      </c>
      <c r="X29" s="237">
        <f t="shared" ca="1" si="38"/>
        <v>0</v>
      </c>
      <c r="Y29" s="237">
        <f t="shared" ca="1" si="38"/>
        <v>0</v>
      </c>
      <c r="Z29" s="237">
        <f t="shared" ca="1" si="38"/>
        <v>0</v>
      </c>
      <c r="AA29" s="237">
        <f t="shared" ca="1" si="38"/>
        <v>0</v>
      </c>
      <c r="AB29" s="237">
        <f t="shared" ca="1" si="38"/>
        <v>0</v>
      </c>
      <c r="AC29" s="237">
        <f t="shared" ca="1" si="38"/>
        <v>0</v>
      </c>
      <c r="AD29" s="237">
        <f t="shared" ca="1" si="38"/>
        <v>0</v>
      </c>
      <c r="AE29" s="246">
        <f t="shared" ca="1" si="38"/>
        <v>0</v>
      </c>
    </row>
    <row r="30" spans="1:32" ht="12.75" customHeight="1">
      <c r="D30" s="653"/>
      <c r="E30" s="234">
        <f ca="1">IF(ISERROR(E29),IF(1+COUNTIF($L$13:OFFSET(L29,-1,0),1)&lt;=MAX(QCI!$D$13:$D$24),1+COUNTIF($L$13:OFFSET(L29,-1,0),1),-1),0)</f>
        <v>0</v>
      </c>
      <c r="F30" s="234" t="str">
        <f ca="1">IF(AND($E30&lt;&gt;-1,$R29&gt;0),"F","")</f>
        <v>F</v>
      </c>
      <c r="G30" s="247" t="str">
        <f ca="1">IF(OR(R29=0,R29=""),"vazia",IF(AND(OR(ACOMPANHAMENTO="PLE",$Q29&lt;&gt;2),$E30=0),"calculada","--&gt;"))</f>
        <v>calculada</v>
      </c>
      <c r="H30" s="248"/>
      <c r="I30" s="249" t="str">
        <f ca="1">IF(AND(G29&lt;&gt;0,ISNUMBER(G29)),"PREENCHA ESTA LINHA --&gt;","")</f>
        <v/>
      </c>
      <c r="J30" s="249"/>
      <c r="K30" s="249"/>
      <c r="L30" s="250"/>
      <c r="M30" s="250"/>
      <c r="N30" s="250"/>
      <c r="O30" s="250"/>
      <c r="P30" s="250"/>
      <c r="Q30" s="250"/>
      <c r="R30" s="251"/>
      <c r="S30" s="252"/>
      <c r="T30" s="654"/>
      <c r="U30" s="653"/>
      <c r="V30" s="653"/>
      <c r="W30" s="653"/>
      <c r="X30" s="653"/>
      <c r="Y30" s="653"/>
      <c r="Z30" s="653"/>
      <c r="AA30" s="653"/>
      <c r="AB30" s="653"/>
      <c r="AC30" s="653"/>
      <c r="AD30" s="653"/>
      <c r="AE30" s="655"/>
      <c r="AF30" s="613"/>
    </row>
    <row r="31" spans="1:32" ht="0.15" hidden="1" customHeight="1">
      <c r="D31" s="253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$264,"="&amp;CRONO!D$12,CÁLCULO!$AB$15:$AL$264)/(ORÇAMENTO!$X$15-CÁLCULO.TotalAdmLocal)*CRONO!$E31,0),D30*$R29),SUMIF(OFFSET($R31,1,0,$Q29-2),($L29+1)&amp;"$",OFFSET(D31,1,0,$Q29-2)))</f>
        <v>2276.5000000000005</v>
      </c>
      <c r="E31" s="234" t="str">
        <f ca="1">IF(OR($Q29&lt;&gt;2,AUTOEVENTO&lt;&gt;"manual",$E30&gt;0),"",SUMIF(OFFSET(CÁLCULO!$M$15,CRONO!$E29,0,OFFSET(ORÇAMENTO!$D$15,CRONO!$E29,0)),1,OFFSET(ORÇAMENTO!$X$15,CRONO!$E29,0,OFFSET(ORÇAMENTO!$D$15,CRONO!$E29,0))))</f>
        <v/>
      </c>
      <c r="G31" s="254"/>
      <c r="R31" s="255" t="str">
        <f ca="1">L29&amp;"$"</f>
        <v>2$</v>
      </c>
      <c r="S31" s="256"/>
      <c r="T31" s="257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$264,"&lt;="&amp;CRONO!T$12,CÁLCULO!$AB$15:$AL$264)/(ORÇAMENTO!$X$15-CÁLCULO.TotalAdmLocal)*CRONO!$E31,0),T30*$R29),SUMIF(OFFSET($R31,1,0,$Q29-2),($L29+1)&amp;"$",OFFSET(T31,1,0,$Q29-2)))</f>
        <v>2276.5000000000005</v>
      </c>
      <c r="U31" s="253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$264,"="&amp;CRONO!U$12,CÁLCULO!$AB$15:$AL$264)/(ORÇAMENTO!$X$15-CÁLCULO.TotalAdmLocal)*CRONO!$E31,0),U30*$R29),SUMIF(OFFSET($R31,1,0,$Q29-2),($L29+1)&amp;"$",OFFSET(U31,1,0,$Q29-2)))</f>
        <v>14514.42</v>
      </c>
      <c r="V31" s="253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$264,"="&amp;CRONO!V$12,CÁLCULO!$AB$15:$AL$264)/(ORÇAMENTO!$X$15-CÁLCULO.TotalAdmLocal)*CRONO!$E31,0),V30*$R29),SUMIF(OFFSET($R31,1,0,$Q29-2),($L29+1)&amp;"$",OFFSET(V31,1,0,$Q29-2)))</f>
        <v>0</v>
      </c>
      <c r="W31" s="253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$264,"="&amp;CRONO!W$12,CÁLCULO!$AB$15:$AL$264)/(ORÇAMENTO!$X$15-CÁLCULO.TotalAdmLocal)*CRONO!$E31,0),W30*$R29),SUMIF(OFFSET($R31,1,0,$Q29-2),($L29+1)&amp;"$",OFFSET(W31,1,0,$Q29-2)))</f>
        <v>0</v>
      </c>
      <c r="X31" s="253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$264,"="&amp;CRONO!X$12,CÁLCULO!$AB$15:$AL$264)/(ORÇAMENTO!$X$15-CÁLCULO.TotalAdmLocal)*CRONO!$E31,0),X30*$R29),SUMIF(OFFSET($R31,1,0,$Q29-2),($L29+1)&amp;"$",OFFSET(X31,1,0,$Q29-2)))</f>
        <v>0</v>
      </c>
      <c r="Y31" s="253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$264,"="&amp;CRONO!Y$12,CÁLCULO!$AB$15:$AL$264)/(ORÇAMENTO!$X$15-CÁLCULO.TotalAdmLocal)*CRONO!$E31,0),Y30*$R29),SUMIF(OFFSET($R31,1,0,$Q29-2),($L29+1)&amp;"$",OFFSET(Y31,1,0,$Q29-2)))</f>
        <v>0</v>
      </c>
      <c r="Z31" s="253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$264,"="&amp;CRONO!Z$12,CÁLCULO!$AB$15:$AL$264)/(ORÇAMENTO!$X$15-CÁLCULO.TotalAdmLocal)*CRONO!$E31,0),Z30*$R29),SUMIF(OFFSET($R31,1,0,$Q29-2),($L29+1)&amp;"$",OFFSET(Z31,1,0,$Q29-2)))</f>
        <v>0</v>
      </c>
      <c r="AA31" s="253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$264,"="&amp;CRONO!AA$12,CÁLCULO!$AB$15:$AL$264)/(ORÇAMENTO!$X$15-CÁLCULO.TotalAdmLocal)*CRONO!$E31,0),AA30*$R29),SUMIF(OFFSET($R31,1,0,$Q29-2),($L29+1)&amp;"$",OFFSET(AA31,1,0,$Q29-2)))</f>
        <v>0</v>
      </c>
      <c r="AB31" s="253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$264,"="&amp;CRONO!AB$12,CÁLCULO!$AB$15:$AL$264)/(ORÇAMENTO!$X$15-CÁLCULO.TotalAdmLocal)*CRONO!$E31,0),AB30*$R29),SUMIF(OFFSET($R31,1,0,$Q29-2),($L29+1)&amp;"$",OFFSET(AB31,1,0,$Q29-2)))</f>
        <v>0</v>
      </c>
      <c r="AC31" s="253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$264,"="&amp;CRONO!AC$12,CÁLCULO!$AB$15:$AL$264)/(ORÇAMENTO!$X$15-CÁLCULO.TotalAdmLocal)*CRONO!$E31,0),AC30*$R29),SUMIF(OFFSET($R31,1,0,$Q29-2),($L29+1)&amp;"$",OFFSET(AC31,1,0,$Q29-2)))</f>
        <v>0</v>
      </c>
      <c r="AD31" s="253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$264,"="&amp;CRONO!AD$12,CÁLCULO!$AB$15:$AL$264)/(ORÇAMENTO!$X$15-CÁLCULO.TotalAdmLocal)*CRONO!$E31,0),AD30*$R29),SUMIF(OFFSET($R31,1,0,$Q29-2),($L29+1)&amp;"$",OFFSET(AD31,1,0,$Q29-2)))</f>
        <v>0</v>
      </c>
      <c r="AE31" s="258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$264,"="&amp;CRONO!AE$12,CÁLCULO!$AB$15:$AL$264)/(ORÇAMENTO!$X$15-CÁLCULO.TotalAdmLocal)*CRONO!$E31,0),AE30*$R29),SUMIF(OFFSET($R31,1,0,$Q29-2),($L29+1)&amp;"$",OFFSET(AE31,1,0,$Q29-2)))</f>
        <v>0</v>
      </c>
    </row>
    <row r="32" spans="1:32" ht="5.0999999999999996" customHeight="1">
      <c r="D32" s="578"/>
      <c r="F32" s="234" t="s">
        <v>246</v>
      </c>
      <c r="G32" s="580"/>
      <c r="H32" s="581"/>
      <c r="I32" s="582"/>
      <c r="J32" s="582"/>
      <c r="K32" s="582"/>
      <c r="L32" s="583" t="s">
        <v>281</v>
      </c>
      <c r="M32" s="583"/>
      <c r="N32" s="583"/>
      <c r="O32" s="583"/>
      <c r="P32" s="583"/>
      <c r="Q32" s="583"/>
      <c r="R32" s="584"/>
      <c r="S32" s="584"/>
      <c r="T32" s="582"/>
      <c r="U32" s="582"/>
      <c r="V32" s="582"/>
      <c r="W32" s="582"/>
      <c r="X32" s="582"/>
      <c r="Y32" s="582"/>
      <c r="Z32" s="582"/>
      <c r="AA32" s="582"/>
      <c r="AB32" s="582"/>
      <c r="AC32" s="582"/>
      <c r="AD32" s="582"/>
      <c r="AE32" s="585"/>
      <c r="AF32" s="579"/>
    </row>
    <row r="33" spans="4:32" ht="12.75" customHeight="1">
      <c r="D33" s="285">
        <f ca="1">D37/$Q$33</f>
        <v>0.55112133093431137</v>
      </c>
      <c r="F33" s="234" t="s">
        <v>246</v>
      </c>
      <c r="H33" s="728" t="str">
        <f ca="1">"Total:    R$ "&amp;TEXT(Q33,"#.##0,00")</f>
        <v>Total:    R$ 1.048.093,80</v>
      </c>
      <c r="I33" s="728"/>
      <c r="J33" s="728"/>
      <c r="K33" s="286"/>
      <c r="Q33" s="287">
        <f ca="1">SUMIF(L12:L32,1,R12:R32)</f>
        <v>1048093.8</v>
      </c>
      <c r="R33" s="288"/>
      <c r="S33" s="289" t="s">
        <v>282</v>
      </c>
      <c r="T33" s="290">
        <f t="shared" ref="T33:AE33" ca="1" si="39">ROUND(T37,2)/$Q$33</f>
        <v>0.55112133093431137</v>
      </c>
      <c r="U33" s="291">
        <f t="shared" ca="1" si="39"/>
        <v>0.44887866906568857</v>
      </c>
      <c r="V33" s="291">
        <f t="shared" ca="1" si="39"/>
        <v>0</v>
      </c>
      <c r="W33" s="291">
        <f t="shared" ca="1" si="39"/>
        <v>0</v>
      </c>
      <c r="X33" s="291">
        <f t="shared" ca="1" si="39"/>
        <v>0</v>
      </c>
      <c r="Y33" s="291">
        <f t="shared" ca="1" si="39"/>
        <v>0</v>
      </c>
      <c r="Z33" s="291">
        <f t="shared" ca="1" si="39"/>
        <v>0</v>
      </c>
      <c r="AA33" s="291">
        <f t="shared" ca="1" si="39"/>
        <v>0</v>
      </c>
      <c r="AB33" s="291">
        <f t="shared" ca="1" si="39"/>
        <v>0</v>
      </c>
      <c r="AC33" s="291">
        <f t="shared" ca="1" si="39"/>
        <v>0</v>
      </c>
      <c r="AD33" s="291">
        <f t="shared" ca="1" si="39"/>
        <v>0</v>
      </c>
      <c r="AE33" s="292">
        <f t="shared" ca="1" si="39"/>
        <v>0</v>
      </c>
    </row>
    <row r="34" spans="4:32" ht="15" customHeight="1">
      <c r="D34" s="293">
        <f ca="1">ROUND(D39,2)-ROUND(C39,2)</f>
        <v>529086.94999999995</v>
      </c>
      <c r="F34" s="234" t="s">
        <v>246</v>
      </c>
      <c r="H34" s="728"/>
      <c r="I34" s="728"/>
      <c r="J34" s="728"/>
      <c r="K34" s="294"/>
      <c r="Q34" s="287"/>
      <c r="R34" s="295"/>
      <c r="S34" s="296" t="str">
        <f>IF(import.recurso="FGTS","Financiamento:","Repasse:")</f>
        <v>Repasse:</v>
      </c>
      <c r="T34" s="297">
        <f ca="1">ROUND(T39,2)</f>
        <v>529086.94999999995</v>
      </c>
      <c r="U34" s="293">
        <f t="shared" ref="U34:AE34" ca="1" si="40">ROUND(U39,2)-ROUND(T39,2)</f>
        <v>430932.05000000005</v>
      </c>
      <c r="V34" s="293">
        <f t="shared" ca="1" si="40"/>
        <v>0</v>
      </c>
      <c r="W34" s="293">
        <f t="shared" ca="1" si="40"/>
        <v>0</v>
      </c>
      <c r="X34" s="293">
        <f t="shared" ca="1" si="40"/>
        <v>0</v>
      </c>
      <c r="Y34" s="293">
        <f t="shared" ca="1" si="40"/>
        <v>0</v>
      </c>
      <c r="Z34" s="293">
        <f t="shared" ca="1" si="40"/>
        <v>0</v>
      </c>
      <c r="AA34" s="293">
        <f t="shared" ca="1" si="40"/>
        <v>0</v>
      </c>
      <c r="AB34" s="293">
        <f t="shared" ca="1" si="40"/>
        <v>0</v>
      </c>
      <c r="AC34" s="293">
        <f t="shared" ca="1" si="40"/>
        <v>0</v>
      </c>
      <c r="AD34" s="293">
        <f t="shared" ca="1" si="40"/>
        <v>0</v>
      </c>
      <c r="AE34" s="298">
        <f t="shared" ca="1" si="40"/>
        <v>0</v>
      </c>
    </row>
    <row r="35" spans="4:32" ht="12.75" customHeight="1">
      <c r="D35" s="293">
        <f ca="1">ROUND(D40,2)-ROUND(C40,2)</f>
        <v>48539.9</v>
      </c>
      <c r="F35" s="234" t="s">
        <v>246</v>
      </c>
      <c r="H35" s="299"/>
      <c r="K35" s="300" t="s">
        <v>283</v>
      </c>
      <c r="Q35" s="287"/>
      <c r="R35" s="301"/>
      <c r="S35" s="302" t="s">
        <v>284</v>
      </c>
      <c r="T35" s="303">
        <f ca="1">ROUND(T40,2)</f>
        <v>48539.9</v>
      </c>
      <c r="U35" s="304">
        <f t="shared" ref="U35:AE35" ca="1" si="41">ROUND(U40,2)-ROUND(T40,2)</f>
        <v>39534.9</v>
      </c>
      <c r="V35" s="304">
        <f t="shared" ca="1" si="41"/>
        <v>0</v>
      </c>
      <c r="W35" s="304">
        <f t="shared" ca="1" si="41"/>
        <v>0</v>
      </c>
      <c r="X35" s="304">
        <f t="shared" ca="1" si="41"/>
        <v>0</v>
      </c>
      <c r="Y35" s="304">
        <f t="shared" ca="1" si="41"/>
        <v>0</v>
      </c>
      <c r="Z35" s="304">
        <f t="shared" ca="1" si="41"/>
        <v>0</v>
      </c>
      <c r="AA35" s="304">
        <f t="shared" ca="1" si="41"/>
        <v>0</v>
      </c>
      <c r="AB35" s="304">
        <f t="shared" ca="1" si="41"/>
        <v>0</v>
      </c>
      <c r="AC35" s="304">
        <f t="shared" ca="1" si="41"/>
        <v>0</v>
      </c>
      <c r="AD35" s="304">
        <f t="shared" ca="1" si="41"/>
        <v>0</v>
      </c>
      <c r="AE35" s="305">
        <f t="shared" ca="1" si="41"/>
        <v>0</v>
      </c>
    </row>
    <row r="36" spans="4:32">
      <c r="D36" s="306">
        <f ca="1">ROUND(D41,2)-ROUND(C41,2)</f>
        <v>0</v>
      </c>
      <c r="F36" s="234" t="s">
        <v>246</v>
      </c>
      <c r="H36" s="299"/>
      <c r="K36" s="300"/>
      <c r="Q36" s="287"/>
      <c r="R36" s="307"/>
      <c r="S36" s="308" t="s">
        <v>285</v>
      </c>
      <c r="T36" s="309">
        <f ca="1">ROUND(T41,2)</f>
        <v>0</v>
      </c>
      <c r="U36" s="306">
        <f t="shared" ref="U36:AE36" ca="1" si="42">ROUND(U41,2)-ROUND(T41,2)</f>
        <v>0</v>
      </c>
      <c r="V36" s="306">
        <f t="shared" ca="1" si="42"/>
        <v>0</v>
      </c>
      <c r="W36" s="306">
        <f t="shared" ca="1" si="42"/>
        <v>0</v>
      </c>
      <c r="X36" s="306">
        <f t="shared" ca="1" si="42"/>
        <v>0</v>
      </c>
      <c r="Y36" s="306">
        <f t="shared" ca="1" si="42"/>
        <v>0</v>
      </c>
      <c r="Z36" s="306">
        <f t="shared" ca="1" si="42"/>
        <v>0</v>
      </c>
      <c r="AA36" s="306">
        <f t="shared" ca="1" si="42"/>
        <v>0</v>
      </c>
      <c r="AB36" s="306">
        <f t="shared" ca="1" si="42"/>
        <v>0</v>
      </c>
      <c r="AC36" s="306">
        <f t="shared" ca="1" si="42"/>
        <v>0</v>
      </c>
      <c r="AD36" s="306">
        <f t="shared" ca="1" si="42"/>
        <v>0</v>
      </c>
      <c r="AE36" s="310">
        <f t="shared" ca="1" si="42"/>
        <v>0</v>
      </c>
    </row>
    <row r="37" spans="4:32">
      <c r="D37" s="311">
        <f ca="1">ROUND(D42,2)-ROUND(C42,2)</f>
        <v>577626.85</v>
      </c>
      <c r="F37" s="234" t="s">
        <v>246</v>
      </c>
      <c r="K37" s="312"/>
      <c r="R37" s="313"/>
      <c r="S37" s="314" t="s">
        <v>286</v>
      </c>
      <c r="T37" s="315">
        <f ca="1">ROUND(T42,2)</f>
        <v>577626.85</v>
      </c>
      <c r="U37" s="316">
        <f t="shared" ref="U37:AE37" ca="1" si="43">ROUND(U42,2)-ROUND(T42,2)</f>
        <v>470466.95000000007</v>
      </c>
      <c r="V37" s="316">
        <f t="shared" ca="1" si="43"/>
        <v>0</v>
      </c>
      <c r="W37" s="316">
        <f t="shared" ca="1" si="43"/>
        <v>0</v>
      </c>
      <c r="X37" s="316">
        <f t="shared" ca="1" si="43"/>
        <v>0</v>
      </c>
      <c r="Y37" s="316">
        <f t="shared" ca="1" si="43"/>
        <v>0</v>
      </c>
      <c r="Z37" s="316">
        <f t="shared" ca="1" si="43"/>
        <v>0</v>
      </c>
      <c r="AA37" s="316">
        <f t="shared" ca="1" si="43"/>
        <v>0</v>
      </c>
      <c r="AB37" s="316">
        <f t="shared" ca="1" si="43"/>
        <v>0</v>
      </c>
      <c r="AC37" s="316">
        <f t="shared" ca="1" si="43"/>
        <v>0</v>
      </c>
      <c r="AD37" s="316">
        <f t="shared" ca="1" si="43"/>
        <v>0</v>
      </c>
      <c r="AE37" s="317">
        <f t="shared" ca="1" si="43"/>
        <v>0</v>
      </c>
    </row>
    <row r="38" spans="4:32">
      <c r="D38" s="285">
        <f ca="1">D42/$Q$33</f>
        <v>0.55112133095845262</v>
      </c>
      <c r="F38" s="234" t="s">
        <v>246</v>
      </c>
      <c r="K38" s="286"/>
      <c r="R38" s="288"/>
      <c r="S38" s="289" t="s">
        <v>282</v>
      </c>
      <c r="T38" s="290">
        <f ca="1">ROUND(T42,2)/$Q$33</f>
        <v>0.55112133093431137</v>
      </c>
      <c r="U38" s="291">
        <f t="shared" ref="U38:AE38" ca="1" si="44">ROUND(U42,2)/$Q$33</f>
        <v>1</v>
      </c>
      <c r="V38" s="291">
        <f t="shared" ca="1" si="44"/>
        <v>1</v>
      </c>
      <c r="W38" s="291">
        <f t="shared" ca="1" si="44"/>
        <v>1</v>
      </c>
      <c r="X38" s="291">
        <f t="shared" ca="1" si="44"/>
        <v>1</v>
      </c>
      <c r="Y38" s="291">
        <f t="shared" ca="1" si="44"/>
        <v>1</v>
      </c>
      <c r="Z38" s="291">
        <f t="shared" ca="1" si="44"/>
        <v>1</v>
      </c>
      <c r="AA38" s="291">
        <f t="shared" ca="1" si="44"/>
        <v>1</v>
      </c>
      <c r="AB38" s="291">
        <f t="shared" ca="1" si="44"/>
        <v>1</v>
      </c>
      <c r="AC38" s="291">
        <f t="shared" ca="1" si="44"/>
        <v>1</v>
      </c>
      <c r="AD38" s="291">
        <f t="shared" ca="1" si="44"/>
        <v>1</v>
      </c>
      <c r="AE38" s="292">
        <f t="shared" ca="1" si="44"/>
        <v>1</v>
      </c>
    </row>
    <row r="39" spans="4:32">
      <c r="D39" s="293">
        <f ca="1">ROUND(D42-D41-D40,2)</f>
        <v>529086.94999999995</v>
      </c>
      <c r="F39" s="234" t="s">
        <v>246</v>
      </c>
      <c r="K39" s="294"/>
      <c r="R39" s="295"/>
      <c r="S39" s="296" t="str">
        <f>IF(import.recurso="FGTS","Financiamento:","Repasse:")</f>
        <v>Repasse:</v>
      </c>
      <c r="T39" s="297">
        <f ca="1">ROUND(T42-T41-T40,2)</f>
        <v>529086.94999999995</v>
      </c>
      <c r="U39" s="293">
        <f t="shared" ref="U39:AE39" ca="1" si="45">ROUND(U42-U41-U40,2)</f>
        <v>960019</v>
      </c>
      <c r="V39" s="293">
        <f t="shared" ca="1" si="45"/>
        <v>960019</v>
      </c>
      <c r="W39" s="293">
        <f t="shared" ca="1" si="45"/>
        <v>960019</v>
      </c>
      <c r="X39" s="293">
        <f t="shared" ca="1" si="45"/>
        <v>960019</v>
      </c>
      <c r="Y39" s="293">
        <f t="shared" ca="1" si="45"/>
        <v>960019</v>
      </c>
      <c r="Z39" s="293">
        <f t="shared" ca="1" si="45"/>
        <v>960019</v>
      </c>
      <c r="AA39" s="293">
        <f t="shared" ca="1" si="45"/>
        <v>960019</v>
      </c>
      <c r="AB39" s="293">
        <f t="shared" ca="1" si="45"/>
        <v>960019</v>
      </c>
      <c r="AC39" s="293">
        <f t="shared" ca="1" si="45"/>
        <v>960019</v>
      </c>
      <c r="AD39" s="293">
        <f t="shared" ca="1" si="45"/>
        <v>960019</v>
      </c>
      <c r="AE39" s="298">
        <f t="shared" ca="1" si="45"/>
        <v>960019</v>
      </c>
      <c r="AF39" s="235">
        <f ca="1">AE39+SUMPRODUCT((OFFSET($B$13,1,0):OFFSET($B$32,-3,0))*IF(ISNUMBER(OFFSET(AF$11,5,0):OFFSET(AF$32,-1,0)),OFFSET(AF$11,5,0):OFFSET(AF$32,-1,0),0))</f>
        <v>960019</v>
      </c>
    </row>
    <row r="40" spans="4:32">
      <c r="D40" s="293">
        <f t="array" aca="1" ref="D40" ca="1">C40+SUM((OFFSET($B$13,1,0):OFFSET($B$32,-3,0))*IF(ISNUMBER(OFFSET(D$11,5,0):OFFSET(D$32,-1,0)),OFFSET(D$11,5,0):OFFSET(D$32,-1,0),0))</f>
        <v>48539.900999899553</v>
      </c>
      <c r="F40" s="234" t="s">
        <v>246</v>
      </c>
      <c r="K40" s="300" t="s">
        <v>287</v>
      </c>
      <c r="R40" s="301"/>
      <c r="S40" s="302" t="s">
        <v>284</v>
      </c>
      <c r="T40" s="303">
        <f t="array" aca="1" ref="T40" ca="1">SUM((OFFSET($B$13,1,0):OFFSET($B$32,-3,0))*IF(ISNUMBER(OFFSET(T$11,5,0):OFFSET(T$32,-1,0)),OFFSET(T$11,5,0):OFFSET(T$32,-1,0),0))</f>
        <v>48539.900999899553</v>
      </c>
      <c r="U40" s="304">
        <f t="array" aca="1" ref="U40" ca="1">T40+SUM((OFFSET($B$13,1,0):OFFSET($B$32,-3,0))*IF(ISNUMBER(OFFSET(U$11,5,0):OFFSET(U$32,-1,0)),OFFSET(U$11,5,0):OFFSET(U$32,-1,0),0))</f>
        <v>88074.800000000047</v>
      </c>
      <c r="V40" s="304">
        <f t="array" aca="1" ref="V40" ca="1">U40+SUM((OFFSET($B$13,1,0):OFFSET($B$32,-3,0))*IF(ISNUMBER(OFFSET(V$11,5,0):OFFSET(V$32,-1,0)),OFFSET(V$11,5,0):OFFSET(V$32,-1,0),0))</f>
        <v>88074.800000000047</v>
      </c>
      <c r="W40" s="304">
        <f t="array" aca="1" ref="W40" ca="1">V40+SUM((OFFSET($B$13,1,0):OFFSET($B$32,-3,0))*IF(ISNUMBER(OFFSET(W$11,5,0):OFFSET(W$32,-1,0)),OFFSET(W$11,5,0):OFFSET(W$32,-1,0),0))</f>
        <v>88074.800000000047</v>
      </c>
      <c r="X40" s="304">
        <f t="array" aca="1" ref="X40" ca="1">W40+SUM((OFFSET($B$13,1,0):OFFSET($B$32,-3,0))*IF(ISNUMBER(OFFSET(X$11,5,0):OFFSET(X$32,-1,0)),OFFSET(X$11,5,0):OFFSET(X$32,-1,0),0))</f>
        <v>88074.800000000047</v>
      </c>
      <c r="Y40" s="304">
        <f t="array" aca="1" ref="Y40" ca="1">X40+SUM((OFFSET($B$13,1,0):OFFSET($B$32,-3,0))*IF(ISNUMBER(OFFSET(Y$11,5,0):OFFSET(Y$32,-1,0)),OFFSET(Y$11,5,0):OFFSET(Y$32,-1,0),0))</f>
        <v>88074.800000000047</v>
      </c>
      <c r="Z40" s="304">
        <f t="array" aca="1" ref="Z40" ca="1">Y40+SUM((OFFSET($B$13,1,0):OFFSET($B$32,-3,0))*IF(ISNUMBER(OFFSET(Z$11,5,0):OFFSET(Z$32,-1,0)),OFFSET(Z$11,5,0):OFFSET(Z$32,-1,0),0))</f>
        <v>88074.800000000047</v>
      </c>
      <c r="AA40" s="304">
        <f t="array" aca="1" ref="AA40" ca="1">Z40+SUM((OFFSET($B$13,1,0):OFFSET($B$32,-3,0))*IF(ISNUMBER(OFFSET(AA$11,5,0):OFFSET(AA$32,-1,0)),OFFSET(AA$11,5,0):OFFSET(AA$32,-1,0),0))</f>
        <v>88074.800000000047</v>
      </c>
      <c r="AB40" s="304">
        <f t="array" aca="1" ref="AB40" ca="1">AA40+SUM((OFFSET($B$13,1,0):OFFSET($B$32,-3,0))*IF(ISNUMBER(OFFSET(AB$11,5,0):OFFSET(AB$32,-1,0)),OFFSET(AB$11,5,0):OFFSET(AB$32,-1,0),0))</f>
        <v>88074.800000000047</v>
      </c>
      <c r="AC40" s="304">
        <f t="array" aca="1" ref="AC40" ca="1">AB40+SUM((OFFSET($B$13,1,0):OFFSET($B$32,-3,0))*IF(ISNUMBER(OFFSET(AC$11,5,0):OFFSET(AC$32,-1,0)),OFFSET(AC$11,5,0):OFFSET(AC$32,-1,0),0))</f>
        <v>88074.800000000047</v>
      </c>
      <c r="AD40" s="304">
        <f t="array" aca="1" ref="AD40" ca="1">AC40+SUM((OFFSET($B$13,1,0):OFFSET($B$32,-3,0))*IF(ISNUMBER(OFFSET(AD$11,5,0):OFFSET(AD$32,-1,0)),OFFSET(AD$11,5,0):OFFSET(AD$32,-1,0),0))</f>
        <v>88074.800000000047</v>
      </c>
      <c r="AE40" s="305">
        <f t="array" aca="1" ref="AE40" ca="1">AD40+SUM((OFFSET($B$13,1,0):OFFSET($B$32,-3,0))*IF(ISNUMBER(OFFSET(AE$11,5,0):OFFSET(AE$32,-1,0)),OFFSET(AE$11,5,0):OFFSET(AE$32,-1,0),0))</f>
        <v>88074.800000000047</v>
      </c>
      <c r="AF40" s="235">
        <f ca="1">AE40+SUMPRODUCT((OFFSET($C$13,1,0):OFFSET($C$32,-3,0))*IF(ISNUMBER(OFFSET(AF$11,5,0):OFFSET(AF$32,-1,0)),OFFSET(AF$11,5,0):OFFSET(AF$32,-1,0),0))</f>
        <v>88074.800000000047</v>
      </c>
    </row>
    <row r="41" spans="4:32">
      <c r="D41" s="306">
        <f t="array" aca="1" ref="D41" ca="1">C41+SUM((OFFSET($C$13,1,0):OFFSET($C$32,-3,0))*IF(ISNUMBER(OFFSET(D$11,5,0):OFFSET(D$32,-1,0)),OFFSET(D$11,5,0):OFFSET(D$32,-1,0),0))</f>
        <v>0</v>
      </c>
      <c r="F41" s="234" t="s">
        <v>246</v>
      </c>
      <c r="K41" s="300"/>
      <c r="R41" s="307"/>
      <c r="S41" s="308" t="s">
        <v>285</v>
      </c>
      <c r="T41" s="309">
        <f t="array" aca="1" ref="T41" ca="1">SUM((OFFSET($C$13,1,0):OFFSET($C$32,-3,0))*IF(ISNUMBER(OFFSET(T$11,5,0):OFFSET(T$32,-1,0)),OFFSET(T$11,5,0):OFFSET(T$32,-1,0),0))</f>
        <v>0</v>
      </c>
      <c r="U41" s="306">
        <f t="array" aca="1" ref="U41" ca="1">T41+SUM((OFFSET($C$13,1,0):OFFSET($C$32,-3,0))*IF(ISNUMBER(OFFSET(U$11,5,0):OFFSET(U$32,-1,0)),OFFSET(U$11,5,0):OFFSET(U$32,-1,0),0))</f>
        <v>0</v>
      </c>
      <c r="V41" s="306">
        <f t="array" aca="1" ref="V41" ca="1">U41+SUM((OFFSET($C$13,1,0):OFFSET($C$32,-3,0))*IF(ISNUMBER(OFFSET(V$11,5,0):OFFSET(V$32,-1,0)),OFFSET(V$11,5,0):OFFSET(V$32,-1,0),0))</f>
        <v>0</v>
      </c>
      <c r="W41" s="306">
        <f t="array" aca="1" ref="W41" ca="1">V41+SUM((OFFSET($C$13,1,0):OFFSET($C$32,-3,0))*IF(ISNUMBER(OFFSET(W$11,5,0):OFFSET(W$32,-1,0)),OFFSET(W$11,5,0):OFFSET(W$32,-1,0),0))</f>
        <v>0</v>
      </c>
      <c r="X41" s="306">
        <f t="array" aca="1" ref="X41" ca="1">W41+SUM((OFFSET($C$13,1,0):OFFSET($C$32,-3,0))*IF(ISNUMBER(OFFSET(X$11,5,0):OFFSET(X$32,-1,0)),OFFSET(X$11,5,0):OFFSET(X$32,-1,0),0))</f>
        <v>0</v>
      </c>
      <c r="Y41" s="306">
        <f t="array" aca="1" ref="Y41" ca="1">X41+SUM((OFFSET($C$13,1,0):OFFSET($C$32,-3,0))*IF(ISNUMBER(OFFSET(Y$11,5,0):OFFSET(Y$32,-1,0)),OFFSET(Y$11,5,0):OFFSET(Y$32,-1,0),0))</f>
        <v>0</v>
      </c>
      <c r="Z41" s="306">
        <f t="array" aca="1" ref="Z41" ca="1">Y41+SUM((OFFSET($C$13,1,0):OFFSET($C$32,-3,0))*IF(ISNUMBER(OFFSET(Z$11,5,0):OFFSET(Z$32,-1,0)),OFFSET(Z$11,5,0):OFFSET(Z$32,-1,0),0))</f>
        <v>0</v>
      </c>
      <c r="AA41" s="306">
        <f t="array" aca="1" ref="AA41" ca="1">Z41+SUM((OFFSET($C$13,1,0):OFFSET($C$32,-3,0))*IF(ISNUMBER(OFFSET(AA$11,5,0):OFFSET(AA$32,-1,0)),OFFSET(AA$11,5,0):OFFSET(AA$32,-1,0),0))</f>
        <v>0</v>
      </c>
      <c r="AB41" s="306">
        <f t="array" aca="1" ref="AB41" ca="1">AA41+SUM((OFFSET($C$13,1,0):OFFSET($C$32,-3,0))*IF(ISNUMBER(OFFSET(AB$11,5,0):OFFSET(AB$32,-1,0)),OFFSET(AB$11,5,0):OFFSET(AB$32,-1,0),0))</f>
        <v>0</v>
      </c>
      <c r="AC41" s="306">
        <f t="array" aca="1" ref="AC41" ca="1">AB41+SUM((OFFSET($C$13,1,0):OFFSET($C$32,-3,0))*IF(ISNUMBER(OFFSET(AC$11,5,0):OFFSET(AC$32,-1,0)),OFFSET(AC$11,5,0):OFFSET(AC$32,-1,0),0))</f>
        <v>0</v>
      </c>
      <c r="AD41" s="306">
        <f t="array" aca="1" ref="AD41" ca="1">AC41+SUM((OFFSET($C$13,1,0):OFFSET($C$32,-3,0))*IF(ISNUMBER(OFFSET(AD$11,5,0):OFFSET(AD$32,-1,0)),OFFSET(AD$11,5,0):OFFSET(AD$32,-1,0),0))</f>
        <v>0</v>
      </c>
      <c r="AE41" s="310">
        <f t="array" aca="1" ref="AE41" ca="1">AD41+SUM((OFFSET($C$13,1,0):OFFSET($C$32,-3,0))*IF(ISNUMBER(OFFSET(AE$11,5,0):OFFSET(AE$32,-1,0)),OFFSET(AE$11,5,0):OFFSET(AE$32,-1,0),0))</f>
        <v>0</v>
      </c>
      <c r="AF41" s="235">
        <f ca="1">ROUND(AF42-AF39-AF40,2)</f>
        <v>0</v>
      </c>
    </row>
    <row r="42" spans="4:32">
      <c r="D42" s="311">
        <f ca="1">C42+SUMIF($R$12:$R$32,"1$",D12:D32)</f>
        <v>577626.85002530226</v>
      </c>
      <c r="F42" s="234" t="s">
        <v>246</v>
      </c>
      <c r="K42" s="312"/>
      <c r="R42" s="313"/>
      <c r="S42" s="314" t="s">
        <v>286</v>
      </c>
      <c r="T42" s="315">
        <f ca="1">SUMIF($R$12:$R$32,"1$",T12:T32)</f>
        <v>577626.85002530226</v>
      </c>
      <c r="U42" s="316">
        <f t="shared" ref="U42:AF42" ca="1" si="46">T42+SUMIF($R$12:$R$32,"1$",U12:U32)</f>
        <v>1048093.7999999998</v>
      </c>
      <c r="V42" s="316">
        <f t="shared" ca="1" si="46"/>
        <v>1048093.7999999998</v>
      </c>
      <c r="W42" s="316">
        <f t="shared" ca="1" si="46"/>
        <v>1048093.7999999998</v>
      </c>
      <c r="X42" s="316">
        <f t="shared" ca="1" si="46"/>
        <v>1048093.7999999998</v>
      </c>
      <c r="Y42" s="316">
        <f t="shared" ca="1" si="46"/>
        <v>1048093.7999999998</v>
      </c>
      <c r="Z42" s="316">
        <f t="shared" ca="1" si="46"/>
        <v>1048093.7999999998</v>
      </c>
      <c r="AA42" s="316">
        <f t="shared" ca="1" si="46"/>
        <v>1048093.7999999998</v>
      </c>
      <c r="AB42" s="316">
        <f t="shared" ca="1" si="46"/>
        <v>1048093.7999999998</v>
      </c>
      <c r="AC42" s="316">
        <f t="shared" ca="1" si="46"/>
        <v>1048093.7999999998</v>
      </c>
      <c r="AD42" s="316">
        <f t="shared" ca="1" si="46"/>
        <v>1048093.7999999998</v>
      </c>
      <c r="AE42" s="317">
        <f t="shared" ca="1" si="46"/>
        <v>1048093.7999999998</v>
      </c>
      <c r="AF42" s="235">
        <f t="shared" ca="1" si="46"/>
        <v>1048093.7999999998</v>
      </c>
    </row>
    <row r="43" spans="4:32">
      <c r="F43" s="234" t="s">
        <v>246</v>
      </c>
    </row>
    <row r="44" spans="4:32" ht="32.25" customHeight="1">
      <c r="F44" s="234" t="s">
        <v>246</v>
      </c>
      <c r="H44" s="709" t="str">
        <f>Import.Município</f>
        <v>PONTAL - SP</v>
      </c>
      <c r="I44" s="709"/>
      <c r="J44" s="709"/>
      <c r="K44" s="709"/>
      <c r="L44" s="709"/>
      <c r="M44" s="709"/>
      <c r="N44" s="709"/>
      <c r="O44" s="709"/>
      <c r="P44" s="709"/>
      <c r="Q44" s="709"/>
      <c r="R44" s="709"/>
      <c r="Z44" s="635"/>
      <c r="AA44" s="635"/>
      <c r="AB44" s="635"/>
      <c r="AC44" s="635"/>
      <c r="AD44" s="638"/>
      <c r="AE44" s="638"/>
    </row>
    <row r="45" spans="4:32">
      <c r="F45" s="234" t="s">
        <v>246</v>
      </c>
      <c r="H45" s="12" t="s">
        <v>188</v>
      </c>
      <c r="I45" s="100"/>
      <c r="J45" s="100"/>
      <c r="K45" s="100"/>
      <c r="Z45" s="225" t="s">
        <v>190</v>
      </c>
      <c r="AA45" s="225"/>
      <c r="AB45" s="225"/>
      <c r="AC45" s="225"/>
      <c r="AD45" s="234"/>
      <c r="AE45" s="234"/>
    </row>
    <row r="46" spans="4:32">
      <c r="F46" s="234" t="s">
        <v>246</v>
      </c>
      <c r="H46" s="100"/>
      <c r="I46" s="100"/>
      <c r="J46" s="100"/>
      <c r="K46" s="100"/>
      <c r="Z46" s="637" t="str">
        <f t="array" aca="1" ref="Z46:Z48" ca="1">OFFSET(Import.RespOrçamento,0,-1) &amp; " " &amp; Import.RespOrçamento</f>
        <v>Nome: CÉSAR AUGUSTO SABINO</v>
      </c>
      <c r="AB46" s="172"/>
      <c r="AC46" s="92"/>
      <c r="AD46" s="234"/>
      <c r="AE46" s="234"/>
    </row>
    <row r="47" spans="4:32">
      <c r="F47" s="234" t="s">
        <v>246</v>
      </c>
      <c r="H47" s="732">
        <f ca="1">DADOS!$F$25</f>
        <v>45797</v>
      </c>
      <c r="I47" s="732"/>
      <c r="J47" s="732"/>
      <c r="K47" s="318"/>
      <c r="L47" s="319"/>
      <c r="M47" s="319"/>
      <c r="N47" s="319"/>
      <c r="O47" s="319"/>
      <c r="P47" s="319"/>
      <c r="Q47" s="319"/>
      <c r="R47" s="320"/>
      <c r="Z47" s="637" t="str">
        <f ca="1"/>
        <v>CREA/CAU: 5070797486</v>
      </c>
      <c r="AB47" s="92"/>
      <c r="AC47" s="92"/>
      <c r="AD47" s="234"/>
      <c r="AE47" s="234"/>
    </row>
    <row r="48" spans="4:32">
      <c r="F48" s="234" t="s">
        <v>246</v>
      </c>
      <c r="H48" s="321" t="s">
        <v>189</v>
      </c>
      <c r="I48" s="101"/>
      <c r="J48" s="101"/>
      <c r="K48" s="100"/>
      <c r="Z48" s="637" t="str">
        <f ca="1"/>
        <v xml:space="preserve">ART/RRT: </v>
      </c>
      <c r="AB48" s="92"/>
      <c r="AC48" s="92"/>
      <c r="AD48" s="234"/>
      <c r="AE48" s="234"/>
    </row>
  </sheetData>
  <sheetProtection password="BD1F" sheet="1" objects="1" scenarios="1" autoFilter="0"/>
  <autoFilter ref="F13:F48">
    <filterColumn colId="0">
      <filters>
        <filter val="F"/>
      </filters>
    </filterColumn>
  </autoFilter>
  <mergeCells count="17">
    <mergeCell ref="H47:J47"/>
    <mergeCell ref="AD4:AE4"/>
    <mergeCell ref="AD5:AE5"/>
    <mergeCell ref="Y8:AD8"/>
    <mergeCell ref="R12:R13"/>
    <mergeCell ref="S12:S13"/>
    <mergeCell ref="K8:S8"/>
    <mergeCell ref="T8:X8"/>
    <mergeCell ref="J10:S11"/>
    <mergeCell ref="H44:R44"/>
    <mergeCell ref="F8:F11"/>
    <mergeCell ref="H8:I8"/>
    <mergeCell ref="G7:G9"/>
    <mergeCell ref="H33:J34"/>
    <mergeCell ref="G12:G13"/>
    <mergeCell ref="H12:H13"/>
    <mergeCell ref="I12:I13"/>
  </mergeCells>
  <phoneticPr fontId="38" type="noConversion"/>
  <conditionalFormatting sqref="T12:T13">
    <cfRule type="expression" dxfId="216" priority="1943" stopIfTrue="1">
      <formula>NOT(ISNUMBER(S$12))</formula>
    </cfRule>
  </conditionalFormatting>
  <conditionalFormatting sqref="D2 T2:AF2">
    <cfRule type="expression" dxfId="215" priority="1944" stopIfTrue="1">
      <formula>AND(ISNUMBER($G1),$G1&lt;&gt;0)</formula>
    </cfRule>
  </conditionalFormatting>
  <conditionalFormatting sqref="H2:R2">
    <cfRule type="expression" dxfId="214" priority="1945" stopIfTrue="1">
      <formula>$L1=2</formula>
    </cfRule>
    <cfRule type="expression" dxfId="213" priority="1946" stopIfTrue="1">
      <formula>AND($L1=1,$R1&lt;&gt;"")</formula>
    </cfRule>
  </conditionalFormatting>
  <conditionalFormatting sqref="H1:R1">
    <cfRule type="expression" dxfId="212" priority="1947" stopIfTrue="1">
      <formula>$L1=2</formula>
    </cfRule>
    <cfRule type="expression" dxfId="211" priority="1948" stopIfTrue="1">
      <formula>AND($L1=1,$R1&lt;&gt;"")</formula>
    </cfRule>
  </conditionalFormatting>
  <conditionalFormatting sqref="D33:D37 T34:AE34 T36:AE36">
    <cfRule type="expression" dxfId="210" priority="1949" stopIfTrue="1">
      <formula>D$33=0</formula>
    </cfRule>
  </conditionalFormatting>
  <conditionalFormatting sqref="D38:D42">
    <cfRule type="expression" dxfId="209" priority="1950" stopIfTrue="1">
      <formula>C$38=1</formula>
    </cfRule>
  </conditionalFormatting>
  <conditionalFormatting sqref="U38:AE38 U40:AE40 U42:AE42">
    <cfRule type="expression" dxfId="208" priority="1951" stopIfTrue="1">
      <formula>OFFSET(U$38,0,-1)&gt;=1</formula>
    </cfRule>
  </conditionalFormatting>
  <conditionalFormatting sqref="U39:AE39 U41:AE41">
    <cfRule type="expression" dxfId="207" priority="1952" stopIfTrue="1">
      <formula>OFFSET(U$38,0,-1)&gt;=1</formula>
    </cfRule>
  </conditionalFormatting>
  <conditionalFormatting sqref="T33:AE33 T35:AE35 T37:AE37">
    <cfRule type="expression" dxfId="206" priority="1953" stopIfTrue="1">
      <formula>T$33=0</formula>
    </cfRule>
  </conditionalFormatting>
  <conditionalFormatting sqref="AE7:AE8">
    <cfRule type="expression" dxfId="205" priority="1954" stopIfTrue="1">
      <formula>OR(TIPOORCAMENTO&lt;&gt;"Licitado",QCI.ExisteManual)</formula>
    </cfRule>
  </conditionalFormatting>
  <conditionalFormatting sqref="D1 T1:AE1 D14 D17 D20 T14:AE14 T17:AE17 T20:AE20 D23 D26 T23:AE23 T26:AE26">
    <cfRule type="expression" dxfId="204" priority="1955" stopIfTrue="1">
      <formula>D1&lt;&gt;0</formula>
    </cfRule>
  </conditionalFormatting>
  <conditionalFormatting sqref="Y7:AD8">
    <cfRule type="expression" dxfId="203" priority="1942" stopIfTrue="1">
      <formula>QCI.ExisteManual</formula>
    </cfRule>
  </conditionalFormatting>
  <conditionalFormatting sqref="D15 D18 D21 T15:AF15 T18:AF18 T21:AF21">
    <cfRule type="expression" dxfId="202" priority="103" stopIfTrue="1">
      <formula>AND(ISNUMBER($G14),$G14&lt;&gt;0)</formula>
    </cfRule>
  </conditionalFormatting>
  <conditionalFormatting sqref="H15:R15 H18:R18 H21:R21">
    <cfRule type="expression" dxfId="201" priority="104" stopIfTrue="1">
      <formula>$L14=2</formula>
    </cfRule>
    <cfRule type="expression" dxfId="200" priority="105" stopIfTrue="1">
      <formula>AND($L14=1,$R14&lt;&gt;"")</formula>
    </cfRule>
  </conditionalFormatting>
  <conditionalFormatting sqref="H14:R14 H17:R17 H20:R20">
    <cfRule type="expression" dxfId="199" priority="106" stopIfTrue="1">
      <formula>$L14=2</formula>
    </cfRule>
    <cfRule type="expression" dxfId="198" priority="107" stopIfTrue="1">
      <formula>AND($L14=1,$R14&lt;&gt;"")</formula>
    </cfRule>
  </conditionalFormatting>
  <conditionalFormatting sqref="D24 D27 T24:AF24 T27:AF27">
    <cfRule type="expression" dxfId="197" priority="97" stopIfTrue="1">
      <formula>AND(ISNUMBER($G23),$G23&lt;&gt;0)</formula>
    </cfRule>
  </conditionalFormatting>
  <conditionalFormatting sqref="H24:R24 H27:R27">
    <cfRule type="expression" dxfId="196" priority="98" stopIfTrue="1">
      <formula>$L23=2</formula>
    </cfRule>
    <cfRule type="expression" dxfId="195" priority="99" stopIfTrue="1">
      <formula>AND($L23=1,$R23&lt;&gt;"")</formula>
    </cfRule>
  </conditionalFormatting>
  <conditionalFormatting sqref="H23:R23 H26:R26">
    <cfRule type="expression" dxfId="194" priority="100" stopIfTrue="1">
      <formula>$L23=2</formula>
    </cfRule>
    <cfRule type="expression" dxfId="193" priority="101" stopIfTrue="1">
      <formula>AND($L23=1,$R23&lt;&gt;"")</formula>
    </cfRule>
  </conditionalFormatting>
  <conditionalFormatting sqref="D30 T30:AF30">
    <cfRule type="expression" dxfId="192" priority="6" stopIfTrue="1">
      <formula>AND(ISNUMBER($G29),$G29&lt;&gt;0)</formula>
    </cfRule>
  </conditionalFormatting>
  <conditionalFormatting sqref="H30:R30">
    <cfRule type="expression" dxfId="191" priority="4" stopIfTrue="1">
      <formula>$L29=2</formula>
    </cfRule>
    <cfRule type="expression" dxfId="190" priority="5" stopIfTrue="1">
      <formula>AND($L29=1,$R29&lt;&gt;"")</formula>
    </cfRule>
  </conditionalFormatting>
  <conditionalFormatting sqref="H29:R29">
    <cfRule type="expression" dxfId="189" priority="2" stopIfTrue="1">
      <formula>$L29=2</formula>
    </cfRule>
    <cfRule type="expression" dxfId="188" priority="3" stopIfTrue="1">
      <formula>AND($L29=1,$R29&lt;&gt;"")</formula>
    </cfRule>
  </conditionalFormatting>
  <conditionalFormatting sqref="D29 T29:AE29">
    <cfRule type="expression" dxfId="187" priority="1" stopIfTrue="1">
      <formula>D29&lt;&gt;0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26:AE26 T23:AE23 D26 D23 T20:AE20 T17:AE17 T14:AE14 D20 D17 D14 T1:AE1 D29 T29:AE29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7:AF27 T24:AF24 D27 D24 T21:AF21 T18:AF18 T15:AF15 D21 D18 D15 T2:AF2 D30 T30:AF30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ageMargins left="0.78740157480314998" right="0.78740157480314998" top="0.78740157480314998" bottom="0.78740157480314998" header="0.59055118110236204" footer="0.59055118110236204"/>
  <pageSetup paperSize="9" scale="66" firstPageNumber="0" orientation="landscape" r:id="rId1"/>
  <headerFooter alignWithMargins="0">
    <oddHeader>&amp;C&amp;14I</oddHeader>
    <oddFooter>&amp;LPMv3.0.6&amp;R&amp;P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Plan10">
    <pageSetUpPr fitToPage="1"/>
  </sheetPr>
  <dimension ref="A1:AE21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K20" sqref="K20"/>
    </sheetView>
  </sheetViews>
  <sheetFormatPr defaultRowHeight="13.2"/>
  <cols>
    <col min="1" max="1" width="3.88671875" customWidth="1"/>
    <col min="2" max="2" width="8.109375" customWidth="1"/>
    <col min="3" max="3" width="36.88671875" customWidth="1"/>
    <col min="4" max="4" width="1.44140625" customWidth="1"/>
    <col min="5" max="6" width="0" hidden="1" customWidth="1"/>
    <col min="7" max="31" width="5.6640625" customWidth="1"/>
    <col min="32" max="32" width="2.109375" customWidth="1"/>
  </cols>
  <sheetData>
    <row r="1" spans="1:31" hidden="1">
      <c r="A1" s="9" t="e">
        <f ca="1">IF(AUTOEVENTO="Manual",IF(OFFSET(EVENTOS!$F$14,CRONOPLE!$B1,0)&gt;0,"F",""),IF(CRONOPLE!B1&lt;=MAX(CÁLCULO!$M$15:$M$264),"F",""))</f>
        <v>#REF!</v>
      </c>
      <c r="B1" s="322" t="e">
        <f ca="1">OFFSET(B1,-1,0)+1</f>
        <v>#REF!</v>
      </c>
      <c r="C1" s="323" t="e">
        <f ca="1">IF(AUTOEVENTO="Manual",IF($B1&lt;&gt;1,OFFSET(EVENTOS!$D$14,$B1,0),0),IF(B1&lt;=MAX(CÁLCULO!$M$15:$M$264),VLOOKUP($B1,CÁLCULO!$M$15:$N$264,2,FALSE),0))</f>
        <v>#REF!</v>
      </c>
      <c r="E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324"/>
      <c r="AD1" s="324"/>
      <c r="AE1" s="324"/>
    </row>
    <row r="2" spans="1:31" hidden="1"/>
    <row r="3" spans="1:31" hidden="1"/>
    <row r="4" spans="1:31" hidden="1"/>
    <row r="5" spans="1:31" ht="15.6">
      <c r="B5" s="98" t="s">
        <v>288</v>
      </c>
    </row>
    <row r="7" spans="1:31">
      <c r="B7" t="s">
        <v>289</v>
      </c>
    </row>
    <row r="9" spans="1:31" ht="13.8">
      <c r="B9" s="325" t="str">
        <f ca="1">IF(ACOMPANHAMENTO="BM","NO ACOMPANHAMENTO POR BM, UTILIZE A ABA CRONO",IF(MAX($B$14:$B$21)&lt;MAX(CÁLCULO!$M$15:$M$264),"ERRO: NÚMERO DE EVENTOS INSUFICIENTE, CLIQUE EM ATUALIZAR LINHAS",IF(ROUND(OFFSET(CRONO!$AF$42,0,-1),2)&lt;&gt;CRONO!$Q$33,"ERRO: CRONOGRAMA NÃO FECHA 100%","")))</f>
        <v/>
      </c>
    </row>
    <row r="11" spans="1:31" ht="65.25" customHeight="1">
      <c r="A11" s="326"/>
      <c r="C11" s="327"/>
      <c r="E11" s="328" t="str">
        <f ca="1">IF(E$12&gt;CÁLCULO.NúmeroDeFrentes,"",OFFSET(CÁLCULO!$P$12,0,E$12))</f>
        <v>SETOR 1</v>
      </c>
      <c r="G11" s="328" t="str">
        <f ca="1">IF(G$12&gt;CÁLCULO.NúmeroDeFrentes,"",OFFSET(CÁLCULO!$P$12,0,G$12))</f>
        <v>SETOR 1</v>
      </c>
      <c r="H11" s="328" t="str">
        <f ca="1">IF(H$12&gt;CÁLCULO.NúmeroDeFrentes,"",OFFSET(CÁLCULO!$P$12,0,H$12))</f>
        <v>SETOR 2</v>
      </c>
      <c r="I11" s="328" t="str">
        <f ca="1">IF(I$12&gt;CÁLCULO.NúmeroDeFrentes,"",OFFSET(CÁLCULO!$P$12,0,I$12))</f>
        <v>SETOR 3</v>
      </c>
      <c r="J11" s="328" t="str">
        <f ca="1">IF(J$12&gt;CÁLCULO.NúmeroDeFrentes,"",OFFSET(CÁLCULO!$P$12,0,J$12))</f>
        <v>SETOR 4</v>
      </c>
      <c r="K11" s="328">
        <f ca="1">IF(K$12&gt;CÁLCULO.NúmeroDeFrentes,"",OFFSET(CÁLCULO!$P$12,0,K$12))</f>
        <v>0</v>
      </c>
      <c r="L11" s="328">
        <f ca="1">IF(L$12&gt;CÁLCULO.NúmeroDeFrentes,"",OFFSET(CÁLCULO!$P$12,0,L$12))</f>
        <v>0</v>
      </c>
      <c r="M11" s="328">
        <f ca="1">IF(M$12&gt;CÁLCULO.NúmeroDeFrentes,"",OFFSET(CÁLCULO!$P$12,0,M$12))</f>
        <v>0</v>
      </c>
      <c r="N11" s="328">
        <f ca="1">IF(N$12&gt;CÁLCULO.NúmeroDeFrentes,"",OFFSET(CÁLCULO!$P$12,0,N$12))</f>
        <v>0</v>
      </c>
      <c r="O11" s="328">
        <f ca="1">IF(O$12&gt;CÁLCULO.NúmeroDeFrentes,"",OFFSET(CÁLCULO!$P$12,0,O$12))</f>
        <v>0</v>
      </c>
      <c r="P11" s="328">
        <f ca="1">IF(P$12&gt;CÁLCULO.NúmeroDeFrentes,"",OFFSET(CÁLCULO!$P$12,0,P$12))</f>
        <v>0</v>
      </c>
      <c r="Q11" s="328" t="str">
        <f ca="1">IF(Q$12&gt;CÁLCULO.NúmeroDeFrentes,"",OFFSET(CÁLCULO!$P$12,0,Q$12))</f>
        <v/>
      </c>
      <c r="R11" s="328" t="str">
        <f ca="1">IF(R$12&gt;CÁLCULO.NúmeroDeFrentes,"",OFFSET(CÁLCULO!$P$12,0,R$12))</f>
        <v/>
      </c>
      <c r="S11" s="328" t="str">
        <f ca="1">IF(S$12&gt;CÁLCULO.NúmeroDeFrentes,"",OFFSET(CÁLCULO!$P$12,0,S$12))</f>
        <v/>
      </c>
      <c r="T11" s="328" t="str">
        <f ca="1">IF(T$12&gt;CÁLCULO.NúmeroDeFrentes,"",OFFSET(CÁLCULO!$P$12,0,T$12))</f>
        <v/>
      </c>
      <c r="U11" s="328" t="str">
        <f ca="1">IF(U$12&gt;CÁLCULO.NúmeroDeFrentes,"",OFFSET(CÁLCULO!$P$12,0,U$12))</f>
        <v/>
      </c>
      <c r="V11" s="328" t="str">
        <f ca="1">IF(V$12&gt;CÁLCULO.NúmeroDeFrentes,"",OFFSET(CÁLCULO!$P$12,0,V$12))</f>
        <v/>
      </c>
      <c r="W11" s="328" t="str">
        <f ca="1">IF(W$12&gt;CÁLCULO.NúmeroDeFrentes,"",OFFSET(CÁLCULO!$P$12,0,W$12))</f>
        <v/>
      </c>
      <c r="X11" s="328" t="str">
        <f ca="1">IF(X$12&gt;CÁLCULO.NúmeroDeFrentes,"",OFFSET(CÁLCULO!$P$12,0,X$12))</f>
        <v/>
      </c>
      <c r="Y11" s="328" t="str">
        <f ca="1">IF(Y$12&gt;CÁLCULO.NúmeroDeFrentes,"",OFFSET(CÁLCULO!$P$12,0,Y$12))</f>
        <v/>
      </c>
      <c r="Z11" s="328" t="str">
        <f ca="1">IF(Z$12&gt;CÁLCULO.NúmeroDeFrentes,"",OFFSET(CÁLCULO!$P$12,0,Z$12))</f>
        <v/>
      </c>
      <c r="AA11" s="328" t="str">
        <f ca="1">IF(AA$12&gt;CÁLCULO.NúmeroDeFrentes,"",OFFSET(CÁLCULO!$P$12,0,AA$12))</f>
        <v/>
      </c>
      <c r="AB11" s="328" t="str">
        <f ca="1">IF(AB$12&gt;CÁLCULO.NúmeroDeFrentes,"",OFFSET(CÁLCULO!$P$12,0,AB$12))</f>
        <v/>
      </c>
      <c r="AC11" s="328" t="str">
        <f ca="1">IF(AC$12&gt;CÁLCULO.NúmeroDeFrentes,"",OFFSET(CÁLCULO!$P$12,0,AC$12))</f>
        <v/>
      </c>
      <c r="AD11" s="328" t="str">
        <f ca="1">IF(AD$12&gt;CÁLCULO.NúmeroDeFrentes,"",OFFSET(CÁLCULO!$P$12,0,AD$12))</f>
        <v/>
      </c>
      <c r="AE11" s="328" t="str">
        <f ca="1">IF(AE$12&gt;CÁLCULO.NúmeroDeFrentes,"",OFFSET(CÁLCULO!$P$12,0,AE$12))</f>
        <v/>
      </c>
    </row>
    <row r="12" spans="1:31" ht="12.75" customHeight="1">
      <c r="A12" s="131"/>
      <c r="B12" s="738" t="s">
        <v>266</v>
      </c>
      <c r="C12" s="738" t="s">
        <v>291</v>
      </c>
      <c r="E12" s="329">
        <f ca="1">OFFSET(E12,0,-1)+1</f>
        <v>1</v>
      </c>
      <c r="G12" s="329">
        <f ca="1">OFFSET(G12,0,-1)+1</f>
        <v>1</v>
      </c>
      <c r="H12" s="329">
        <f ca="1">OFFSET(H12,0,-1)+1</f>
        <v>2</v>
      </c>
      <c r="I12" s="329">
        <f t="shared" ref="I12:AE12" ca="1" si="0">OFFSET(I12,0,-1)+1</f>
        <v>3</v>
      </c>
      <c r="J12" s="329">
        <f t="shared" ca="1" si="0"/>
        <v>4</v>
      </c>
      <c r="K12" s="329">
        <f t="shared" ca="1" si="0"/>
        <v>5</v>
      </c>
      <c r="L12" s="329">
        <f t="shared" ca="1" si="0"/>
        <v>6</v>
      </c>
      <c r="M12" s="329">
        <f t="shared" ca="1" si="0"/>
        <v>7</v>
      </c>
      <c r="N12" s="329">
        <f t="shared" ca="1" si="0"/>
        <v>8</v>
      </c>
      <c r="O12" s="329">
        <f t="shared" ca="1" si="0"/>
        <v>9</v>
      </c>
      <c r="P12" s="329">
        <f t="shared" ca="1" si="0"/>
        <v>10</v>
      </c>
      <c r="Q12" s="329">
        <f t="shared" ca="1" si="0"/>
        <v>11</v>
      </c>
      <c r="R12" s="329">
        <f t="shared" ca="1" si="0"/>
        <v>12</v>
      </c>
      <c r="S12" s="329">
        <f t="shared" ca="1" si="0"/>
        <v>13</v>
      </c>
      <c r="T12" s="329">
        <f t="shared" ca="1" si="0"/>
        <v>14</v>
      </c>
      <c r="U12" s="329">
        <f t="shared" ca="1" si="0"/>
        <v>15</v>
      </c>
      <c r="V12" s="329">
        <f t="shared" ca="1" si="0"/>
        <v>16</v>
      </c>
      <c r="W12" s="329">
        <f t="shared" ca="1" si="0"/>
        <v>17</v>
      </c>
      <c r="X12" s="329">
        <f t="shared" ca="1" si="0"/>
        <v>18</v>
      </c>
      <c r="Y12" s="329">
        <f t="shared" ca="1" si="0"/>
        <v>19</v>
      </c>
      <c r="Z12" s="329">
        <f t="shared" ca="1" si="0"/>
        <v>20</v>
      </c>
      <c r="AA12" s="329">
        <f t="shared" ca="1" si="0"/>
        <v>21</v>
      </c>
      <c r="AB12" s="329">
        <f t="shared" ca="1" si="0"/>
        <v>22</v>
      </c>
      <c r="AC12" s="329">
        <f t="shared" ca="1" si="0"/>
        <v>23</v>
      </c>
      <c r="AD12" s="329">
        <f t="shared" ca="1" si="0"/>
        <v>24</v>
      </c>
      <c r="AE12" s="329">
        <f t="shared" ca="1" si="0"/>
        <v>25</v>
      </c>
    </row>
    <row r="13" spans="1:31">
      <c r="B13" s="738"/>
      <c r="C13" s="738"/>
      <c r="E13" s="330"/>
      <c r="G13" s="331"/>
      <c r="H13" s="330"/>
      <c r="I13" s="330"/>
      <c r="J13" s="330"/>
      <c r="K13" s="330"/>
      <c r="L13" s="330"/>
      <c r="M13" s="330" t="s">
        <v>292</v>
      </c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2"/>
    </row>
    <row r="14" spans="1:31" ht="7.5" customHeight="1">
      <c r="A14" s="9"/>
    </row>
    <row r="15" spans="1:31">
      <c r="A15" s="9"/>
      <c r="B15" s="333">
        <v>1</v>
      </c>
      <c r="C15" s="334" t="s">
        <v>269</v>
      </c>
      <c r="E15" s="335"/>
      <c r="G15" s="336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335"/>
      <c r="S15" s="335"/>
      <c r="T15" s="335"/>
      <c r="U15" s="335"/>
      <c r="V15" s="335"/>
      <c r="W15" s="335"/>
      <c r="X15" s="335"/>
      <c r="Y15" s="335"/>
      <c r="Z15" s="335"/>
      <c r="AA15" s="335"/>
      <c r="AB15" s="335"/>
      <c r="AC15" s="335"/>
      <c r="AD15" s="335"/>
      <c r="AE15" s="337"/>
    </row>
    <row r="16" spans="1:31">
      <c r="A16" s="9" t="str">
        <f ca="1">IF(AUTOEVENTO="Manual",IF(OFFSET(EVENTOS!$F$14,CRONOPLE!$B16,0)&gt;0,"F",""),IF(CRONOPLE!B16&lt;=MAX(CÁLCULO!$M$15:$M$264),"F",""))</f>
        <v>F</v>
      </c>
      <c r="B16" s="322">
        <f t="shared" ref="B16:B19" ca="1" si="1">OFFSET(B16,-1,0)+1</f>
        <v>2</v>
      </c>
      <c r="C16" s="323" t="str">
        <f ca="1">IF(AUTOEVENTO="Manual",IF($B16&lt;&gt;1,OFFSET(EVENTOS!$D$14,$B16,0),0),IF(B16&lt;=MAX(CÁLCULO!$M$15:$M$264),VLOOKUP($B16,CÁLCULO!$M$15:$N$264,2,FALSE),0))</f>
        <v>SERVIÇOS PRELIMINARES</v>
      </c>
      <c r="E16" s="324"/>
      <c r="G16" s="324">
        <v>1</v>
      </c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  <c r="V16" s="324"/>
      <c r="W16" s="324"/>
      <c r="X16" s="324"/>
      <c r="Y16" s="324"/>
      <c r="Z16" s="324"/>
      <c r="AA16" s="324"/>
      <c r="AB16" s="324"/>
      <c r="AC16" s="324"/>
      <c r="AD16" s="324"/>
      <c r="AE16" s="324"/>
    </row>
    <row r="17" spans="1:31">
      <c r="A17" s="9" t="str">
        <f ca="1">IF(AUTOEVENTO="Manual",IF(OFFSET(EVENTOS!$F$14,CRONOPLE!$B17,0)&gt;0,"F",""),IF(CRONOPLE!B17&lt;=MAX(CÁLCULO!$M$15:$M$264),"F",""))</f>
        <v>F</v>
      </c>
      <c r="B17" s="322">
        <f t="shared" ca="1" si="1"/>
        <v>3</v>
      </c>
      <c r="C17" s="323" t="str">
        <f ca="1">IF(AUTOEVENTO="Manual",IF($B17&lt;&gt;1,OFFSET(EVENTOS!$D$14,$B17,0),0),IF(B17&lt;=MAX(CÁLCULO!$M$15:$M$264),VLOOKUP($B17,CÁLCULO!$M$15:$N$264,2,FALSE),0))</f>
        <v>RECAPEAMENTO ASFÁLTICO</v>
      </c>
      <c r="E17" s="324"/>
      <c r="G17" s="324">
        <v>2</v>
      </c>
      <c r="H17" s="324">
        <v>1</v>
      </c>
      <c r="I17" s="324">
        <v>2</v>
      </c>
      <c r="J17" s="324">
        <v>2</v>
      </c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324"/>
      <c r="Y17" s="324"/>
      <c r="Z17" s="324"/>
      <c r="AA17" s="324"/>
      <c r="AB17" s="324"/>
      <c r="AC17" s="324"/>
      <c r="AD17" s="324"/>
      <c r="AE17" s="324"/>
    </row>
    <row r="18" spans="1:31">
      <c r="A18" s="9" t="str">
        <f ca="1">IF(AUTOEVENTO="Manual",IF(OFFSET(EVENTOS!$F$14,CRONOPLE!$B18,0)&gt;0,"F",""),IF(CRONOPLE!B18&lt;=MAX(CÁLCULO!$M$15:$M$264),"F",""))</f>
        <v>F</v>
      </c>
      <c r="B18" s="322">
        <f t="shared" ca="1" si="1"/>
        <v>4</v>
      </c>
      <c r="C18" s="323" t="str">
        <f ca="1">IF(AUTOEVENTO="Manual",IF($B18&lt;&gt;1,OFFSET(EVENTOS!$D$14,$B18,0),0),IF(B18&lt;=MAX(CÁLCULO!$M$15:$M$264),VLOOKUP($B18,CÁLCULO!$M$15:$N$264,2,FALSE),0))</f>
        <v>CALÇADAS</v>
      </c>
      <c r="E18" s="324"/>
      <c r="G18" s="324">
        <v>2</v>
      </c>
      <c r="H18" s="324">
        <v>1</v>
      </c>
      <c r="I18" s="324">
        <v>2</v>
      </c>
      <c r="J18" s="324">
        <v>2</v>
      </c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4"/>
      <c r="Z18" s="324"/>
      <c r="AA18" s="324"/>
      <c r="AB18" s="324"/>
      <c r="AC18" s="324"/>
      <c r="AD18" s="324"/>
      <c r="AE18" s="324"/>
    </row>
    <row r="19" spans="1:31">
      <c r="A19" s="9" t="str">
        <f ca="1">IF(AUTOEVENTO="Manual",IF(OFFSET(EVENTOS!$F$14,CRONOPLE!$B19,0)&gt;0,"F",""),IF(CRONOPLE!B19&lt;=MAX(CÁLCULO!$M$15:$M$264),"F",""))</f>
        <v>F</v>
      </c>
      <c r="B19" s="322">
        <f t="shared" ca="1" si="1"/>
        <v>5</v>
      </c>
      <c r="C19" s="323" t="str">
        <f ca="1">IF(AUTOEVENTO="Manual",IF($B19&lt;&gt;1,OFFSET(EVENTOS!$D$14,$B19,0),0),IF(B19&lt;=MAX(CÁLCULO!$M$15:$M$264),VLOOKUP($B19,CÁLCULO!$M$15:$N$264,2,FALSE),0))</f>
        <v>SINALIZAÇÃO VIÁRIA</v>
      </c>
      <c r="E19" s="324"/>
      <c r="G19" s="324">
        <v>2</v>
      </c>
      <c r="H19" s="324">
        <v>1</v>
      </c>
      <c r="I19" s="324">
        <v>2</v>
      </c>
      <c r="J19" s="324">
        <v>2</v>
      </c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</row>
    <row r="20" spans="1:31">
      <c r="A20" s="9" t="str">
        <f ca="1">IF(AUTOEVENTO="Manual",IF(OFFSET(EVENTOS!$F$14,CRONOPLE!$B20,0)&gt;0,"F",""),IF(CRONOPLE!B20&lt;=MAX(CÁLCULO!$M$15:$M$264),"F",""))</f>
        <v>F</v>
      </c>
      <c r="B20" s="322">
        <f ca="1">OFFSET(B20,-1,0)+1</f>
        <v>6</v>
      </c>
      <c r="C20" s="668" t="str">
        <f ca="1">IF(AUTOEVENTO="Manual",IF($B20&lt;&gt;1,OFFSET(EVENTOS!$D$14,$B20,0),0),IF(B20&lt;=MAX(CÁLCULO!$M$15:$M$264),VLOOKUP($B20,CÁLCULO!$M$15:$N$264,2,FALSE),0))</f>
        <v>DRENAGEM</v>
      </c>
      <c r="E20" s="324"/>
      <c r="G20" s="324">
        <v>2</v>
      </c>
      <c r="H20" s="324">
        <v>1</v>
      </c>
      <c r="I20" s="324">
        <v>2</v>
      </c>
      <c r="J20" s="324">
        <v>2</v>
      </c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324"/>
      <c r="Y20" s="324"/>
      <c r="Z20" s="324"/>
      <c r="AA20" s="324"/>
      <c r="AB20" s="324"/>
      <c r="AC20" s="324"/>
      <c r="AD20" s="324"/>
      <c r="AE20" s="324"/>
    </row>
    <row r="21" spans="1:31" ht="5.0999999999999996" customHeight="1">
      <c r="B21" s="586"/>
      <c r="C21" s="587"/>
      <c r="E21" s="338"/>
      <c r="F21" s="338"/>
      <c r="G21" s="586"/>
      <c r="H21" s="588"/>
      <c r="I21" s="588"/>
      <c r="J21" s="588"/>
      <c r="K21" s="588"/>
      <c r="L21" s="588"/>
      <c r="M21" s="588"/>
      <c r="N21" s="588"/>
      <c r="O21" s="588"/>
      <c r="P21" s="588"/>
      <c r="Q21" s="588"/>
      <c r="R21" s="588"/>
      <c r="S21" s="588"/>
      <c r="T21" s="588"/>
      <c r="U21" s="588"/>
      <c r="V21" s="588"/>
      <c r="W21" s="588"/>
      <c r="X21" s="588"/>
      <c r="Y21" s="588"/>
      <c r="Z21" s="588"/>
      <c r="AA21" s="588"/>
      <c r="AB21" s="588"/>
      <c r="AC21" s="588"/>
      <c r="AD21" s="588"/>
      <c r="AE21" s="587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">
    <cfRule type="expression" dxfId="186" priority="110" stopIfTrue="1">
      <formula>IF(OR(E$12&gt;CÁLCULO.NúmeroDeFrentes,ACOMPANHAMENTO="BM"),TRUE,CRONOPLE.ValorDoEvento=0)</formula>
    </cfRule>
  </conditionalFormatting>
  <conditionalFormatting sqref="E16:E20 G16:AE20">
    <cfRule type="expression" dxfId="185" priority="7" stopIfTrue="1">
      <formula>IF(OR(E$12&gt;CÁLCULO.NúmeroDeFrentes,ACOMPANHAMENTO="BM"),TRUE,CRONOPLE.ValorDoEvento=0)</formula>
    </cfRule>
  </conditionalFormatting>
  <conditionalFormatting sqref="E20 G20:AE20">
    <cfRule type="expression" dxfId="184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6:AE20 G1:AE5 E16:E20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horizontalDpi="300" verticalDpi="300" r:id="rId1"/>
  <headerFooter alignWithMargins="0">
    <oddHeader>&amp;L_&amp;C&amp;14I</oddHeader>
    <oddFooter>&amp;LPMv3.0.6&amp;R&amp;P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18</vt:i4>
      </vt:variant>
    </vt:vector>
  </HeadingPairs>
  <TitlesOfParts>
    <vt:vector size="32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BDI!Titulos_de_impressao</vt:lpstr>
      <vt:lpstr>BM!Titulos_de_impressao</vt:lpstr>
      <vt:lpstr>CÁLCULO!Titulos_de_impressao</vt:lpstr>
      <vt:lpstr>CRONO!Titulos_de_impressao</vt:lpstr>
      <vt:lpstr>ORÇAMENTO!Titulos_de_impressao</vt:lpstr>
      <vt:lpstr>PLE!Titulos_de_impressao</vt:lpstr>
      <vt:lpstr>QCI!Titulos_de_impressao</vt:lpstr>
      <vt:lpstr>RRE!Titulos_de_impressao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casabino</cp:lastModifiedBy>
  <cp:revision>5</cp:revision>
  <cp:lastPrinted>2025-02-24T13:49:02Z</cp:lastPrinted>
  <dcterms:created xsi:type="dcterms:W3CDTF">1997-01-10T22:22:50Z</dcterms:created>
  <dcterms:modified xsi:type="dcterms:W3CDTF">2025-05-20T13:05:02Z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de7aacd-7cc4-4c31-9e6f-7ef306428f09_Enabled">
    <vt:lpwstr>true</vt:lpwstr>
  </property>
  <property fmtid="{D5CDD505-2E9C-101B-9397-08002B2CF9AE}" pid="3" name="MSIP_Label_fde7aacd-7cc4-4c31-9e6f-7ef306428f09_SetDate">
    <vt:lpwstr>2023-11-21T19:16:23Z</vt:lpwstr>
  </property>
  <property fmtid="{D5CDD505-2E9C-101B-9397-08002B2CF9AE}" pid="4" name="MSIP_Label_fde7aacd-7cc4-4c31-9e6f-7ef306428f09_Method">
    <vt:lpwstr>Privileged</vt:lpwstr>
  </property>
  <property fmtid="{D5CDD505-2E9C-101B-9397-08002B2CF9AE}" pid="5" name="MSIP_Label_fde7aacd-7cc4-4c31-9e6f-7ef306428f09_Name">
    <vt:lpwstr>_PUBLICO</vt:lpwstr>
  </property>
  <property fmtid="{D5CDD505-2E9C-101B-9397-08002B2CF9AE}" pid="6" name="MSIP_Label_fde7aacd-7cc4-4c31-9e6f-7ef306428f09_SiteId">
    <vt:lpwstr>ab9bba98-684a-43fb-add8-9c2bebede229</vt:lpwstr>
  </property>
  <property fmtid="{D5CDD505-2E9C-101B-9397-08002B2CF9AE}" pid="7" name="MSIP_Label_fde7aacd-7cc4-4c31-9e6f-7ef306428f09_ActionId">
    <vt:lpwstr>a35afa61-0e86-4f3f-84ac-6edb60dde1d6</vt:lpwstr>
  </property>
  <property fmtid="{D5CDD505-2E9C-101B-9397-08002B2CF9AE}" pid="8" name="MSIP_Label_fde7aacd-7cc4-4c31-9e6f-7ef306428f09_ContentBits">
    <vt:lpwstr>1</vt:lpwstr>
  </property>
</Properties>
</file>