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ISCO\"/>
    </mc:Choice>
  </mc:AlternateContent>
  <xr:revisionPtr revIDLastSave="0" documentId="13_ncr:1_{58261158-A5D9-43C2-AA50-C0B045AC92BB}" xr6:coauthVersionLast="47" xr6:coauthVersionMax="47" xr10:uidLastSave="{00000000-0000-0000-0000-000000000000}"/>
  <bookViews>
    <workbookView xWindow="-98" yWindow="-98" windowWidth="30915" windowHeight="16395" activeTab="2" xr2:uid="{1D0F5F39-1C2B-4921-BCC1-EEC3083D4976}"/>
  </bookViews>
  <sheets>
    <sheet name="Programa Objetivos" sheetId="1" r:id="rId1"/>
    <sheet name="Ações - Indicadores" sheetId="2" r:id="rId2"/>
    <sheet name="Composição de Custos" sheetId="3" r:id="rId3"/>
  </sheets>
  <definedNames>
    <definedName name="_Toc204208284" localSheetId="2">'Composição de Custos'!$D$35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2" i="3" l="1"/>
  <c r="G201" i="3"/>
  <c r="G200" i="3"/>
  <c r="G194" i="3"/>
  <c r="G193" i="3"/>
  <c r="G192" i="3"/>
  <c r="G42" i="3"/>
  <c r="L31" i="3"/>
  <c r="K31" i="3"/>
  <c r="F30" i="3"/>
  <c r="E30" i="3"/>
  <c r="L24" i="3"/>
  <c r="K24" i="3"/>
  <c r="L23" i="3"/>
  <c r="K23" i="3"/>
  <c r="E29" i="3"/>
  <c r="F28" i="3"/>
  <c r="E28" i="3"/>
  <c r="L25" i="3"/>
  <c r="K25" i="3"/>
  <c r="L27" i="3"/>
  <c r="K27" i="3"/>
  <c r="F26" i="3"/>
  <c r="E26" i="3"/>
  <c r="F25" i="3"/>
  <c r="E25" i="3"/>
  <c r="L28" i="3"/>
  <c r="K28" i="3"/>
  <c r="J174" i="3"/>
  <c r="J173" i="3"/>
  <c r="H173" i="3"/>
  <c r="I173" i="3"/>
  <c r="H174" i="3"/>
  <c r="I174" i="3"/>
  <c r="G174" i="3"/>
  <c r="G173" i="3"/>
  <c r="I172" i="3"/>
  <c r="I171" i="3"/>
  <c r="H172" i="3"/>
  <c r="H171" i="3"/>
  <c r="G172" i="3"/>
  <c r="G171" i="3"/>
  <c r="J170" i="3"/>
  <c r="J171" i="3"/>
  <c r="J172" i="3"/>
  <c r="J169" i="3"/>
  <c r="I170" i="3"/>
  <c r="I169" i="3"/>
  <c r="H170" i="3"/>
  <c r="H169" i="3"/>
  <c r="G170" i="3"/>
  <c r="G169" i="3"/>
  <c r="J168" i="3"/>
  <c r="J167" i="3"/>
  <c r="J166" i="3"/>
  <c r="H168" i="3"/>
  <c r="I168" i="3"/>
  <c r="H167" i="3"/>
  <c r="I167" i="3"/>
  <c r="G168" i="3"/>
  <c r="G167" i="3"/>
  <c r="J165" i="3"/>
  <c r="I166" i="3"/>
  <c r="I165" i="3"/>
  <c r="H166" i="3"/>
  <c r="H165" i="3"/>
  <c r="G166" i="3"/>
  <c r="G165" i="3"/>
  <c r="J164" i="3"/>
  <c r="J163" i="3"/>
  <c r="I164" i="3"/>
  <c r="I163" i="3"/>
  <c r="H164" i="3"/>
  <c r="H163" i="3"/>
  <c r="G164" i="3"/>
  <c r="G163" i="3"/>
  <c r="L156" i="3"/>
  <c r="L155" i="3"/>
  <c r="E156" i="3"/>
  <c r="E155" i="3"/>
  <c r="N145" i="3"/>
  <c r="N144" i="3"/>
  <c r="M145" i="3"/>
  <c r="M144" i="3"/>
  <c r="O143" i="3"/>
  <c r="O144" i="3"/>
  <c r="O145" i="3"/>
  <c r="O142" i="3"/>
  <c r="N143" i="3"/>
  <c r="N142" i="3"/>
  <c r="M143" i="3"/>
  <c r="M142" i="3"/>
  <c r="G145" i="3"/>
  <c r="G144" i="3"/>
  <c r="F145" i="3"/>
  <c r="F144" i="3"/>
  <c r="H143" i="3"/>
  <c r="H144" i="3"/>
  <c r="H145" i="3"/>
  <c r="H142" i="3"/>
  <c r="G143" i="3"/>
  <c r="G142" i="3"/>
  <c r="F143" i="3"/>
  <c r="F142" i="3"/>
  <c r="O131" i="3"/>
  <c r="O130" i="3"/>
  <c r="N131" i="3"/>
  <c r="N130" i="3"/>
  <c r="M131" i="3"/>
  <c r="M130" i="3"/>
  <c r="P130" i="3"/>
  <c r="P131" i="3"/>
  <c r="P129" i="3"/>
  <c r="P128" i="3"/>
  <c r="O129" i="3"/>
  <c r="O128" i="3"/>
  <c r="N129" i="3"/>
  <c r="N128" i="3"/>
  <c r="M129" i="3"/>
  <c r="M128" i="3"/>
  <c r="I131" i="3"/>
  <c r="I130" i="3"/>
  <c r="H131" i="3"/>
  <c r="H130" i="3"/>
  <c r="G131" i="3"/>
  <c r="G130" i="3"/>
  <c r="F131" i="3"/>
  <c r="F130" i="3"/>
  <c r="I129" i="3"/>
  <c r="I128" i="3"/>
  <c r="H129" i="3"/>
  <c r="H128" i="3"/>
  <c r="G129" i="3"/>
  <c r="G128" i="3"/>
  <c r="F129" i="3"/>
  <c r="F128" i="3"/>
  <c r="G79" i="3" l="1"/>
  <c r="G80" i="3"/>
  <c r="G81" i="3"/>
  <c r="G83" i="3"/>
  <c r="G84" i="3"/>
  <c r="G85" i="3"/>
  <c r="G86" i="3"/>
  <c r="G78" i="3"/>
  <c r="F79" i="3"/>
  <c r="F80" i="3"/>
  <c r="F81" i="3"/>
  <c r="F82" i="3"/>
  <c r="F83" i="3"/>
  <c r="F84" i="3"/>
  <c r="F85" i="3"/>
  <c r="F86" i="3"/>
  <c r="F78" i="3"/>
  <c r="L85" i="3"/>
  <c r="M85" i="3"/>
  <c r="I110" i="3" l="1"/>
  <c r="E70" i="3"/>
  <c r="E186" i="3" l="1"/>
  <c r="I178" i="3" l="1"/>
  <c r="I177" i="3"/>
  <c r="H3" i="2"/>
  <c r="I3" i="2"/>
  <c r="F178" i="3"/>
  <c r="E178" i="3"/>
  <c r="F177" i="3"/>
  <c r="E177" i="3"/>
  <c r="L157" i="3"/>
  <c r="E157" i="3"/>
  <c r="O147" i="3"/>
  <c r="O146" i="3"/>
  <c r="H147" i="3"/>
  <c r="H146" i="3"/>
  <c r="P133" i="3"/>
  <c r="P132" i="3"/>
  <c r="I133" i="3"/>
  <c r="I132" i="3"/>
  <c r="H7" i="2" l="1"/>
  <c r="H11" i="2" s="1"/>
  <c r="J176" i="3"/>
  <c r="F29" i="3"/>
  <c r="I7" i="2"/>
  <c r="I11" i="2" s="1"/>
  <c r="E223" i="3" l="1"/>
  <c r="E58" i="3" l="1"/>
  <c r="E51" i="3"/>
  <c r="E44" i="3"/>
  <c r="E45" i="3" s="1"/>
  <c r="H28" i="2"/>
  <c r="E207" i="3"/>
  <c r="E208" i="3" s="1"/>
  <c r="E209" i="3" s="1"/>
  <c r="E206" i="3"/>
  <c r="E205" i="3"/>
  <c r="F116" i="3"/>
  <c r="E116" i="3"/>
  <c r="F115" i="3"/>
  <c r="E115" i="3"/>
  <c r="F114" i="3"/>
  <c r="E114" i="3"/>
  <c r="J110" i="3"/>
  <c r="G110" i="3"/>
  <c r="F110" i="3"/>
  <c r="K109" i="3"/>
  <c r="H109" i="3"/>
  <c r="K108" i="3"/>
  <c r="H108" i="3"/>
  <c r="K107" i="3"/>
  <c r="H107" i="3"/>
  <c r="K106" i="3"/>
  <c r="H106" i="3"/>
  <c r="K105" i="3"/>
  <c r="H105" i="3"/>
  <c r="K104" i="3"/>
  <c r="H104" i="3"/>
  <c r="K103" i="3"/>
  <c r="H103" i="3"/>
  <c r="K102" i="3"/>
  <c r="H102" i="3"/>
  <c r="K101" i="3"/>
  <c r="H101" i="3"/>
  <c r="I96" i="3"/>
  <c r="H96" i="3"/>
  <c r="F96" i="3"/>
  <c r="E96" i="3"/>
  <c r="J95" i="3"/>
  <c r="G95" i="3"/>
  <c r="J94" i="3"/>
  <c r="G94" i="3"/>
  <c r="J93" i="3"/>
  <c r="G93" i="3"/>
  <c r="L29" i="3" l="1"/>
  <c r="K29" i="3"/>
  <c r="F24" i="3"/>
  <c r="E24" i="3"/>
  <c r="H40" i="2"/>
  <c r="I40" i="2"/>
  <c r="J96" i="3"/>
  <c r="G96" i="3"/>
  <c r="F205" i="3"/>
  <c r="F206" i="3"/>
  <c r="E117" i="3"/>
  <c r="F117" i="3"/>
  <c r="H110" i="3"/>
  <c r="K110" i="3"/>
  <c r="E32" i="3" l="1"/>
  <c r="E31" i="3"/>
  <c r="F32" i="3"/>
  <c r="F31" i="3"/>
  <c r="K32" i="3"/>
  <c r="K33" i="3"/>
  <c r="L32" i="3"/>
  <c r="L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tc={46A4DFA7-FFB9-47F3-AB8B-F6125DE7C398}</author>
    <author>Armando Funari</author>
    <author>tc={3C554E76-1320-452D-AFFB-17B9AC9E131C}</author>
    <author>tc={9524F398-0F2D-4752-A37C-8C93BA3ED4AF}</author>
    <author>tc={7C12A108-7AC0-4D67-BA1C-B98896F83998}</author>
    <author>tc={B0AF2214-38F5-441D-91D6-0DCDE216D2E3}</author>
  </authors>
  <commentList>
    <comment ref="F1" authorId="0" shapeId="0" xr:uid="{46A4DFA7-FFB9-47F3-AB8B-F6125DE7C3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Escala temporal das prioridades: 1- Imediato; 2- em ate 3 anos; em até 6 anos</t>
      </text>
    </comment>
    <comment ref="H3" authorId="1" shapeId="0" xr:uid="{66233B17-AB76-4601-BCE2-142846C19304}">
      <text>
        <r>
          <rPr>
            <b/>
            <sz val="9"/>
            <color indexed="81"/>
            <rFont val="Segoe UI"/>
            <family val="2"/>
          </rPr>
          <t>Armando Funari:</t>
        </r>
        <r>
          <rPr>
            <sz val="9"/>
            <color indexed="81"/>
            <rFont val="Segoe UI"/>
            <family val="2"/>
          </rPr>
          <t xml:space="preserve">
    Seleção de áreas urbanas indicadas para reflorestamento para Cerrado e Mata Atlântica, seguindo procedimento para situação desfavorável (Plantio Total; Manutenção; Condução da Regeneração). No caso das áreas urbanas os cálculos consideraram sempre a condição como DESFAVORÁVEL.</t>
        </r>
      </text>
    </comment>
    <comment ref="I3" authorId="2" shapeId="0" xr:uid="{3C554E76-1320-452D-AFFB-17B9AC9E131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Seleção de áreas urbanas indicadas para reflorestamento para Cerrado e Mata Atlântica, seguindo procedimento para situação desfavorável (Plantio Total; Manutenção; Condução da Regeneração).</t>
      </text>
    </comment>
    <comment ref="H7" authorId="3" shapeId="0" xr:uid="{9524F398-0F2D-4752-A37C-8C93BA3ED4A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indicado corresponde ao intervalo estimado para o Reflorestamento de APPs Prioritárias. </t>
      </text>
    </comment>
    <comment ref="I7" authorId="1" shapeId="0" xr:uid="{9076B9C9-ACB8-49AB-BCE1-5178EC2E803E}">
      <text>
        <r>
          <rPr>
            <b/>
            <sz val="9"/>
            <color indexed="81"/>
            <rFont val="Segoe UI"/>
            <family val="2"/>
          </rPr>
          <t>Armando Funari:</t>
        </r>
        <r>
          <rPr>
            <sz val="9"/>
            <color indexed="81"/>
            <rFont val="Segoe UI"/>
            <family val="2"/>
          </rPr>
          <t xml:space="preserve">
    Valor indicado corresponde estimado para o Reflorestamento de APPs Prioritárias em condição desfavorável, excetuando-se as áreas urbanas. </t>
        </r>
      </text>
    </comment>
    <comment ref="H11" authorId="1" shapeId="0" xr:uid="{0A7B8EC6-F6E3-4B49-A64E-D2335A05DA9D}">
      <text>
        <r>
          <rPr>
            <b/>
            <sz val="9"/>
            <color indexed="81"/>
            <rFont val="Segoe UI"/>
            <family val="2"/>
          </rPr>
          <t>Armando Funari:</t>
        </r>
        <r>
          <rPr>
            <sz val="9"/>
            <color indexed="81"/>
            <rFont val="Segoe UI"/>
            <family val="2"/>
          </rPr>
          <t xml:space="preserve">
Valor indicado corresponde estimado para o Reflorestamento de APPs e áreas de Reserva Legal  em condição favorável, excetuando-se as áreas urbanas e aquelas inseridas nas APPs Prioritárias. </t>
        </r>
      </text>
    </comment>
    <comment ref="I11" authorId="1" shapeId="0" xr:uid="{A45F4192-19B8-4281-B930-A9C2947972A5}">
      <text>
        <r>
          <rPr>
            <b/>
            <sz val="9"/>
            <color indexed="81"/>
            <rFont val="Segoe UI"/>
            <family val="2"/>
          </rPr>
          <t>Armando Funari:</t>
        </r>
        <r>
          <rPr>
            <sz val="9"/>
            <color indexed="81"/>
            <rFont val="Segoe UI"/>
            <family val="2"/>
          </rPr>
          <t xml:space="preserve">
Valor indicado corresponde estimado para o Reflorestamento de APPs e áreas de Reserva Legal  em condição desfavorável, excetuando-se as áreas urbanas e aquelas inseridas nas APPs Prioritárias. </t>
        </r>
      </text>
    </comment>
    <comment ref="H13" authorId="4" shapeId="0" xr:uid="{7C12A108-7AC0-4D67-BA1C-B98896F839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será estimado em produto posterior e inserido no quadro.</t>
      </text>
    </comment>
    <comment ref="H28" authorId="5" shapeId="0" xr:uid="{B0AF2214-38F5-441D-91D6-0DCDE216D2E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Veículo 4x4 + drone dji mavic 3 pro fly more combo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tc={52E342E9-199A-43AA-8B75-8490748104D7}</author>
    <author>tc={027CC382-1226-4B9A-9914-79D4D151D230}</author>
    <author>tc={2A0C15AA-6958-4B00-8715-D744A3A18633}</author>
    <author>tc={6211E264-7055-4A99-ADAE-47CA693C7621}</author>
    <author>tc={8886D79D-D9A2-41FF-BE89-430F6506EFED}</author>
    <author>tc={DD08293F-417D-4CE7-9899-764A0B793602}</author>
    <author>tc={DE5D98E3-A1E4-461C-9AD4-903D38FABC2D}</author>
    <author>tc={6DBBBC21-01B1-4B31-B591-0CB0C50857E1}</author>
    <author>tc={E1F4F3A3-800C-4821-8EC2-06E7BB9E8ABE}</author>
    <author>tc={C2BA2972-7C3E-4478-AB0C-94DE642A53BF}</author>
    <author>tc={35B63520-251A-444C-B462-C9A03A1AB68B}</author>
    <author>tc={BAC560A2-C370-4D18-B501-4A658E3B767F}</author>
    <author>tc={B9913F0E-057B-4692-B08E-B4392F7064D6}</author>
    <author>tc={3EF75F69-1495-4A37-BCF0-33827DF1C50B}</author>
    <author>tc={79EB1CDA-3929-4B57-9A62-42E5C52A1DDE}</author>
    <author>Armando Funari</author>
  </authors>
  <commentList>
    <comment ref="K22" authorId="0" shapeId="0" xr:uid="{52E342E9-199A-43AA-8B75-8490748104D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Condição Ambiental Favorável</t>
      </text>
    </comment>
    <comment ref="L22" authorId="1" shapeId="0" xr:uid="{027CC382-1226-4B9A-9914-79D4D151D23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Condição Ambiental Desfavorável</t>
      </text>
    </comment>
    <comment ref="E23" authorId="2" shapeId="0" xr:uid="{2A0C15AA-6958-4B00-8715-D744A3A1863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Condição Ambiental Favorável</t>
      </text>
    </comment>
    <comment ref="F23" authorId="3" shapeId="0" xr:uid="{6211E264-7055-4A99-ADAE-47CA693C762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Condição Ambiental Desfavorável</t>
      </text>
    </comment>
    <comment ref="J23" authorId="4" shapeId="0" xr:uid="{8886D79D-D9A2-41FF-BE89-430F6506EFE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APPs Urbanas + Rurais, sendo que se aplica sempre referências de valores DESFAVORÁVEIS para as áreas urbanas.</t>
      </text>
    </comment>
    <comment ref="J24" authorId="5" shapeId="0" xr:uid="{DD08293F-417D-4CE7-9899-764A0B79360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APPs Urbanas + Rurais, sendo que se aplica sempre referências de valores DESFAVORÁVEIS para as áreas urbanas. É um subgrupo do item anterior.</t>
      </text>
    </comment>
    <comment ref="H32" authorId="6" shapeId="0" xr:uid="{DE5D98E3-A1E4-461C-9AD4-903D38FABC2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A.1+A.3+B.1+B.2+C.+D+E+F</t>
      </text>
    </comment>
    <comment ref="H33" authorId="7" shapeId="0" xr:uid="{6DBBBC21-01B1-4B31-B591-0CB0C50857E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A.2+A.3+B.1+B.2+C+D+E+F</t>
      </text>
    </comment>
    <comment ref="I33" authorId="8" shapeId="0" xr:uid="{E1F4F3A3-800C-4821-8EC2-06E7BB9E8A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(x) na linha 175. Corresponde a um sub-grupo de 1.F.</t>
      </text>
    </comment>
    <comment ref="E56" authorId="9" shapeId="0" xr:uid="{C2BA2972-7C3E-4478-AB0C-94DE642A53B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para Estação de Monitoramento de Ar instalada, retirado do Plano de Negócios e Estratégia de Longo Prazo 2020, p.14, SÃO PAULO, CETESB (2019).</t>
      </text>
    </comment>
    <comment ref="E68" authorId="10" shapeId="0" xr:uid="{35B63520-251A-444C-B462-C9A03A1AB68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Referências entre R$2,4 e R$9 milhões para travessias tipo viaduto verde encontrados em busca de referências. Foram usados valores de soluções mais simples.</t>
      </text>
    </comment>
    <comment ref="D74" authorId="11" shapeId="0" xr:uid="{BAC560A2-C370-4D18-B501-4A658E3B767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Procedimento descrito na pg. 39 do P12
Responder:
    Aplicou-se o acumulado do IGP de jul/2016 a mar/2025 sobre os valores de referência. Sugere-se o mesmo indicador para atualizações futuras.</t>
      </text>
    </comment>
    <comment ref="J75" authorId="12" shapeId="0" xr:uid="{B9913F0E-057B-4692-B08E-B4392F7064D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BRASIL: MMA, IPEA, TNC Brasil, 2017: Recuperação da vegetação nativa no Brasil: caracterização das técnicas e estimativas de custo por hectare.</t>
      </text>
    </comment>
    <comment ref="K85" authorId="13" shapeId="0" xr:uid="{3EF75F69-1495-4A37-BCF0-33827DF1C5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Através de médias coletadas em pesquisa e bibliografia, estabeleceu-se que para Manutenção, CAF = CAD/2,25</t>
      </text>
    </comment>
    <comment ref="F128" authorId="14" shapeId="0" xr:uid="{79EB1CDA-3929-4B57-9A62-42E5C52A1DD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(Áreas Rurais de APPs Totais + Reserva Legal para Plantio Total) x Valores de Plantio Total CAF + (Áreas Urbanas para Plantio Total x Valores de Plantio Total CAD)</t>
      </text>
    </comment>
    <comment ref="H176" authorId="15" shapeId="0" xr:uid="{13113300-FE1B-470C-AC13-9E7D8F70114A}">
      <text>
        <r>
          <rPr>
            <b/>
            <sz val="9"/>
            <color indexed="81"/>
            <rFont val="Segoe UI"/>
            <family val="2"/>
          </rPr>
          <t>Armando Funari:</t>
        </r>
        <r>
          <rPr>
            <sz val="9"/>
            <color indexed="81"/>
            <rFont val="Segoe UI"/>
            <family val="2"/>
          </rPr>
          <t xml:space="preserve">
CAF = CAD
Padrão sempre Desfavorável</t>
        </r>
      </text>
    </comment>
  </commentList>
</comments>
</file>

<file path=xl/sharedStrings.xml><?xml version="1.0" encoding="utf-8"?>
<sst xmlns="http://schemas.openxmlformats.org/spreadsheetml/2006/main" count="614" uniqueCount="324">
  <si>
    <t>Programa</t>
  </si>
  <si>
    <t>Objetivos</t>
  </si>
  <si>
    <t>A</t>
  </si>
  <si>
    <t>Reflorestamento, Conservação e Ampliação da Biodiversidade</t>
  </si>
  <si>
    <t>Objetivo A1: Regeneração, conservação e ampliação da biodiversidade na área urbanizada.</t>
  </si>
  <si>
    <t>Objetivo A2: Regeneração, conservação e ampliação da biodiversidade fora da área urbanizada.</t>
  </si>
  <si>
    <t>B</t>
  </si>
  <si>
    <t>Infraestrutura</t>
  </si>
  <si>
    <t>Objetivo B1: Requalificação do Viveiro de Mudas e Banco de Sementes.</t>
  </si>
  <si>
    <t>Objetivo B2: Implantação de Sistema de Monitoramento Municipal.</t>
  </si>
  <si>
    <t>C</t>
  </si>
  <si>
    <t>Pagamento por Serviços Ambientais</t>
  </si>
  <si>
    <t>Objetivo C1: Restauração de APPs e Reservas Legais de glebas rurais particulares e Unidades de Conservação.</t>
  </si>
  <si>
    <t>D</t>
  </si>
  <si>
    <t>Pesquisa e inventariamento</t>
  </si>
  <si>
    <t>Objetivo D1: Ampliação do conhecimento sobre a biodiversidade do território.</t>
  </si>
  <si>
    <t>E</t>
  </si>
  <si>
    <t>Educação ambiental e conscientização</t>
  </si>
  <si>
    <t>Objetivo E1: Campanha anual de conscientização, educação ambiental e plantio voluntário.</t>
  </si>
  <si>
    <t>Objetivo E2: Ampliação da capacitação do quadro de técnicos ambientais nas áreas de Educação Ambiental, com qualificação especializada em carreiras voltadas à educação ambiental.</t>
  </si>
  <si>
    <t>F</t>
  </si>
  <si>
    <t>Fiscalização</t>
  </si>
  <si>
    <t>Objetivo F1: Aprimoramento da capacidade de gestão e das rotinas de Fiscalização.</t>
  </si>
  <si>
    <t>Objetivo F2: Monitoramento do parcelamento e das construções irregulares.</t>
  </si>
  <si>
    <t>Objetivo F3: Ampliação e capacitação do quadro de fiscais.</t>
  </si>
  <si>
    <t>Programa / Objetivo</t>
  </si>
  <si>
    <t>Ações</t>
  </si>
  <si>
    <t>A1. Regeneração, conservação e ampliação da biodiversidade na área urbanizada</t>
  </si>
  <si>
    <t>Preservação e plantio nas áreas livres permeáveis urbanas – Foco nas APPs hídricas do Ribeirão da Galega, Ribeirão do Curtume e Ribeirão Água Preta.</t>
  </si>
  <si>
    <t>Incorporação das ações previstas no Plano de Macrodrenagem para o bairro do Araretama (bacia do Rio Una).</t>
  </si>
  <si>
    <t>A2. Regeneração, conservação e ampliação da biodiversidade fora da área urbanizada</t>
  </si>
  <si>
    <t xml:space="preserve">Viabilizar o Corredor Verde norte-sul, eixo prioritário de preservação e reflorestamento (APPs do Ribeirão do Curtume – Rio Paraíba do Sul – Ribeirão da Ponte Alta). </t>
  </si>
  <si>
    <t>Priorização de ações nas sub-bacias em situação crítica, com menos remanescentes florestais e mais áreas de solo degradado: Ribeirão Capituba, Ribeirão da Água Preta e Ribeirão da Galega.</t>
  </si>
  <si>
    <t xml:space="preserve">Viabilizar o Eixo do Cerrado para unificar remanescentes de Cerrado. </t>
  </si>
  <si>
    <t>Construção de travessias de rodovia para transposição de fauna no Corredor Verde norte-sul.</t>
  </si>
  <si>
    <t>Reforma e ampliação do viveiro municipal.</t>
  </si>
  <si>
    <t>Ampliação do banco de espécies do viveiro.</t>
  </si>
  <si>
    <t>Subsídio no fornecimento de mudas para o plantio nos eixos prioritários.</t>
  </si>
  <si>
    <t>B3. Implantação de Sistema de Monitoramento Municipal</t>
  </si>
  <si>
    <t xml:space="preserve">Instalar estações automatizadas de monitoramento atmosférico. </t>
  </si>
  <si>
    <t>C1. Restauração de APPs e Reservas Legais de glebas rurais particulares</t>
  </si>
  <si>
    <t>Compatibilizar e Incluir as prioridades do PMMAC no programa Conservador da Natureza (incentivo financeiro do tipo Pagamento por Serviços Ambientais - PSA).</t>
  </si>
  <si>
    <t>Criar programa de incentivos à mudança de uso do solo e/ou das formas de produção, com a conversão de pasto e da monocultura em produção associada, ou agroflorestal, ou similares, sobretudo em Áreas de Uso Restrito (AUR).</t>
  </si>
  <si>
    <t>D1. Ampliação do conhecimento sobre a biodiversidade do território</t>
  </si>
  <si>
    <t>Campanha anual de pesquisa e inventariamento.</t>
  </si>
  <si>
    <t xml:space="preserve">Bolsas de incentivo à pesquisa acadêmica. </t>
  </si>
  <si>
    <t>E1. Conscientização e educação ambiental</t>
  </si>
  <si>
    <t>Campanha anual nas escolas.</t>
  </si>
  <si>
    <t>Integrar o PMMAC às campanhas e ações de educação ambiental existentes no munícipio.</t>
  </si>
  <si>
    <t>Campanhas de plantio voluntário.</t>
  </si>
  <si>
    <t>E2. Quadro técnico</t>
  </si>
  <si>
    <t>Capacitação do quadro de técnicos.</t>
  </si>
  <si>
    <t>Especialização em carreiras voltadas à educação ambiental.</t>
  </si>
  <si>
    <t>F1. Capacidade de gestão e fiscalização</t>
  </si>
  <si>
    <t>Aprimoramento da capacidade de gestão e das rotinas de fiscalização.</t>
  </si>
  <si>
    <t>Readequação e redimensionamento da equipe.</t>
  </si>
  <si>
    <t>Elaboração de planejamento e calendário de fiscalização.</t>
  </si>
  <si>
    <t>Proposição de ajuste no perímetro urbano do Plano Diretor e na Lei de Uso, Ocupação e Parcelamento do Solo.</t>
  </si>
  <si>
    <t>Monitoramento trimestral do PMMAC pelo CONDEMA.</t>
  </si>
  <si>
    <t>F2. Monitoramento do parcelamento do solo</t>
  </si>
  <si>
    <t>Monitoramento da ocupação urbana nas margens de rio, buscando preservar as áreas de APP.</t>
  </si>
  <si>
    <t>Monitoramento da ocupação nas áreas rurais e próximas às matas.</t>
  </si>
  <si>
    <t>F3. Quadro de fiscais</t>
  </si>
  <si>
    <t>Ampliação do quadro de fiscais.</t>
  </si>
  <si>
    <t>Capacitação do quadro de fiscais.</t>
  </si>
  <si>
    <t>Criação de cargos específicos de fiscais, com qualificação especializada em carreiras voltadas à conservação e preservação do meio ambiente.</t>
  </si>
  <si>
    <t>CONDEMA</t>
  </si>
  <si>
    <t>Secretaria de Meio Ambiente</t>
  </si>
  <si>
    <t>Secretaria de Meio Ambiente + Estado + Concessionaria rodovia</t>
  </si>
  <si>
    <t>Secretaria de Meio Ambiente + Secretaria de Desenvolvimento Rural Sustentável e Clima</t>
  </si>
  <si>
    <t>Secretaria de Meio Ambiente + Secretaria de Educação</t>
  </si>
  <si>
    <t>Responsável</t>
  </si>
  <si>
    <t>% Ações do Plano de Macrodrenagem executadas [ações executadas / total de ações x 100]</t>
  </si>
  <si>
    <t>% de áreas reflorestadas [área reflorestada / total de áreas designadas para reflorestamento x 100]</t>
  </si>
  <si>
    <t>nº de travessias executadas; pode ser acompanhado por fase [orçada; contratada; em construção; construídas]</t>
  </si>
  <si>
    <t>acompanhamento por fase [contratação; execução; reformado; em operação]</t>
  </si>
  <si>
    <t>nº de espécies adicionadas</t>
  </si>
  <si>
    <t>produção de mudas; nº de mudas produzidas plantadas nos eixos prioritários</t>
  </si>
  <si>
    <t>nº de estações instaladas em operação [pode ser por fase: aquisição; instalação; operação; com dados levantados e monitorados]</t>
  </si>
  <si>
    <t>por fase: (inclusão em legislação, se necessário; lançamento de edital; seleção; execução; avaliação...)</t>
  </si>
  <si>
    <t>nº de programas; nº de beneficiários; fases de implantação</t>
  </si>
  <si>
    <t>campanhas anuais realizadas [nº realizado / 10 (anos)]</t>
  </si>
  <si>
    <t>% de bolsas concedidas [Bolsas anuais concedidas / bolsas anuais previstas x 100]</t>
  </si>
  <si>
    <t>nº de ações e campanhas com conteúdo do PMMAC nas ações e campanhas de educação ambiental</t>
  </si>
  <si>
    <t>% de profissionais com especialização em educação ambiental / total de profissionais x 100</t>
  </si>
  <si>
    <t>nº de rotinas revistas; ampliação do número de projetos e iniciativas por ano; relatórios situacionais anuais; planejamentos anuais e de gestão realizados</t>
  </si>
  <si>
    <t>número de profissionais/ número de profissionais originais (&gt;1)</t>
  </si>
  <si>
    <t>Planejamentos anuais e de gestão realizados e divulgados; calendários e agendas estipuladas anualmente [checklist]</t>
  </si>
  <si>
    <t>por fase: (elaboração de proposta de revisão; submissão; apreciação; aprovação)</t>
  </si>
  <si>
    <t>monitoramentos trimestrais realizados (4x ano; checklist)</t>
  </si>
  <si>
    <t>Vistorias e operações realizadas / vistorias e operações planejadas x 100</t>
  </si>
  <si>
    <t>número de capacitações realizadas (anuais ou no período de 10 anos)</t>
  </si>
  <si>
    <t>Cronograma (Prioridade)</t>
  </si>
  <si>
    <t>Conservação e ampliação da permeabilidade das praças e parques (AbE).</t>
  </si>
  <si>
    <t>Secretaria de Meio Ambiente + CETESB (talvez como contrapartida de obras em rodovias)*(colocar como contrapartida no item do p12 de estação automatizada de monitoramento)</t>
  </si>
  <si>
    <t>Secretaria de Meio Ambiente+ Secretaria de Finanças e Orçamento</t>
  </si>
  <si>
    <t>nº de Veículos e Drones adquiridos [checklist]; pode ser por fase para aquisição</t>
  </si>
  <si>
    <t>Secretaria de Meio Ambiente + Secretaria de Finanças e Orçamento</t>
  </si>
  <si>
    <t>Secretaria de Meio Ambiente + Secretaria de Obras e Planejamento</t>
  </si>
  <si>
    <t>Indicador de monitoramento</t>
  </si>
  <si>
    <t>Secretaria de Meio Ambiente + Secretaria de Obras e Planejamento + Secretaria de Desenvolvimento Rural Sustentável e Clima</t>
  </si>
  <si>
    <t>número de cargos criados; acompanhamento por fase para preenchimento de vagas nos cargos criados</t>
  </si>
  <si>
    <t>nº de projetos de permeabilidade em praças e parques realizados; pode ser acompanhado por fase (elaboração de projeto; projeto executivo; contratação; execução; entrega)</t>
  </si>
  <si>
    <t>% Ações nas sub-bacias críticas [ações executadas / total das ações nas sub-bacias x 100]; pode ser feito por ação [% reflorestamento; travessias; etc] e acompanhado por fases</t>
  </si>
  <si>
    <t>CAF</t>
  </si>
  <si>
    <t>CAD</t>
  </si>
  <si>
    <t>Pesquisas de Campo e Inventariamento</t>
  </si>
  <si>
    <t>Sistema de Monitoramento</t>
  </si>
  <si>
    <t>Viveiro e Banco de Sementes</t>
  </si>
  <si>
    <t>a definir</t>
  </si>
  <si>
    <t>Reflorestamento</t>
  </si>
  <si>
    <t>TOTAL</t>
  </si>
  <si>
    <t>Quantidade de bolsistas</t>
  </si>
  <si>
    <t>Total /ano (R$)</t>
  </si>
  <si>
    <t>Pós-doutorado</t>
  </si>
  <si>
    <t>Doutorado</t>
  </si>
  <si>
    <t>Mestrado</t>
  </si>
  <si>
    <t xml:space="preserve">Iniciação Científica </t>
  </si>
  <si>
    <t>Materiais</t>
  </si>
  <si>
    <t xml:space="preserve">TOTAL </t>
  </si>
  <si>
    <t>Elaboração: Risco AU, 2025. Valores de Referência segundo tabela FAPESP.</t>
  </si>
  <si>
    <t>Unidade Padrão CETESB</t>
  </si>
  <si>
    <t>Valor Unitário</t>
  </si>
  <si>
    <t>Formação Florestal</t>
  </si>
  <si>
    <t>Condição</t>
  </si>
  <si>
    <t>Plantio Total (mudas)</t>
  </si>
  <si>
    <t>Condução da Regeneração</t>
  </si>
  <si>
    <t>Regeneração Natural</t>
  </si>
  <si>
    <t>APPs Totais + RL</t>
  </si>
  <si>
    <t>CERRADO</t>
  </si>
  <si>
    <t>MATA ATLÂNTICA</t>
  </si>
  <si>
    <t>APPs Prioritárias</t>
  </si>
  <si>
    <t>Manutenção</t>
  </si>
  <si>
    <t>3 anos</t>
  </si>
  <si>
    <t>4 anos</t>
  </si>
  <si>
    <t>10 anos</t>
  </si>
  <si>
    <t xml:space="preserve">5 anos </t>
  </si>
  <si>
    <t>5 anos</t>
  </si>
  <si>
    <t>MATA ATLÃNTICA</t>
  </si>
  <si>
    <t>Total</t>
  </si>
  <si>
    <t>Técnica</t>
  </si>
  <si>
    <t>-</t>
  </si>
  <si>
    <t>Cercamento</t>
  </si>
  <si>
    <t>Rural</t>
  </si>
  <si>
    <t>Urbano</t>
  </si>
  <si>
    <t>APPs TOTAL</t>
  </si>
  <si>
    <t>Reserva Legal</t>
  </si>
  <si>
    <t>NECESSIDADE DE MUDAS - RESERVA LEGAL</t>
  </si>
  <si>
    <t>Mudas por hectare</t>
  </si>
  <si>
    <t>hectares</t>
  </si>
  <si>
    <t>Mudas</t>
  </si>
  <si>
    <t>NECESSIDADE DE MUDAS - APPs</t>
  </si>
  <si>
    <t>margem 30%</t>
  </si>
  <si>
    <t>Custo</t>
  </si>
  <si>
    <t>Custos internos em patamares já praticados pela Secretaria de Meio Ambiente + Secretaria de Educação</t>
  </si>
  <si>
    <t>Custos indiretos Secretaria de Meio Ambiente</t>
  </si>
  <si>
    <t>Custos indiretos CONDEMA</t>
  </si>
  <si>
    <t>Custos operacionais Secretaria de Meio Ambiente + Secretaria de Obras e Planejamento + Secretaria de Desenvolvimento Rural Sustentável e Clima</t>
  </si>
  <si>
    <t>Ampliação dos recursos materiais para fiscalização (aquisição de veículo 4x4 e Drone para fiscalização remota).</t>
  </si>
  <si>
    <t>1.</t>
  </si>
  <si>
    <t>2.</t>
  </si>
  <si>
    <t>3.</t>
  </si>
  <si>
    <t>MEMÓRIA DE CÁLCULO</t>
  </si>
  <si>
    <t>CONTEÚDO</t>
  </si>
  <si>
    <t>1. CUSTOS TOTAIS PMMAC</t>
  </si>
  <si>
    <t>Custo anual relativo à pesquisa de inventariamento</t>
  </si>
  <si>
    <t>Valor mensal da bolsa (R$)</t>
  </si>
  <si>
    <t>Total/ano</t>
  </si>
  <si>
    <t>Total 10 anos</t>
  </si>
  <si>
    <t>CUSTOS TOTAIS PMMAC (em R$)</t>
  </si>
  <si>
    <t>Programa de Pagamento por Serviços Ambientais (PSA)</t>
  </si>
  <si>
    <t>Recomendação de R$300.000,00 ao ano, nos primeiros 5 anos</t>
  </si>
  <si>
    <t>Qtde.</t>
  </si>
  <si>
    <t>Viveiro e Banco de sementes</t>
  </si>
  <si>
    <t>2. ESTIMATIVA DE MUDAS</t>
  </si>
  <si>
    <t>(a) APPs TOTAL</t>
  </si>
  <si>
    <t>(b) APPs Prioritárias</t>
  </si>
  <si>
    <t>(c) Reserva Legal</t>
  </si>
  <si>
    <t>Quadro de áreas (hectares)</t>
  </si>
  <si>
    <t>ÁREAS POR SITUAÇÃO E FORMAÇÃO FLORESTAL</t>
  </si>
  <si>
    <t>ÁREAS POR SITUAÇÃO, FORMAÇÃO FLORESTAL E INDICAÇÃO DE TÉCNICA</t>
  </si>
  <si>
    <t>Área (ha)</t>
  </si>
  <si>
    <t>R$/ha 2025</t>
  </si>
  <si>
    <t>ÁREAS POR FORMAÇÃO FLORESTAL E INDICAÇÃO DE TÉCNICA</t>
  </si>
  <si>
    <t>3. VALORES DO QUADRO DE AÇÕES</t>
  </si>
  <si>
    <t>CERRADO (ha)</t>
  </si>
  <si>
    <t>MATA ATLÂNTICA (ha)</t>
  </si>
  <si>
    <t>Para 10 anos, as áreas indicadas para receber Condução da Regeneração como técnica principal foram compostas por:</t>
  </si>
  <si>
    <t>Para 10 anos, as áreas indicadas para receber Plantio Total como técnica principal foram compostas por:</t>
  </si>
  <si>
    <t>5 anos de Condução da Regeneração + 5 anos de Regeneração Natural</t>
  </si>
  <si>
    <t>Plantio Total (R$)</t>
  </si>
  <si>
    <t>Manutenção (R$)</t>
  </si>
  <si>
    <t>Condução da Regeneração (R$)</t>
  </si>
  <si>
    <t>TOTAL (R$)</t>
  </si>
  <si>
    <t>Regeneração Natural (R$)</t>
  </si>
  <si>
    <t>ESTIMATIVA DE MUDAS</t>
  </si>
  <si>
    <t>Plantio Total (mudas) (R$)</t>
  </si>
  <si>
    <t>MATA ATLÂNTICA TOTAL</t>
  </si>
  <si>
    <t>CERRADO TOTAL</t>
  </si>
  <si>
    <t>%</t>
  </si>
  <si>
    <t>SOMA</t>
  </si>
  <si>
    <t>mudas</t>
  </si>
  <si>
    <t>VALORES DO QUADRO DE AÇÕES</t>
  </si>
  <si>
    <t>Localizador (Coluna-Linha)</t>
  </si>
  <si>
    <t>Cálculo</t>
  </si>
  <si>
    <t>Corresponde à aplicação de valores para Composição Técnica de Plantio Total em Condição Ambiental Desfavorável (3 anos de Plantio Total; 3 anos de Manutenção; 4 anos de Condução da Regeneração) para as áreas urbanas (linha 93) para Cerrado e Mata Atlântica. [(F93*F76)+(F93*F83)+(F93*F78)+(I93*G76)+(I93*G83)+(I93*G78)]</t>
  </si>
  <si>
    <t>*em elaboração (P19)</t>
  </si>
  <si>
    <t>idem</t>
  </si>
  <si>
    <t>Custos Indireto (Sec. Obras)</t>
  </si>
  <si>
    <t>Custos Indiretos (Plano Municipal de Macrodrenagem)</t>
  </si>
  <si>
    <t>Travessia de Fauna</t>
  </si>
  <si>
    <t>Reflorestamento das  APPs e áreas de Reserva Legal totais exceto APPs Prioritárias e em área urbana</t>
  </si>
  <si>
    <t>A1.1</t>
  </si>
  <si>
    <t>A1.2</t>
  </si>
  <si>
    <t>A1.3</t>
  </si>
  <si>
    <t>A2.1</t>
  </si>
  <si>
    <t>A2.2</t>
  </si>
  <si>
    <t>A2.3</t>
  </si>
  <si>
    <t>A2.4</t>
  </si>
  <si>
    <t>Total (a+c)</t>
  </si>
  <si>
    <t>Total APPs + RL</t>
  </si>
  <si>
    <t>A.2.5</t>
  </si>
  <si>
    <t>B1. Requalificação do Viveiro de Mudas e Banco de Sementes</t>
  </si>
  <si>
    <t>B2. Implantação de Sistema de Monitoramento Municipal</t>
  </si>
  <si>
    <t>B1.1</t>
  </si>
  <si>
    <t>B1.2</t>
  </si>
  <si>
    <t>B1.3</t>
  </si>
  <si>
    <t>B2.1</t>
  </si>
  <si>
    <t>C1.1</t>
  </si>
  <si>
    <t>C1.2</t>
  </si>
  <si>
    <t>D1.1</t>
  </si>
  <si>
    <t>D1.2</t>
  </si>
  <si>
    <t>E1.1</t>
  </si>
  <si>
    <t>E1.2</t>
  </si>
  <si>
    <t>E1.3</t>
  </si>
  <si>
    <t>E2.1</t>
  </si>
  <si>
    <t>E2.2</t>
  </si>
  <si>
    <t>F1.1</t>
  </si>
  <si>
    <t>F1.2</t>
  </si>
  <si>
    <t>F1.3</t>
  </si>
  <si>
    <t>F1.4</t>
  </si>
  <si>
    <t>F1.5</t>
  </si>
  <si>
    <t>F1.6</t>
  </si>
  <si>
    <t>F2.1</t>
  </si>
  <si>
    <t>F2.2</t>
  </si>
  <si>
    <t>F3.1</t>
  </si>
  <si>
    <t>F3.2</t>
  </si>
  <si>
    <t>F3.3</t>
  </si>
  <si>
    <t>1.1</t>
  </si>
  <si>
    <t>1.2</t>
  </si>
  <si>
    <t>1.3</t>
  </si>
  <si>
    <t>1.4</t>
  </si>
  <si>
    <t>1.5</t>
  </si>
  <si>
    <t>1.6</t>
  </si>
  <si>
    <t>1.7</t>
  </si>
  <si>
    <t>Capacidade de Gestão e Fiscalização</t>
  </si>
  <si>
    <t>1.7.</t>
  </si>
  <si>
    <t>Ampliação dos recursos materiais para fiscalização (aquisição de veículo 4x4 e Drone para fiscalização remota)</t>
  </si>
  <si>
    <t>Veículo 4x4</t>
  </si>
  <si>
    <t>Item</t>
  </si>
  <si>
    <t>Valor Unitário (R$)</t>
  </si>
  <si>
    <t>1.1. Pesquisas de Campo e Inventariamento</t>
  </si>
  <si>
    <t>1.2. Programa de Pagamento por Serviços Ambientais (PSA)</t>
  </si>
  <si>
    <t>1.3. Sistema de Monitoramento</t>
  </si>
  <si>
    <t>1.4. Viveiro e Banco de Sementes</t>
  </si>
  <si>
    <t>1.5. Travessia Elevada</t>
  </si>
  <si>
    <t>1.6. Reflorestamento</t>
  </si>
  <si>
    <t>1.7. Capacidade de Gestão e Fiscalização</t>
  </si>
  <si>
    <t>1.1.</t>
  </si>
  <si>
    <t>1.2.</t>
  </si>
  <si>
    <t>1.3.</t>
  </si>
  <si>
    <t>1.4.</t>
  </si>
  <si>
    <t>1.5.</t>
  </si>
  <si>
    <t>1.6.</t>
  </si>
  <si>
    <t>1.6.1. Valores de referência</t>
  </si>
  <si>
    <t>1.6.2. Quadros de áreas</t>
  </si>
  <si>
    <t>1.6.3. Composição técnica</t>
  </si>
  <si>
    <t xml:space="preserve">          1.6.3.1. Plantio Total</t>
  </si>
  <si>
    <t xml:space="preserve">          1.6.3.2. Condução da Regeneração</t>
  </si>
  <si>
    <t xml:space="preserve">          1.6.3.3. Regeneração Natural</t>
  </si>
  <si>
    <t>1.6.4. Quadro final</t>
  </si>
  <si>
    <t>R$14.522.145,61 a R$38.523.884,32</t>
  </si>
  <si>
    <t>H2</t>
  </si>
  <si>
    <t>H5aH7</t>
  </si>
  <si>
    <t>H10</t>
  </si>
  <si>
    <t>Valor indicado corresponde ao intervalo estimado para o Reflorestamento de APPs Prioritárias. [=(x), localizado na célula D177], exceto o estimado para área urbanizada (J175)</t>
  </si>
  <si>
    <t>De R$49.614.191,80 a R$128.942.559,72</t>
  </si>
  <si>
    <t>H12</t>
  </si>
  <si>
    <t>H16</t>
  </si>
  <si>
    <t>H17</t>
  </si>
  <si>
    <t>H19</t>
  </si>
  <si>
    <t>H28</t>
  </si>
  <si>
    <t xml:space="preserve">1.5. </t>
  </si>
  <si>
    <t>Corresponde à estimativa para o Total de APPs e Áreas de Reserva Legal, excetuandos as APPs prioritárias e o estimado para áreas urbanizadas [E176-E214-E213];[F176-E214-E213]</t>
  </si>
  <si>
    <t>1.6.3.1. Plantio Total</t>
  </si>
  <si>
    <t>1.6.3.2. Condução da Regeneração</t>
  </si>
  <si>
    <t>1.6.3.3. Regeneração Natural</t>
  </si>
  <si>
    <t xml:space="preserve">Drone </t>
  </si>
  <si>
    <t>CUSTO TOTAL (10 anos)</t>
  </si>
  <si>
    <t>CAD (máximo)</t>
  </si>
  <si>
    <t>CAF (mínimo)</t>
  </si>
  <si>
    <t>Reflorestamento, conservação e ampliação da biodiversidade</t>
  </si>
  <si>
    <t>APPs Totais + Reserva Legal</t>
  </si>
  <si>
    <t>A.</t>
  </si>
  <si>
    <t>B.</t>
  </si>
  <si>
    <t>C.</t>
  </si>
  <si>
    <t>Pagamento por Serviços Ambientais (PSA)</t>
  </si>
  <si>
    <t>D.</t>
  </si>
  <si>
    <t>Pesquisa e Inventariamento</t>
  </si>
  <si>
    <t>E.</t>
  </si>
  <si>
    <t>indiretos</t>
  </si>
  <si>
    <t>F.</t>
  </si>
  <si>
    <t>A.1. APPs Totais + Reserva Legal</t>
  </si>
  <si>
    <t>A.2. APPs Prioritárias</t>
  </si>
  <si>
    <t>A.3. Travessia de Fauna</t>
  </si>
  <si>
    <t>B.1. Viveiro e Banco de Sementes</t>
  </si>
  <si>
    <t>B.2. Sistema de Monitoramento</t>
  </si>
  <si>
    <t>Condução da Regeneração Natural</t>
  </si>
  <si>
    <t>R$/h 2016</t>
  </si>
  <si>
    <t>IGP acumulado (jul/2016-mar/2025)</t>
  </si>
  <si>
    <t>3 anos de Plantio Total + 3 anos de Manutenção + 4 anos de Condução da Regeneração, sendo que as áreas Urbanas sempre usam valores CAD.</t>
  </si>
  <si>
    <t>Para 10 anos, foram aplicadas às áreas os valores relativos à Regeneração Natural. Como cada período de custo para essa metodologia era de 5 anos, aplicou-se o dobro do valor de referência para o cálculo para 10 anos.</t>
  </si>
  <si>
    <t>A.1. APPs Totais + RL</t>
  </si>
  <si>
    <t>CUSTOS TOTAIS PMMAC (em R$) P12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</si>
</sst>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??_-;_-@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7F7F7F"/>
      </bottom>
      <diagonal/>
    </border>
    <border>
      <left/>
      <right style="medium">
        <color rgb="FF7F7F7F"/>
      </right>
      <top/>
      <bottom/>
      <diagonal/>
    </border>
    <border>
      <left/>
      <right style="medium">
        <color rgb="FF7F7F7F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9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0" fontId="5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43" fontId="0" fillId="8" borderId="0" xfId="1" applyFont="1" applyFill="1"/>
    <xf numFmtId="43" fontId="0" fillId="8" borderId="0" xfId="1" applyFont="1" applyFill="1" applyAlignment="1">
      <alignment horizontal="right"/>
    </xf>
    <xf numFmtId="0" fontId="0" fillId="8" borderId="0" xfId="0" applyFill="1" applyAlignment="1">
      <alignment horizontal="center" vertical="center"/>
    </xf>
    <xf numFmtId="43" fontId="0" fillId="8" borderId="0" xfId="0" applyNumberFormat="1" applyFill="1"/>
    <xf numFmtId="0" fontId="0" fillId="8" borderId="16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44" fontId="3" fillId="2" borderId="5" xfId="2" applyFont="1" applyFill="1" applyBorder="1" applyAlignment="1">
      <alignment horizontal="left" vertical="center" wrapText="1"/>
    </xf>
    <xf numFmtId="44" fontId="3" fillId="3" borderId="5" xfId="2" applyFont="1" applyFill="1" applyBorder="1" applyAlignment="1">
      <alignment horizontal="left" vertical="center" wrapText="1"/>
    </xf>
    <xf numFmtId="44" fontId="3" fillId="4" borderId="5" xfId="2" applyFont="1" applyFill="1" applyBorder="1" applyAlignment="1">
      <alignment horizontal="left" vertical="center" wrapText="1"/>
    </xf>
    <xf numFmtId="44" fontId="3" fillId="5" borderId="5" xfId="2" applyFont="1" applyFill="1" applyBorder="1" applyAlignment="1">
      <alignment horizontal="left" vertical="center" wrapText="1"/>
    </xf>
    <xf numFmtId="44" fontId="3" fillId="7" borderId="5" xfId="2" applyFont="1" applyFill="1" applyBorder="1" applyAlignment="1">
      <alignment horizontal="left" vertical="center" wrapText="1"/>
    </xf>
    <xf numFmtId="0" fontId="0" fillId="8" borderId="0" xfId="0" applyFill="1"/>
    <xf numFmtId="0" fontId="0" fillId="8" borderId="0" xfId="0" applyFill="1" applyAlignment="1">
      <alignment horizontal="center"/>
    </xf>
    <xf numFmtId="0" fontId="6" fillId="8" borderId="12" xfId="0" applyFont="1" applyFill="1" applyBorder="1"/>
    <xf numFmtId="43" fontId="6" fillId="8" borderId="0" xfId="1" applyFont="1" applyFill="1" applyBorder="1"/>
    <xf numFmtId="0" fontId="7" fillId="8" borderId="0" xfId="0" applyFont="1" applyFill="1" applyAlignment="1">
      <alignment horizontal="center" vertical="center"/>
    </xf>
    <xf numFmtId="0" fontId="8" fillId="8" borderId="7" xfId="0" applyFont="1" applyFill="1" applyBorder="1" applyAlignment="1">
      <alignment vertical="top"/>
    </xf>
    <xf numFmtId="0" fontId="2" fillId="8" borderId="8" xfId="0" applyFont="1" applyFill="1" applyBorder="1" applyAlignment="1">
      <alignment horizontal="justify" vertical="center"/>
    </xf>
    <xf numFmtId="0" fontId="2" fillId="8" borderId="0" xfId="0" applyFont="1" applyFill="1" applyAlignment="1">
      <alignment horizontal="right" vertical="center"/>
    </xf>
    <xf numFmtId="0" fontId="7" fillId="8" borderId="8" xfId="0" applyFont="1" applyFill="1" applyBorder="1" applyAlignment="1">
      <alignment horizontal="justify" vertical="center"/>
    </xf>
    <xf numFmtId="0" fontId="7" fillId="8" borderId="0" xfId="0" applyFont="1" applyFill="1" applyAlignment="1">
      <alignment horizontal="right" vertical="center"/>
    </xf>
    <xf numFmtId="44" fontId="6" fillId="8" borderId="0" xfId="2" applyFont="1" applyFill="1"/>
    <xf numFmtId="0" fontId="5" fillId="8" borderId="15" xfId="0" applyFont="1" applyFill="1" applyBorder="1" applyAlignment="1">
      <alignment horizontal="center" vertical="center"/>
    </xf>
    <xf numFmtId="43" fontId="0" fillId="8" borderId="15" xfId="1" applyFont="1" applyFill="1" applyBorder="1"/>
    <xf numFmtId="0" fontId="0" fillId="8" borderId="18" xfId="0" applyFill="1" applyBorder="1" applyAlignment="1">
      <alignment horizontal="center" vertical="center"/>
    </xf>
    <xf numFmtId="43" fontId="0" fillId="8" borderId="0" xfId="1" applyFont="1" applyFill="1" applyBorder="1"/>
    <xf numFmtId="43" fontId="0" fillId="8" borderId="19" xfId="1" applyFont="1" applyFill="1" applyBorder="1"/>
    <xf numFmtId="0" fontId="0" fillId="8" borderId="16" xfId="0" applyFill="1" applyBorder="1" applyAlignment="1">
      <alignment horizontal="center" vertical="center" wrapText="1"/>
    </xf>
    <xf numFmtId="43" fontId="0" fillId="8" borderId="16" xfId="1" applyFont="1" applyFill="1" applyBorder="1"/>
    <xf numFmtId="43" fontId="0" fillId="8" borderId="17" xfId="1" applyFont="1" applyFill="1" applyBorder="1"/>
    <xf numFmtId="0" fontId="0" fillId="8" borderId="0" xfId="0" applyFill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43" fontId="0" fillId="8" borderId="10" xfId="1" applyFont="1" applyFill="1" applyBorder="1"/>
    <xf numFmtId="43" fontId="0" fillId="8" borderId="21" xfId="1" applyFont="1" applyFill="1" applyBorder="1"/>
    <xf numFmtId="0" fontId="0" fillId="8" borderId="11" xfId="0" applyFill="1" applyBorder="1" applyAlignment="1">
      <alignment horizontal="center" vertical="center"/>
    </xf>
    <xf numFmtId="43" fontId="0" fillId="8" borderId="11" xfId="1" applyFont="1" applyFill="1" applyBorder="1"/>
    <xf numFmtId="43" fontId="0" fillId="8" borderId="22" xfId="1" applyFont="1" applyFill="1" applyBorder="1"/>
    <xf numFmtId="43" fontId="0" fillId="8" borderId="23" xfId="1" applyFont="1" applyFill="1" applyBorder="1"/>
    <xf numFmtId="0" fontId="0" fillId="8" borderId="13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 wrapText="1"/>
    </xf>
    <xf numFmtId="43" fontId="0" fillId="8" borderId="0" xfId="1" applyFont="1" applyFill="1" applyAlignment="1">
      <alignment vertical="center"/>
    </xf>
    <xf numFmtId="0" fontId="0" fillId="8" borderId="0" xfId="0" applyFill="1" applyAlignment="1">
      <alignment horizontal="right"/>
    </xf>
    <xf numFmtId="0" fontId="0" fillId="8" borderId="0" xfId="0" applyFill="1" applyAlignment="1">
      <alignment horizontal="left"/>
    </xf>
    <xf numFmtId="0" fontId="1" fillId="8" borderId="7" xfId="0" applyFont="1" applyFill="1" applyBorder="1" applyAlignment="1">
      <alignment horizontal="center" vertical="center" wrapText="1"/>
    </xf>
    <xf numFmtId="43" fontId="2" fillId="8" borderId="0" xfId="1" applyFont="1" applyFill="1" applyAlignment="1">
      <alignment horizontal="right" vertical="center"/>
    </xf>
    <xf numFmtId="43" fontId="7" fillId="8" borderId="0" xfId="1" applyFont="1" applyFill="1" applyAlignment="1">
      <alignment horizontal="right" vertical="center"/>
    </xf>
    <xf numFmtId="43" fontId="1" fillId="8" borderId="10" xfId="1" applyFont="1" applyFill="1" applyBorder="1" applyAlignment="1">
      <alignment horizontal="right" vertical="center"/>
    </xf>
    <xf numFmtId="0" fontId="1" fillId="8" borderId="0" xfId="0" applyFont="1" applyFill="1" applyAlignment="1">
      <alignment horizontal="center" vertical="center"/>
    </xf>
    <xf numFmtId="44" fontId="1" fillId="8" borderId="0" xfId="2" applyFont="1" applyFill="1" applyBorder="1" applyAlignment="1">
      <alignment horizontal="center" vertical="center"/>
    </xf>
    <xf numFmtId="0" fontId="6" fillId="9" borderId="12" xfId="0" applyFont="1" applyFill="1" applyBorder="1"/>
    <xf numFmtId="43" fontId="6" fillId="9" borderId="12" xfId="1" applyFont="1" applyFill="1" applyBorder="1"/>
    <xf numFmtId="0" fontId="6" fillId="9" borderId="0" xfId="0" applyFont="1" applyFill="1"/>
    <xf numFmtId="43" fontId="6" fillId="9" borderId="0" xfId="1" applyFont="1" applyFill="1" applyBorder="1"/>
    <xf numFmtId="0" fontId="1" fillId="9" borderId="0" xfId="0" applyFont="1" applyFill="1" applyAlignment="1">
      <alignment horizontal="center" vertical="center"/>
    </xf>
    <xf numFmtId="44" fontId="1" fillId="9" borderId="0" xfId="2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right"/>
    </xf>
    <xf numFmtId="0" fontId="6" fillId="8" borderId="25" xfId="0" applyFont="1" applyFill="1" applyBorder="1"/>
    <xf numFmtId="0" fontId="0" fillId="8" borderId="25" xfId="0" applyFill="1" applyBorder="1"/>
    <xf numFmtId="0" fontId="0" fillId="9" borderId="0" xfId="0" applyFill="1"/>
    <xf numFmtId="0" fontId="9" fillId="8" borderId="0" xfId="3" applyFill="1"/>
    <xf numFmtId="44" fontId="6" fillId="9" borderId="0" xfId="0" applyNumberFormat="1" applyFont="1" applyFill="1"/>
    <xf numFmtId="0" fontId="6" fillId="8" borderId="0" xfId="0" applyFont="1" applyFill="1" applyAlignment="1">
      <alignment horizontal="right"/>
    </xf>
    <xf numFmtId="0" fontId="6" fillId="8" borderId="0" xfId="0" applyFont="1" applyFill="1"/>
    <xf numFmtId="44" fontId="6" fillId="9" borderId="0" xfId="2" applyFont="1" applyFill="1"/>
    <xf numFmtId="0" fontId="0" fillId="8" borderId="10" xfId="0" applyFill="1" applyBorder="1"/>
    <xf numFmtId="44" fontId="6" fillId="8" borderId="10" xfId="2" applyFont="1" applyFill="1" applyBorder="1"/>
    <xf numFmtId="0" fontId="0" fillId="8" borderId="12" xfId="0" applyFill="1" applyBorder="1" applyAlignment="1">
      <alignment horizontal="center"/>
    </xf>
    <xf numFmtId="44" fontId="6" fillId="8" borderId="25" xfId="2" applyFont="1" applyFill="1" applyBorder="1"/>
    <xf numFmtId="0" fontId="0" fillId="8" borderId="27" xfId="0" applyFill="1" applyBorder="1"/>
    <xf numFmtId="0" fontId="0" fillId="8" borderId="28" xfId="0" applyFill="1" applyBorder="1"/>
    <xf numFmtId="0" fontId="0" fillId="8" borderId="29" xfId="0" applyFill="1" applyBorder="1"/>
    <xf numFmtId="0" fontId="0" fillId="8" borderId="12" xfId="0" applyFill="1" applyBorder="1"/>
    <xf numFmtId="0" fontId="6" fillId="9" borderId="0" xfId="0" applyFont="1" applyFill="1" applyAlignment="1">
      <alignment horizontal="center"/>
    </xf>
    <xf numFmtId="0" fontId="1" fillId="8" borderId="25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/>
    </xf>
    <xf numFmtId="0" fontId="6" fillId="8" borderId="30" xfId="0" applyFont="1" applyFill="1" applyBorder="1"/>
    <xf numFmtId="0" fontId="0" fillId="8" borderId="13" xfId="0" applyFill="1" applyBorder="1"/>
    <xf numFmtId="43" fontId="5" fillId="8" borderId="13" xfId="1" applyFont="1" applyFill="1" applyBorder="1"/>
    <xf numFmtId="43" fontId="6" fillId="9" borderId="20" xfId="1" applyFont="1" applyFill="1" applyBorder="1"/>
    <xf numFmtId="43" fontId="6" fillId="9" borderId="13" xfId="1" applyFont="1" applyFill="1" applyBorder="1"/>
    <xf numFmtId="43" fontId="6" fillId="9" borderId="24" xfId="1" applyFont="1" applyFill="1" applyBorder="1"/>
    <xf numFmtId="43" fontId="6" fillId="9" borderId="23" xfId="1" applyFont="1" applyFill="1" applyBorder="1"/>
    <xf numFmtId="43" fontId="6" fillId="9" borderId="13" xfId="1" applyFont="1" applyFill="1" applyBorder="1" applyAlignment="1">
      <alignment vertical="center"/>
    </xf>
    <xf numFmtId="0" fontId="0" fillId="8" borderId="15" xfId="0" applyFill="1" applyBorder="1"/>
    <xf numFmtId="0" fontId="0" fillId="8" borderId="15" xfId="0" applyFill="1" applyBorder="1" applyAlignment="1">
      <alignment horizontal="center"/>
    </xf>
    <xf numFmtId="43" fontId="6" fillId="8" borderId="15" xfId="1" applyFont="1" applyFill="1" applyBorder="1"/>
    <xf numFmtId="43" fontId="0" fillId="8" borderId="16" xfId="1" applyFont="1" applyFill="1" applyBorder="1" applyAlignment="1">
      <alignment horizontal="center" vertical="center" wrapText="1"/>
    </xf>
    <xf numFmtId="43" fontId="0" fillId="8" borderId="16" xfId="1" applyFont="1" applyFill="1" applyBorder="1" applyAlignment="1">
      <alignment horizontal="center" vertical="center"/>
    </xf>
    <xf numFmtId="43" fontId="0" fillId="8" borderId="15" xfId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43" fontId="6" fillId="8" borderId="26" xfId="1" applyFont="1" applyFill="1" applyBorder="1"/>
    <xf numFmtId="43" fontId="0" fillId="8" borderId="12" xfId="1" applyFont="1" applyFill="1" applyBorder="1"/>
    <xf numFmtId="0" fontId="6" fillId="8" borderId="15" xfId="0" applyFont="1" applyFill="1" applyBorder="1" applyAlignment="1">
      <alignment horizontal="center" vertical="center"/>
    </xf>
    <xf numFmtId="43" fontId="6" fillId="9" borderId="15" xfId="1" applyFont="1" applyFill="1" applyBorder="1"/>
    <xf numFmtId="44" fontId="6" fillId="9" borderId="0" xfId="2" applyFont="1" applyFill="1" applyBorder="1"/>
    <xf numFmtId="164" fontId="6" fillId="9" borderId="0" xfId="0" applyNumberFormat="1" applyFont="1" applyFill="1"/>
    <xf numFmtId="44" fontId="3" fillId="2" borderId="5" xfId="2" applyFont="1" applyFill="1" applyBorder="1" applyAlignment="1">
      <alignment horizontal="center" vertical="center" wrapText="1"/>
    </xf>
    <xf numFmtId="44" fontId="3" fillId="3" borderId="5" xfId="2" applyFont="1" applyFill="1" applyBorder="1" applyAlignment="1">
      <alignment horizontal="center" vertical="center" wrapText="1"/>
    </xf>
    <xf numFmtId="44" fontId="3" fillId="4" borderId="5" xfId="2" applyFont="1" applyFill="1" applyBorder="1" applyAlignment="1">
      <alignment horizontal="center" vertical="center" wrapText="1"/>
    </xf>
    <xf numFmtId="44" fontId="3" fillId="5" borderId="5" xfId="2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center" wrapText="1"/>
    </xf>
    <xf numFmtId="44" fontId="3" fillId="7" borderId="5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left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left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44" fontId="3" fillId="2" borderId="3" xfId="2" applyFont="1" applyFill="1" applyBorder="1" applyAlignment="1">
      <alignment horizontal="left" vertical="center" wrapText="1"/>
    </xf>
    <xf numFmtId="44" fontId="3" fillId="2" borderId="3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0" fillId="10" borderId="0" xfId="0" applyFill="1"/>
    <xf numFmtId="44" fontId="0" fillId="8" borderId="0" xfId="2" applyFont="1" applyFill="1"/>
    <xf numFmtId="44" fontId="0" fillId="8" borderId="0" xfId="0" applyNumberFormat="1" applyFill="1"/>
    <xf numFmtId="44" fontId="6" fillId="8" borderId="0" xfId="0" applyNumberFormat="1" applyFont="1" applyFill="1"/>
    <xf numFmtId="0" fontId="6" fillId="11" borderId="0" xfId="0" applyFont="1" applyFill="1"/>
    <xf numFmtId="43" fontId="6" fillId="11" borderId="0" xfId="0" applyNumberFormat="1" applyFont="1" applyFill="1"/>
    <xf numFmtId="0" fontId="9" fillId="8" borderId="0" xfId="3" applyFill="1" applyBorder="1"/>
    <xf numFmtId="44" fontId="12" fillId="0" borderId="0" xfId="0" applyNumberFormat="1" applyFont="1"/>
    <xf numFmtId="44" fontId="3" fillId="8" borderId="0" xfId="0" applyNumberFormat="1" applyFont="1" applyFill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right" vertical="center"/>
    </xf>
    <xf numFmtId="43" fontId="0" fillId="8" borderId="0" xfId="1" applyFont="1" applyFill="1" applyAlignment="1">
      <alignment horizontal="right" vertical="center"/>
    </xf>
    <xf numFmtId="0" fontId="0" fillId="12" borderId="0" xfId="0" applyFill="1" applyAlignment="1">
      <alignment horizontal="right" vertical="center"/>
    </xf>
    <xf numFmtId="43" fontId="0" fillId="8" borderId="12" xfId="1" applyFont="1" applyFill="1" applyBorder="1" applyAlignment="1">
      <alignment horizontal="right" vertical="center"/>
    </xf>
    <xf numFmtId="43" fontId="0" fillId="8" borderId="0" xfId="1" applyFont="1" applyFill="1" applyBorder="1" applyAlignment="1">
      <alignment horizontal="right" vertical="center"/>
    </xf>
    <xf numFmtId="43" fontId="0" fillId="12" borderId="0" xfId="1" applyFont="1" applyFill="1" applyAlignment="1">
      <alignment horizontal="right" vertical="center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left" vertical="center" wrapText="1"/>
    </xf>
    <xf numFmtId="0" fontId="0" fillId="8" borderId="12" xfId="0" applyFill="1" applyBorder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6" fillId="9" borderId="12" xfId="0" applyFont="1" applyFill="1" applyBorder="1" applyAlignment="1">
      <alignment vertical="center"/>
    </xf>
    <xf numFmtId="43" fontId="6" fillId="9" borderId="12" xfId="1" applyFont="1" applyFill="1" applyBorder="1" applyAlignment="1">
      <alignment horizontal="right" vertical="center"/>
    </xf>
    <xf numFmtId="0" fontId="6" fillId="9" borderId="26" xfId="0" applyFont="1" applyFill="1" applyBorder="1" applyAlignment="1">
      <alignment vertical="center"/>
    </xf>
    <xf numFmtId="43" fontId="6" fillId="9" borderId="26" xfId="1" applyFont="1" applyFill="1" applyBorder="1" applyAlignment="1">
      <alignment horizontal="right" vertical="center"/>
    </xf>
    <xf numFmtId="0" fontId="13" fillId="13" borderId="40" xfId="0" applyFont="1" applyFill="1" applyBorder="1" applyAlignment="1">
      <alignment horizontal="center" vertical="center"/>
    </xf>
    <xf numFmtId="49" fontId="13" fillId="13" borderId="41" xfId="0" applyNumberFormat="1" applyFont="1" applyFill="1" applyBorder="1" applyAlignment="1">
      <alignment horizontal="center"/>
    </xf>
    <xf numFmtId="0" fontId="13" fillId="13" borderId="0" xfId="0" applyFont="1" applyFill="1" applyAlignment="1">
      <alignment horizontal="center" vertical="center" wrapText="1"/>
    </xf>
    <xf numFmtId="0" fontId="13" fillId="13" borderId="0" xfId="0" applyFont="1" applyFill="1" applyAlignment="1">
      <alignment horizontal="center" vertical="center"/>
    </xf>
    <xf numFmtId="165" fontId="13" fillId="13" borderId="0" xfId="0" applyNumberFormat="1" applyFont="1" applyFill="1"/>
    <xf numFmtId="0" fontId="13" fillId="14" borderId="0" xfId="0" applyFont="1" applyFill="1" applyAlignment="1">
      <alignment horizontal="center" vertical="center"/>
    </xf>
    <xf numFmtId="165" fontId="13" fillId="14" borderId="0" xfId="0" applyNumberFormat="1" applyFont="1" applyFill="1"/>
    <xf numFmtId="165" fontId="13" fillId="13" borderId="0" xfId="0" applyNumberFormat="1" applyFont="1" applyFill="1" applyAlignment="1">
      <alignment horizontal="right"/>
    </xf>
    <xf numFmtId="0" fontId="13" fillId="14" borderId="41" xfId="0" applyFont="1" applyFill="1" applyBorder="1" applyAlignment="1">
      <alignment horizontal="center" vertical="center"/>
    </xf>
    <xf numFmtId="165" fontId="13" fillId="14" borderId="41" xfId="0" applyNumberFormat="1" applyFont="1" applyFill="1" applyBorder="1"/>
    <xf numFmtId="165" fontId="13" fillId="0" borderId="0" xfId="0" applyNumberFormat="1" applyFont="1"/>
    <xf numFmtId="165" fontId="13" fillId="0" borderId="15" xfId="0" applyNumberFormat="1" applyFont="1" applyBorder="1"/>
    <xf numFmtId="0" fontId="2" fillId="7" borderId="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4" fontId="3" fillId="3" borderId="38" xfId="2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44" fontId="3" fillId="4" borderId="38" xfId="2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44" fontId="3" fillId="5" borderId="38" xfId="0" applyNumberFormat="1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44" fontId="3" fillId="2" borderId="3" xfId="0" applyNumberFormat="1" applyFont="1" applyFill="1" applyBorder="1" applyAlignment="1">
      <alignment horizontal="center" vertical="center" wrapText="1"/>
    </xf>
    <xf numFmtId="44" fontId="3" fillId="2" borderId="38" xfId="2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44" fontId="3" fillId="7" borderId="38" xfId="2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" fillId="7" borderId="38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13" fillId="13" borderId="0" xfId="0" applyFont="1" applyFill="1" applyAlignment="1">
      <alignment horizontal="center" vertical="center" wrapText="1"/>
    </xf>
    <xf numFmtId="0" fontId="14" fillId="0" borderId="0" xfId="0" applyFont="1"/>
    <xf numFmtId="0" fontId="14" fillId="0" borderId="41" xfId="0" applyFont="1" applyBorder="1"/>
    <xf numFmtId="0" fontId="6" fillId="12" borderId="26" xfId="0" applyFont="1" applyFill="1" applyBorder="1" applyAlignment="1">
      <alignment horizontal="left" vertical="center"/>
    </xf>
    <xf numFmtId="0" fontId="6" fillId="8" borderId="25" xfId="0" applyFont="1" applyFill="1" applyBorder="1" applyAlignment="1">
      <alignment horizontal="center" vertical="center"/>
    </xf>
    <xf numFmtId="0" fontId="13" fillId="13" borderId="39" xfId="0" applyFont="1" applyFill="1" applyBorder="1" applyAlignment="1">
      <alignment horizontal="center" vertical="center"/>
    </xf>
    <xf numFmtId="0" fontId="0" fillId="8" borderId="0" xfId="0" applyFill="1" applyAlignment="1">
      <alignment horizontal="left" vertical="center" wrapText="1"/>
    </xf>
    <xf numFmtId="0" fontId="0" fillId="1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2" borderId="26" xfId="0" applyFill="1" applyBorder="1" applyAlignment="1">
      <alignment horizontal="left" vertical="center"/>
    </xf>
    <xf numFmtId="0" fontId="6" fillId="12" borderId="12" xfId="0" applyFont="1" applyFill="1" applyBorder="1" applyAlignment="1">
      <alignment horizontal="left" vertical="center"/>
    </xf>
    <xf numFmtId="0" fontId="0" fillId="8" borderId="12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12" xfId="0" applyFill="1" applyBorder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12" borderId="0" xfId="0" applyFill="1" applyAlignment="1">
      <alignment horizontal="right" vertical="center"/>
    </xf>
    <xf numFmtId="0" fontId="0" fillId="12" borderId="0" xfId="0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4" fontId="9" fillId="5" borderId="1" xfId="3" applyNumberFormat="1" applyFill="1" applyBorder="1" applyAlignment="1">
      <alignment horizontal="center" vertical="center" wrapText="1"/>
    </xf>
    <xf numFmtId="44" fontId="9" fillId="5" borderId="2" xfId="3" applyNumberForma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44" fontId="9" fillId="7" borderId="1" xfId="3" applyNumberFormat="1" applyFill="1" applyBorder="1" applyAlignment="1">
      <alignment horizontal="center" vertical="center" wrapText="1"/>
    </xf>
    <xf numFmtId="44" fontId="9" fillId="7" borderId="2" xfId="3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8" fontId="3" fillId="2" borderId="6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3" fillId="2" borderId="6" xfId="2" applyFont="1" applyFill="1" applyBorder="1" applyAlignment="1">
      <alignment horizontal="center" vertical="center" wrapText="1"/>
    </xf>
    <xf numFmtId="44" fontId="3" fillId="2" borderId="4" xfId="2" applyFont="1" applyFill="1" applyBorder="1" applyAlignment="1">
      <alignment horizontal="center" vertical="center" wrapText="1"/>
    </xf>
    <xf numFmtId="44" fontId="3" fillId="2" borderId="3" xfId="2" applyFont="1" applyFill="1" applyBorder="1" applyAlignment="1">
      <alignment horizontal="center" vertical="center" wrapText="1"/>
    </xf>
    <xf numFmtId="0" fontId="9" fillId="2" borderId="33" xfId="3" applyNumberFormat="1" applyFill="1" applyBorder="1" applyAlignment="1">
      <alignment horizontal="center" vertical="center" wrapText="1"/>
    </xf>
    <xf numFmtId="0" fontId="9" fillId="2" borderId="34" xfId="3" applyNumberFormat="1" applyFill="1" applyBorder="1" applyAlignment="1">
      <alignment horizontal="center" vertical="center" wrapText="1"/>
    </xf>
    <xf numFmtId="0" fontId="9" fillId="2" borderId="35" xfId="3" applyNumberFormat="1" applyFill="1" applyBorder="1" applyAlignment="1">
      <alignment horizontal="center" vertical="center" wrapText="1"/>
    </xf>
    <xf numFmtId="0" fontId="9" fillId="2" borderId="36" xfId="3" applyNumberFormat="1" applyFill="1" applyBorder="1" applyAlignment="1">
      <alignment horizontal="center" vertical="center" wrapText="1"/>
    </xf>
    <xf numFmtId="0" fontId="9" fillId="2" borderId="37" xfId="3" applyNumberFormat="1" applyFill="1" applyBorder="1" applyAlignment="1">
      <alignment horizontal="center" vertical="center" wrapText="1"/>
    </xf>
    <xf numFmtId="0" fontId="9" fillId="2" borderId="5" xfId="3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4" fontId="9" fillId="3" borderId="1" xfId="3" applyNumberFormat="1" applyFill="1" applyBorder="1" applyAlignment="1">
      <alignment horizontal="center" vertical="center" wrapText="1"/>
    </xf>
    <xf numFmtId="44" fontId="9" fillId="3" borderId="2" xfId="3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4" fontId="9" fillId="4" borderId="1" xfId="3" applyNumberFormat="1" applyFill="1" applyBorder="1" applyAlignment="1">
      <alignment horizontal="center" vertical="center" wrapText="1"/>
    </xf>
    <xf numFmtId="44" fontId="9" fillId="4" borderId="2" xfId="3" applyNumberFormat="1" applyFill="1" applyBorder="1" applyAlignment="1">
      <alignment horizontal="center" vertical="center" wrapText="1"/>
    </xf>
    <xf numFmtId="0" fontId="9" fillId="2" borderId="1" xfId="3" applyNumberFormat="1" applyFill="1" applyBorder="1" applyAlignment="1">
      <alignment horizontal="center" vertical="center" wrapText="1"/>
    </xf>
    <xf numFmtId="0" fontId="9" fillId="2" borderId="2" xfId="3" applyNumberFormat="1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right" vertical="center"/>
    </xf>
    <xf numFmtId="0" fontId="1" fillId="8" borderId="9" xfId="0" applyFont="1" applyFill="1" applyBorder="1" applyAlignment="1">
      <alignment horizontal="right" vertical="center"/>
    </xf>
    <xf numFmtId="0" fontId="7" fillId="8" borderId="11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rmando Funari" id="{6E329801-6770-432D-847F-7D71D87AC903}" userId="57a8eb7beb817762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5-08-01T13:42:35.20" personId="{6E329801-6770-432D-847F-7D71D87AC903}" id="{46A4DFA7-FFB9-47F3-AB8B-F6125DE7C398}">
    <text>Escala temporal das prioridades: 1- Imediato; 2- em ate 3 anos; em até 6 anos</text>
  </threadedComment>
  <threadedComment ref="I3" dT="2025-08-22T12:04:49.46" personId="{6E329801-6770-432D-847F-7D71D87AC903}" id="{3C554E76-1320-452D-AFFB-17B9AC9E131C}">
    <text>Seleção de áreas urbanas indicadas para reflorestamento para Cerrado e Mata Atlântica, seguindo procedimento para situação desfavorável (Plantio Total; Manutenção; Condução da Regeneração).</text>
  </threadedComment>
  <threadedComment ref="H7" dT="2025-08-22T12:11:54.57" personId="{6E329801-6770-432D-847F-7D71D87AC903}" id="{9524F398-0F2D-4752-A37C-8C93BA3ED4AF}">
    <text xml:space="preserve">Valor indicado corresponde ao intervalo estimado para o Reflorestamento de APPs Prioritárias. </text>
  </threadedComment>
  <threadedComment ref="H13" dT="2025-08-22T12:14:47.20" personId="{6E329801-6770-432D-847F-7D71D87AC903}" id="{7C12A108-7AC0-4D67-BA1C-B98896F83998}">
    <text>Valor será estimado em produto posterior e inserido no quadro.</text>
  </threadedComment>
  <threadedComment ref="H28" dT="2025-08-22T13:30:45.15" personId="{6E329801-6770-432D-847F-7D71D87AC903}" id="{B0AF2214-38F5-441D-91D6-0DCDE216D2E3}">
    <text>Veículo 4x4 + drone dji mavic 3 pro fly more combo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22" dT="2025-08-20T18:55:14.91" personId="{6E329801-6770-432D-847F-7D71D87AC903}" id="{52E342E9-199A-43AA-8B75-8490748104D7}">
    <text>Condição Ambiental Favorável</text>
  </threadedComment>
  <threadedComment ref="L22" dT="2025-08-20T18:55:27.59" personId="{6E329801-6770-432D-847F-7D71D87AC903}" id="{027CC382-1226-4B9A-9914-79D4D151D230}">
    <text>Condição Ambiental Desfavorável</text>
  </threadedComment>
  <threadedComment ref="E23" dT="2025-08-20T18:55:14.91" personId="{6E329801-6770-432D-847F-7D71D87AC903}" id="{2A0C15AA-6958-4B00-8715-D744A3A18633}">
    <text>Condição Ambiental Favorável</text>
  </threadedComment>
  <threadedComment ref="F23" dT="2025-08-20T18:55:27.59" personId="{6E329801-6770-432D-847F-7D71D87AC903}" id="{6211E264-7055-4A99-ADAE-47CA693C7621}">
    <text>Condição Ambiental Desfavorável</text>
  </threadedComment>
  <threadedComment ref="J23" dT="2025-11-21T14:26:48.51" personId="{6E329801-6770-432D-847F-7D71D87AC903}" id="{8886D79D-D9A2-41FF-BE89-430F6506EFED}">
    <text>APPs Urbanas + Rurais, sendo que se aplica sempre referências de valores DESFAVORÁVEIS para as áreas urbanas.</text>
  </threadedComment>
  <threadedComment ref="J24" dT="2025-11-21T14:15:53.62" personId="{6E329801-6770-432D-847F-7D71D87AC903}" id="{DD08293F-417D-4CE7-9899-764A0B793602}">
    <text>APPs Urbanas + Rurais, sendo que se aplica sempre referências de valores DESFAVORÁVEIS para as áreas urbanas. É um subgrupo do item anterior.</text>
  </threadedComment>
  <threadedComment ref="H32" dT="2025-08-22T17:08:14.80" personId="{6E329801-6770-432D-847F-7D71D87AC903}" id="{DE5D98E3-A1E4-461C-9AD4-903D38FABC2D}">
    <text>A.1+A.3+B.1+B.2+C.+D+E+F</text>
  </threadedComment>
  <threadedComment ref="H33" dT="2025-08-22T18:16:50.30" personId="{6E329801-6770-432D-847F-7D71D87AC903}" id="{6DBBBC21-01B1-4B31-B591-0CB0C50857E1}">
    <text>A.2+A.3+B.1+B.2+C+D+E+F</text>
  </threadedComment>
  <threadedComment ref="I33" dT="2025-08-22T18:17:29.35" personId="{6E329801-6770-432D-847F-7D71D87AC903}" id="{E1F4F3A3-800C-4821-8EC2-06E7BB9E8ABE}">
    <text>Valor de (x) na linha 175. Corresponde a um sub-grupo de 1.F.</text>
  </threadedComment>
  <threadedComment ref="E56" dT="2025-08-20T19:02:09.45" personId="{6E329801-6770-432D-847F-7D71D87AC903}" id="{C2BA2972-7C3E-4478-AB0C-94DE642A53BF}">
    <text>Valor para Estação de Monitoramento de Ar instalada, retirado do Plano de Negócios e Estratégia de Longo Prazo 2020, p.14, SÃO PAULO, CETESB (2019).</text>
  </threadedComment>
  <threadedComment ref="E68" dT="2025-08-22T17:16:16.37" personId="{6E329801-6770-432D-847F-7D71D87AC903}" id="{35B63520-251A-444C-B462-C9A03A1AB68B}">
    <text>Referências entre R$2,4 e R$9 milhões para travessias tipo viaduto verde encontrados em busca de referências. Foram usados valores de soluções mais simples.</text>
  </threadedComment>
  <threadedComment ref="D74" dT="2025-11-21T18:52:17.66" personId="{6E329801-6770-432D-847F-7D71D87AC903}" id="{BAC560A2-C370-4D18-B501-4A658E3B767F}">
    <text>Procedimento descrito na pg. 39 do P12</text>
  </threadedComment>
  <threadedComment ref="D74" dT="2025-11-21T19:11:58.15" personId="{6E329801-6770-432D-847F-7D71D87AC903}" id="{12F0F6A4-659B-4B65-A8DF-4F3C9034D7F6}" parentId="{BAC560A2-C370-4D18-B501-4A658E3B767F}">
    <text>Aplicou-se o acumulado do IGP de jul/2016 a mar/2025 sobre os valores de referência. Sugere-se o mesmo indicador para atualizações futuras.</text>
  </threadedComment>
  <threadedComment ref="J75" dT="2025-11-21T19:05:05.20" personId="{6E329801-6770-432D-847F-7D71D87AC903}" id="{B9913F0E-057B-4692-B08E-B4392F7064D6}">
    <text>BRASIL: MMA, IPEA, TNC Brasil, 2017: Recuperação da vegetação nativa no Brasil: caracterização das técnicas e estimativas de custo por hectare.</text>
  </threadedComment>
  <threadedComment ref="K85" dT="2025-11-21T19:10:32.84" personId="{6E329801-6770-432D-847F-7D71D87AC903}" id="{3EF75F69-1495-4A37-BCF0-33827DF1C50B}">
    <text>Através de médias coletadas em pesquisa e bibliografia, estabeleceu-se que para Manutenção, CAF = CAD/2,25</text>
  </threadedComment>
  <threadedComment ref="F128" dT="2025-11-24T14:12:51.67" personId="{6E329801-6770-432D-847F-7D71D87AC903}" id="{79EB1CDA-3929-4B57-9A62-42E5C52A1DDE}">
    <text>(Áreas Rurais de APPs Totais + Reserva Legal para Plantio Total) x Valores de Plantio Total CAF + (Áreas Urbanas para Plantio Total x Valores de Plantio Total CAD)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D6D9-4C9E-4406-BD28-68FA1A5F22BA}">
  <dimension ref="A1:C12"/>
  <sheetViews>
    <sheetView zoomScale="130" zoomScaleNormal="130" workbookViewId="0">
      <selection activeCell="B2" sqref="B2:B3"/>
    </sheetView>
  </sheetViews>
  <sheetFormatPr defaultColWidth="8.796875" defaultRowHeight="14.25" x14ac:dyDescent="0.45"/>
  <cols>
    <col min="2" max="2" width="17.1328125" customWidth="1"/>
    <col min="3" max="3" width="27.1328125" customWidth="1"/>
  </cols>
  <sheetData>
    <row r="1" spans="1:3" ht="14.65" thickBot="1" x14ac:dyDescent="0.5">
      <c r="A1" s="195" t="s">
        <v>0</v>
      </c>
      <c r="B1" s="196"/>
      <c r="C1" s="1" t="s">
        <v>1</v>
      </c>
    </row>
    <row r="2" spans="1:3" ht="39.75" thickBot="1" x14ac:dyDescent="0.5">
      <c r="A2" s="197" t="s">
        <v>2</v>
      </c>
      <c r="B2" s="197" t="s">
        <v>3</v>
      </c>
      <c r="C2" s="2" t="s">
        <v>4</v>
      </c>
    </row>
    <row r="3" spans="1:3" ht="52.9" thickBot="1" x14ac:dyDescent="0.5">
      <c r="A3" s="198"/>
      <c r="B3" s="198"/>
      <c r="C3" s="2" t="s">
        <v>5</v>
      </c>
    </row>
    <row r="4" spans="1:3" ht="39.75" thickBot="1" x14ac:dyDescent="0.5">
      <c r="A4" s="199" t="s">
        <v>6</v>
      </c>
      <c r="B4" s="199" t="s">
        <v>7</v>
      </c>
      <c r="C4" s="3" t="s">
        <v>8</v>
      </c>
    </row>
    <row r="5" spans="1:3" ht="39.75" thickBot="1" x14ac:dyDescent="0.5">
      <c r="A5" s="200"/>
      <c r="B5" s="200"/>
      <c r="C5" s="3" t="s">
        <v>9</v>
      </c>
    </row>
    <row r="6" spans="1:3" ht="52.9" thickBot="1" x14ac:dyDescent="0.5">
      <c r="A6" s="4" t="s">
        <v>10</v>
      </c>
      <c r="B6" s="5" t="s">
        <v>11</v>
      </c>
      <c r="C6" s="6" t="s">
        <v>12</v>
      </c>
    </row>
    <row r="7" spans="1:3" ht="39.75" thickBot="1" x14ac:dyDescent="0.5">
      <c r="A7" s="7" t="s">
        <v>13</v>
      </c>
      <c r="B7" s="8" t="s">
        <v>14</v>
      </c>
      <c r="C7" s="9" t="s">
        <v>15</v>
      </c>
    </row>
    <row r="8" spans="1:3" ht="39.75" thickBot="1" x14ac:dyDescent="0.5">
      <c r="A8" s="201" t="s">
        <v>16</v>
      </c>
      <c r="B8" s="201" t="s">
        <v>17</v>
      </c>
      <c r="C8" s="10" t="s">
        <v>18</v>
      </c>
    </row>
    <row r="9" spans="1:3" ht="79.150000000000006" thickBot="1" x14ac:dyDescent="0.5">
      <c r="A9" s="202"/>
      <c r="B9" s="202"/>
      <c r="C9" s="10" t="s">
        <v>19</v>
      </c>
    </row>
    <row r="10" spans="1:3" ht="39.75" thickBot="1" x14ac:dyDescent="0.5">
      <c r="A10" s="192" t="s">
        <v>20</v>
      </c>
      <c r="B10" s="192" t="s">
        <v>21</v>
      </c>
      <c r="C10" s="11" t="s">
        <v>22</v>
      </c>
    </row>
    <row r="11" spans="1:3" ht="39.75" thickBot="1" x14ac:dyDescent="0.5">
      <c r="A11" s="193"/>
      <c r="B11" s="193"/>
      <c r="C11" s="11" t="s">
        <v>23</v>
      </c>
    </row>
    <row r="12" spans="1:3" ht="26.65" thickBot="1" x14ac:dyDescent="0.5">
      <c r="A12" s="194"/>
      <c r="B12" s="194"/>
      <c r="C12" s="11" t="s">
        <v>24</v>
      </c>
    </row>
  </sheetData>
  <mergeCells count="9">
    <mergeCell ref="A10:A12"/>
    <mergeCell ref="B10:B12"/>
    <mergeCell ref="A1:B1"/>
    <mergeCell ref="A2:A3"/>
    <mergeCell ref="B2:B3"/>
    <mergeCell ref="A4:A5"/>
    <mergeCell ref="B4:B5"/>
    <mergeCell ref="A8:A9"/>
    <mergeCell ref="B8:B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20C6-19C8-4AC2-9D31-CA4531F6083E}">
  <dimension ref="A1:L40"/>
  <sheetViews>
    <sheetView topLeftCell="F1" zoomScale="120" zoomScaleNormal="120" workbookViewId="0">
      <selection activeCell="I3" activeCellId="2" sqref="I11 I7:I9 I3"/>
    </sheetView>
  </sheetViews>
  <sheetFormatPr defaultColWidth="8.796875" defaultRowHeight="14.25" x14ac:dyDescent="0.45"/>
  <cols>
    <col min="1" max="1" width="3.46484375" customWidth="1"/>
    <col min="2" max="2" width="13.1328125" customWidth="1"/>
    <col min="3" max="3" width="7.33203125" style="18" customWidth="1"/>
    <col min="4" max="4" width="35" customWidth="1"/>
    <col min="5" max="5" width="43.33203125" customWidth="1"/>
    <col min="6" max="6" width="10" style="18" customWidth="1"/>
    <col min="7" max="7" width="35.1328125" style="127" customWidth="1"/>
    <col min="8" max="8" width="14" customWidth="1"/>
    <col min="9" max="9" width="14.6640625" customWidth="1"/>
    <col min="12" max="12" width="16.1328125" bestFit="1" customWidth="1"/>
  </cols>
  <sheetData>
    <row r="1" spans="1:12" ht="26.65" thickBot="1" x14ac:dyDescent="0.5">
      <c r="A1" s="210" t="s">
        <v>25</v>
      </c>
      <c r="B1" s="210"/>
      <c r="C1" s="213" t="s">
        <v>26</v>
      </c>
      <c r="D1" s="213"/>
      <c r="E1" s="131" t="s">
        <v>99</v>
      </c>
      <c r="F1" s="130" t="s">
        <v>92</v>
      </c>
      <c r="G1" s="131" t="s">
        <v>71</v>
      </c>
      <c r="H1" s="213" t="s">
        <v>153</v>
      </c>
      <c r="I1" s="213"/>
    </row>
    <row r="2" spans="1:12" ht="19.05" customHeight="1" thickBot="1" x14ac:dyDescent="0.5">
      <c r="A2" s="212" t="s">
        <v>2</v>
      </c>
      <c r="B2" s="212" t="s">
        <v>27</v>
      </c>
      <c r="C2" s="212" t="s">
        <v>212</v>
      </c>
      <c r="D2" s="214" t="s">
        <v>28</v>
      </c>
      <c r="E2" s="214" t="s">
        <v>73</v>
      </c>
      <c r="F2" s="212">
        <v>2</v>
      </c>
      <c r="G2" s="214" t="s">
        <v>67</v>
      </c>
      <c r="H2" s="129" t="s">
        <v>104</v>
      </c>
      <c r="I2" s="129" t="s">
        <v>105</v>
      </c>
    </row>
    <row r="3" spans="1:12" ht="48.5" customHeight="1" thickBot="1" x14ac:dyDescent="0.5">
      <c r="A3" s="212"/>
      <c r="B3" s="212"/>
      <c r="C3" s="212"/>
      <c r="D3" s="214"/>
      <c r="E3" s="214"/>
      <c r="F3" s="212"/>
      <c r="G3" s="214"/>
      <c r="H3" s="150">
        <f>('Composição de Custos'!F79*'Composição de Custos'!F93)+('Composição de Custos'!F93*'Composição de Custos'!F86)+('Composição de Custos'!F93*'Composição de Custos'!F81)+('Composição de Custos'!I93*'Composição de Custos'!G79)+('Composição de Custos'!I93*'Composição de Custos'!G86)+('Composição de Custos'!I93*'Composição de Custos'!G81)</f>
        <v>1308465.3121599883</v>
      </c>
      <c r="I3" s="150">
        <f>('Composição de Custos'!F79*'Composição de Custos'!F93)+('Composição de Custos'!F93*'Composição de Custos'!F86)+('Composição de Custos'!F93*'Composição de Custos'!F81)+('Composição de Custos'!I93*'Composição de Custos'!G79)+('Composição de Custos'!I93*'Composição de Custos'!G86)+('Composição de Custos'!I93*'Composição de Custos'!G81)</f>
        <v>1308465.3121599883</v>
      </c>
      <c r="L3" s="152"/>
    </row>
    <row r="4" spans="1:12" ht="35.25" thickBot="1" x14ac:dyDescent="0.5">
      <c r="A4" s="212"/>
      <c r="B4" s="212"/>
      <c r="C4" s="132" t="s">
        <v>213</v>
      </c>
      <c r="D4" s="134" t="s">
        <v>93</v>
      </c>
      <c r="E4" s="134" t="s">
        <v>102</v>
      </c>
      <c r="F4" s="132">
        <v>3</v>
      </c>
      <c r="G4" s="133" t="s">
        <v>67</v>
      </c>
      <c r="H4" s="214" t="s">
        <v>208</v>
      </c>
      <c r="I4" s="214"/>
    </row>
    <row r="5" spans="1:12" ht="48.5" customHeight="1" thickBot="1" x14ac:dyDescent="0.5">
      <c r="A5" s="212"/>
      <c r="B5" s="212"/>
      <c r="C5" s="132" t="s">
        <v>214</v>
      </c>
      <c r="D5" s="134" t="s">
        <v>29</v>
      </c>
      <c r="E5" s="134" t="s">
        <v>72</v>
      </c>
      <c r="F5" s="132">
        <v>1</v>
      </c>
      <c r="G5" s="133" t="s">
        <v>67</v>
      </c>
      <c r="H5" s="214" t="s">
        <v>209</v>
      </c>
      <c r="I5" s="214"/>
    </row>
    <row r="6" spans="1:12" ht="21.5" customHeight="1" thickBot="1" x14ac:dyDescent="0.5">
      <c r="A6" s="212"/>
      <c r="B6" s="212" t="s">
        <v>30</v>
      </c>
      <c r="C6" s="212" t="s">
        <v>215</v>
      </c>
      <c r="D6" s="214" t="s">
        <v>31</v>
      </c>
      <c r="E6" s="214" t="s">
        <v>73</v>
      </c>
      <c r="F6" s="212">
        <v>1</v>
      </c>
      <c r="G6" s="214" t="s">
        <v>67</v>
      </c>
      <c r="H6" s="129" t="s">
        <v>104</v>
      </c>
      <c r="I6" s="129" t="s">
        <v>105</v>
      </c>
    </row>
    <row r="7" spans="1:12" ht="48.5" customHeight="1" thickBot="1" x14ac:dyDescent="0.5">
      <c r="A7" s="212"/>
      <c r="B7" s="212"/>
      <c r="C7" s="212"/>
      <c r="D7" s="214"/>
      <c r="E7" s="214"/>
      <c r="F7" s="212"/>
      <c r="G7" s="214"/>
      <c r="H7" s="215">
        <f>'Composição de Custos'!E178-'Ações - Indicadores'!H3</f>
        <v>14522145.606421039</v>
      </c>
      <c r="I7" s="215">
        <f>'Composição de Custos'!F178-'Ações - Indicadores'!I3</f>
        <v>38523884.323309883</v>
      </c>
    </row>
    <row r="8" spans="1:12" ht="46.9" thickBot="1" x14ac:dyDescent="0.5">
      <c r="A8" s="212"/>
      <c r="B8" s="212"/>
      <c r="C8" s="132" t="s">
        <v>216</v>
      </c>
      <c r="D8" s="134" t="s">
        <v>32</v>
      </c>
      <c r="E8" s="134" t="s">
        <v>103</v>
      </c>
      <c r="F8" s="132">
        <v>1</v>
      </c>
      <c r="G8" s="133" t="s">
        <v>67</v>
      </c>
      <c r="H8" s="214"/>
      <c r="I8" s="214"/>
    </row>
    <row r="9" spans="1:12" ht="23.65" thickBot="1" x14ac:dyDescent="0.5">
      <c r="A9" s="212"/>
      <c r="B9" s="212"/>
      <c r="C9" s="132" t="s">
        <v>217</v>
      </c>
      <c r="D9" s="134" t="s">
        <v>33</v>
      </c>
      <c r="E9" s="134" t="s">
        <v>73</v>
      </c>
      <c r="F9" s="132">
        <v>1</v>
      </c>
      <c r="G9" s="133" t="s">
        <v>67</v>
      </c>
      <c r="H9" s="214"/>
      <c r="I9" s="214"/>
    </row>
    <row r="10" spans="1:12" ht="14.65" thickBot="1" x14ac:dyDescent="0.5">
      <c r="A10" s="212"/>
      <c r="B10" s="212"/>
      <c r="C10" s="212" t="s">
        <v>218</v>
      </c>
      <c r="D10" s="214" t="s">
        <v>211</v>
      </c>
      <c r="E10" s="214" t="s">
        <v>73</v>
      </c>
      <c r="F10" s="212">
        <v>3</v>
      </c>
      <c r="G10" s="214" t="s">
        <v>67</v>
      </c>
      <c r="H10" s="129" t="s">
        <v>104</v>
      </c>
      <c r="I10" s="129" t="s">
        <v>105</v>
      </c>
    </row>
    <row r="11" spans="1:12" ht="23.55" customHeight="1" thickBot="1" x14ac:dyDescent="0.5">
      <c r="A11" s="212"/>
      <c r="B11" s="212"/>
      <c r="C11" s="212"/>
      <c r="D11" s="214"/>
      <c r="E11" s="214"/>
      <c r="F11" s="212"/>
      <c r="G11" s="214"/>
      <c r="H11" s="151">
        <f>'Composição de Custos'!E177-'Ações - Indicadores'!H7-'Ações - Indicadores'!H3</f>
        <v>49614191.804270253</v>
      </c>
      <c r="I11" s="151">
        <f>'Composição de Custos'!F177-I7-'Ações - Indicadores'!I3</f>
        <v>128942559.71558018</v>
      </c>
    </row>
    <row r="12" spans="1:12" ht="23.65" thickBot="1" x14ac:dyDescent="0.5">
      <c r="A12" s="212"/>
      <c r="B12" s="212"/>
      <c r="C12" s="132" t="s">
        <v>221</v>
      </c>
      <c r="D12" s="134" t="s">
        <v>34</v>
      </c>
      <c r="E12" s="134" t="s">
        <v>74</v>
      </c>
      <c r="F12" s="132">
        <v>3</v>
      </c>
      <c r="G12" s="133" t="s">
        <v>68</v>
      </c>
      <c r="H12" s="216">
        <v>5000000</v>
      </c>
      <c r="I12" s="216"/>
    </row>
    <row r="13" spans="1:12" ht="23.65" thickBot="1" x14ac:dyDescent="0.5">
      <c r="A13" s="211" t="s">
        <v>6</v>
      </c>
      <c r="B13" s="211" t="s">
        <v>222</v>
      </c>
      <c r="C13" s="135" t="s">
        <v>224</v>
      </c>
      <c r="D13" s="136" t="s">
        <v>35</v>
      </c>
      <c r="E13" s="136" t="s">
        <v>75</v>
      </c>
      <c r="F13" s="135">
        <v>1</v>
      </c>
      <c r="G13" s="137" t="s">
        <v>69</v>
      </c>
      <c r="H13" s="205" t="s">
        <v>206</v>
      </c>
      <c r="I13" s="205"/>
    </row>
    <row r="14" spans="1:12" ht="23.65" thickBot="1" x14ac:dyDescent="0.5">
      <c r="A14" s="211"/>
      <c r="B14" s="211"/>
      <c r="C14" s="135" t="s">
        <v>225</v>
      </c>
      <c r="D14" s="136" t="s">
        <v>36</v>
      </c>
      <c r="E14" s="136" t="s">
        <v>76</v>
      </c>
      <c r="F14" s="135">
        <v>3</v>
      </c>
      <c r="G14" s="137" t="s">
        <v>69</v>
      </c>
      <c r="H14" s="205" t="s">
        <v>207</v>
      </c>
      <c r="I14" s="205"/>
    </row>
    <row r="15" spans="1:12" ht="23.65" thickBot="1" x14ac:dyDescent="0.5">
      <c r="A15" s="211"/>
      <c r="B15" s="211"/>
      <c r="C15" s="135" t="s">
        <v>226</v>
      </c>
      <c r="D15" s="136" t="s">
        <v>37</v>
      </c>
      <c r="E15" s="136" t="s">
        <v>77</v>
      </c>
      <c r="F15" s="135">
        <v>2</v>
      </c>
      <c r="G15" s="137" t="s">
        <v>69</v>
      </c>
      <c r="H15" s="205" t="s">
        <v>207</v>
      </c>
      <c r="I15" s="205"/>
    </row>
    <row r="16" spans="1:12" ht="52.9" thickBot="1" x14ac:dyDescent="0.5">
      <c r="A16" s="211"/>
      <c r="B16" s="135" t="s">
        <v>223</v>
      </c>
      <c r="C16" s="135" t="s">
        <v>227</v>
      </c>
      <c r="D16" s="136" t="s">
        <v>39</v>
      </c>
      <c r="E16" s="136" t="s">
        <v>78</v>
      </c>
      <c r="F16" s="135">
        <v>2</v>
      </c>
      <c r="G16" s="137" t="s">
        <v>94</v>
      </c>
      <c r="H16" s="203">
        <v>3450000</v>
      </c>
      <c r="I16" s="203"/>
    </row>
    <row r="17" spans="1:9" ht="46.9" thickBot="1" x14ac:dyDescent="0.5">
      <c r="A17" s="222" t="s">
        <v>10</v>
      </c>
      <c r="B17" s="222" t="s">
        <v>40</v>
      </c>
      <c r="C17" s="138" t="s">
        <v>228</v>
      </c>
      <c r="D17" s="139" t="s">
        <v>41</v>
      </c>
      <c r="E17" s="139" t="s">
        <v>79</v>
      </c>
      <c r="F17" s="138">
        <v>1</v>
      </c>
      <c r="G17" s="140" t="s">
        <v>67</v>
      </c>
      <c r="H17" s="206">
        <v>1500000</v>
      </c>
      <c r="I17" s="206"/>
    </row>
    <row r="18" spans="1:9" ht="58.5" thickBot="1" x14ac:dyDescent="0.5">
      <c r="A18" s="222"/>
      <c r="B18" s="222"/>
      <c r="C18" s="138" t="s">
        <v>229</v>
      </c>
      <c r="D18" s="139" t="s">
        <v>42</v>
      </c>
      <c r="E18" s="139" t="s">
        <v>80</v>
      </c>
      <c r="F18" s="138">
        <v>3</v>
      </c>
      <c r="G18" s="140" t="s">
        <v>67</v>
      </c>
      <c r="H18" s="207" t="s">
        <v>155</v>
      </c>
      <c r="I18" s="207"/>
    </row>
    <row r="19" spans="1:9" ht="35.75" customHeight="1" thickBot="1" x14ac:dyDescent="0.5">
      <c r="A19" s="223" t="s">
        <v>13</v>
      </c>
      <c r="B19" s="223" t="s">
        <v>43</v>
      </c>
      <c r="C19" s="141" t="s">
        <v>230</v>
      </c>
      <c r="D19" s="142" t="s">
        <v>44</v>
      </c>
      <c r="E19" s="142" t="s">
        <v>81</v>
      </c>
      <c r="F19" s="141">
        <v>2</v>
      </c>
      <c r="G19" s="149" t="s">
        <v>67</v>
      </c>
      <c r="H19" s="208">
        <v>3000000</v>
      </c>
      <c r="I19" s="208"/>
    </row>
    <row r="20" spans="1:9" ht="51" customHeight="1" thickBot="1" x14ac:dyDescent="0.5">
      <c r="A20" s="223"/>
      <c r="B20" s="223"/>
      <c r="C20" s="141" t="s">
        <v>231</v>
      </c>
      <c r="D20" s="142" t="s">
        <v>45</v>
      </c>
      <c r="E20" s="142" t="s">
        <v>82</v>
      </c>
      <c r="F20" s="141">
        <v>2</v>
      </c>
      <c r="G20" s="149" t="s">
        <v>67</v>
      </c>
      <c r="H20" s="208"/>
      <c r="I20" s="208"/>
    </row>
    <row r="21" spans="1:9" ht="80" customHeight="1" thickBot="1" x14ac:dyDescent="0.5">
      <c r="A21" s="204" t="s">
        <v>16</v>
      </c>
      <c r="B21" s="204" t="s">
        <v>46</v>
      </c>
      <c r="C21" s="143" t="s">
        <v>232</v>
      </c>
      <c r="D21" s="144" t="s">
        <v>47</v>
      </c>
      <c r="E21" s="144" t="s">
        <v>81</v>
      </c>
      <c r="F21" s="143">
        <v>1</v>
      </c>
      <c r="G21" s="145" t="s">
        <v>70</v>
      </c>
      <c r="H21" s="209" t="s">
        <v>154</v>
      </c>
      <c r="I21" s="209"/>
    </row>
    <row r="22" spans="1:9" ht="36.5" customHeight="1" thickBot="1" x14ac:dyDescent="0.5">
      <c r="A22" s="204"/>
      <c r="B22" s="204"/>
      <c r="C22" s="143" t="s">
        <v>233</v>
      </c>
      <c r="D22" s="144" t="s">
        <v>48</v>
      </c>
      <c r="E22" s="144" t="s">
        <v>83</v>
      </c>
      <c r="F22" s="143">
        <v>1</v>
      </c>
      <c r="G22" s="145" t="s">
        <v>67</v>
      </c>
      <c r="H22" s="209" t="s">
        <v>155</v>
      </c>
      <c r="I22" s="209"/>
    </row>
    <row r="23" spans="1:9" ht="36.5" customHeight="1" thickBot="1" x14ac:dyDescent="0.5">
      <c r="A23" s="204"/>
      <c r="B23" s="204"/>
      <c r="C23" s="143" t="s">
        <v>234</v>
      </c>
      <c r="D23" s="144" t="s">
        <v>49</v>
      </c>
      <c r="E23" s="144" t="s">
        <v>81</v>
      </c>
      <c r="F23" s="143">
        <v>2</v>
      </c>
      <c r="G23" s="145" t="s">
        <v>67</v>
      </c>
      <c r="H23" s="209" t="s">
        <v>155</v>
      </c>
      <c r="I23" s="209"/>
    </row>
    <row r="24" spans="1:9" ht="57.75" customHeight="1" thickBot="1" x14ac:dyDescent="0.5">
      <c r="A24" s="204"/>
      <c r="B24" s="204" t="s">
        <v>50</v>
      </c>
      <c r="C24" s="143" t="s">
        <v>235</v>
      </c>
      <c r="D24" s="144" t="s">
        <v>51</v>
      </c>
      <c r="E24" s="144" t="s">
        <v>91</v>
      </c>
      <c r="F24" s="143">
        <v>2</v>
      </c>
      <c r="G24" s="145" t="s">
        <v>67</v>
      </c>
      <c r="H24" s="209" t="s">
        <v>95</v>
      </c>
      <c r="I24" s="209"/>
    </row>
    <row r="25" spans="1:9" ht="57.75" customHeight="1" thickBot="1" x14ac:dyDescent="0.5">
      <c r="A25" s="204"/>
      <c r="B25" s="204"/>
      <c r="C25" s="143" t="s">
        <v>236</v>
      </c>
      <c r="D25" s="144" t="s">
        <v>52</v>
      </c>
      <c r="E25" s="144" t="s">
        <v>84</v>
      </c>
      <c r="F25" s="143">
        <v>3</v>
      </c>
      <c r="G25" s="145" t="s">
        <v>67</v>
      </c>
      <c r="H25" s="209" t="s">
        <v>95</v>
      </c>
      <c r="I25" s="209"/>
    </row>
    <row r="26" spans="1:9" ht="35.25" customHeight="1" thickBot="1" x14ac:dyDescent="0.5">
      <c r="A26" s="221" t="s">
        <v>20</v>
      </c>
      <c r="B26" s="221" t="s">
        <v>53</v>
      </c>
      <c r="C26" s="146" t="s">
        <v>237</v>
      </c>
      <c r="D26" s="147" t="s">
        <v>54</v>
      </c>
      <c r="E26" s="147" t="s">
        <v>85</v>
      </c>
      <c r="F26" s="146">
        <v>2</v>
      </c>
      <c r="G26" s="148" t="s">
        <v>67</v>
      </c>
      <c r="H26" s="217" t="s">
        <v>155</v>
      </c>
      <c r="I26" s="217"/>
    </row>
    <row r="27" spans="1:9" ht="60.5" customHeight="1" thickBot="1" x14ac:dyDescent="0.5">
      <c r="A27" s="221"/>
      <c r="B27" s="221"/>
      <c r="C27" s="146" t="s">
        <v>238</v>
      </c>
      <c r="D27" s="147" t="s">
        <v>55</v>
      </c>
      <c r="E27" s="147" t="s">
        <v>86</v>
      </c>
      <c r="F27" s="146">
        <v>3</v>
      </c>
      <c r="G27" s="148" t="s">
        <v>95</v>
      </c>
      <c r="H27" s="217" t="s">
        <v>95</v>
      </c>
      <c r="I27" s="217"/>
    </row>
    <row r="28" spans="1:9" ht="35.25" thickBot="1" x14ac:dyDescent="0.5">
      <c r="A28" s="221"/>
      <c r="B28" s="221"/>
      <c r="C28" s="146" t="s">
        <v>239</v>
      </c>
      <c r="D28" s="147" t="s">
        <v>158</v>
      </c>
      <c r="E28" s="147" t="s">
        <v>96</v>
      </c>
      <c r="F28" s="146">
        <v>1</v>
      </c>
      <c r="G28" s="148" t="s">
        <v>97</v>
      </c>
      <c r="H28" s="218">
        <f>230000+30000</f>
        <v>260000</v>
      </c>
      <c r="I28" s="218"/>
    </row>
    <row r="29" spans="1:9" ht="35.25" customHeight="1" thickBot="1" x14ac:dyDescent="0.5">
      <c r="A29" s="221"/>
      <c r="B29" s="221"/>
      <c r="C29" s="146" t="s">
        <v>240</v>
      </c>
      <c r="D29" s="147" t="s">
        <v>56</v>
      </c>
      <c r="E29" s="147" t="s">
        <v>87</v>
      </c>
      <c r="F29" s="146">
        <v>1</v>
      </c>
      <c r="G29" s="148" t="s">
        <v>67</v>
      </c>
      <c r="H29" s="217" t="s">
        <v>155</v>
      </c>
      <c r="I29" s="217"/>
    </row>
    <row r="30" spans="1:9" ht="35.25" thickBot="1" x14ac:dyDescent="0.5">
      <c r="A30" s="221"/>
      <c r="B30" s="221"/>
      <c r="C30" s="146" t="s">
        <v>241</v>
      </c>
      <c r="D30" s="147" t="s">
        <v>57</v>
      </c>
      <c r="E30" s="147" t="s">
        <v>88</v>
      </c>
      <c r="F30" s="146">
        <v>3</v>
      </c>
      <c r="G30" s="148" t="s">
        <v>98</v>
      </c>
      <c r="H30" s="217" t="s">
        <v>155</v>
      </c>
      <c r="I30" s="217"/>
    </row>
    <row r="31" spans="1:9" ht="23.65" thickBot="1" x14ac:dyDescent="0.5">
      <c r="A31" s="221"/>
      <c r="B31" s="221"/>
      <c r="C31" s="146" t="s">
        <v>242</v>
      </c>
      <c r="D31" s="147" t="s">
        <v>58</v>
      </c>
      <c r="E31" s="147" t="s">
        <v>89</v>
      </c>
      <c r="F31" s="146">
        <v>1</v>
      </c>
      <c r="G31" s="148" t="s">
        <v>66</v>
      </c>
      <c r="H31" s="217" t="s">
        <v>156</v>
      </c>
      <c r="I31" s="217"/>
    </row>
    <row r="32" spans="1:9" ht="132.5" customHeight="1" thickBot="1" x14ac:dyDescent="0.5">
      <c r="A32" s="221"/>
      <c r="B32" s="221" t="s">
        <v>59</v>
      </c>
      <c r="C32" s="146" t="s">
        <v>243</v>
      </c>
      <c r="D32" s="147" t="s">
        <v>60</v>
      </c>
      <c r="E32" s="147" t="s">
        <v>90</v>
      </c>
      <c r="F32" s="146">
        <v>2</v>
      </c>
      <c r="G32" s="148" t="s">
        <v>100</v>
      </c>
      <c r="H32" s="217" t="s">
        <v>157</v>
      </c>
      <c r="I32" s="217"/>
    </row>
    <row r="33" spans="1:9" ht="132.5" customHeight="1" thickBot="1" x14ac:dyDescent="0.5">
      <c r="A33" s="221"/>
      <c r="B33" s="221"/>
      <c r="C33" s="146" t="s">
        <v>244</v>
      </c>
      <c r="D33" s="147" t="s">
        <v>61</v>
      </c>
      <c r="E33" s="147" t="s">
        <v>90</v>
      </c>
      <c r="F33" s="146">
        <v>1</v>
      </c>
      <c r="G33" s="148" t="s">
        <v>100</v>
      </c>
      <c r="H33" s="217" t="s">
        <v>157</v>
      </c>
      <c r="I33" s="217"/>
    </row>
    <row r="34" spans="1:9" ht="60.5" customHeight="1" thickBot="1" x14ac:dyDescent="0.5">
      <c r="A34" s="221"/>
      <c r="B34" s="221" t="s">
        <v>62</v>
      </c>
      <c r="C34" s="146" t="s">
        <v>245</v>
      </c>
      <c r="D34" s="147" t="s">
        <v>63</v>
      </c>
      <c r="E34" s="147" t="s">
        <v>86</v>
      </c>
      <c r="F34" s="146">
        <v>2</v>
      </c>
      <c r="G34" s="148" t="s">
        <v>97</v>
      </c>
      <c r="H34" s="217" t="s">
        <v>97</v>
      </c>
      <c r="I34" s="217"/>
    </row>
    <row r="35" spans="1:9" ht="60.75" customHeight="1" thickBot="1" x14ac:dyDescent="0.5">
      <c r="A35" s="221"/>
      <c r="B35" s="221"/>
      <c r="C35" s="146" t="s">
        <v>246</v>
      </c>
      <c r="D35" s="147" t="s">
        <v>64</v>
      </c>
      <c r="E35" s="147" t="s">
        <v>91</v>
      </c>
      <c r="F35" s="146">
        <v>3</v>
      </c>
      <c r="G35" s="148" t="s">
        <v>67</v>
      </c>
      <c r="H35" s="217" t="s">
        <v>95</v>
      </c>
      <c r="I35" s="217"/>
    </row>
    <row r="36" spans="1:9" ht="60.5" customHeight="1" thickBot="1" x14ac:dyDescent="0.5">
      <c r="A36" s="221"/>
      <c r="B36" s="221"/>
      <c r="C36" s="146" t="s">
        <v>247</v>
      </c>
      <c r="D36" s="147" t="s">
        <v>65</v>
      </c>
      <c r="E36" s="147" t="s">
        <v>101</v>
      </c>
      <c r="F36" s="146">
        <v>2</v>
      </c>
      <c r="G36" s="148" t="s">
        <v>67</v>
      </c>
      <c r="H36" s="217" t="s">
        <v>95</v>
      </c>
      <c r="I36" s="217"/>
    </row>
    <row r="38" spans="1:9" ht="14.65" thickBot="1" x14ac:dyDescent="0.5">
      <c r="A38" s="163"/>
      <c r="B38" s="163"/>
      <c r="C38" s="164"/>
      <c r="D38" s="163"/>
      <c r="E38" s="163"/>
      <c r="F38" s="164"/>
      <c r="G38" s="162"/>
      <c r="H38" s="162"/>
      <c r="I38" s="162"/>
    </row>
    <row r="39" spans="1:9" ht="14.65" thickTop="1" x14ac:dyDescent="0.45">
      <c r="A39" s="219" t="s">
        <v>298</v>
      </c>
      <c r="B39" s="219"/>
      <c r="C39" s="219"/>
      <c r="D39" s="219"/>
      <c r="E39" s="219"/>
      <c r="F39" s="219"/>
      <c r="G39" s="219"/>
      <c r="H39" s="127" t="s">
        <v>300</v>
      </c>
      <c r="I39" s="127" t="s">
        <v>299</v>
      </c>
    </row>
    <row r="40" spans="1:9" x14ac:dyDescent="0.45">
      <c r="A40" s="220"/>
      <c r="B40" s="220"/>
      <c r="C40" s="220"/>
      <c r="D40" s="220"/>
      <c r="E40" s="220"/>
      <c r="F40" s="220"/>
      <c r="G40" s="220"/>
      <c r="H40" s="160">
        <f>H3+H7+H11+H12+H16+H17+H19+H28</f>
        <v>78654802.722851276</v>
      </c>
      <c r="I40" s="160">
        <f>I3+I7+I11+H12+H16+H17+H19+H28</f>
        <v>181984909.35105005</v>
      </c>
    </row>
  </sheetData>
  <mergeCells count="63">
    <mergeCell ref="A39:G40"/>
    <mergeCell ref="D10:D11"/>
    <mergeCell ref="E10:E11"/>
    <mergeCell ref="F10:F11"/>
    <mergeCell ref="G10:G11"/>
    <mergeCell ref="C10:C11"/>
    <mergeCell ref="A26:A36"/>
    <mergeCell ref="B26:B31"/>
    <mergeCell ref="B32:B33"/>
    <mergeCell ref="B34:B36"/>
    <mergeCell ref="A17:A18"/>
    <mergeCell ref="B17:B18"/>
    <mergeCell ref="A19:A20"/>
    <mergeCell ref="B19:B20"/>
    <mergeCell ref="A21:A25"/>
    <mergeCell ref="B21:B23"/>
    <mergeCell ref="H33:I33"/>
    <mergeCell ref="H34:I34"/>
    <mergeCell ref="H35:I35"/>
    <mergeCell ref="H36:I36"/>
    <mergeCell ref="C1:D1"/>
    <mergeCell ref="D2:D3"/>
    <mergeCell ref="E2:E3"/>
    <mergeCell ref="F2:F3"/>
    <mergeCell ref="G2:G3"/>
    <mergeCell ref="C2:C3"/>
    <mergeCell ref="C6:C7"/>
    <mergeCell ref="D6:D7"/>
    <mergeCell ref="E6:E7"/>
    <mergeCell ref="F6:F7"/>
    <mergeCell ref="G6:G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1:I1"/>
    <mergeCell ref="H4:I4"/>
    <mergeCell ref="H5:I5"/>
    <mergeCell ref="I7:I9"/>
    <mergeCell ref="H12:I12"/>
    <mergeCell ref="H7:H9"/>
    <mergeCell ref="A1:B1"/>
    <mergeCell ref="A13:A16"/>
    <mergeCell ref="B13:B15"/>
    <mergeCell ref="B2:B5"/>
    <mergeCell ref="A2:A12"/>
    <mergeCell ref="B6:B12"/>
    <mergeCell ref="H16:I16"/>
    <mergeCell ref="B24:B25"/>
    <mergeCell ref="H13:I13"/>
    <mergeCell ref="H14:I14"/>
    <mergeCell ref="H15:I15"/>
    <mergeCell ref="H17:I17"/>
    <mergeCell ref="H18:I18"/>
    <mergeCell ref="H19:I20"/>
    <mergeCell ref="H21:I21"/>
    <mergeCell ref="H22:I22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0A1C-F2C1-4243-9549-823CBB37509D}">
  <dimension ref="A1:P228"/>
  <sheetViews>
    <sheetView tabSelected="1" topLeftCell="A202" zoomScale="140" zoomScaleNormal="140" workbookViewId="0">
      <selection activeCell="H209" sqref="H209"/>
    </sheetView>
  </sheetViews>
  <sheetFormatPr defaultColWidth="8.796875" defaultRowHeight="14.25" x14ac:dyDescent="0.45"/>
  <cols>
    <col min="1" max="1" width="8.796875" style="64"/>
    <col min="2" max="3" width="8.796875" style="34"/>
    <col min="4" max="4" width="44" style="34" customWidth="1"/>
    <col min="5" max="5" width="16.1328125" style="34" customWidth="1"/>
    <col min="6" max="6" width="17.46484375" style="34" bestFit="1" customWidth="1"/>
    <col min="7" max="7" width="14.46484375" style="34" bestFit="1" customWidth="1"/>
    <col min="8" max="8" width="14" style="34" customWidth="1"/>
    <col min="9" max="9" width="15" style="34" bestFit="1" customWidth="1"/>
    <col min="10" max="10" width="23.06640625" style="34" customWidth="1"/>
    <col min="11" max="11" width="17" style="34" customWidth="1"/>
    <col min="12" max="12" width="15.3984375" style="34" customWidth="1"/>
    <col min="13" max="14" width="13.46484375" style="34" customWidth="1"/>
    <col min="15" max="15" width="16.46484375" style="34" customWidth="1"/>
    <col min="16" max="16" width="16" style="34" customWidth="1"/>
    <col min="17" max="17" width="10" style="34" customWidth="1"/>
    <col min="18" max="18" width="9.6640625" style="34" customWidth="1"/>
    <col min="19" max="16384" width="8.796875" style="34"/>
  </cols>
  <sheetData>
    <row r="1" spans="1:6" x14ac:dyDescent="0.45">
      <c r="A1" s="65" t="s">
        <v>162</v>
      </c>
    </row>
    <row r="2" spans="1:6" x14ac:dyDescent="0.45">
      <c r="B2" s="34" t="s">
        <v>163</v>
      </c>
    </row>
    <row r="3" spans="1:6" x14ac:dyDescent="0.45">
      <c r="C3" s="82" t="s">
        <v>164</v>
      </c>
    </row>
    <row r="4" spans="1:6" x14ac:dyDescent="0.45">
      <c r="C4" s="91"/>
      <c r="D4" s="82" t="s">
        <v>261</v>
      </c>
    </row>
    <row r="5" spans="1:6" x14ac:dyDescent="0.45">
      <c r="C5" s="93"/>
      <c r="D5" s="82" t="s">
        <v>262</v>
      </c>
    </row>
    <row r="6" spans="1:6" x14ac:dyDescent="0.45">
      <c r="D6" s="82" t="s">
        <v>263</v>
      </c>
    </row>
    <row r="7" spans="1:6" x14ac:dyDescent="0.45">
      <c r="C7" s="93"/>
      <c r="D7" s="82" t="s">
        <v>264</v>
      </c>
    </row>
    <row r="8" spans="1:6" x14ac:dyDescent="0.45">
      <c r="C8" s="93"/>
      <c r="D8" s="82" t="s">
        <v>265</v>
      </c>
    </row>
    <row r="9" spans="1:6" x14ac:dyDescent="0.45">
      <c r="D9" s="82" t="s">
        <v>266</v>
      </c>
    </row>
    <row r="10" spans="1:6" x14ac:dyDescent="0.45">
      <c r="C10" s="92"/>
      <c r="D10" s="91"/>
      <c r="E10" s="82" t="s">
        <v>274</v>
      </c>
    </row>
    <row r="11" spans="1:6" x14ac:dyDescent="0.45">
      <c r="D11" s="93"/>
      <c r="E11" s="82" t="s">
        <v>275</v>
      </c>
    </row>
    <row r="12" spans="1:6" x14ac:dyDescent="0.45">
      <c r="D12" s="93"/>
      <c r="E12" s="82" t="s">
        <v>276</v>
      </c>
    </row>
    <row r="13" spans="1:6" x14ac:dyDescent="0.45">
      <c r="D13" s="93"/>
      <c r="F13" s="82" t="s">
        <v>294</v>
      </c>
    </row>
    <row r="14" spans="1:6" x14ac:dyDescent="0.45">
      <c r="E14" s="93"/>
      <c r="F14" s="82" t="s">
        <v>295</v>
      </c>
    </row>
    <row r="15" spans="1:6" x14ac:dyDescent="0.45">
      <c r="D15" s="92"/>
      <c r="E15" s="93"/>
      <c r="F15" s="82" t="s">
        <v>296</v>
      </c>
    </row>
    <row r="16" spans="1:6" x14ac:dyDescent="0.45">
      <c r="D16" s="92"/>
      <c r="E16" s="82" t="s">
        <v>280</v>
      </c>
    </row>
    <row r="17" spans="1:15" x14ac:dyDescent="0.45">
      <c r="C17" s="91"/>
      <c r="D17" s="159" t="s">
        <v>267</v>
      </c>
      <c r="E17" s="82"/>
    </row>
    <row r="18" spans="1:15" x14ac:dyDescent="0.45">
      <c r="C18" s="82" t="s">
        <v>174</v>
      </c>
    </row>
    <row r="19" spans="1:15" x14ac:dyDescent="0.45">
      <c r="C19" s="82" t="s">
        <v>184</v>
      </c>
    </row>
    <row r="21" spans="1:15" s="80" customFormat="1" ht="14.65" thickBot="1" x14ac:dyDescent="0.5">
      <c r="A21" s="78" t="s">
        <v>159</v>
      </c>
      <c r="B21" s="79" t="s">
        <v>169</v>
      </c>
      <c r="H21" s="228" t="s">
        <v>323</v>
      </c>
      <c r="I21" s="228"/>
      <c r="J21" s="228"/>
      <c r="K21" s="228"/>
      <c r="L21" s="228"/>
    </row>
    <row r="22" spans="1:15" x14ac:dyDescent="0.45">
      <c r="A22" s="84"/>
      <c r="B22" s="85"/>
      <c r="H22" s="165"/>
      <c r="I22" s="165"/>
      <c r="J22" s="165"/>
      <c r="K22" s="25" t="s">
        <v>104</v>
      </c>
      <c r="L22" s="25" t="s">
        <v>105</v>
      </c>
    </row>
    <row r="23" spans="1:15" ht="18" customHeight="1" x14ac:dyDescent="0.45">
      <c r="E23" s="35" t="s">
        <v>104</v>
      </c>
      <c r="F23" s="35" t="s">
        <v>105</v>
      </c>
      <c r="H23" s="237" t="s">
        <v>303</v>
      </c>
      <c r="I23" s="235" t="s">
        <v>301</v>
      </c>
      <c r="J23" s="174" t="s">
        <v>312</v>
      </c>
      <c r="K23" s="169">
        <f>E177</f>
        <v>65444802.722851276</v>
      </c>
      <c r="L23" s="169">
        <f>F177</f>
        <v>168774909.35105005</v>
      </c>
    </row>
    <row r="24" spans="1:15" ht="18" customHeight="1" x14ac:dyDescent="0.45">
      <c r="C24" s="64" t="s">
        <v>248</v>
      </c>
      <c r="D24" s="34" t="s">
        <v>106</v>
      </c>
      <c r="E24" s="23">
        <f>E45</f>
        <v>3000000</v>
      </c>
      <c r="F24" s="23">
        <f>E45</f>
        <v>3000000</v>
      </c>
      <c r="H24" s="238"/>
      <c r="I24" s="236"/>
      <c r="J24" s="175" t="s">
        <v>313</v>
      </c>
      <c r="K24" s="170">
        <f>E178</f>
        <v>15830610.918581028</v>
      </c>
      <c r="L24" s="170">
        <f>F178</f>
        <v>39832349.635469869</v>
      </c>
    </row>
    <row r="25" spans="1:15" ht="18" customHeight="1" x14ac:dyDescent="0.45">
      <c r="C25" s="64" t="s">
        <v>249</v>
      </c>
      <c r="D25" s="34" t="s">
        <v>170</v>
      </c>
      <c r="E25" s="23">
        <f>E51</f>
        <v>1500000</v>
      </c>
      <c r="F25" s="23">
        <f>E51</f>
        <v>1500000</v>
      </c>
      <c r="H25" s="238"/>
      <c r="I25" s="236"/>
      <c r="J25" s="175" t="s">
        <v>314</v>
      </c>
      <c r="K25" s="170">
        <f>E70</f>
        <v>5000000</v>
      </c>
      <c r="L25" s="170">
        <f>E70</f>
        <v>5000000</v>
      </c>
    </row>
    <row r="26" spans="1:15" ht="22.5" customHeight="1" x14ac:dyDescent="0.45">
      <c r="C26" s="64" t="s">
        <v>250</v>
      </c>
      <c r="D26" s="34" t="s">
        <v>107</v>
      </c>
      <c r="E26" s="23">
        <f>E58</f>
        <v>3450000</v>
      </c>
      <c r="F26" s="23">
        <f>E58</f>
        <v>3450000</v>
      </c>
      <c r="H26" s="239" t="s">
        <v>304</v>
      </c>
      <c r="I26" s="240" t="s">
        <v>7</v>
      </c>
      <c r="J26" s="173" t="s">
        <v>315</v>
      </c>
      <c r="K26" s="171" t="s">
        <v>109</v>
      </c>
      <c r="L26" s="171" t="s">
        <v>109</v>
      </c>
    </row>
    <row r="27" spans="1:15" x14ac:dyDescent="0.45">
      <c r="C27" s="64" t="s">
        <v>251</v>
      </c>
      <c r="D27" s="34" t="s">
        <v>108</v>
      </c>
      <c r="E27" s="24" t="s">
        <v>109</v>
      </c>
      <c r="F27" s="24" t="s">
        <v>109</v>
      </c>
      <c r="H27" s="239"/>
      <c r="I27" s="240"/>
      <c r="J27" s="172" t="s">
        <v>316</v>
      </c>
      <c r="K27" s="171">
        <f>E58</f>
        <v>3450000</v>
      </c>
      <c r="L27" s="171">
        <f>E58</f>
        <v>3450000</v>
      </c>
    </row>
    <row r="28" spans="1:15" ht="26.25" customHeight="1" x14ac:dyDescent="0.45">
      <c r="C28" s="64" t="s">
        <v>252</v>
      </c>
      <c r="D28" s="34" t="s">
        <v>210</v>
      </c>
      <c r="E28" s="23">
        <f>E70</f>
        <v>5000000</v>
      </c>
      <c r="F28" s="23">
        <f>E70</f>
        <v>5000000</v>
      </c>
      <c r="H28" s="166" t="s">
        <v>305</v>
      </c>
      <c r="I28" s="230" t="s">
        <v>306</v>
      </c>
      <c r="J28" s="230"/>
      <c r="K28" s="167">
        <f>E51</f>
        <v>1500000</v>
      </c>
      <c r="L28" s="167">
        <f>E51</f>
        <v>1500000</v>
      </c>
    </row>
    <row r="29" spans="1:15" x14ac:dyDescent="0.45">
      <c r="C29" s="64" t="s">
        <v>253</v>
      </c>
      <c r="D29" s="34" t="s">
        <v>110</v>
      </c>
      <c r="E29" s="23">
        <f>E177</f>
        <v>65444802.722851276</v>
      </c>
      <c r="F29" s="23">
        <f>F177</f>
        <v>168774909.35105005</v>
      </c>
      <c r="H29" s="168" t="s">
        <v>307</v>
      </c>
      <c r="I29" s="231" t="s">
        <v>308</v>
      </c>
      <c r="J29" s="231"/>
      <c r="K29" s="171">
        <f>E45</f>
        <v>3000000</v>
      </c>
      <c r="L29" s="171">
        <f>E45</f>
        <v>3000000</v>
      </c>
    </row>
    <row r="30" spans="1:15" x14ac:dyDescent="0.45">
      <c r="C30" s="64" t="s">
        <v>254</v>
      </c>
      <c r="D30" s="34" t="s">
        <v>255</v>
      </c>
      <c r="E30" s="23">
        <f>E186</f>
        <v>260000</v>
      </c>
      <c r="F30" s="23">
        <f>E186</f>
        <v>260000</v>
      </c>
      <c r="H30" s="166" t="s">
        <v>309</v>
      </c>
      <c r="I30" s="232" t="s">
        <v>17</v>
      </c>
      <c r="J30" s="232"/>
      <c r="K30" s="166" t="s">
        <v>310</v>
      </c>
      <c r="L30" s="166" t="s">
        <v>310</v>
      </c>
    </row>
    <row r="31" spans="1:15" x14ac:dyDescent="0.45">
      <c r="C31" s="72" t="s">
        <v>111</v>
      </c>
      <c r="D31" s="72" t="s">
        <v>302</v>
      </c>
      <c r="E31" s="73">
        <f>E24+E25+E26+E28+E29+E30</f>
        <v>78654802.722851276</v>
      </c>
      <c r="F31" s="73">
        <f>F24+F25+F26+F28+F29+F30</f>
        <v>181984909.35105005</v>
      </c>
      <c r="H31" s="168" t="s">
        <v>311</v>
      </c>
      <c r="I31" s="233" t="s">
        <v>21</v>
      </c>
      <c r="J31" s="233"/>
      <c r="K31" s="171">
        <f>E186</f>
        <v>260000</v>
      </c>
      <c r="L31" s="171">
        <f>E186</f>
        <v>260000</v>
      </c>
    </row>
    <row r="32" spans="1:15" x14ac:dyDescent="0.45">
      <c r="C32" s="74" t="s">
        <v>111</v>
      </c>
      <c r="D32" s="74" t="s">
        <v>131</v>
      </c>
      <c r="E32" s="75">
        <f>E24+E25+E26+E28+E178+E30</f>
        <v>29040610.918581028</v>
      </c>
      <c r="F32" s="75">
        <f>F24+F25+F26+F28+F178+F30</f>
        <v>53042349.635469869</v>
      </c>
      <c r="H32" s="176" t="s">
        <v>111</v>
      </c>
      <c r="I32" s="234" t="s">
        <v>302</v>
      </c>
      <c r="J32" s="234"/>
      <c r="K32" s="177">
        <f>K23+K25+K27+K28+K29+K31</f>
        <v>78654802.722851276</v>
      </c>
      <c r="L32" s="177">
        <f>L23+L25+L27+L28+L29+L31</f>
        <v>181984909.35105005</v>
      </c>
      <c r="N32" s="26"/>
      <c r="O32" s="26"/>
    </row>
    <row r="33" spans="1:15" x14ac:dyDescent="0.45">
      <c r="H33" s="178" t="s">
        <v>111</v>
      </c>
      <c r="I33" s="227" t="s">
        <v>131</v>
      </c>
      <c r="J33" s="227"/>
      <c r="K33" s="179">
        <f>K24+K25+K27+K28+K29+K31</f>
        <v>29040610.918581028</v>
      </c>
      <c r="L33" s="179">
        <f>L24+L25+L27+L28+L29+L31</f>
        <v>53042349.635469869</v>
      </c>
      <c r="N33" s="26"/>
      <c r="O33" s="26"/>
    </row>
    <row r="34" spans="1:15" s="80" customFormat="1" ht="14.65" thickBot="1" x14ac:dyDescent="0.5">
      <c r="A34" s="78" t="s">
        <v>268</v>
      </c>
      <c r="B34" s="79" t="s">
        <v>106</v>
      </c>
    </row>
    <row r="35" spans="1:15" ht="14.65" thickBot="1" x14ac:dyDescent="0.5">
      <c r="D35" s="38" t="s">
        <v>165</v>
      </c>
    </row>
    <row r="36" spans="1:15" ht="26.65" thickBot="1" x14ac:dyDescent="0.5">
      <c r="D36" s="39"/>
      <c r="E36" s="66" t="s">
        <v>112</v>
      </c>
      <c r="F36" s="66" t="s">
        <v>166</v>
      </c>
      <c r="G36" s="66" t="s">
        <v>113</v>
      </c>
    </row>
    <row r="37" spans="1:15" x14ac:dyDescent="0.45">
      <c r="D37" s="40" t="s">
        <v>114</v>
      </c>
      <c r="E37" s="41">
        <v>1</v>
      </c>
      <c r="F37" s="67">
        <v>12000</v>
      </c>
      <c r="G37" s="67">
        <v>144000</v>
      </c>
    </row>
    <row r="38" spans="1:15" x14ac:dyDescent="0.45">
      <c r="D38" s="42" t="s">
        <v>115</v>
      </c>
      <c r="E38" s="43">
        <v>1</v>
      </c>
      <c r="F38" s="68">
        <v>6810</v>
      </c>
      <c r="G38" s="68">
        <v>81720</v>
      </c>
    </row>
    <row r="39" spans="1:15" x14ac:dyDescent="0.45">
      <c r="D39" s="40" t="s">
        <v>116</v>
      </c>
      <c r="E39" s="41">
        <v>1</v>
      </c>
      <c r="F39" s="67">
        <v>3300</v>
      </c>
      <c r="G39" s="67">
        <v>39600</v>
      </c>
    </row>
    <row r="40" spans="1:15" x14ac:dyDescent="0.45">
      <c r="D40" s="42" t="s">
        <v>117</v>
      </c>
      <c r="E40" s="43">
        <v>1</v>
      </c>
      <c r="F40" s="68">
        <v>1080</v>
      </c>
      <c r="G40" s="68">
        <v>12960</v>
      </c>
    </row>
    <row r="41" spans="1:15" x14ac:dyDescent="0.45">
      <c r="D41" s="40" t="s">
        <v>118</v>
      </c>
      <c r="E41" s="43"/>
      <c r="F41" s="43"/>
      <c r="G41" s="67">
        <v>21720</v>
      </c>
    </row>
    <row r="42" spans="1:15" ht="14.65" thickBot="1" x14ac:dyDescent="0.5">
      <c r="D42" s="291" t="s">
        <v>119</v>
      </c>
      <c r="E42" s="291"/>
      <c r="F42" s="292"/>
      <c r="G42" s="69">
        <f>SUM(G37:G41)</f>
        <v>300000</v>
      </c>
      <c r="I42" s="44"/>
    </row>
    <row r="43" spans="1:15" x14ac:dyDescent="0.45">
      <c r="D43" s="293" t="s">
        <v>120</v>
      </c>
      <c r="E43" s="293"/>
      <c r="F43" s="293"/>
      <c r="G43" s="293"/>
    </row>
    <row r="44" spans="1:15" x14ac:dyDescent="0.45">
      <c r="D44" s="70" t="s">
        <v>167</v>
      </c>
      <c r="E44" s="71">
        <f>G42</f>
        <v>300000</v>
      </c>
      <c r="F44" s="38"/>
      <c r="G44" s="38"/>
    </row>
    <row r="45" spans="1:15" x14ac:dyDescent="0.45">
      <c r="D45" s="76" t="s">
        <v>168</v>
      </c>
      <c r="E45" s="77">
        <f>E44*10</f>
        <v>3000000</v>
      </c>
      <c r="F45" s="38"/>
      <c r="G45" s="38"/>
    </row>
    <row r="48" spans="1:15" s="80" customFormat="1" ht="14.65" thickBot="1" x14ac:dyDescent="0.5">
      <c r="A48" s="78" t="s">
        <v>269</v>
      </c>
      <c r="B48" s="79" t="s">
        <v>170</v>
      </c>
      <c r="I48" s="90"/>
    </row>
    <row r="49" spans="1:9" x14ac:dyDescent="0.45">
      <c r="D49" s="34" t="s">
        <v>171</v>
      </c>
    </row>
    <row r="50" spans="1:9" x14ac:dyDescent="0.45">
      <c r="D50" s="70" t="s">
        <v>167</v>
      </c>
      <c r="E50" s="44">
        <v>300000</v>
      </c>
    </row>
    <row r="51" spans="1:9" x14ac:dyDescent="0.45">
      <c r="D51" s="76" t="s">
        <v>139</v>
      </c>
      <c r="E51" s="83">
        <f>E50*5</f>
        <v>1500000</v>
      </c>
    </row>
    <row r="54" spans="1:9" s="80" customFormat="1" ht="14.65" thickBot="1" x14ac:dyDescent="0.5">
      <c r="A54" s="78" t="s">
        <v>270</v>
      </c>
      <c r="B54" s="79" t="s">
        <v>107</v>
      </c>
      <c r="C54" s="79"/>
      <c r="D54" s="79"/>
    </row>
    <row r="55" spans="1:9" x14ac:dyDescent="0.45">
      <c r="A55" s="84"/>
      <c r="B55" s="85"/>
      <c r="C55" s="85"/>
      <c r="D55" s="85"/>
      <c r="E55" s="35"/>
      <c r="F55" s="35"/>
    </row>
    <row r="56" spans="1:9" x14ac:dyDescent="0.45">
      <c r="A56" s="84"/>
      <c r="B56" s="85"/>
      <c r="C56" s="85"/>
      <c r="D56" s="36"/>
      <c r="E56" s="89" t="s">
        <v>122</v>
      </c>
      <c r="F56" s="89" t="s">
        <v>172</v>
      </c>
    </row>
    <row r="57" spans="1:9" ht="14.65" thickBot="1" x14ac:dyDescent="0.5">
      <c r="D57" s="87" t="s">
        <v>121</v>
      </c>
      <c r="E57" s="88">
        <v>1150000</v>
      </c>
      <c r="F57" s="87">
        <v>3</v>
      </c>
      <c r="I57" s="44"/>
    </row>
    <row r="58" spans="1:9" x14ac:dyDescent="0.45">
      <c r="D58" s="76" t="s">
        <v>139</v>
      </c>
      <c r="E58" s="86">
        <f>F57*E57</f>
        <v>3450000</v>
      </c>
      <c r="I58" s="44"/>
    </row>
    <row r="59" spans="1:9" x14ac:dyDescent="0.45">
      <c r="D59" s="70"/>
      <c r="E59" s="44"/>
      <c r="I59" s="44"/>
    </row>
    <row r="60" spans="1:9" x14ac:dyDescent="0.45">
      <c r="D60" s="70"/>
      <c r="E60" s="44"/>
      <c r="I60" s="44"/>
    </row>
    <row r="61" spans="1:9" s="79" customFormat="1" ht="14.65" thickBot="1" x14ac:dyDescent="0.5">
      <c r="A61" s="78" t="s">
        <v>271</v>
      </c>
      <c r="B61" s="79" t="s">
        <v>173</v>
      </c>
      <c r="D61" s="96"/>
      <c r="E61" s="90"/>
      <c r="I61" s="90"/>
    </row>
    <row r="62" spans="1:9" x14ac:dyDescent="0.45">
      <c r="D62" s="70"/>
      <c r="E62" s="44"/>
      <c r="I62" s="44"/>
    </row>
    <row r="63" spans="1:9" x14ac:dyDescent="0.45">
      <c r="D63" s="76" t="s">
        <v>109</v>
      </c>
      <c r="E63" s="44"/>
      <c r="I63" s="44"/>
    </row>
    <row r="66" spans="1:15" s="79" customFormat="1" ht="14.65" thickBot="1" x14ac:dyDescent="0.5">
      <c r="A66" s="78" t="s">
        <v>272</v>
      </c>
      <c r="B66" s="79" t="s">
        <v>210</v>
      </c>
    </row>
    <row r="67" spans="1:15" s="85" customFormat="1" x14ac:dyDescent="0.45">
      <c r="A67" s="84"/>
    </row>
    <row r="68" spans="1:15" s="85" customFormat="1" x14ac:dyDescent="0.45">
      <c r="A68" s="84"/>
      <c r="D68" s="36"/>
      <c r="E68" s="94" t="s">
        <v>122</v>
      </c>
      <c r="F68" s="94" t="s">
        <v>172</v>
      </c>
    </row>
    <row r="69" spans="1:15" ht="14.65" thickBot="1" x14ac:dyDescent="0.5">
      <c r="D69" s="87" t="s">
        <v>210</v>
      </c>
      <c r="E69" s="88">
        <v>1000000</v>
      </c>
      <c r="F69" s="87">
        <v>5</v>
      </c>
      <c r="I69" s="44"/>
    </row>
    <row r="70" spans="1:15" x14ac:dyDescent="0.45">
      <c r="D70" s="95" t="s">
        <v>139</v>
      </c>
      <c r="E70" s="86">
        <f>F69*E69</f>
        <v>5000000</v>
      </c>
      <c r="I70" s="44"/>
    </row>
    <row r="71" spans="1:15" x14ac:dyDescent="0.45">
      <c r="D71" s="97"/>
      <c r="E71" s="44"/>
      <c r="I71" s="44"/>
    </row>
    <row r="72" spans="1:15" x14ac:dyDescent="0.45">
      <c r="D72" s="97"/>
      <c r="E72" s="44"/>
      <c r="I72" s="44"/>
    </row>
    <row r="73" spans="1:15" s="79" customFormat="1" ht="14.65" thickBot="1" x14ac:dyDescent="0.5">
      <c r="A73" s="78" t="s">
        <v>273</v>
      </c>
      <c r="B73" s="79" t="s">
        <v>110</v>
      </c>
    </row>
    <row r="74" spans="1:15" s="85" customFormat="1" x14ac:dyDescent="0.45">
      <c r="A74" s="84"/>
      <c r="D74" s="98" t="s">
        <v>274</v>
      </c>
    </row>
    <row r="75" spans="1:15" s="85" customFormat="1" ht="14.65" thickBot="1" x14ac:dyDescent="0.5">
      <c r="A75" s="84"/>
    </row>
    <row r="76" spans="1:15" s="85" customFormat="1" ht="14.65" thickTop="1" x14ac:dyDescent="0.45">
      <c r="A76" s="84"/>
      <c r="D76" s="273" t="s">
        <v>140</v>
      </c>
      <c r="E76" s="273" t="s">
        <v>124</v>
      </c>
      <c r="F76" s="19" t="s">
        <v>129</v>
      </c>
      <c r="G76" s="19" t="s">
        <v>130</v>
      </c>
      <c r="J76" s="229" t="s">
        <v>140</v>
      </c>
      <c r="K76" s="229" t="s">
        <v>124</v>
      </c>
      <c r="L76" s="180" t="s">
        <v>129</v>
      </c>
      <c r="M76" s="180" t="s">
        <v>130</v>
      </c>
      <c r="O76" s="85" t="s">
        <v>319</v>
      </c>
    </row>
    <row r="77" spans="1:15" s="85" customFormat="1" ht="14.65" thickBot="1" x14ac:dyDescent="0.5">
      <c r="A77" s="84"/>
      <c r="D77" s="278"/>
      <c r="E77" s="278"/>
      <c r="F77" s="20" t="s">
        <v>182</v>
      </c>
      <c r="G77" s="20" t="s">
        <v>182</v>
      </c>
      <c r="J77" s="226"/>
      <c r="K77" s="226"/>
      <c r="L77" s="181" t="s">
        <v>318</v>
      </c>
      <c r="M77" s="181" t="s">
        <v>318</v>
      </c>
      <c r="O77" s="85">
        <v>1.8507106</v>
      </c>
    </row>
    <row r="78" spans="1:15" s="85" customFormat="1" ht="14.65" thickTop="1" x14ac:dyDescent="0.45">
      <c r="A78" s="84"/>
      <c r="D78" s="294" t="s">
        <v>125</v>
      </c>
      <c r="E78" s="22" t="s">
        <v>104</v>
      </c>
      <c r="F78" s="23">
        <f>L78*$O$77</f>
        <v>14981.502307000001</v>
      </c>
      <c r="G78" s="23">
        <f>M78*$O$77</f>
        <v>14413.3341528</v>
      </c>
      <c r="J78" s="224" t="s">
        <v>125</v>
      </c>
      <c r="K78" s="183" t="s">
        <v>104</v>
      </c>
      <c r="L78" s="184">
        <v>8095</v>
      </c>
      <c r="M78" s="184">
        <v>7788</v>
      </c>
    </row>
    <row r="79" spans="1:15" s="85" customFormat="1" x14ac:dyDescent="0.45">
      <c r="A79" s="84"/>
      <c r="D79" s="294"/>
      <c r="E79" s="22" t="s">
        <v>105</v>
      </c>
      <c r="F79" s="23">
        <f t="shared" ref="F79:F86" si="0">L79*$O$77</f>
        <v>40932.166340199998</v>
      </c>
      <c r="G79" s="23">
        <f t="shared" ref="G79:G86" si="1">M79*$O$77</f>
        <v>39366.465172600001</v>
      </c>
      <c r="J79" s="225"/>
      <c r="K79" s="185" t="s">
        <v>105</v>
      </c>
      <c r="L79" s="186">
        <v>22117</v>
      </c>
      <c r="M79" s="186">
        <v>21271</v>
      </c>
    </row>
    <row r="80" spans="1:15" s="85" customFormat="1" x14ac:dyDescent="0.45">
      <c r="A80" s="84"/>
      <c r="D80" s="294" t="s">
        <v>126</v>
      </c>
      <c r="E80" s="22" t="s">
        <v>104</v>
      </c>
      <c r="F80" s="23">
        <f t="shared" si="0"/>
        <v>2816.7815332</v>
      </c>
      <c r="G80" s="23">
        <f t="shared" si="1"/>
        <v>584.82454959999995</v>
      </c>
      <c r="J80" s="224" t="s">
        <v>317</v>
      </c>
      <c r="K80" s="183" t="s">
        <v>104</v>
      </c>
      <c r="L80" s="184">
        <v>1522</v>
      </c>
      <c r="M80" s="184">
        <v>316</v>
      </c>
    </row>
    <row r="81" spans="1:13" s="85" customFormat="1" x14ac:dyDescent="0.45">
      <c r="A81" s="84"/>
      <c r="D81" s="294"/>
      <c r="E81" s="22" t="s">
        <v>105</v>
      </c>
      <c r="F81" s="23">
        <f t="shared" si="0"/>
        <v>5900.0653928000002</v>
      </c>
      <c r="G81" s="23">
        <f t="shared" si="1"/>
        <v>3046.2696476000001</v>
      </c>
      <c r="J81" s="225"/>
      <c r="K81" s="185" t="s">
        <v>105</v>
      </c>
      <c r="L81" s="186">
        <v>3188</v>
      </c>
      <c r="M81" s="186">
        <v>1646</v>
      </c>
    </row>
    <row r="82" spans="1:13" s="85" customFormat="1" x14ac:dyDescent="0.45">
      <c r="A82" s="84"/>
      <c r="D82" s="294" t="s">
        <v>127</v>
      </c>
      <c r="E82" s="22" t="s">
        <v>104</v>
      </c>
      <c r="F82" s="23">
        <f t="shared" si="0"/>
        <v>0</v>
      </c>
      <c r="G82" s="23">
        <v>0</v>
      </c>
      <c r="J82" s="224" t="s">
        <v>127</v>
      </c>
      <c r="K82" s="183" t="s">
        <v>104</v>
      </c>
      <c r="L82" s="187"/>
      <c r="M82" s="187" t="s">
        <v>141</v>
      </c>
    </row>
    <row r="83" spans="1:13" s="85" customFormat="1" x14ac:dyDescent="0.45">
      <c r="A83" s="84"/>
      <c r="D83" s="294"/>
      <c r="E83" s="22" t="s">
        <v>105</v>
      </c>
      <c r="F83" s="23">
        <f t="shared" si="0"/>
        <v>333.12790799999999</v>
      </c>
      <c r="G83" s="23">
        <f t="shared" si="1"/>
        <v>342.381461</v>
      </c>
      <c r="J83" s="225"/>
      <c r="K83" s="185" t="s">
        <v>105</v>
      </c>
      <c r="L83" s="186">
        <v>180</v>
      </c>
      <c r="M83" s="186">
        <v>185</v>
      </c>
    </row>
    <row r="84" spans="1:13" s="85" customFormat="1" x14ac:dyDescent="0.45">
      <c r="A84" s="84"/>
      <c r="D84" s="21" t="s">
        <v>142</v>
      </c>
      <c r="E84" s="25" t="s">
        <v>141</v>
      </c>
      <c r="F84" s="23">
        <f t="shared" si="0"/>
        <v>5376.3142930000004</v>
      </c>
      <c r="G84" s="23">
        <f t="shared" si="1"/>
        <v>5376.3142930000004</v>
      </c>
      <c r="J84" s="182" t="s">
        <v>142</v>
      </c>
      <c r="K84" s="183" t="s">
        <v>141</v>
      </c>
      <c r="L84" s="190">
        <v>2905</v>
      </c>
      <c r="M84" s="190">
        <v>2905</v>
      </c>
    </row>
    <row r="85" spans="1:13" s="85" customFormat="1" x14ac:dyDescent="0.45">
      <c r="A85" s="84"/>
      <c r="D85" s="294" t="s">
        <v>132</v>
      </c>
      <c r="E85" s="22" t="s">
        <v>104</v>
      </c>
      <c r="F85" s="23">
        <f t="shared" si="0"/>
        <v>3150.3207102222223</v>
      </c>
      <c r="G85" s="23">
        <f t="shared" si="1"/>
        <v>3150.3207102222223</v>
      </c>
      <c r="J85" s="224" t="s">
        <v>132</v>
      </c>
      <c r="K85" s="183" t="s">
        <v>104</v>
      </c>
      <c r="L85" s="184">
        <f t="shared" ref="L85:M85" si="2">L86/2.25</f>
        <v>1702.2222222222222</v>
      </c>
      <c r="M85" s="184">
        <f t="shared" si="2"/>
        <v>1702.2222222222222</v>
      </c>
    </row>
    <row r="86" spans="1:13" s="85" customFormat="1" ht="14.65" thickBot="1" x14ac:dyDescent="0.5">
      <c r="A86" s="84"/>
      <c r="D86" s="295"/>
      <c r="E86" s="45" t="s">
        <v>105</v>
      </c>
      <c r="F86" s="46">
        <f t="shared" si="0"/>
        <v>7088.2215980000001</v>
      </c>
      <c r="G86" s="46">
        <f t="shared" si="1"/>
        <v>7088.2215980000001</v>
      </c>
      <c r="J86" s="226"/>
      <c r="K86" s="188" t="s">
        <v>105</v>
      </c>
      <c r="L86" s="189">
        <v>3830</v>
      </c>
      <c r="M86" s="191">
        <v>3830</v>
      </c>
    </row>
    <row r="87" spans="1:13" s="85" customFormat="1" ht="15" thickTop="1" thickBot="1" x14ac:dyDescent="0.5">
      <c r="A87" s="84"/>
      <c r="D87" s="21"/>
      <c r="E87" s="22"/>
      <c r="F87" s="48"/>
      <c r="G87" s="48"/>
    </row>
    <row r="88" spans="1:13" s="85" customFormat="1" x14ac:dyDescent="0.45">
      <c r="A88" s="84"/>
      <c r="D88" s="98" t="s">
        <v>275</v>
      </c>
      <c r="E88" s="22"/>
      <c r="F88" s="48"/>
      <c r="G88" s="48"/>
    </row>
    <row r="89" spans="1:13" s="85" customFormat="1" x14ac:dyDescent="0.45">
      <c r="A89" s="84"/>
      <c r="E89" s="22"/>
      <c r="F89" s="48"/>
      <c r="G89" s="48"/>
    </row>
    <row r="90" spans="1:13" s="85" customFormat="1" ht="14.65" thickBot="1" x14ac:dyDescent="0.5">
      <c r="A90" s="84"/>
      <c r="D90" s="85" t="s">
        <v>179</v>
      </c>
      <c r="E90" s="22"/>
      <c r="F90" s="48"/>
      <c r="G90" s="48"/>
    </row>
    <row r="91" spans="1:13" s="85" customFormat="1" ht="14.65" thickTop="1" x14ac:dyDescent="0.45">
      <c r="A91" s="84"/>
      <c r="D91" s="273" t="s">
        <v>178</v>
      </c>
      <c r="E91" s="273" t="s">
        <v>129</v>
      </c>
      <c r="F91" s="273"/>
      <c r="G91" s="286"/>
      <c r="H91" s="273" t="s">
        <v>130</v>
      </c>
      <c r="I91" s="273"/>
      <c r="J91" s="273"/>
    </row>
    <row r="92" spans="1:13" s="85" customFormat="1" ht="14.65" thickBot="1" x14ac:dyDescent="0.5">
      <c r="A92" s="84"/>
      <c r="D92" s="278"/>
      <c r="E92" s="28" t="s">
        <v>143</v>
      </c>
      <c r="F92" s="28" t="s">
        <v>144</v>
      </c>
      <c r="G92" s="47" t="s">
        <v>139</v>
      </c>
      <c r="H92" s="28" t="s">
        <v>143</v>
      </c>
      <c r="I92" s="28" t="s">
        <v>144</v>
      </c>
      <c r="J92" s="28" t="s">
        <v>139</v>
      </c>
    </row>
    <row r="93" spans="1:13" s="85" customFormat="1" ht="14.65" thickTop="1" x14ac:dyDescent="0.45">
      <c r="A93" s="84"/>
      <c r="D93" s="34" t="s">
        <v>175</v>
      </c>
      <c r="E93" s="48">
        <v>1460.5300999999999</v>
      </c>
      <c r="F93" s="48">
        <v>17.62</v>
      </c>
      <c r="G93" s="49">
        <f>SUM(E93:F93)</f>
        <v>1478.1500999999998</v>
      </c>
      <c r="H93" s="23">
        <v>3570.4960999999998</v>
      </c>
      <c r="I93" s="23">
        <v>7.24</v>
      </c>
      <c r="J93" s="23">
        <f>SUM(H93:I93)</f>
        <v>3577.7360999999996</v>
      </c>
    </row>
    <row r="94" spans="1:13" s="85" customFormat="1" x14ac:dyDescent="0.45">
      <c r="A94" s="84"/>
      <c r="D94" s="34" t="s">
        <v>176</v>
      </c>
      <c r="E94" s="48">
        <v>423.87169999999998</v>
      </c>
      <c r="F94" s="48">
        <v>17.62</v>
      </c>
      <c r="G94" s="49">
        <f>SUM(E94:F94)</f>
        <v>441.49169999999998</v>
      </c>
      <c r="H94" s="23">
        <v>948.90730000000008</v>
      </c>
      <c r="I94" s="23">
        <v>7.24</v>
      </c>
      <c r="J94" s="23">
        <f>SUM(H94:I94)</f>
        <v>956.14730000000009</v>
      </c>
    </row>
    <row r="95" spans="1:13" s="85" customFormat="1" ht="14.65" thickBot="1" x14ac:dyDescent="0.5">
      <c r="A95" s="84"/>
      <c r="D95" s="34" t="s">
        <v>177</v>
      </c>
      <c r="E95" s="48">
        <v>873.68119999999999</v>
      </c>
      <c r="F95" s="48">
        <v>0</v>
      </c>
      <c r="G95" s="49">
        <f>SUM(E95:F95)</f>
        <v>873.68119999999999</v>
      </c>
      <c r="H95" s="23">
        <v>1173.5119999999999</v>
      </c>
      <c r="I95" s="23">
        <v>0</v>
      </c>
      <c r="J95" s="23">
        <f>SUM(H95:I95)</f>
        <v>1173.5119999999999</v>
      </c>
    </row>
    <row r="96" spans="1:13" s="85" customFormat="1" ht="15" thickTop="1" thickBot="1" x14ac:dyDescent="0.5">
      <c r="A96" s="84"/>
      <c r="D96" s="99" t="s">
        <v>219</v>
      </c>
      <c r="E96" s="100">
        <f>E93+E95</f>
        <v>2334.2112999999999</v>
      </c>
      <c r="F96" s="100">
        <f t="shared" ref="F96:J96" si="3">F93+F95</f>
        <v>17.62</v>
      </c>
      <c r="G96" s="101">
        <f t="shared" si="3"/>
        <v>2351.8312999999998</v>
      </c>
      <c r="H96" s="100">
        <f t="shared" si="3"/>
        <v>4744.0081</v>
      </c>
      <c r="I96" s="100">
        <f t="shared" si="3"/>
        <v>7.24</v>
      </c>
      <c r="J96" s="102">
        <f t="shared" si="3"/>
        <v>4751.2480999999998</v>
      </c>
    </row>
    <row r="97" spans="1:11" s="85" customFormat="1" ht="14.65" thickTop="1" x14ac:dyDescent="0.45">
      <c r="A97" s="84"/>
      <c r="E97" s="22"/>
      <c r="F97" s="48"/>
      <c r="G97" s="48"/>
    </row>
    <row r="98" spans="1:11" s="85" customFormat="1" ht="14.65" thickBot="1" x14ac:dyDescent="0.5">
      <c r="A98" s="84"/>
      <c r="D98" s="85" t="s">
        <v>180</v>
      </c>
      <c r="E98" s="22"/>
      <c r="F98" s="48"/>
      <c r="G98" s="48"/>
    </row>
    <row r="99" spans="1:11" s="85" customFormat="1" ht="14.65" thickTop="1" x14ac:dyDescent="0.45">
      <c r="A99" s="84"/>
      <c r="D99" s="273" t="s">
        <v>140</v>
      </c>
      <c r="E99" s="273" t="s">
        <v>181</v>
      </c>
      <c r="F99" s="283" t="s">
        <v>129</v>
      </c>
      <c r="G99" s="283"/>
      <c r="H99" s="284"/>
      <c r="I99" s="285" t="s">
        <v>130</v>
      </c>
      <c r="J99" s="283"/>
      <c r="K99" s="283"/>
    </row>
    <row r="100" spans="1:11" s="85" customFormat="1" ht="14.65" thickBot="1" x14ac:dyDescent="0.5">
      <c r="A100" s="84"/>
      <c r="D100" s="278"/>
      <c r="E100" s="278"/>
      <c r="F100" s="28" t="s">
        <v>143</v>
      </c>
      <c r="G100" s="28" t="s">
        <v>144</v>
      </c>
      <c r="H100" s="47" t="s">
        <v>139</v>
      </c>
      <c r="I100" s="28" t="s">
        <v>143</v>
      </c>
      <c r="J100" s="28" t="s">
        <v>144</v>
      </c>
      <c r="K100" s="25" t="s">
        <v>139</v>
      </c>
    </row>
    <row r="101" spans="1:11" s="85" customFormat="1" ht="14.65" thickTop="1" x14ac:dyDescent="0.45">
      <c r="A101" s="84"/>
      <c r="D101" s="287" t="s">
        <v>125</v>
      </c>
      <c r="E101" s="27" t="s">
        <v>145</v>
      </c>
      <c r="F101" s="51">
        <v>1045.7719999999999</v>
      </c>
      <c r="G101" s="51">
        <v>17.62</v>
      </c>
      <c r="H101" s="52">
        <f>SUM(F101:G101)</f>
        <v>1063.3919999999998</v>
      </c>
      <c r="I101" s="51">
        <v>918.74580000000003</v>
      </c>
      <c r="J101" s="51">
        <v>7.24</v>
      </c>
      <c r="K101" s="51">
        <f>SUM(I101:J101)</f>
        <v>925.98580000000004</v>
      </c>
    </row>
    <row r="102" spans="1:11" s="85" customFormat="1" x14ac:dyDescent="0.45">
      <c r="A102" s="84"/>
      <c r="D102" s="236"/>
      <c r="E102" s="25" t="s">
        <v>131</v>
      </c>
      <c r="F102" s="48">
        <v>266.12569999999999</v>
      </c>
      <c r="G102" s="48">
        <v>17.62</v>
      </c>
      <c r="H102" s="49">
        <f t="shared" ref="H102:H109" si="4">SUM(F102:G102)</f>
        <v>283.7457</v>
      </c>
      <c r="I102" s="48">
        <v>445.18049999999999</v>
      </c>
      <c r="J102" s="48">
        <v>7.24</v>
      </c>
      <c r="K102" s="48">
        <f t="shared" ref="K102:K109" si="5">SUM(I102:J102)</f>
        <v>452.4205</v>
      </c>
    </row>
    <row r="103" spans="1:11" s="85" customFormat="1" ht="14.65" thickBot="1" x14ac:dyDescent="0.5">
      <c r="A103" s="84"/>
      <c r="D103" s="288"/>
      <c r="E103" s="54" t="s">
        <v>146</v>
      </c>
      <c r="F103" s="55">
        <v>610.17899999999997</v>
      </c>
      <c r="G103" s="55">
        <v>0</v>
      </c>
      <c r="H103" s="56">
        <f t="shared" si="4"/>
        <v>610.17899999999997</v>
      </c>
      <c r="I103" s="55">
        <v>460.82119999999998</v>
      </c>
      <c r="J103" s="55"/>
      <c r="K103" s="55">
        <f t="shared" si="5"/>
        <v>460.82119999999998</v>
      </c>
    </row>
    <row r="104" spans="1:11" s="85" customFormat="1" x14ac:dyDescent="0.45">
      <c r="A104" s="84"/>
      <c r="D104" s="289" t="s">
        <v>126</v>
      </c>
      <c r="E104" s="57" t="s">
        <v>145</v>
      </c>
      <c r="F104" s="58">
        <v>343.02199999999999</v>
      </c>
      <c r="G104" s="58">
        <v>0</v>
      </c>
      <c r="H104" s="59">
        <f t="shared" si="4"/>
        <v>343.02199999999999</v>
      </c>
      <c r="I104" s="58">
        <v>1258.4761999999998</v>
      </c>
      <c r="J104" s="58"/>
      <c r="K104" s="58">
        <f t="shared" si="5"/>
        <v>1258.4761999999998</v>
      </c>
    </row>
    <row r="105" spans="1:11" s="85" customFormat="1" x14ac:dyDescent="0.45">
      <c r="A105" s="84"/>
      <c r="D105" s="236"/>
      <c r="E105" s="25" t="s">
        <v>131</v>
      </c>
      <c r="F105" s="48">
        <v>134.29309999999998</v>
      </c>
      <c r="G105" s="48"/>
      <c r="H105" s="49">
        <f t="shared" si="4"/>
        <v>134.29309999999998</v>
      </c>
      <c r="I105" s="48">
        <v>347.56299999999999</v>
      </c>
      <c r="J105" s="48"/>
      <c r="K105" s="48">
        <f t="shared" si="5"/>
        <v>347.56299999999999</v>
      </c>
    </row>
    <row r="106" spans="1:11" s="85" customFormat="1" ht="14.65" thickBot="1" x14ac:dyDescent="0.5">
      <c r="A106" s="84"/>
      <c r="D106" s="288"/>
      <c r="E106" s="54" t="s">
        <v>146</v>
      </c>
      <c r="F106" s="55">
        <v>168.07830000000001</v>
      </c>
      <c r="G106" s="55">
        <v>0</v>
      </c>
      <c r="H106" s="56">
        <f t="shared" si="4"/>
        <v>168.07830000000001</v>
      </c>
      <c r="I106" s="55">
        <v>326.62139999999999</v>
      </c>
      <c r="J106" s="55"/>
      <c r="K106" s="55">
        <f t="shared" si="5"/>
        <v>326.62139999999999</v>
      </c>
    </row>
    <row r="107" spans="1:11" s="85" customFormat="1" x14ac:dyDescent="0.45">
      <c r="A107" s="84"/>
      <c r="D107" s="289" t="s">
        <v>127</v>
      </c>
      <c r="E107" s="57" t="s">
        <v>145</v>
      </c>
      <c r="F107" s="58">
        <v>71.736099999999993</v>
      </c>
      <c r="G107" s="58"/>
      <c r="H107" s="59">
        <f t="shared" si="4"/>
        <v>71.736099999999993</v>
      </c>
      <c r="I107" s="58">
        <v>1393.2741000000001</v>
      </c>
      <c r="J107" s="58"/>
      <c r="K107" s="58">
        <f t="shared" si="5"/>
        <v>1393.2741000000001</v>
      </c>
    </row>
    <row r="108" spans="1:11" s="85" customFormat="1" x14ac:dyDescent="0.45">
      <c r="A108" s="84"/>
      <c r="D108" s="236"/>
      <c r="E108" s="25" t="s">
        <v>131</v>
      </c>
      <c r="F108" s="48">
        <v>23.4529</v>
      </c>
      <c r="G108" s="48"/>
      <c r="H108" s="49">
        <f t="shared" si="4"/>
        <v>23.4529</v>
      </c>
      <c r="I108" s="48">
        <v>156.16379999999998</v>
      </c>
      <c r="J108" s="48"/>
      <c r="K108" s="48">
        <f t="shared" si="5"/>
        <v>156.16379999999998</v>
      </c>
    </row>
    <row r="109" spans="1:11" s="85" customFormat="1" ht="14.65" thickBot="1" x14ac:dyDescent="0.5">
      <c r="A109" s="84"/>
      <c r="D109" s="288"/>
      <c r="E109" s="54" t="s">
        <v>146</v>
      </c>
      <c r="F109" s="55">
        <v>95.423900000000003</v>
      </c>
      <c r="G109" s="55"/>
      <c r="H109" s="56">
        <f t="shared" si="4"/>
        <v>95.423900000000003</v>
      </c>
      <c r="I109" s="55">
        <v>386.06939999999997</v>
      </c>
      <c r="J109" s="55"/>
      <c r="K109" s="55">
        <f t="shared" si="5"/>
        <v>386.06939999999997</v>
      </c>
    </row>
    <row r="110" spans="1:11" s="85" customFormat="1" ht="14.65" thickBot="1" x14ac:dyDescent="0.5">
      <c r="A110" s="84"/>
      <c r="D110" s="290" t="s">
        <v>139</v>
      </c>
      <c r="E110" s="290"/>
      <c r="F110" s="60">
        <f>F101+F103+F104+F106+F107+F109</f>
        <v>2334.2112999999999</v>
      </c>
      <c r="G110" s="60">
        <f>G101+G103+G104+G106+G107+G109</f>
        <v>17.62</v>
      </c>
      <c r="H110" s="103">
        <f>H101+H103+H104+H106+H107+H109</f>
        <v>2351.8312999999998</v>
      </c>
      <c r="I110" s="104">
        <f>I101+I103+I104+I106+I107+I109</f>
        <v>4744.0081000000009</v>
      </c>
      <c r="J110" s="60">
        <f>J101</f>
        <v>7.24</v>
      </c>
      <c r="K110" s="104">
        <f>K101+K103+K104+K106+K107+K109</f>
        <v>4751.2481000000007</v>
      </c>
    </row>
    <row r="111" spans="1:11" s="85" customFormat="1" ht="14.65" thickTop="1" x14ac:dyDescent="0.45">
      <c r="A111" s="84"/>
      <c r="E111" s="22"/>
      <c r="F111" s="48"/>
      <c r="G111" s="48"/>
    </row>
    <row r="112" spans="1:11" s="85" customFormat="1" ht="14.65" thickBot="1" x14ac:dyDescent="0.5">
      <c r="A112" s="84"/>
      <c r="D112" s="85" t="s">
        <v>183</v>
      </c>
      <c r="E112" s="22"/>
      <c r="F112" s="48"/>
      <c r="G112" s="48"/>
    </row>
    <row r="113" spans="1:16" s="85" customFormat="1" ht="29.25" thickTop="1" thickBot="1" x14ac:dyDescent="0.5">
      <c r="A113" s="84"/>
      <c r="D113" s="61" t="s">
        <v>140</v>
      </c>
      <c r="E113" s="61" t="s">
        <v>185</v>
      </c>
      <c r="F113" s="62" t="s">
        <v>186</v>
      </c>
      <c r="G113" s="48"/>
    </row>
    <row r="114" spans="1:16" s="85" customFormat="1" ht="14.65" thickTop="1" x14ac:dyDescent="0.45">
      <c r="A114" s="84"/>
      <c r="D114" s="53" t="s">
        <v>125</v>
      </c>
      <c r="E114" s="63">
        <f>F101+F103+G101</f>
        <v>1673.5709999999999</v>
      </c>
      <c r="F114" s="63">
        <f>I101+I103+J101</f>
        <v>1386.807</v>
      </c>
      <c r="G114" s="48"/>
    </row>
    <row r="115" spans="1:16" s="85" customFormat="1" x14ac:dyDescent="0.45">
      <c r="A115" s="84"/>
      <c r="D115" s="53" t="s">
        <v>126</v>
      </c>
      <c r="E115" s="63">
        <f>F104+F106</f>
        <v>511.1003</v>
      </c>
      <c r="F115" s="63">
        <f>I104+I106</f>
        <v>1585.0975999999998</v>
      </c>
      <c r="G115" s="48"/>
    </row>
    <row r="116" spans="1:16" s="85" customFormat="1" ht="14.65" thickBot="1" x14ac:dyDescent="0.5">
      <c r="A116" s="84"/>
      <c r="D116" s="53" t="s">
        <v>127</v>
      </c>
      <c r="E116" s="63">
        <f>F107+F109</f>
        <v>167.16</v>
      </c>
      <c r="F116" s="63">
        <f>I107+I109</f>
        <v>1779.3434999999999</v>
      </c>
      <c r="G116" s="48"/>
    </row>
    <row r="117" spans="1:16" s="85" customFormat="1" ht="15" thickTop="1" thickBot="1" x14ac:dyDescent="0.5">
      <c r="A117" s="84"/>
      <c r="D117" s="62" t="s">
        <v>111</v>
      </c>
      <c r="E117" s="105">
        <f>SUM(E114:E116)</f>
        <v>2351.8312999999998</v>
      </c>
      <c r="F117" s="105">
        <f>SUM(F114:F116)</f>
        <v>4751.2480999999998</v>
      </c>
      <c r="G117" s="48"/>
    </row>
    <row r="118" spans="1:16" s="85" customFormat="1" ht="15" thickTop="1" thickBot="1" x14ac:dyDescent="0.5">
      <c r="A118" s="84"/>
      <c r="E118" s="22"/>
      <c r="F118" s="48"/>
      <c r="G118" s="48"/>
    </row>
    <row r="119" spans="1:16" s="85" customFormat="1" ht="14.25" customHeight="1" x14ac:dyDescent="0.45">
      <c r="A119" s="84"/>
      <c r="D119" s="98" t="s">
        <v>276</v>
      </c>
      <c r="E119" s="22"/>
      <c r="F119" s="48"/>
      <c r="G119" s="48"/>
    </row>
    <row r="120" spans="1:16" s="85" customFormat="1" ht="14.25" customHeight="1" x14ac:dyDescent="0.45">
      <c r="A120" s="84"/>
      <c r="E120" s="22"/>
      <c r="F120" s="48"/>
      <c r="G120" s="48"/>
    </row>
    <row r="121" spans="1:16" s="85" customFormat="1" ht="14.65" thickBot="1" x14ac:dyDescent="0.5">
      <c r="A121" s="84"/>
      <c r="D121" s="79" t="s">
        <v>277</v>
      </c>
      <c r="E121" s="79"/>
    </row>
    <row r="122" spans="1:16" s="85" customFormat="1" x14ac:dyDescent="0.45">
      <c r="A122" s="84"/>
      <c r="D122" s="34"/>
      <c r="E122" s="34"/>
      <c r="F122" s="34"/>
      <c r="G122" s="34"/>
      <c r="H122" s="34"/>
      <c r="I122" s="34"/>
      <c r="J122" s="34"/>
      <c r="K122" s="34"/>
    </row>
    <row r="123" spans="1:16" x14ac:dyDescent="0.45">
      <c r="D123" s="34" t="s">
        <v>188</v>
      </c>
    </row>
    <row r="124" spans="1:16" x14ac:dyDescent="0.45">
      <c r="D124" s="34" t="s">
        <v>320</v>
      </c>
    </row>
    <row r="125" spans="1:16" ht="14.65" thickBot="1" x14ac:dyDescent="0.5">
      <c r="D125" s="153" t="s">
        <v>220</v>
      </c>
      <c r="K125" s="153" t="s">
        <v>131</v>
      </c>
    </row>
    <row r="126" spans="1:16" ht="43.15" thickTop="1" x14ac:dyDescent="0.45">
      <c r="D126" s="27" t="s">
        <v>123</v>
      </c>
      <c r="E126" s="27" t="s">
        <v>124</v>
      </c>
      <c r="F126" s="27" t="s">
        <v>190</v>
      </c>
      <c r="G126" s="27" t="s">
        <v>191</v>
      </c>
      <c r="H126" s="50" t="s">
        <v>192</v>
      </c>
      <c r="I126" s="27" t="s">
        <v>193</v>
      </c>
      <c r="K126" s="27" t="s">
        <v>123</v>
      </c>
      <c r="L126" s="27" t="s">
        <v>124</v>
      </c>
      <c r="M126" s="27" t="s">
        <v>190</v>
      </c>
      <c r="N126" s="27" t="s">
        <v>191</v>
      </c>
      <c r="O126" s="50" t="s">
        <v>192</v>
      </c>
      <c r="P126" s="27" t="s">
        <v>193</v>
      </c>
    </row>
    <row r="127" spans="1:16" ht="27.75" customHeight="1" thickBot="1" x14ac:dyDescent="0.5">
      <c r="D127" s="106"/>
      <c r="E127" s="28"/>
      <c r="F127" s="107" t="s">
        <v>133</v>
      </c>
      <c r="G127" s="107" t="s">
        <v>133</v>
      </c>
      <c r="H127" s="107" t="s">
        <v>134</v>
      </c>
      <c r="I127" s="107" t="s">
        <v>135</v>
      </c>
      <c r="K127" s="106"/>
      <c r="L127" s="28"/>
      <c r="M127" s="107" t="s">
        <v>133</v>
      </c>
      <c r="N127" s="107" t="s">
        <v>133</v>
      </c>
      <c r="O127" s="107" t="s">
        <v>134</v>
      </c>
      <c r="P127" s="107" t="s">
        <v>135</v>
      </c>
    </row>
    <row r="128" spans="1:16" ht="14.65" thickTop="1" x14ac:dyDescent="0.45">
      <c r="D128" s="25" t="s">
        <v>129</v>
      </c>
      <c r="E128" s="25" t="s">
        <v>104</v>
      </c>
      <c r="F128" s="23">
        <f>(F101+F103)*F78+G101*F79</f>
        <v>25529858.497693282</v>
      </c>
      <c r="G128" s="23">
        <f>(F101+F103)*F85+F93*F86</f>
        <v>5341671.1949699596</v>
      </c>
      <c r="H128" s="23">
        <f>(F101+F103)*F80+G101*F81</f>
        <v>4768411.3489052095</v>
      </c>
      <c r="I128" s="23">
        <f>SUM(F128:H128)</f>
        <v>35639941.041568451</v>
      </c>
      <c r="K128" s="25" t="s">
        <v>129</v>
      </c>
      <c r="L128" s="25" t="s">
        <v>104</v>
      </c>
      <c r="M128" s="23">
        <f>F102*F78+G102*F79</f>
        <v>4708187.5594163137</v>
      </c>
      <c r="N128" s="23">
        <f>F102*F85+G102*F86</f>
        <v>963275.7687891461</v>
      </c>
      <c r="O128" s="23">
        <f>F102*F80+G102*F81</f>
        <v>853577.10949105921</v>
      </c>
      <c r="P128" s="23">
        <f>SUM(M128:O128)</f>
        <v>6525040.4376965193</v>
      </c>
    </row>
    <row r="129" spans="4:16" x14ac:dyDescent="0.45">
      <c r="D129" s="25"/>
      <c r="E129" s="25" t="s">
        <v>105</v>
      </c>
      <c r="F129" s="23">
        <f>(F101+F103)*F79+G101*F79</f>
        <v>68502886.554134861</v>
      </c>
      <c r="G129" s="23">
        <f>(F101+F103)*F86+G101*F86</f>
        <v>11862642.107986458</v>
      </c>
      <c r="H129" s="23">
        <f>(F101+F103)*F81+G101*F81</f>
        <v>9874178.3394936882</v>
      </c>
      <c r="I129" s="23">
        <f>SUM(F129:H129)</f>
        <v>90239707.001615018</v>
      </c>
      <c r="K129" s="25"/>
      <c r="L129" s="25" t="s">
        <v>105</v>
      </c>
      <c r="M129" s="23">
        <f>F102*F79+G102*F79</f>
        <v>11614326.190716486</v>
      </c>
      <c r="N129" s="23">
        <f>F102*F86+G102*F86</f>
        <v>2011252.3990796285</v>
      </c>
      <c r="O129" s="23">
        <f>F102*F81+G102*F81</f>
        <v>1674118.1849258109</v>
      </c>
      <c r="P129" s="23">
        <f>SUM(M129:O129)</f>
        <v>15299696.774721926</v>
      </c>
    </row>
    <row r="130" spans="4:16" x14ac:dyDescent="0.45">
      <c r="D130" s="25" t="s">
        <v>130</v>
      </c>
      <c r="E130" s="25" t="s">
        <v>104</v>
      </c>
      <c r="F130" s="23">
        <f>(I101+I103)*G78+J101*G79</f>
        <v>20169173.365025464</v>
      </c>
      <c r="G130" s="23">
        <f>(I101+I103)*G85+J101*G86</f>
        <v>4397397.2156086611</v>
      </c>
      <c r="H130" s="23">
        <f>(I101+I103)*G80+J101*G81</f>
        <v>828859.64166664716</v>
      </c>
      <c r="I130" s="23">
        <f>SUM(F130:H130)</f>
        <v>25395430.222300772</v>
      </c>
      <c r="K130" s="25" t="s">
        <v>130</v>
      </c>
      <c r="L130" s="25" t="s">
        <v>104</v>
      </c>
      <c r="M130" s="23">
        <f>I102*G78+J102*G79</f>
        <v>6701548.5126602044</v>
      </c>
      <c r="N130" s="23">
        <f>I102*G85+J102*G86</f>
        <v>1453780.0733066041</v>
      </c>
      <c r="O130" s="23">
        <f>I102*G80+J102*G81</f>
        <v>282407.47765182675</v>
      </c>
      <c r="P130" s="23">
        <f>SUM(M130:O130)</f>
        <v>8437736.0636186358</v>
      </c>
    </row>
    <row r="131" spans="4:16" x14ac:dyDescent="0.45">
      <c r="D131" s="25"/>
      <c r="E131" s="25" t="s">
        <v>105</v>
      </c>
      <c r="F131" s="23">
        <f>(I101+I103)*G79+J101*G79</f>
        <v>54593689.46661789</v>
      </c>
      <c r="G131" s="23">
        <f>(I101+I103)*G86+J101*G86</f>
        <v>9829995.3296575863</v>
      </c>
      <c r="H131" s="23">
        <f>(I101+I103)*G81+J101*G81</f>
        <v>4224588.071179213</v>
      </c>
      <c r="I131" s="23">
        <f>SUM(F131:H131)</f>
        <v>68648272.867454693</v>
      </c>
      <c r="K131" s="25"/>
      <c r="L131" s="25" t="s">
        <v>105</v>
      </c>
      <c r="M131" s="23">
        <f>I102*G79+J102*G79</f>
        <v>17810195.856620282</v>
      </c>
      <c r="N131" s="23">
        <f>I102*G86+J102*G86</f>
        <v>3206856.759477959</v>
      </c>
      <c r="O131" s="23">
        <f>I102*G81+J102*G81</f>
        <v>1378194.837102016</v>
      </c>
      <c r="P131" s="23">
        <f>SUM(M131:O131)</f>
        <v>22395247.453200255</v>
      </c>
    </row>
    <row r="132" spans="4:16" x14ac:dyDescent="0.45">
      <c r="D132" s="25" t="s">
        <v>111</v>
      </c>
      <c r="E132" s="25" t="s">
        <v>104</v>
      </c>
      <c r="F132" s="48"/>
      <c r="G132" s="48"/>
      <c r="H132" s="48"/>
      <c r="I132" s="37">
        <f>I128+I130</f>
        <v>61035371.263869226</v>
      </c>
      <c r="K132" s="25" t="s">
        <v>111</v>
      </c>
      <c r="L132" s="25" t="s">
        <v>104</v>
      </c>
      <c r="M132" s="48"/>
      <c r="N132" s="48"/>
      <c r="O132" s="48"/>
      <c r="P132" s="37">
        <f>P128+P130</f>
        <v>14962776.501315154</v>
      </c>
    </row>
    <row r="133" spans="4:16" ht="14.65" thickBot="1" x14ac:dyDescent="0.5">
      <c r="D133" s="28"/>
      <c r="E133" s="28" t="s">
        <v>105</v>
      </c>
      <c r="F133" s="46"/>
      <c r="G133" s="46"/>
      <c r="H133" s="46"/>
      <c r="I133" s="108">
        <f>I129+I131</f>
        <v>158887979.8690697</v>
      </c>
      <c r="K133" s="28"/>
      <c r="L133" s="28" t="s">
        <v>105</v>
      </c>
      <c r="M133" s="46"/>
      <c r="N133" s="46"/>
      <c r="O133" s="46"/>
      <c r="P133" s="108">
        <f>P129+P131</f>
        <v>37694944.227922179</v>
      </c>
    </row>
    <row r="134" spans="4:16" ht="14.65" thickTop="1" x14ac:dyDescent="0.45"/>
    <row r="135" spans="4:16" ht="14.65" thickBot="1" x14ac:dyDescent="0.5">
      <c r="D135" s="79" t="s">
        <v>278</v>
      </c>
      <c r="E135" s="80"/>
    </row>
    <row r="137" spans="4:16" x14ac:dyDescent="0.45">
      <c r="D137" s="34" t="s">
        <v>187</v>
      </c>
    </row>
    <row r="138" spans="4:16" x14ac:dyDescent="0.45">
      <c r="D138" s="34" t="s">
        <v>189</v>
      </c>
    </row>
    <row r="139" spans="4:16" ht="14.65" thickBot="1" x14ac:dyDescent="0.5">
      <c r="D139" s="153" t="s">
        <v>220</v>
      </c>
      <c r="K139" s="153" t="s">
        <v>131</v>
      </c>
    </row>
    <row r="140" spans="4:16" ht="43.15" thickTop="1" x14ac:dyDescent="0.45">
      <c r="D140" s="27" t="s">
        <v>123</v>
      </c>
      <c r="E140" s="27" t="s">
        <v>124</v>
      </c>
      <c r="F140" s="109" t="s">
        <v>192</v>
      </c>
      <c r="G140" s="109" t="s">
        <v>194</v>
      </c>
      <c r="H140" s="110" t="s">
        <v>193</v>
      </c>
      <c r="I140" s="23"/>
      <c r="K140" s="27" t="s">
        <v>123</v>
      </c>
      <c r="L140" s="27" t="s">
        <v>124</v>
      </c>
      <c r="M140" s="109" t="s">
        <v>192</v>
      </c>
      <c r="N140" s="109" t="s">
        <v>194</v>
      </c>
      <c r="O140" s="110" t="s">
        <v>193</v>
      </c>
    </row>
    <row r="141" spans="4:16" ht="14.65" thickBot="1" x14ac:dyDescent="0.5">
      <c r="D141" s="28"/>
      <c r="E141" s="28"/>
      <c r="F141" s="111" t="s">
        <v>136</v>
      </c>
      <c r="G141" s="111" t="s">
        <v>137</v>
      </c>
      <c r="H141" s="111" t="s">
        <v>135</v>
      </c>
      <c r="I141" s="23"/>
      <c r="K141" s="28"/>
      <c r="L141" s="28"/>
      <c r="M141" s="111" t="s">
        <v>136</v>
      </c>
      <c r="N141" s="111" t="s">
        <v>137</v>
      </c>
      <c r="O141" s="111" t="s">
        <v>135</v>
      </c>
    </row>
    <row r="142" spans="4:16" ht="14.65" thickTop="1" x14ac:dyDescent="0.45">
      <c r="D142" s="25" t="s">
        <v>129</v>
      </c>
      <c r="E142" s="25" t="s">
        <v>104</v>
      </c>
      <c r="F142" s="23">
        <f>(F104+F106)*F80</f>
        <v>1439657.88665298</v>
      </c>
      <c r="G142" s="23">
        <f>(F104+F106)*F83</f>
        <v>170261.77371717239</v>
      </c>
      <c r="H142" s="23">
        <f>F142+G142</f>
        <v>1609919.6603701524</v>
      </c>
      <c r="I142" s="23"/>
      <c r="K142" s="25" t="s">
        <v>129</v>
      </c>
      <c r="L142" s="25" t="s">
        <v>104</v>
      </c>
      <c r="M142" s="23">
        <f>F105*F80</f>
        <v>378274.32411618088</v>
      </c>
      <c r="N142" s="23">
        <f>F105*F83</f>
        <v>44736.779461834791</v>
      </c>
      <c r="O142" s="23">
        <f>M142+N142</f>
        <v>423011.1035780157</v>
      </c>
    </row>
    <row r="143" spans="4:16" x14ac:dyDescent="0.45">
      <c r="D143" s="25"/>
      <c r="E143" s="25" t="s">
        <v>105</v>
      </c>
      <c r="F143" s="23">
        <f>(F104+F106)*F81</f>
        <v>3015525.1922796979</v>
      </c>
      <c r="G143" s="23">
        <f>(F104+F106)*F83</f>
        <v>170261.77371717239</v>
      </c>
      <c r="H143" s="23">
        <f t="shared" ref="H143:H145" si="6">F143+G143</f>
        <v>3185786.9659968703</v>
      </c>
      <c r="I143" s="23"/>
      <c r="K143" s="25"/>
      <c r="L143" s="25" t="s">
        <v>105</v>
      </c>
      <c r="M143" s="23">
        <f>F105*F81</f>
        <v>792338.07180182962</v>
      </c>
      <c r="N143" s="23">
        <f>F105*F83</f>
        <v>44736.779461834791</v>
      </c>
      <c r="O143" s="23">
        <f t="shared" ref="O143:O145" si="7">M143+N143</f>
        <v>837074.85126366443</v>
      </c>
    </row>
    <row r="144" spans="4:16" x14ac:dyDescent="0.45">
      <c r="D144" s="25" t="s">
        <v>130</v>
      </c>
      <c r="E144" s="25" t="s">
        <v>104</v>
      </c>
      <c r="F144" s="23">
        <f>(I104+I106)*G80</f>
        <v>927003.98999204079</v>
      </c>
      <c r="G144" s="23">
        <f>(I106+I104)*G83</f>
        <v>542708.03211559355</v>
      </c>
      <c r="H144" s="23">
        <f t="shared" si="6"/>
        <v>1469712.0221076342</v>
      </c>
      <c r="I144" s="23"/>
      <c r="K144" s="25" t="s">
        <v>130</v>
      </c>
      <c r="L144" s="25" t="s">
        <v>104</v>
      </c>
      <c r="M144" s="23">
        <f>I105*G80</f>
        <v>203263.37493262478</v>
      </c>
      <c r="N144" s="23">
        <f>I105*G83</f>
        <v>118999.12772954299</v>
      </c>
      <c r="O144" s="23">
        <f t="shared" si="7"/>
        <v>322262.50266216777</v>
      </c>
    </row>
    <row r="145" spans="4:15" x14ac:dyDescent="0.45">
      <c r="D145" s="25"/>
      <c r="E145" s="25" t="s">
        <v>105</v>
      </c>
      <c r="F145" s="23">
        <f>(I106+I104)*G81</f>
        <v>4828634.7073636055</v>
      </c>
      <c r="G145" s="23">
        <f>(I106+I104)*G83</f>
        <v>542708.03211559355</v>
      </c>
      <c r="H145" s="23">
        <f t="shared" si="6"/>
        <v>5371342.7394791991</v>
      </c>
      <c r="I145" s="23"/>
      <c r="K145" s="25"/>
      <c r="L145" s="25" t="s">
        <v>105</v>
      </c>
      <c r="M145" s="23">
        <f>I105*G81</f>
        <v>1058770.6175287988</v>
      </c>
      <c r="N145" s="23">
        <f>I105*G83</f>
        <v>118999.12772954299</v>
      </c>
      <c r="O145" s="23">
        <f t="shared" si="7"/>
        <v>1177769.7452583418</v>
      </c>
    </row>
    <row r="146" spans="4:15" x14ac:dyDescent="0.45">
      <c r="D146" s="25" t="s">
        <v>111</v>
      </c>
      <c r="E146" s="25" t="s">
        <v>104</v>
      </c>
      <c r="F146" s="48"/>
      <c r="G146" s="48"/>
      <c r="H146" s="37">
        <f>H142+H144</f>
        <v>3079631.6824777867</v>
      </c>
      <c r="I146" s="23"/>
      <c r="K146" s="25" t="s">
        <v>111</v>
      </c>
      <c r="L146" s="25" t="s">
        <v>104</v>
      </c>
      <c r="M146" s="48"/>
      <c r="N146" s="48"/>
      <c r="O146" s="37">
        <f>O142+O144</f>
        <v>745273.60624018346</v>
      </c>
    </row>
    <row r="147" spans="4:15" ht="14.65" thickBot="1" x14ac:dyDescent="0.5">
      <c r="D147" s="28"/>
      <c r="E147" s="28" t="s">
        <v>105</v>
      </c>
      <c r="F147" s="46"/>
      <c r="G147" s="46"/>
      <c r="H147" s="108">
        <f>H143+H145</f>
        <v>8557129.7054760698</v>
      </c>
      <c r="I147" s="23"/>
      <c r="K147" s="28"/>
      <c r="L147" s="28" t="s">
        <v>105</v>
      </c>
      <c r="M147" s="46"/>
      <c r="N147" s="46"/>
      <c r="O147" s="108">
        <f>O143+O145</f>
        <v>2014844.5965220062</v>
      </c>
    </row>
    <row r="148" spans="4:15" ht="14.65" thickTop="1" x14ac:dyDescent="0.45">
      <c r="H148" s="23"/>
      <c r="I148" s="23"/>
    </row>
    <row r="149" spans="4:15" ht="14.65" thickBot="1" x14ac:dyDescent="0.5">
      <c r="D149" s="79" t="s">
        <v>279</v>
      </c>
      <c r="E149" s="80"/>
      <c r="H149" s="23"/>
      <c r="I149" s="23"/>
    </row>
    <row r="150" spans="4:15" x14ac:dyDescent="0.45">
      <c r="H150" s="23"/>
      <c r="I150" s="23"/>
    </row>
    <row r="151" spans="4:15" x14ac:dyDescent="0.45">
      <c r="D151" s="34" t="s">
        <v>321</v>
      </c>
      <c r="H151" s="23"/>
      <c r="I151" s="23"/>
    </row>
    <row r="152" spans="4:15" ht="14.65" thickBot="1" x14ac:dyDescent="0.5">
      <c r="D152" s="153" t="s">
        <v>220</v>
      </c>
      <c r="H152" s="23"/>
      <c r="I152" s="23"/>
      <c r="K152" s="153" t="s">
        <v>131</v>
      </c>
    </row>
    <row r="153" spans="4:15" ht="14.65" thickTop="1" x14ac:dyDescent="0.45">
      <c r="D153" s="27" t="s">
        <v>123</v>
      </c>
      <c r="E153" s="27" t="s">
        <v>135</v>
      </c>
      <c r="H153" s="23"/>
      <c r="I153" s="23"/>
      <c r="K153" s="27" t="s">
        <v>123</v>
      </c>
      <c r="L153" s="27" t="s">
        <v>135</v>
      </c>
    </row>
    <row r="154" spans="4:15" ht="14.65" thickBot="1" x14ac:dyDescent="0.5">
      <c r="D154" s="28"/>
      <c r="E154" s="107" t="s">
        <v>193</v>
      </c>
      <c r="H154" s="23"/>
      <c r="I154" s="23"/>
      <c r="K154" s="28"/>
      <c r="L154" s="107" t="s">
        <v>193</v>
      </c>
    </row>
    <row r="155" spans="4:15" ht="14.65" thickTop="1" x14ac:dyDescent="0.45">
      <c r="D155" s="34" t="s">
        <v>129</v>
      </c>
      <c r="E155" s="23">
        <f>(F107+F109)*F83*2</f>
        <v>111371.32220256</v>
      </c>
      <c r="H155" s="23"/>
      <c r="I155" s="23"/>
      <c r="K155" s="34" t="s">
        <v>129</v>
      </c>
      <c r="L155" s="23">
        <f>F108*F83*2</f>
        <v>15625.6310270664</v>
      </c>
    </row>
    <row r="156" spans="4:15" x14ac:dyDescent="0.45">
      <c r="D156" s="34" t="s">
        <v>138</v>
      </c>
      <c r="E156" s="23">
        <f>(I107+I109)*G83*2</f>
        <v>1218428.454301707</v>
      </c>
      <c r="F156" s="23"/>
      <c r="G156" s="23"/>
      <c r="H156" s="23"/>
      <c r="I156" s="23"/>
      <c r="K156" s="34" t="s">
        <v>138</v>
      </c>
      <c r="L156" s="23">
        <f>I108*G83*2</f>
        <v>106935.17999862359</v>
      </c>
    </row>
    <row r="157" spans="4:15" ht="14.65" thickBot="1" x14ac:dyDescent="0.5">
      <c r="D157" s="106" t="s">
        <v>111</v>
      </c>
      <c r="E157" s="108">
        <f>E155+E156</f>
        <v>1329799.776504267</v>
      </c>
      <c r="F157" s="23"/>
      <c r="G157" s="23"/>
      <c r="H157" s="23"/>
      <c r="I157" s="23"/>
      <c r="K157" s="106" t="s">
        <v>111</v>
      </c>
      <c r="L157" s="108">
        <f>L155+L156</f>
        <v>122560.81102568998</v>
      </c>
    </row>
    <row r="158" spans="4:15" ht="14.65" thickTop="1" x14ac:dyDescent="0.45"/>
    <row r="159" spans="4:15" ht="14.65" thickBot="1" x14ac:dyDescent="0.5">
      <c r="F159" s="23"/>
      <c r="G159" s="23"/>
      <c r="H159" s="23"/>
      <c r="I159" s="23"/>
      <c r="J159" s="23"/>
    </row>
    <row r="160" spans="4:15" x14ac:dyDescent="0.45">
      <c r="D160" s="98" t="s">
        <v>280</v>
      </c>
    </row>
    <row r="161" spans="4:14" ht="14.65" thickBot="1" x14ac:dyDescent="0.5"/>
    <row r="162" spans="4:14" ht="43.5" thickTop="1" thickBot="1" x14ac:dyDescent="0.5">
      <c r="D162" s="99"/>
      <c r="E162" s="61" t="s">
        <v>123</v>
      </c>
      <c r="F162" s="61" t="s">
        <v>124</v>
      </c>
      <c r="G162" s="62" t="s">
        <v>196</v>
      </c>
      <c r="H162" s="62" t="s">
        <v>192</v>
      </c>
      <c r="I162" s="62" t="s">
        <v>194</v>
      </c>
      <c r="J162" s="61" t="s">
        <v>193</v>
      </c>
    </row>
    <row r="163" spans="4:14" ht="14.65" thickTop="1" x14ac:dyDescent="0.45">
      <c r="D163" s="273" t="s">
        <v>128</v>
      </c>
      <c r="E163" s="273" t="s">
        <v>129</v>
      </c>
      <c r="F163" s="27" t="s">
        <v>104</v>
      </c>
      <c r="G163" s="51">
        <f>I128</f>
        <v>35639941.041568451</v>
      </c>
      <c r="H163" s="51">
        <f>H142</f>
        <v>1609919.6603701524</v>
      </c>
      <c r="I163" s="51">
        <f>E155</f>
        <v>111371.32220256</v>
      </c>
      <c r="J163" s="51">
        <f>SUM(G163:I163)</f>
        <v>37361232.024141163</v>
      </c>
      <c r="L163" s="26"/>
      <c r="M163" s="26"/>
      <c r="N163" s="26"/>
    </row>
    <row r="164" spans="4:14" x14ac:dyDescent="0.45">
      <c r="D164" s="274"/>
      <c r="E164" s="274"/>
      <c r="F164" s="25" t="s">
        <v>105</v>
      </c>
      <c r="G164" s="48">
        <f>I129</f>
        <v>90239707.001615018</v>
      </c>
      <c r="H164" s="48">
        <f>H143</f>
        <v>3185786.9659968703</v>
      </c>
      <c r="I164" s="48">
        <f>E155</f>
        <v>111371.32220256</v>
      </c>
      <c r="J164" s="48">
        <f>SUM(G164:I164)</f>
        <v>93536865.289814457</v>
      </c>
    </row>
    <row r="165" spans="4:14" x14ac:dyDescent="0.45">
      <c r="D165" s="274"/>
      <c r="E165" s="274" t="s">
        <v>130</v>
      </c>
      <c r="F165" s="25" t="s">
        <v>104</v>
      </c>
      <c r="G165" s="48">
        <f>I130</f>
        <v>25395430.222300772</v>
      </c>
      <c r="H165" s="48">
        <f>H144</f>
        <v>1469712.0221076342</v>
      </c>
      <c r="I165" s="48">
        <f>E156</f>
        <v>1218428.454301707</v>
      </c>
      <c r="J165" s="48">
        <f t="shared" ref="J165" si="8">SUM(G165:I165)</f>
        <v>28083570.698710114</v>
      </c>
      <c r="L165" s="26"/>
      <c r="M165" s="26"/>
      <c r="N165" s="26"/>
    </row>
    <row r="166" spans="4:14" x14ac:dyDescent="0.45">
      <c r="D166" s="274"/>
      <c r="E166" s="274"/>
      <c r="F166" s="25" t="s">
        <v>105</v>
      </c>
      <c r="G166" s="48">
        <f>I131</f>
        <v>68648272.867454693</v>
      </c>
      <c r="H166" s="48">
        <f>H145</f>
        <v>5371342.7394791991</v>
      </c>
      <c r="I166" s="48">
        <f>E156</f>
        <v>1218428.454301707</v>
      </c>
      <c r="J166" s="48">
        <f>SUM(G166:I166)</f>
        <v>75238044.061235592</v>
      </c>
      <c r="L166" s="26"/>
      <c r="M166" s="26"/>
      <c r="N166" s="26"/>
    </row>
    <row r="167" spans="4:14" x14ac:dyDescent="0.45">
      <c r="D167" s="274"/>
      <c r="E167" s="279" t="s">
        <v>111</v>
      </c>
      <c r="F167" s="112" t="s">
        <v>104</v>
      </c>
      <c r="G167" s="37">
        <f>G163+G165</f>
        <v>61035371.263869226</v>
      </c>
      <c r="H167" s="37">
        <f t="shared" ref="H167:I167" si="9">H163+H165</f>
        <v>3079631.6824777867</v>
      </c>
      <c r="I167" s="37">
        <f t="shared" si="9"/>
        <v>1329799.776504267</v>
      </c>
      <c r="J167" s="75">
        <f>SUM(G167:I167)</f>
        <v>65444802.722851276</v>
      </c>
      <c r="L167" s="26"/>
    </row>
    <row r="168" spans="4:14" x14ac:dyDescent="0.45">
      <c r="D168" s="281"/>
      <c r="E168" s="282"/>
      <c r="F168" s="114" t="s">
        <v>105</v>
      </c>
      <c r="G168" s="115">
        <f>G164+G166</f>
        <v>158887979.8690697</v>
      </c>
      <c r="H168" s="115">
        <f t="shared" ref="H168:I168" si="10">H164+H166</f>
        <v>8557129.7054760698</v>
      </c>
      <c r="I168" s="115">
        <f t="shared" si="10"/>
        <v>1329799.776504267</v>
      </c>
      <c r="J168" s="75">
        <f>SUM(G168:I168)</f>
        <v>168774909.35105005</v>
      </c>
    </row>
    <row r="169" spans="4:14" x14ac:dyDescent="0.45">
      <c r="D169" s="277" t="s">
        <v>131</v>
      </c>
      <c r="E169" s="277" t="s">
        <v>129</v>
      </c>
      <c r="F169" s="113" t="s">
        <v>104</v>
      </c>
      <c r="G169" s="116">
        <f>P128</f>
        <v>6525040.4376965193</v>
      </c>
      <c r="H169" s="116">
        <f>O142</f>
        <v>423011.1035780157</v>
      </c>
      <c r="I169" s="116">
        <f>L155</f>
        <v>15625.6310270664</v>
      </c>
      <c r="J169" s="116">
        <f>SUM(G169:I169)</f>
        <v>6963677.1723016007</v>
      </c>
    </row>
    <row r="170" spans="4:14" x14ac:dyDescent="0.45">
      <c r="D170" s="274"/>
      <c r="E170" s="274"/>
      <c r="F170" s="25" t="s">
        <v>105</v>
      </c>
      <c r="G170" s="48">
        <f>P129</f>
        <v>15299696.774721926</v>
      </c>
      <c r="H170" s="48">
        <f>O143</f>
        <v>837074.85126366443</v>
      </c>
      <c r="I170" s="48">
        <f>L155</f>
        <v>15625.6310270664</v>
      </c>
      <c r="J170" s="48">
        <f t="shared" ref="J170:J172" si="11">SUM(G170:I170)</f>
        <v>16152397.257012658</v>
      </c>
      <c r="L170" s="26"/>
      <c r="M170" s="26"/>
      <c r="N170" s="26"/>
    </row>
    <row r="171" spans="4:14" x14ac:dyDescent="0.45">
      <c r="D171" s="274"/>
      <c r="E171" s="274" t="s">
        <v>130</v>
      </c>
      <c r="F171" s="25" t="s">
        <v>104</v>
      </c>
      <c r="G171" s="48">
        <f>P130</f>
        <v>8437736.0636186358</v>
      </c>
      <c r="H171" s="48">
        <f>O144</f>
        <v>322262.50266216777</v>
      </c>
      <c r="I171" s="48">
        <f>L156</f>
        <v>106935.17999862359</v>
      </c>
      <c r="J171" s="48">
        <f t="shared" si="11"/>
        <v>8866933.7462794259</v>
      </c>
      <c r="L171" s="26"/>
      <c r="M171" s="26"/>
      <c r="N171" s="26"/>
    </row>
    <row r="172" spans="4:14" x14ac:dyDescent="0.45">
      <c r="D172" s="274"/>
      <c r="E172" s="274"/>
      <c r="F172" s="25" t="s">
        <v>105</v>
      </c>
      <c r="G172" s="48">
        <f>P131</f>
        <v>22395247.453200255</v>
      </c>
      <c r="H172" s="48">
        <f>O145</f>
        <v>1177769.7452583418</v>
      </c>
      <c r="I172" s="48">
        <f>L156</f>
        <v>106935.17999862359</v>
      </c>
      <c r="J172" s="48">
        <f t="shared" si="11"/>
        <v>23679952.378457222</v>
      </c>
      <c r="L172" s="26"/>
      <c r="M172" s="26"/>
      <c r="N172" s="26"/>
    </row>
    <row r="173" spans="4:14" x14ac:dyDescent="0.45">
      <c r="D173" s="274"/>
      <c r="E173" s="279" t="s">
        <v>111</v>
      </c>
      <c r="F173" s="112" t="s">
        <v>104</v>
      </c>
      <c r="G173" s="37">
        <f>G169+G171</f>
        <v>14962776.501315154</v>
      </c>
      <c r="H173" s="37">
        <f t="shared" ref="H173:I173" si="12">H169+H171</f>
        <v>745273.60624018346</v>
      </c>
      <c r="I173" s="37">
        <f t="shared" si="12"/>
        <v>122560.81102568998</v>
      </c>
      <c r="J173" s="75">
        <f>SUM(G173:I173)</f>
        <v>15830610.918581028</v>
      </c>
    </row>
    <row r="174" spans="4:14" ht="14.65" thickBot="1" x14ac:dyDescent="0.5">
      <c r="D174" s="278"/>
      <c r="E174" s="280"/>
      <c r="F174" s="117" t="s">
        <v>105</v>
      </c>
      <c r="G174" s="108">
        <f>G170+G172</f>
        <v>37694944.227922179</v>
      </c>
      <c r="H174" s="108">
        <f t="shared" ref="H174:I174" si="13">H170+H172</f>
        <v>2014844.5965220062</v>
      </c>
      <c r="I174" s="108">
        <f t="shared" si="13"/>
        <v>122560.81102568998</v>
      </c>
      <c r="J174" s="118">
        <f>SUM(G174:I174)</f>
        <v>39832349.635469869</v>
      </c>
    </row>
    <row r="175" spans="4:14" ht="14.65" thickTop="1" x14ac:dyDescent="0.45"/>
    <row r="176" spans="4:14" x14ac:dyDescent="0.45">
      <c r="E176" s="35" t="s">
        <v>104</v>
      </c>
      <c r="F176" s="35" t="s">
        <v>105</v>
      </c>
      <c r="H176" s="85" t="s">
        <v>144</v>
      </c>
      <c r="I176" s="85"/>
      <c r="J176" s="156">
        <f>I177+I178</f>
        <v>1308465.3121599881</v>
      </c>
      <c r="K176" s="155"/>
    </row>
    <row r="177" spans="1:11" x14ac:dyDescent="0.45">
      <c r="D177" s="81" t="s">
        <v>322</v>
      </c>
      <c r="E177" s="119">
        <f>J167</f>
        <v>65444802.722851276</v>
      </c>
      <c r="F177" s="119">
        <f>J168</f>
        <v>168774909.35105005</v>
      </c>
      <c r="H177" s="34" t="s">
        <v>129</v>
      </c>
      <c r="I177" s="154">
        <f>(G101*F79)+(F86*G101)+(G101*F81)</f>
        <v>950078.38769222004</v>
      </c>
      <c r="J177" s="155"/>
      <c r="K177" s="155"/>
    </row>
    <row r="178" spans="1:11" x14ac:dyDescent="0.45">
      <c r="D178" s="81" t="s">
        <v>313</v>
      </c>
      <c r="E178" s="119">
        <f>J173</f>
        <v>15830610.918581028</v>
      </c>
      <c r="F178" s="119">
        <f>J174</f>
        <v>39832349.635469869</v>
      </c>
      <c r="H178" s="34" t="s">
        <v>130</v>
      </c>
      <c r="I178" s="154">
        <f>(J101*G79)+(G86*J101)+(J101*G81)</f>
        <v>358386.92446776805</v>
      </c>
      <c r="J178" s="155"/>
    </row>
    <row r="179" spans="1:11" x14ac:dyDescent="0.45">
      <c r="D179" s="81"/>
      <c r="E179" s="119"/>
      <c r="F179" s="119"/>
      <c r="I179" s="154"/>
      <c r="J179" s="155"/>
    </row>
    <row r="180" spans="1:11" s="79" customFormat="1" ht="14.65" thickBot="1" x14ac:dyDescent="0.5">
      <c r="A180" s="78" t="s">
        <v>256</v>
      </c>
      <c r="B180" s="79" t="s">
        <v>255</v>
      </c>
    </row>
    <row r="181" spans="1:11" s="85" customFormat="1" x14ac:dyDescent="0.45">
      <c r="A181" s="84"/>
    </row>
    <row r="182" spans="1:11" s="85" customFormat="1" x14ac:dyDescent="0.45">
      <c r="A182" s="84"/>
      <c r="D182" s="34" t="s">
        <v>257</v>
      </c>
    </row>
    <row r="183" spans="1:11" s="85" customFormat="1" x14ac:dyDescent="0.45">
      <c r="A183" s="84"/>
      <c r="D183" s="34" t="s">
        <v>259</v>
      </c>
      <c r="E183" s="34" t="s">
        <v>260</v>
      </c>
    </row>
    <row r="184" spans="1:11" s="85" customFormat="1" x14ac:dyDescent="0.45">
      <c r="A184" s="84"/>
      <c r="D184" s="34" t="s">
        <v>258</v>
      </c>
      <c r="E184" s="48">
        <v>230000</v>
      </c>
    </row>
    <row r="185" spans="1:11" s="85" customFormat="1" x14ac:dyDescent="0.45">
      <c r="A185" s="84"/>
      <c r="D185" s="34" t="s">
        <v>297</v>
      </c>
      <c r="E185" s="48">
        <v>30000</v>
      </c>
    </row>
    <row r="186" spans="1:11" s="85" customFormat="1" x14ac:dyDescent="0.45">
      <c r="A186" s="84"/>
      <c r="D186" s="157" t="s">
        <v>111</v>
      </c>
      <c r="E186" s="158">
        <f>E184+E185</f>
        <v>260000</v>
      </c>
      <c r="F186" s="34"/>
    </row>
    <row r="187" spans="1:11" x14ac:dyDescent="0.45">
      <c r="K187" s="155"/>
    </row>
    <row r="188" spans="1:11" s="79" customFormat="1" ht="14.65" thickBot="1" x14ac:dyDescent="0.5">
      <c r="A188" s="78" t="s">
        <v>160</v>
      </c>
      <c r="B188" s="79" t="s">
        <v>195</v>
      </c>
    </row>
    <row r="190" spans="1:11" ht="14.65" thickBot="1" x14ac:dyDescent="0.5">
      <c r="D190" s="34" t="s">
        <v>147</v>
      </c>
    </row>
    <row r="191" spans="1:11" ht="15" thickTop="1" thickBot="1" x14ac:dyDescent="0.5">
      <c r="D191" s="99"/>
      <c r="E191" s="99" t="s">
        <v>148</v>
      </c>
      <c r="F191" s="99" t="s">
        <v>149</v>
      </c>
      <c r="G191" s="99" t="s">
        <v>150</v>
      </c>
    </row>
    <row r="192" spans="1:11" ht="14.65" thickTop="1" x14ac:dyDescent="0.45">
      <c r="D192" s="34" t="s">
        <v>130</v>
      </c>
      <c r="E192" s="23">
        <v>2500</v>
      </c>
      <c r="F192" s="23">
        <v>460.82119999999998</v>
      </c>
      <c r="G192" s="23">
        <f>E192*F192</f>
        <v>1152053</v>
      </c>
    </row>
    <row r="193" spans="4:7" x14ac:dyDescent="0.45">
      <c r="D193" s="34" t="s">
        <v>129</v>
      </c>
      <c r="E193" s="23">
        <v>1667</v>
      </c>
      <c r="F193" s="23">
        <v>610.17899999999997</v>
      </c>
      <c r="G193" s="23">
        <f>E193*F193</f>
        <v>1017168.3929999999</v>
      </c>
    </row>
    <row r="194" spans="4:7" ht="14.65" thickBot="1" x14ac:dyDescent="0.5">
      <c r="D194" s="106" t="s">
        <v>111</v>
      </c>
      <c r="E194" s="46"/>
      <c r="F194" s="46"/>
      <c r="G194" s="46">
        <f>SUM(G192:G193)</f>
        <v>2169221.3930000002</v>
      </c>
    </row>
    <row r="195" spans="4:7" ht="14.65" thickTop="1" x14ac:dyDescent="0.45"/>
    <row r="198" spans="4:7" ht="14.65" thickBot="1" x14ac:dyDescent="0.5">
      <c r="D198" s="34" t="s">
        <v>151</v>
      </c>
    </row>
    <row r="199" spans="4:7" ht="15" thickTop="1" thickBot="1" x14ac:dyDescent="0.5">
      <c r="D199" s="99"/>
      <c r="E199" s="99" t="s">
        <v>148</v>
      </c>
      <c r="F199" s="99" t="s">
        <v>149</v>
      </c>
      <c r="G199" s="99" t="s">
        <v>150</v>
      </c>
    </row>
    <row r="200" spans="4:7" ht="14.65" thickTop="1" x14ac:dyDescent="0.45">
      <c r="D200" s="34" t="s">
        <v>130</v>
      </c>
      <c r="E200" s="23">
        <v>2500</v>
      </c>
      <c r="F200" s="23">
        <v>925.98580000000004</v>
      </c>
      <c r="G200" s="23">
        <f>E200*F200</f>
        <v>2314964.5</v>
      </c>
    </row>
    <row r="201" spans="4:7" x14ac:dyDescent="0.45">
      <c r="D201" s="34" t="s">
        <v>129</v>
      </c>
      <c r="E201" s="23">
        <v>1667</v>
      </c>
      <c r="F201" s="23">
        <v>1063.3919999999998</v>
      </c>
      <c r="G201" s="23">
        <f>E201*F201</f>
        <v>1772674.4639999997</v>
      </c>
    </row>
    <row r="202" spans="4:7" ht="14.65" thickBot="1" x14ac:dyDescent="0.5">
      <c r="D202" s="106" t="s">
        <v>111</v>
      </c>
      <c r="E202" s="46"/>
      <c r="F202" s="46"/>
      <c r="G202" s="46">
        <f>SUM(G200:G201)</f>
        <v>4087638.9639999997</v>
      </c>
    </row>
    <row r="203" spans="4:7" ht="14.65" thickTop="1" x14ac:dyDescent="0.45"/>
    <row r="205" spans="4:7" x14ac:dyDescent="0.45">
      <c r="D205" s="34" t="s">
        <v>197</v>
      </c>
      <c r="E205" s="26">
        <f>G192+G200</f>
        <v>3467017.5</v>
      </c>
      <c r="F205" s="23">
        <f>E205/E207*100</f>
        <v>55.411457219453496</v>
      </c>
      <c r="G205" s="34" t="s">
        <v>199</v>
      </c>
    </row>
    <row r="206" spans="4:7" x14ac:dyDescent="0.45">
      <c r="D206" s="34" t="s">
        <v>198</v>
      </c>
      <c r="E206" s="26">
        <f>G193+G201</f>
        <v>2789842.8569999998</v>
      </c>
      <c r="F206" s="23">
        <f>E206/E207*100</f>
        <v>44.588542780546511</v>
      </c>
      <c r="G206" s="34" t="s">
        <v>199</v>
      </c>
    </row>
    <row r="207" spans="4:7" x14ac:dyDescent="0.45">
      <c r="D207" s="34" t="s">
        <v>200</v>
      </c>
      <c r="E207" s="26">
        <f>G194+G202</f>
        <v>6256860.3569999998</v>
      </c>
    </row>
    <row r="208" spans="4:7" x14ac:dyDescent="0.45">
      <c r="D208" s="34" t="s">
        <v>152</v>
      </c>
      <c r="E208" s="26">
        <f>E207*1.3</f>
        <v>8133918.4641000004</v>
      </c>
    </row>
    <row r="209" spans="1:10" x14ac:dyDescent="0.45">
      <c r="D209" s="74" t="s">
        <v>111</v>
      </c>
      <c r="E209" s="120">
        <f>E208/10</f>
        <v>813391.84641</v>
      </c>
      <c r="F209" s="34" t="s">
        <v>201</v>
      </c>
    </row>
    <row r="211" spans="1:10" s="79" customFormat="1" ht="14.65" thickBot="1" x14ac:dyDescent="0.5">
      <c r="A211" s="78" t="s">
        <v>161</v>
      </c>
      <c r="B211" s="79" t="s">
        <v>202</v>
      </c>
    </row>
    <row r="212" spans="1:10" ht="14.65" thickBot="1" x14ac:dyDescent="0.5"/>
    <row r="213" spans="1:10" ht="26.65" thickBot="1" x14ac:dyDescent="0.5">
      <c r="B213" s="275" t="s">
        <v>25</v>
      </c>
      <c r="C213" s="276"/>
      <c r="D213" s="1" t="s">
        <v>26</v>
      </c>
      <c r="E213" s="1" t="s">
        <v>153</v>
      </c>
      <c r="F213" s="17" t="s">
        <v>203</v>
      </c>
      <c r="G213" s="195" t="s">
        <v>204</v>
      </c>
      <c r="H213" s="196"/>
    </row>
    <row r="214" spans="1:10" ht="144.5" customHeight="1" thickBot="1" x14ac:dyDescent="0.5">
      <c r="B214" s="249" t="s">
        <v>27</v>
      </c>
      <c r="C214" s="250"/>
      <c r="D214" s="12" t="s">
        <v>28</v>
      </c>
      <c r="E214" s="29">
        <v>1308465.3121599883</v>
      </c>
      <c r="F214" s="121" t="s">
        <v>282</v>
      </c>
      <c r="G214" s="271" t="s">
        <v>205</v>
      </c>
      <c r="H214" s="272"/>
    </row>
    <row r="215" spans="1:10" ht="45.75" customHeight="1" thickBot="1" x14ac:dyDescent="0.5">
      <c r="B215" s="249" t="s">
        <v>30</v>
      </c>
      <c r="C215" s="250"/>
      <c r="D215" s="12" t="s">
        <v>31</v>
      </c>
      <c r="E215" s="251" t="s">
        <v>281</v>
      </c>
      <c r="F215" s="254" t="s">
        <v>283</v>
      </c>
      <c r="G215" s="257" t="s">
        <v>285</v>
      </c>
      <c r="H215" s="258"/>
    </row>
    <row r="216" spans="1:10" ht="45.75" customHeight="1" thickBot="1" x14ac:dyDescent="0.5">
      <c r="B216" s="249" t="s">
        <v>30</v>
      </c>
      <c r="C216" s="250"/>
      <c r="D216" s="12" t="s">
        <v>32</v>
      </c>
      <c r="E216" s="252"/>
      <c r="F216" s="255"/>
      <c r="G216" s="259"/>
      <c r="H216" s="260"/>
    </row>
    <row r="217" spans="1:10" ht="45.75" customHeight="1" thickBot="1" x14ac:dyDescent="0.5">
      <c r="B217" s="249" t="s">
        <v>30</v>
      </c>
      <c r="C217" s="250"/>
      <c r="D217" s="12" t="s">
        <v>33</v>
      </c>
      <c r="E217" s="253"/>
      <c r="F217" s="256"/>
      <c r="G217" s="261"/>
      <c r="H217" s="262"/>
      <c r="J217" s="161"/>
    </row>
    <row r="218" spans="1:10" ht="89" customHeight="1" thickBot="1" x14ac:dyDescent="0.5">
      <c r="B218" s="249" t="s">
        <v>30</v>
      </c>
      <c r="C218" s="250"/>
      <c r="D218" s="12" t="s">
        <v>211</v>
      </c>
      <c r="E218" s="128" t="s">
        <v>286</v>
      </c>
      <c r="F218" s="121" t="s">
        <v>284</v>
      </c>
      <c r="G218" s="271" t="s">
        <v>293</v>
      </c>
      <c r="H218" s="272"/>
    </row>
    <row r="219" spans="1:10" ht="47" customHeight="1" thickBot="1" x14ac:dyDescent="0.5">
      <c r="B219" s="249" t="s">
        <v>30</v>
      </c>
      <c r="C219" s="250"/>
      <c r="D219" s="12" t="s">
        <v>34</v>
      </c>
      <c r="E219" s="29">
        <v>5000000</v>
      </c>
      <c r="F219" s="121" t="s">
        <v>287</v>
      </c>
      <c r="G219" s="257" t="s">
        <v>292</v>
      </c>
      <c r="H219" s="258"/>
    </row>
    <row r="220" spans="1:10" ht="43.5" customHeight="1" thickBot="1" x14ac:dyDescent="0.5">
      <c r="B220" s="263" t="s">
        <v>38</v>
      </c>
      <c r="C220" s="264"/>
      <c r="D220" s="13" t="s">
        <v>39</v>
      </c>
      <c r="E220" s="30">
        <v>3450000</v>
      </c>
      <c r="F220" s="122" t="s">
        <v>288</v>
      </c>
      <c r="G220" s="265" t="s">
        <v>270</v>
      </c>
      <c r="H220" s="266"/>
    </row>
    <row r="221" spans="1:10" ht="53.75" customHeight="1" thickBot="1" x14ac:dyDescent="0.5">
      <c r="B221" s="267" t="s">
        <v>40</v>
      </c>
      <c r="C221" s="268"/>
      <c r="D221" s="14" t="s">
        <v>41</v>
      </c>
      <c r="E221" s="31">
        <v>1500000</v>
      </c>
      <c r="F221" s="123" t="s">
        <v>289</v>
      </c>
      <c r="G221" s="269" t="s">
        <v>269</v>
      </c>
      <c r="H221" s="270"/>
    </row>
    <row r="222" spans="1:10" ht="51" customHeight="1" thickBot="1" x14ac:dyDescent="0.5">
      <c r="B222" s="241" t="s">
        <v>43</v>
      </c>
      <c r="C222" s="242"/>
      <c r="D222" s="15" t="s">
        <v>45</v>
      </c>
      <c r="E222" s="32">
        <v>3000000</v>
      </c>
      <c r="F222" s="124" t="s">
        <v>290</v>
      </c>
      <c r="G222" s="243" t="s">
        <v>268</v>
      </c>
      <c r="H222" s="244"/>
    </row>
    <row r="223" spans="1:10" ht="39" customHeight="1" thickBot="1" x14ac:dyDescent="0.5">
      <c r="B223" s="245" t="s">
        <v>53</v>
      </c>
      <c r="C223" s="246"/>
      <c r="D223" s="16" t="s">
        <v>158</v>
      </c>
      <c r="E223" s="33">
        <f>230000+30000</f>
        <v>260000</v>
      </c>
      <c r="F223" s="126" t="s">
        <v>291</v>
      </c>
      <c r="G223" s="247" t="s">
        <v>254</v>
      </c>
      <c r="H223" s="248"/>
    </row>
    <row r="224" spans="1:10" x14ac:dyDescent="0.45">
      <c r="B224" s="125"/>
    </row>
    <row r="225" spans="2:2" x14ac:dyDescent="0.45">
      <c r="B225" s="125"/>
    </row>
    <row r="226" spans="2:2" x14ac:dyDescent="0.45">
      <c r="B226" s="125"/>
    </row>
    <row r="227" spans="2:2" x14ac:dyDescent="0.45">
      <c r="B227" s="125"/>
    </row>
    <row r="228" spans="2:2" x14ac:dyDescent="0.45">
      <c r="B228" s="125"/>
    </row>
  </sheetData>
  <mergeCells count="66">
    <mergeCell ref="D101:D103"/>
    <mergeCell ref="D104:D106"/>
    <mergeCell ref="D107:D109"/>
    <mergeCell ref="D110:E110"/>
    <mergeCell ref="D42:F42"/>
    <mergeCell ref="D43:G43"/>
    <mergeCell ref="D82:D83"/>
    <mergeCell ref="D85:D86"/>
    <mergeCell ref="D76:D77"/>
    <mergeCell ref="E76:E77"/>
    <mergeCell ref="D78:D79"/>
    <mergeCell ref="D80:D81"/>
    <mergeCell ref="H91:J91"/>
    <mergeCell ref="D99:D100"/>
    <mergeCell ref="E99:E100"/>
    <mergeCell ref="F99:H99"/>
    <mergeCell ref="I99:K99"/>
    <mergeCell ref="D91:D92"/>
    <mergeCell ref="E91:G91"/>
    <mergeCell ref="G218:H218"/>
    <mergeCell ref="E163:E164"/>
    <mergeCell ref="B213:C213"/>
    <mergeCell ref="B214:C214"/>
    <mergeCell ref="G213:H213"/>
    <mergeCell ref="G214:H214"/>
    <mergeCell ref="D169:D174"/>
    <mergeCell ref="E173:E174"/>
    <mergeCell ref="E171:E172"/>
    <mergeCell ref="E169:E170"/>
    <mergeCell ref="D163:D168"/>
    <mergeCell ref="E167:E168"/>
    <mergeCell ref="E165:E166"/>
    <mergeCell ref="B218:C218"/>
    <mergeCell ref="B215:C215"/>
    <mergeCell ref="I26:I27"/>
    <mergeCell ref="B222:C222"/>
    <mergeCell ref="G222:H222"/>
    <mergeCell ref="B223:C223"/>
    <mergeCell ref="G223:H223"/>
    <mergeCell ref="B216:C216"/>
    <mergeCell ref="B217:C217"/>
    <mergeCell ref="E215:E217"/>
    <mergeCell ref="F215:F217"/>
    <mergeCell ref="G215:H217"/>
    <mergeCell ref="B219:C219"/>
    <mergeCell ref="G219:H219"/>
    <mergeCell ref="B220:C220"/>
    <mergeCell ref="G220:H220"/>
    <mergeCell ref="B221:C221"/>
    <mergeCell ref="G221:H221"/>
    <mergeCell ref="J80:J81"/>
    <mergeCell ref="J82:J83"/>
    <mergeCell ref="J85:J86"/>
    <mergeCell ref="I33:J33"/>
    <mergeCell ref="H21:L21"/>
    <mergeCell ref="J76:J77"/>
    <mergeCell ref="K76:K77"/>
    <mergeCell ref="J78:J79"/>
    <mergeCell ref="I28:J28"/>
    <mergeCell ref="I29:J29"/>
    <mergeCell ref="I30:J30"/>
    <mergeCell ref="I31:J31"/>
    <mergeCell ref="I32:J32"/>
    <mergeCell ref="I23:I25"/>
    <mergeCell ref="H23:H25"/>
    <mergeCell ref="H26:H27"/>
  </mergeCells>
  <phoneticPr fontId="4" type="noConversion"/>
  <hyperlinks>
    <hyperlink ref="D4" location="'Composição de Custos'!B34" display="1.1. Pesquisas de Campo e Inventariamento" xr:uid="{143A1410-36EC-435D-820B-B29CC9B3458D}"/>
    <hyperlink ref="C3" location="'Composição de Custos'!B21" display="1. CUSTOS TOTAIS PMMAC" xr:uid="{CB4E3DF9-134C-40DE-9652-CFEDBFACA6F8}"/>
    <hyperlink ref="D5" location="'Composição de Custos'!B48" display="1.2. Programa de Pagamento por Serviços Ambientais (PSA)" xr:uid="{BFDD6DBF-1513-410C-AC07-F655A5559E40}"/>
    <hyperlink ref="D6" location="'Composição de Custos'!B54" display="1.3. Sistema de Monitoramento" xr:uid="{C76EF7FE-3D1F-4E6C-928C-36738D6A3268}"/>
    <hyperlink ref="D7" location="'Composição de Custos'!B61" display="1.4. Viveiro e Banco de Sementes" xr:uid="{B3D5F704-50A6-4602-A77A-25A092EFC129}"/>
    <hyperlink ref="D8" location="'Composição de Custos'!B66" display="1.5. Travessia Elevada" xr:uid="{264551D3-7B8B-4B86-9178-2133ED7FBFEF}"/>
    <hyperlink ref="D9" location="'Composição de Custos'!B73" display="1.6. Reflorestamento" xr:uid="{2DCC1808-BDC7-4D6B-9007-57A68AE185CB}"/>
    <hyperlink ref="E10" location="'Composição de Custos'!D74" display="1.6.1. Valores de referência" xr:uid="{C3DDBBE6-BA35-4B68-94F0-9B183F3AA19C}"/>
    <hyperlink ref="E11" location="'Composição de Custos'!D88" display="1.6.2. Quadros de áreas" xr:uid="{4E3BEC57-E683-4320-892E-507D637A84DC}"/>
    <hyperlink ref="E12" location="'Composição de Custos'!D119" display="1.6.3. Composição técnica" xr:uid="{628AA8C7-023D-4DE6-9B87-BC24DEB6C5DD}"/>
    <hyperlink ref="F13" location="'Composição de Custos'!D121" display="1.6.3.1. Plantio Total" xr:uid="{F4572BCB-5173-4F8F-BA61-099636B0FC40}"/>
    <hyperlink ref="F14" location="'Composição de Custos'!D135" display="1.6.3.2. Condução da Regeneração" xr:uid="{4E3BDE08-92C6-48E6-8FD9-4E42D8BD8ACC}"/>
    <hyperlink ref="F15" location="'Composição de Custos'!D149" display="1.6.3.3. Regeneração Natural" xr:uid="{4B63D534-B07B-4C58-B33F-C71C86D10181}"/>
    <hyperlink ref="E16" location="'Composição de Custos'!D160" display="1.6.4. Quadro final" xr:uid="{B26B974D-4EF9-4D24-8AD7-550B8FC78C52}"/>
    <hyperlink ref="C18" location="'Composição de Custos'!B188" display="2. ESTIMATIVA DE MUDAS" xr:uid="{CA213961-E886-4240-8067-D9427B6B5A39}"/>
    <hyperlink ref="C19" location="'Composição de Custos'!B211" display="3. VALORES DO QUADRO DE AÇÕES" xr:uid="{50F1EC5C-2BF5-4827-9393-7E5E1961E765}"/>
    <hyperlink ref="G215:H217" location="'Composição de Custos'!D177" display="Valor indicado corresponde ao intervalo estimado para o Reflorestamento de APPs Prioritárias. [=(x), localizado na célula D175]" xr:uid="{4F4ED7A1-B142-4468-B143-6CFC5E8CC2A2}"/>
    <hyperlink ref="G219:H219" location="'Composição de Custos'!B65" display="1.5. " xr:uid="{EB4D99E4-EFF1-4BF9-81F1-025FA9DDDCBD}"/>
    <hyperlink ref="G220:H220" location="'Composição de Custos'!B53" display="1.3." xr:uid="{4D71D30F-D7AB-4492-ACE0-BDB313580A5C}"/>
    <hyperlink ref="G221:H221" location="'Composição de Custos'!B47" display="1.2." xr:uid="{935E37F7-A797-47AA-9A66-76E36A0D5870}"/>
    <hyperlink ref="G222:H222" location="'Composição de Custos'!B33" display="1.1." xr:uid="{862B1CDD-EF5C-4097-965E-71A96DA86FA0}"/>
    <hyperlink ref="G214:H214" location="'Composição de Custos'!H175" display="Corresponde à aplicação de valores para Composição Técnica de Plantio Total em Condição Ambiental Desfavorável (3 anos de Plantio Total; 3 anos de Manutenção; 4 anos de Condução da Regeneração) para as áreas urbanas (linha 93) para Cerrado e Mata Atlântica. [(F93*F76)+(F93*F83)+(F93*F78)+(I93*G76)+(I93*G83)+(I93*G78)]" xr:uid="{D832C554-204A-44EE-9582-A9D33F7D004C}"/>
    <hyperlink ref="D17" location="'Composição de Custos'!B180" display="1.7. Capacidade de Gestão e Fiscalização" xr:uid="{8B6490E0-FA35-445F-9C6B-33EDEA1F9C44}"/>
    <hyperlink ref="G223:H223" location="'Composição de Custos'!B179" display="1.7" xr:uid="{C2895F4E-2206-4DE7-AD07-F537CBFE0D26}"/>
  </hyperlinks>
  <pageMargins left="0.511811024" right="0.511811024" top="0.78740157499999996" bottom="0.78740157499999996" header="0.31496062000000002" footer="0.31496062000000002"/>
  <ignoredErrors>
    <ignoredError sqref="J110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Programa Objetivos</vt:lpstr>
      <vt:lpstr>Ações - Indicadores</vt:lpstr>
      <vt:lpstr>Composição de Custos</vt:lpstr>
      <vt:lpstr>'Composição de Custos'!_Toc204208284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Funari</dc:creator>
  <cp:lastModifiedBy>Armando Funari</cp:lastModifiedBy>
  <dcterms:created xsi:type="dcterms:W3CDTF">2025-07-31T16:54:33Z</dcterms:created>
  <dcterms:modified xsi:type="dcterms:W3CDTF">2025-12-15T17:31:07Z</dcterms:modified>
</cp:coreProperties>
</file>