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LANILHA ORCAMENTARIA" sheetId="1" state="visible" r:id="rId2"/>
    <sheet name="CRONOGRAMA" sheetId="2" state="visible" r:id="rId3"/>
    <sheet name="QTTIVO ELETRICO" sheetId="3" state="visible" r:id="rId4"/>
    <sheet name="MEMORIA DE CALCULO" sheetId="4" state="visible" r:id="rId5"/>
    <sheet name="BDI 1 - Ñ DESONERADO" sheetId="5" state="visible" r:id="rId6"/>
    <sheet name="BDI 2 - NÃO DESONERADO" sheetId="6" state="visible" r:id="rId7"/>
    <sheet name="MAIOR RELEVANCIA" sheetId="7" state="visible" r:id="rId8"/>
  </sheets>
  <externalReferences>
    <externalReference r:id="rId9"/>
  </externalReferences>
  <definedNames>
    <definedName function="false" hidden="false" localSheetId="1" name="_xlnm.Print_Area" vbProcedure="false">CRONOGRAMA!$A$1:$M$34</definedName>
    <definedName function="false" hidden="false" localSheetId="0" name="_xlnm.Print_Area" vbProcedure="false">'PLANILHA ORCAMENTARIA'!$A$1:$L$108</definedName>
    <definedName function="false" hidden="false" localSheetId="0" name="_xlnm.Print_Titles" vbProcedure="false">'PLANILHA ORCAMENTARIA'!$13:$13</definedName>
    <definedName function="false" hidden="false" localSheetId="2" name="_xlnm.Print_Area" vbProcedure="false">'QTTIVO ELETRICO'!$A:$C</definedName>
    <definedName function="false" hidden="false" name="JR_PAGE_ANCHOR_0_1" vbProcedure="false">'planilha orcamentaria'!#ref!</definedName>
    <definedName function="false" hidden="false" name="JR_PAGE_ANCHOR_1_1" vbProcedure="false">#REF!</definedName>
    <definedName function="false" hidden="false" name="JR_PAGE_ANCHOR_2_1" vbProcedure="false">'MEMORIA DE CALCULO'!$A$1</definedName>
    <definedName function="false" hidden="false" name="JR_PAGE_ANCHOR_3_1" vbProcedure="false">#REF!</definedName>
    <definedName function="false" hidden="false" name="JR_PAGE_ANCHOR_4_1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<sst xmlns="http://schemas.openxmlformats.org/spreadsheetml/2006/main" count="720" uniqueCount="389">
  <si>
    <t xml:space="preserve">DADOS DA TABELA:</t>
  </si>
  <si>
    <t xml:space="preserve">SIGILO</t>
  </si>
  <si>
    <t xml:space="preserve">LICITAÇÃO</t>
  </si>
  <si>
    <t xml:space="preserve">REVISÃO</t>
  </si>
  <si>
    <t xml:space="preserve">REVISÃO 02</t>
  </si>
  <si>
    <t xml:space="preserve">DATA</t>
  </si>
  <si>
    <t xml:space="preserve">PLANILHA ORÇAMENTÁRIA</t>
  </si>
  <si>
    <t xml:space="preserve">DATA BASE:</t>
  </si>
  <si>
    <t xml:space="preserve">REFORMA DA CANCHA MUNICIPAL DE BOCHA "BENEDITO ROLIM DE MOURA"</t>
  </si>
  <si>
    <t xml:space="preserve">END: RUA CAPITÃO AUGUSTO MILLET, EM FRENTE AO Nº 176 - PQ RESIDENCIAL ESPLANADA</t>
  </si>
  <si>
    <t xml:space="preserve">SBC</t>
  </si>
  <si>
    <t xml:space="preserve">BDI 1:</t>
  </si>
  <si>
    <t xml:space="preserve">BDI 2: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</si>
  <si>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</si>
  <si>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</si>
  <si>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</si>
  <si>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</si>
  <si>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</si>
  <si>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</si>
  <si>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- MATERIAL</t>
  </si>
  <si>
    <t xml:space="preserve">VALOR - MÃO DE OBRA</t>
  </si>
  <si>
    <t xml:space="preserve">VALOR UNIT.</t>
  </si>
  <si>
    <t xml:space="preserve">VALOR UNIT. C/ BDI</t>
  </si>
  <si>
    <t xml:space="preserve">TOTAL</t>
  </si>
  <si>
    <t xml:space="preserve">PESO (%)</t>
  </si>
  <si>
    <t xml:space="preserve">1.0</t>
  </si>
  <si>
    <t xml:space="preserve">SERVIÇOS PRELIMINARES</t>
  </si>
  <si>
    <t xml:space="preserve">1.1</t>
  </si>
  <si>
    <t xml:space="preserve">02.08.020</t>
  </si>
  <si>
    <t xml:space="preserve">CDHU</t>
  </si>
  <si>
    <t xml:space="preserve">Placa de identificação para obra</t>
  </si>
  <si>
    <t xml:space="preserve">M2</t>
  </si>
  <si>
    <t xml:space="preserve">1.2</t>
  </si>
  <si>
    <t xml:space="preserve">02.03.120 </t>
  </si>
  <si>
    <t xml:space="preserve">Tapume fixo para fechamento de áreas, com portão </t>
  </si>
  <si>
    <t xml:space="preserve">M2 </t>
  </si>
  <si>
    <t xml:space="preserve">1.3</t>
  </si>
  <si>
    <t xml:space="preserve">28.20.070 </t>
  </si>
  <si>
    <t xml:space="preserve">Ferragem para portão de tapume </t>
  </si>
  <si>
    <t xml:space="preserve">CJ </t>
  </si>
  <si>
    <t xml:space="preserve">1.4</t>
  </si>
  <si>
    <t xml:space="preserve">02.02.150 </t>
  </si>
  <si>
    <t xml:space="preserve">Locação de container tipo depósito ‐ área mínima de 13,80 m² </t>
  </si>
  <si>
    <t xml:space="preserve">UNMES</t>
  </si>
  <si>
    <t xml:space="preserve">2.0</t>
  </si>
  <si>
    <t xml:space="preserve">CANCHA DE BOCHA</t>
  </si>
  <si>
    <t xml:space="preserve">2.1</t>
  </si>
  <si>
    <t xml:space="preserve">CPU-01</t>
  </si>
  <si>
    <t xml:space="preserve">CPU-MERCADO</t>
  </si>
  <si>
    <t xml:space="preserve">UN</t>
  </si>
  <si>
    <t xml:space="preserve">2.2</t>
  </si>
  <si>
    <t xml:space="preserve">05.07.050 </t>
  </si>
  <si>
    <t xml:space="preserve">Remoção de entulho de obra com caçamba metálica ‐ material volumoso e misturado por alvenaria, terra, madeira, papel, plástico e metal </t>
  </si>
  <si>
    <t xml:space="preserve">M3 </t>
  </si>
  <si>
    <t xml:space="preserve">3.0</t>
  </si>
  <si>
    <t xml:space="preserve">ESQUADRIAS</t>
  </si>
  <si>
    <t xml:space="preserve">3.1</t>
  </si>
  <si>
    <t xml:space="preserve">04.09.020 </t>
  </si>
  <si>
    <t xml:space="preserve">Retirada de esquadria metálica em geral </t>
  </si>
  <si>
    <t xml:space="preserve">3.2</t>
  </si>
  <si>
    <t xml:space="preserve">24.02.060</t>
  </si>
  <si>
    <t xml:space="preserve">Porta/portão de abrir em chapa, sob medida </t>
  </si>
  <si>
    <t xml:space="preserve">3.3</t>
  </si>
  <si>
    <t xml:space="preserve">04.08.020 </t>
  </si>
  <si>
    <t xml:space="preserve">Retirada de folha de esquadria em madeira </t>
  </si>
  <si>
    <t xml:space="preserve">UN </t>
  </si>
  <si>
    <t xml:space="preserve">3.4</t>
  </si>
  <si>
    <t xml:space="preserve">23.13.001 </t>
  </si>
  <si>
    <t xml:space="preserve">Porta lisa de madeira, interna "PIM", para acabamento em pintura, padrão dimensional médio/pesado, com ferragens, completo ‐ 80 x 210 cm </t>
  </si>
  <si>
    <t xml:space="preserve">3.5</t>
  </si>
  <si>
    <t xml:space="preserve">23.20.310 </t>
  </si>
  <si>
    <t xml:space="preserve">Folha de porta lisa comum ‐ 60 x 210 cm </t>
  </si>
  <si>
    <t xml:space="preserve">3.6</t>
  </si>
  <si>
    <t xml:space="preserve">28.01.070 </t>
  </si>
  <si>
    <t xml:space="preserve">Ferragem completa para porta de box de WC tipo livre/ocupado </t>
  </si>
  <si>
    <t xml:space="preserve">3.7</t>
  </si>
  <si>
    <t xml:space="preserve">SINAPI</t>
  </si>
  <si>
    <t xml:space="preserve">PINTURA COM TINTA ALQUÍDICA DE ACABAMENTO (ESMALTE SINTÉTICO BRILHANTE PULVERIZADA SOBRE SUPERFÍCIES METÁLICAS (EXCETO PERFIL) EXECUTADO EM OBRA (POR DEMÃO). AF_01/2020_PE</t>
  </si>
  <si>
    <t xml:space="preserve">3.8</t>
  </si>
  <si>
    <t xml:space="preserve">PINTURA TINTA DE ACABAMENTO (PIGMENTADA) ESMALTE SINTÉTICO BRILHANTE EM MADEIRA, 2 DEMÃOS. AF_01/2021</t>
  </si>
  <si>
    <t xml:space="preserve">3.9</t>
  </si>
  <si>
    <t xml:space="preserve">26.01.230 </t>
  </si>
  <si>
    <t xml:space="preserve">Vidro fantasia de 3/4 mm </t>
  </si>
  <si>
    <t xml:space="preserve">3.10</t>
  </si>
  <si>
    <t xml:space="preserve">24.03.200 </t>
  </si>
  <si>
    <t xml:space="preserve">Tela de proteção tipo mosquiteira em aço galvanizado, com requadro em perfis de ferro </t>
  </si>
  <si>
    <t xml:space="preserve">4.0</t>
  </si>
  <si>
    <t xml:space="preserve">PINTURA</t>
  </si>
  <si>
    <t xml:space="preserve">4.1</t>
  </si>
  <si>
    <t xml:space="preserve">33.10.020 </t>
  </si>
  <si>
    <t xml:space="preserve">Tinta látex em massa, inclusive preparo</t>
  </si>
  <si>
    <t xml:space="preserve"> M2 </t>
  </si>
  <si>
    <t xml:space="preserve">4.2</t>
  </si>
  <si>
    <t xml:space="preserve">33.07.102 </t>
  </si>
  <si>
    <t xml:space="preserve">Esmalte a base de água em estrutura metálica </t>
  </si>
  <si>
    <t xml:space="preserve">4.3</t>
  </si>
  <si>
    <t xml:space="preserve">02.05.202 </t>
  </si>
  <si>
    <t xml:space="preserve">Andaime torre metálico (1,5 x 1,5 m) com piso metálico </t>
  </si>
  <si>
    <t xml:space="preserve">MXMES </t>
  </si>
  <si>
    <t xml:space="preserve">5.0</t>
  </si>
  <si>
    <t xml:space="preserve">COBERTURA</t>
  </si>
  <si>
    <t xml:space="preserve">5.1</t>
  </si>
  <si>
    <t xml:space="preserve">04.03.040 </t>
  </si>
  <si>
    <t xml:space="preserve">Retirada de telhamento perfil e material qualquer, exceto barro </t>
  </si>
  <si>
    <t xml:space="preserve">5.2</t>
  </si>
  <si>
    <t xml:space="preserve">16.03.010</t>
  </si>
  <si>
    <t xml:space="preserve"> Telhamento em cimento reforçado com fio sintético CRFS ‐ perfil ondulado de 6 mm </t>
  </si>
  <si>
    <t xml:space="preserve">5.3</t>
  </si>
  <si>
    <t xml:space="preserve">16.03.300</t>
  </si>
  <si>
    <t xml:space="preserve"> Cumeeira normal em cimento reforçado com fio sintético CRFS ‐ perfil ondulado</t>
  </si>
  <si>
    <t xml:space="preserve"> M </t>
  </si>
  <si>
    <t xml:space="preserve">5.4</t>
  </si>
  <si>
    <t xml:space="preserve">5.5</t>
  </si>
  <si>
    <t xml:space="preserve">16.12.020</t>
  </si>
  <si>
    <t xml:space="preserve"> Telhamento em chapa de aço pré‐pintada com epóxi e poliéster, perfil ondulado, com espessura de 0,50 mm </t>
  </si>
  <si>
    <t xml:space="preserve">5.6</t>
  </si>
  <si>
    <t xml:space="preserve">5.7</t>
  </si>
  <si>
    <t xml:space="preserve">16.33.082</t>
  </si>
  <si>
    <t xml:space="preserve"> Calha, rufo, afins em chapa galvanizada nº 26 ‐ corte 0,33 m </t>
  </si>
  <si>
    <t xml:space="preserve">M </t>
  </si>
  <si>
    <t xml:space="preserve">6.0</t>
  </si>
  <si>
    <t xml:space="preserve">SERVIÇOS ELÉTRICOS</t>
  </si>
  <si>
    <t xml:space="preserve">6.1</t>
  </si>
  <si>
    <t xml:space="preserve">REMOÇÃO DE LUMINÁRIAS, DE FORMA MANUAL, SEM REAPROVEITAMENTO. AF_12/20 </t>
  </si>
  <si>
    <t xml:space="preserve">UM</t>
  </si>
  <si>
    <t xml:space="preserve">6.2</t>
  </si>
  <si>
    <t xml:space="preserve"> 41.31.040 </t>
  </si>
  <si>
    <t xml:space="preserve">Luminária LED retangular de sobrepor com difusor translúcido, 4000 K, fluxo luminoso de 3690 a 4800 lm, potência de 38 a 41 W</t>
  </si>
  <si>
    <t xml:space="preserve">6.3</t>
  </si>
  <si>
    <t xml:space="preserve"> 41.31.087 </t>
  </si>
  <si>
    <t xml:space="preserve">Luminária LED redonda de sobrepor com difusor recuado translucido, 4000 K, fluxo luminoso de 1900 a 2000 lm, potência de 17 a 19 W</t>
  </si>
  <si>
    <t xml:space="preserve">6.4</t>
  </si>
  <si>
    <t xml:space="preserve"> 060452 </t>
  </si>
  <si>
    <t xml:space="preserve">REFLETOR HOLOFOTE MICROLED SMD 100W RGB COLORIDO C/ CONTROLE</t>
  </si>
  <si>
    <t xml:space="preserve">6.5</t>
  </si>
  <si>
    <t xml:space="preserve">38.21.110</t>
  </si>
  <si>
    <t xml:space="preserve"> Eletrocalha lisa galvanizada a fogo, 50 x 50 mm, com acessórios </t>
  </si>
  <si>
    <t xml:space="preserve">M</t>
  </si>
  <si>
    <t xml:space="preserve">6.6</t>
  </si>
  <si>
    <t xml:space="preserve">38.23.010 </t>
  </si>
  <si>
    <t xml:space="preserve">Suporte para eletrocalha, galvanizado a fogo, 50x50 mm </t>
  </si>
  <si>
    <t xml:space="preserve">6.7</t>
  </si>
  <si>
    <t xml:space="preserve"> 058007 </t>
  </si>
  <si>
    <t xml:space="preserve">ELETRODUTO GALVANIZADO NBR 5597 20mm 3/4""</t>
  </si>
  <si>
    <t xml:space="preserve">6.8</t>
  </si>
  <si>
    <t xml:space="preserve"> 95779 </t>
  </si>
  <si>
    <t xml:space="preserve">CONDULETE DE ALUMÍNIO, TIPO E, PARA ELETRODUTO DE AÇO GALVANIZADO DN 20 MM (3/4''), APARENTE - FORNECIMENTO E INSTALAÇÃO. AF_10/2022</t>
  </si>
  <si>
    <t xml:space="preserve">6.9</t>
  </si>
  <si>
    <t xml:space="preserve"> 95778 </t>
  </si>
  <si>
    <t xml:space="preserve">CONDULETE DE ALUMÍNIO, TIPO C, PARA ELETRODUTO DE AÇO GALVANIZADO DN 20 MM (3/4</t>
  </si>
  <si>
    <t xml:space="preserve">6.10</t>
  </si>
  <si>
    <t xml:space="preserve"> 95787 </t>
  </si>
  <si>
    <t xml:space="preserve">CONDULETE DE ALUMÍNIO, TIPO LR, PARA ELETRODUTO DE AÇO GALVANIZADO DN 20 MM (3/4</t>
  </si>
  <si>
    <t xml:space="preserve">6.11</t>
  </si>
  <si>
    <t xml:space="preserve"> 95777 </t>
  </si>
  <si>
    <t xml:space="preserve">CONDULETE DE ALUMÍNIO, TIPO B, PARA ELETRODUTO DE AÇO GALVANIZADO DN 20 MM (3/4''), APARENTE - FORNECIMENTO E INSTALAÇÃO. AF_10/2022</t>
  </si>
  <si>
    <t xml:space="preserve">6.12</t>
  </si>
  <si>
    <t xml:space="preserve"> 052101 </t>
  </si>
  <si>
    <t xml:space="preserve">CURVA 90 GALVANIZADA 3/4""</t>
  </si>
  <si>
    <t xml:space="preserve">6.13</t>
  </si>
  <si>
    <t xml:space="preserve"> 062871 </t>
  </si>
  <si>
    <t xml:space="preserve">INTERRUPTOR SIMPLES 10A EM CONDULETE DE ALUMINIO</t>
  </si>
  <si>
    <t xml:space="preserve">6.14</t>
  </si>
  <si>
    <t xml:space="preserve">40.04.480 </t>
  </si>
  <si>
    <t xml:space="preserve">Conjunto 1 interruptor simples e 1 tomada 2P+T de 10 A, completo </t>
  </si>
  <si>
    <t xml:space="preserve">6.15</t>
  </si>
  <si>
    <t xml:space="preserve"> 40.04.460 </t>
  </si>
  <si>
    <t xml:space="preserve">Tomada 2P+T de 20 A - 250 V, completa</t>
  </si>
  <si>
    <t xml:space="preserve">CJ</t>
  </si>
  <si>
    <t xml:space="preserve">6.16</t>
  </si>
  <si>
    <t xml:space="preserve"> 40.04.450 </t>
  </si>
  <si>
    <t xml:space="preserve">Tomada 2P+T de 10 A - 250 V, completa</t>
  </si>
  <si>
    <t xml:space="preserve">6.17</t>
  </si>
  <si>
    <t xml:space="preserve"> 062616 </t>
  </si>
  <si>
    <t xml:space="preserve">TAMPA EM ALUMINIO CONDULETE 1/2"" E 3/4"", UM POSTO P/ 2P+T</t>
  </si>
  <si>
    <t xml:space="preserve">6.18</t>
  </si>
  <si>
    <t xml:space="preserve"> 39.03.160 </t>
  </si>
  <si>
    <t xml:space="preserve">Cabo de cobre de 1,5 mm², isolamento 0,6/1 kV - isolação em PVC 70°C - cor amarela</t>
  </si>
  <si>
    <t xml:space="preserve">6.19</t>
  </si>
  <si>
    <t xml:space="preserve">Cabo de cobre de 1,5 mm², isolamento 0,6/1 kV - isolação em PVC 70°C - cor vermelha</t>
  </si>
  <si>
    <t xml:space="preserve">6.20</t>
  </si>
  <si>
    <t xml:space="preserve"> 39.03.170 </t>
  </si>
  <si>
    <t xml:space="preserve">Cabo de cobre de 2,5 mm², isolamento 0,6/1 kV - isolação em PVC 70°C - cor verde</t>
  </si>
  <si>
    <t xml:space="preserve">6.21</t>
  </si>
  <si>
    <t xml:space="preserve">Cabo de cobre de 2,5 mm², isolamento 0,6/1 kV - isolação em PVC 70°C - cor preta</t>
  </si>
  <si>
    <t xml:space="preserve">6.22</t>
  </si>
  <si>
    <t xml:space="preserve"> 39.03.174 </t>
  </si>
  <si>
    <t xml:space="preserve">Cabo de cobre de 4 mm², isolamento 0,6/1 kV - isolação em PVC 70°C. - cor preta</t>
  </si>
  <si>
    <t xml:space="preserve">6.23</t>
  </si>
  <si>
    <t xml:space="preserve">Cabo de cobre de 4 mm², isolamento 0,6/1 kV - isolação em PVC 70°C. - cor verde</t>
  </si>
  <si>
    <t xml:space="preserve">6.24</t>
  </si>
  <si>
    <t xml:space="preserve">39.24.152 </t>
  </si>
  <si>
    <t xml:space="preserve">Cabo de cobre flexível de 3 x 2,5 mm², isolamento 500 V ‐ isolação PP 70°C </t>
  </si>
  <si>
    <t xml:space="preserve">6.25</t>
  </si>
  <si>
    <t xml:space="preserve">39.24.151</t>
  </si>
  <si>
    <t xml:space="preserve"> Cabo de cobre flexível de 3 x 1,5 mm², isolamento 500 V ‐ isolação PP 70°C </t>
  </si>
  <si>
    <t xml:space="preserve">6.26</t>
  </si>
  <si>
    <t xml:space="preserve"> 37.13.850 </t>
  </si>
  <si>
    <t xml:space="preserve">Mini-disjuntor termomagnético, bipolar 220/380 V, corrente de 40 A até 50 A</t>
  </si>
  <si>
    <t xml:space="preserve">6.27</t>
  </si>
  <si>
    <t xml:space="preserve"> 37.13.840 </t>
  </si>
  <si>
    <t xml:space="preserve">Mini-disjuntor termomagnético, bipolar 220/380 V, corrente de 10 A até 32 A</t>
  </si>
  <si>
    <t xml:space="preserve">6.29</t>
  </si>
  <si>
    <t xml:space="preserve">16.01.101</t>
  </si>
  <si>
    <t xml:space="preserve">FDE</t>
  </si>
  <si>
    <t xml:space="preserve">INSTALAÇÃO DE VENTILADOR DE PAREDE VN-02</t>
  </si>
  <si>
    <t xml:space="preserve">6.30</t>
  </si>
  <si>
    <t xml:space="preserve">COT-01</t>
  </si>
  <si>
    <t xml:space="preserve">PRÓPRIO</t>
  </si>
  <si>
    <t xml:space="preserve">VENTILADOR DE PAREDE C/ GRADE CROMADA, DIÂM. MÍN. DE 50 CM, BI-VOLT, VELOC. REGULÁVEL E MOVIMENTO OSCILANTE - PADRÃO MÉDIO</t>
  </si>
  <si>
    <t xml:space="preserve">SERVIÇOS HIDRÁULICOS</t>
  </si>
  <si>
    <t xml:space="preserve">7.1</t>
  </si>
  <si>
    <t xml:space="preserve"> ASSENTO SANITÁRIO CONVENCIONAL - FORNECIMENTO E INSTALACAO. AF_01/2020 </t>
  </si>
  <si>
    <t xml:space="preserve">7.2</t>
  </si>
  <si>
    <t xml:space="preserve">VÁLVULA DE DESCARGA METÁLICA, BASE 1 1/2", ACABAMENTO METALICO CROMADO - FORNECIMENTO E INSTALAÇÃO. AF_08/2021</t>
  </si>
  <si>
    <t xml:space="preserve"> UN </t>
  </si>
  <si>
    <t xml:space="preserve">7.3</t>
  </si>
  <si>
    <t xml:space="preserve">TORNEIRA CROMADA DE MESA, 1/2 OU 3/4, PARA LAVATÓRIO, PADRÃO POPULAR  - FORNECIMENTO E INSTALAÇÃO. AF_01/2020</t>
  </si>
  <si>
    <t xml:space="preserve">7.4</t>
  </si>
  <si>
    <t xml:space="preserve">TORNEIRA CROMADA TUBO MÓVEL, DE PAREDE, 1/2 OU 3/4, PARA PIA DE COZINHA, PADRÃO MÉDIO - FORNECIMENTO E INSTALAÇÃO. AF_01/2020</t>
  </si>
  <si>
    <t xml:space="preserve">7.5</t>
  </si>
  <si>
    <t xml:space="preserve">26.04.010</t>
  </si>
  <si>
    <t xml:space="preserve"> Espelho em vidro cristal liso, espessura de 4 mm </t>
  </si>
  <si>
    <t xml:space="preserve">RAMPA E ESCADA DE ACESSO</t>
  </si>
  <si>
    <t xml:space="preserve">8.1</t>
  </si>
  <si>
    <t xml:space="preserve">02.09.040 </t>
  </si>
  <si>
    <t xml:space="preserve">Limpeza mecanizada do terreno, inclusive troncos até 15 cm de diâmetro, com caminhão à disposição dentro e fora da obra, com transporte no raio de até 1 km </t>
  </si>
  <si>
    <t xml:space="preserve">8.2</t>
  </si>
  <si>
    <t xml:space="preserve">54.01.010</t>
  </si>
  <si>
    <t xml:space="preserve"> Regularização e compactação mecanizada de superfície, sem controle do proctor normal </t>
  </si>
  <si>
    <t xml:space="preserve">8.3</t>
  </si>
  <si>
    <t xml:space="preserve">11.18.040 </t>
  </si>
  <si>
    <t xml:space="preserve">Lastro de pedra britada </t>
  </si>
  <si>
    <t xml:space="preserve">8.4</t>
  </si>
  <si>
    <t xml:space="preserve">11.03.090 </t>
  </si>
  <si>
    <t xml:space="preserve">Concreto preparado no local, fck = 20 MPa </t>
  </si>
  <si>
    <t xml:space="preserve">M3</t>
  </si>
  <si>
    <t xml:space="preserve">8.5</t>
  </si>
  <si>
    <t xml:space="preserve">24.08.020 </t>
  </si>
  <si>
    <t xml:space="preserve">Corrimão duplo em tubo de aço inoxidável escovado, com diâmetro de 1 1/2´ e montantes com diâmetro de 2´ </t>
  </si>
  <si>
    <t xml:space="preserve">CALÇADA EXTERNA</t>
  </si>
  <si>
    <t xml:space="preserve">9.1</t>
  </si>
  <si>
    <t xml:space="preserve">03.01.230 </t>
  </si>
  <si>
    <t xml:space="preserve">Demolição mecanizada de concreto simples, inclusive fragmentação e acomodação do material </t>
  </si>
  <si>
    <t xml:space="preserve">9.2</t>
  </si>
  <si>
    <t xml:space="preserve">9.3</t>
  </si>
  <si>
    <t xml:space="preserve">9.4</t>
  </si>
  <si>
    <t xml:space="preserve">9.5</t>
  </si>
  <si>
    <t xml:space="preserve">17.05.020 </t>
  </si>
  <si>
    <t xml:space="preserve">Piso com requadro em concreto simples sem controle de fck </t>
  </si>
  <si>
    <t xml:space="preserve">MONITORAMENTO</t>
  </si>
  <si>
    <t xml:space="preserve">10.1</t>
  </si>
  <si>
    <t xml:space="preserve">068399</t>
  </si>
  <si>
    <t xml:space="preserve">CAMERA BULLET INFRAVERMELHO MULTI HD 4 EM 1 INTELBRAS VHD 11</t>
  </si>
  <si>
    <t xml:space="preserve">10.2</t>
  </si>
  <si>
    <t xml:space="preserve">66.08.600 </t>
  </si>
  <si>
    <t xml:space="preserve">Unidade gerenciadora digital de vídeo em rede (NVR) de até 8 câmeras IP, armazenamento de 6 TB, 1 interface de rede Fast Ethernet </t>
  </si>
  <si>
    <t xml:space="preserve">10.3</t>
  </si>
  <si>
    <t xml:space="preserve">39.18.100 </t>
  </si>
  <si>
    <t xml:space="preserve">Cabo coaxial tipo RG 6</t>
  </si>
  <si>
    <t xml:space="preserve">LIMPEZA FINAL</t>
  </si>
  <si>
    <t xml:space="preserve">11.1</t>
  </si>
  <si>
    <t xml:space="preserve">55.01.020</t>
  </si>
  <si>
    <t xml:space="preserve">Limpeza final da obra</t>
  </si>
  <si>
    <t xml:space="preserve">Boituva, 18 de abril de 2023</t>
  </si>
  <si>
    <t xml:space="preserve">(assinado digitalmente)</t>
  </si>
  <si>
    <t xml:space="preserve">Rafael A. Correa</t>
  </si>
  <si>
    <t xml:space="preserve">Eng. Julia M. Mescoloto</t>
  </si>
  <si>
    <t xml:space="preserve">Secretário municiapl de Esportes</t>
  </si>
  <si>
    <t xml:space="preserve">CREA: 5070002400</t>
  </si>
  <si>
    <t xml:space="preserve">CRONOGRAMA FÍSICO-FINANCEIRO</t>
  </si>
  <si>
    <t xml:space="preserve">OBJETIVO: REFORMA DA CANCHA MUNICIPAL DE BOCHA "BENEDITO ROLIM DE MOURA"</t>
  </si>
  <si>
    <t xml:space="preserve">ENDEREÇO: RUA CAPITÃO AUGUSTO MILLET, EM FRENTE AO Nº 176 - PQ RESIDENCIAL ESPLANADA</t>
  </si>
  <si>
    <t xml:space="preserve">1ª ETAPA</t>
  </si>
  <si>
    <t xml:space="preserve">2ª ETAPA</t>
  </si>
  <si>
    <t xml:space="preserve">3ª ETAPA</t>
  </si>
  <si>
    <t xml:space="preserve">4ª ETAPA</t>
  </si>
  <si>
    <t xml:space="preserve">VALORES</t>
  </si>
  <si>
    <t xml:space="preserve">R$</t>
  </si>
  <si>
    <t xml:space="preserve">%</t>
  </si>
  <si>
    <t xml:space="preserve">SOMATÓRIA</t>
  </si>
  <si>
    <t xml:space="preserve">Secretário de Esportes</t>
  </si>
  <si>
    <t xml:space="preserve">Lista de peças totalizadas</t>
  </si>
  <si>
    <t xml:space="preserve">Local:</t>
  </si>
  <si>
    <t xml:space="preserve">CANCHA BOCHA</t>
  </si>
  <si>
    <t xml:space="preserve">     Projeto:</t>
  </si>
  <si>
    <t xml:space="preserve">ELETRICO</t>
  </si>
  <si>
    <t xml:space="preserve"> Orçamento:</t>
  </si>
  <si>
    <t xml:space="preserve">  </t>
  </si>
  <si>
    <t xml:space="preserve">Quantidade</t>
  </si>
  <si>
    <t xml:space="preserve">Código</t>
  </si>
  <si>
    <t xml:space="preserve">Descrição</t>
  </si>
  <si>
    <t xml:space="preserve">Luminarias sobrepor led 41w</t>
  </si>
  <si>
    <t xml:space="preserve">Luminarias sobrepor redonda led 19w</t>
  </si>
  <si>
    <t xml:space="preserve">Refletor led 100w</t>
  </si>
  <si>
    <t xml:space="preserve">15m</t>
  </si>
  <si>
    <t xml:space="preserve">Eletrocalha perfurada 38/38mm</t>
  </si>
  <si>
    <t xml:space="preserve">Suporte eletrocalha 38/38mm</t>
  </si>
  <si>
    <t xml:space="preserve">54m</t>
  </si>
  <si>
    <t xml:space="preserve">Eletroduto rigido metalico 3/4"</t>
  </si>
  <si>
    <t xml:space="preserve">Condulete metalico 3/4 tipo E</t>
  </si>
  <si>
    <t xml:space="preserve">Condulete metalico 3/4 tipo C</t>
  </si>
  <si>
    <t xml:space="preserve">Condulete metalico 3/4 tipo LR</t>
  </si>
  <si>
    <t xml:space="preserve">Condulete metalico 3/4 tipo B</t>
  </si>
  <si>
    <t xml:space="preserve">Curva longa condulete rigido metalico 3/4</t>
  </si>
  <si>
    <t xml:space="preserve">Interruptor simples 1 tecla com espelho metalico p/ condulete</t>
  </si>
  <si>
    <t xml:space="preserve">Interruptor simples 1 tecla com espelho 4x2</t>
  </si>
  <si>
    <t xml:space="preserve">interruptor simples 1 tecla +tomada 2p+t com espelho 4x2</t>
  </si>
  <si>
    <t xml:space="preserve">Tomada 2p+terra 20A com espelho metalico p/ condulete</t>
  </si>
  <si>
    <t xml:space="preserve">Tomada 2p+terra 10A com espelho metalico p/ condulete</t>
  </si>
  <si>
    <t xml:space="preserve">50m</t>
  </si>
  <si>
    <t xml:space="preserve">Cabo flexivel 4.0mm² (33m preto  17 verde)</t>
  </si>
  <si>
    <t xml:space="preserve">200m</t>
  </si>
  <si>
    <t xml:space="preserve">Cabo flexivel 1,5mm²(100 verm 100 amarelo)</t>
  </si>
  <si>
    <t xml:space="preserve">300m</t>
  </si>
  <si>
    <t xml:space="preserve">Cabo flexivel 2,5mm²(200m preto 100m verde)</t>
  </si>
  <si>
    <t xml:space="preserve">Cabo pp flexivel 3x2,5mm</t>
  </si>
  <si>
    <t xml:space="preserve">160m</t>
  </si>
  <si>
    <t xml:space="preserve">Cabo pp flexivel 3x1,5mm</t>
  </si>
  <si>
    <t xml:space="preserve">Barramento mini disjuntor pente 80A para 12 disjuntores</t>
  </si>
  <si>
    <t xml:space="preserve">Disjuntor mini bifasico 16A</t>
  </si>
  <si>
    <t xml:space="preserve">Disjuntor mini bifasico 40A</t>
  </si>
  <si>
    <t xml:space="preserve">Disjuntor mini bifasico 20A</t>
  </si>
  <si>
    <t xml:space="preserve">Unidade</t>
  </si>
  <si>
    <t xml:space="preserve">Largura</t>
  </si>
  <si>
    <t xml:space="preserve">Comprimento</t>
  </si>
  <si>
    <t xml:space="preserve">Área</t>
  </si>
  <si>
    <t xml:space="preserve">m2</t>
  </si>
  <si>
    <t xml:space="preserve">Cancha de Bocha</t>
  </si>
  <si>
    <t xml:space="preserve">orçamento</t>
  </si>
  <si>
    <t xml:space="preserve">*medidas internas</t>
  </si>
  <si>
    <t xml:space="preserve">Croti Quadras Esportivas</t>
  </si>
  <si>
    <t xml:space="preserve">KLEBER LINS DE OLIVEIRA</t>
  </si>
  <si>
    <t xml:space="preserve">LUIS CARLOS LEITE CONSTRUÇÃO CIVIL</t>
  </si>
  <si>
    <t xml:space="preserve">MÉDIA</t>
  </si>
  <si>
    <t xml:space="preserve">VALOR POR CANCHA</t>
  </si>
  <si>
    <t xml:space="preserve">PORTA DE ENTRADA</t>
  </si>
  <si>
    <t xml:space="preserve">PORTA DE SAÍDA PARA FORA </t>
  </si>
  <si>
    <t xml:space="preserve"> Porta/portão de abrir em chapa, sob medida </t>
  </si>
  <si>
    <t xml:space="preserve">QTDE</t>
  </si>
  <si>
    <t xml:space="preserve">PORTAS INTERNAS</t>
  </si>
  <si>
    <t xml:space="preserve"> Folha de porta lisa comum ‐ 80 x 210 cm </t>
  </si>
  <si>
    <t xml:space="preserve"> Esmalte à base água em superfície metálica, inclusive preparo </t>
  </si>
  <si>
    <t xml:space="preserve">m²</t>
  </si>
  <si>
    <t xml:space="preserve">PORTAS SALAS</t>
  </si>
  <si>
    <t xml:space="preserve">PORTAS BANHEIRO</t>
  </si>
  <si>
    <t xml:space="preserve">Altura</t>
  </si>
  <si>
    <t xml:space="preserve">Parede Lateral - dentro</t>
  </si>
  <si>
    <t xml:space="preserve">Parede Lateral - fora</t>
  </si>
  <si>
    <t xml:space="preserve">Recepção</t>
  </si>
  <si>
    <t xml:space="preserve">Cozinha</t>
  </si>
  <si>
    <t xml:space="preserve">Sala 1</t>
  </si>
  <si>
    <t xml:space="preserve">Sala 2</t>
  </si>
  <si>
    <t xml:space="preserve">Banheiro </t>
  </si>
  <si>
    <t xml:space="preserve">Fachada</t>
  </si>
  <si>
    <t xml:space="preserve">Fundo</t>
  </si>
  <si>
    <t xml:space="preserve">Tetos</t>
  </si>
  <si>
    <t xml:space="preserve">Estrutura metálica - CANCHA E RECEPÇÃO</t>
  </si>
  <si>
    <t xml:space="preserve">largura</t>
  </si>
  <si>
    <t xml:space="preserve">Rampa de acessibilidade</t>
  </si>
  <si>
    <t xml:space="preserve">altura</t>
  </si>
  <si>
    <t xml:space="preserve">m3</t>
  </si>
  <si>
    <t xml:space="preserve">Total</t>
  </si>
  <si>
    <t xml:space="preserve">CÁLCULO DO BDI (TCU 2622/2013)</t>
  </si>
  <si>
    <t xml:space="preserve">CONSTRUÇÃO E REFORMA DE EDIFICAÇÕES</t>
  </si>
  <si>
    <t xml:space="preserve">INCIDÊNCIAS ACEITAS</t>
  </si>
  <si>
    <t xml:space="preserve">ITENS COMPONENTES DO BDI</t>
  </si>
  <si>
    <t xml:space="preserve">INCIDÊNCIA ADOTADA [1]</t>
  </si>
  <si>
    <t xml:space="preserve">Min.</t>
  </si>
  <si>
    <t xml:space="preserve">Méd.</t>
  </si>
  <si>
    <t xml:space="preserve">Máx.</t>
  </si>
  <si>
    <t xml:space="preserve">ADMINISTRAÇÃO CENTRAL </t>
  </si>
  <si>
    <t xml:space="preserve">LUCRO</t>
  </si>
  <si>
    <t xml:space="preserve">DESPESAS FINANCEIRAS</t>
  </si>
  <si>
    <t xml:space="preserve">SEGUROS E GARANTIAS</t>
  </si>
  <si>
    <t xml:space="preserve">RISCOS</t>
  </si>
  <si>
    <t xml:space="preserve">TRIBUTOS</t>
  </si>
  <si>
    <t xml:space="preserve">Conforme Legislação</t>
  </si>
  <si>
    <t xml:space="preserve">PIS</t>
  </si>
  <si>
    <t xml:space="preserve">--</t>
  </si>
  <si>
    <t xml:space="preserve">-</t>
  </si>
  <si>
    <t xml:space="preserve">COFINS</t>
  </si>
  <si>
    <t xml:space="preserve">ISS</t>
  </si>
  <si>
    <t xml:space="preserve">Conforme legislação municipal</t>
  </si>
  <si>
    <t xml:space="preserve">[2] Desoneração (2%)</t>
  </si>
  <si>
    <t xml:space="preserve">0% OU 2%</t>
  </si>
  <si>
    <t xml:space="preserve">[2] BDI ADOTADO</t>
  </si>
  <si>
    <t xml:space="preserve">[1] Preencher células em amarelo</t>
  </si>
  <si>
    <r>
      <rPr>
        <sz val="9"/>
        <color rgb="FF808080"/>
        <rFont val="Arial"/>
        <family val="2"/>
        <charset val="1"/>
      </rPr>
      <t xml:space="preserve">[2] Obras orçadas </t>
    </r>
    <r>
      <rPr>
        <b val="true"/>
        <sz val="9"/>
        <color rgb="FF808080"/>
        <rFont val="Arial"/>
        <family val="2"/>
        <charset val="1"/>
      </rPr>
      <t xml:space="preserve">SEM</t>
    </r>
    <r>
      <rPr>
        <sz val="9"/>
        <color rgb="FF808080"/>
        <rFont val="Arial"/>
        <family val="2"/>
        <charset val="1"/>
      </rPr>
      <t xml:space="preserve"> desoneração deverão adotar indíce 0,00% neste item e intervalo de BDI adotado conforme LIMITES do quadro ao lado</t>
    </r>
  </si>
</sst>
</file>

<file path=xl/styles.xml><?xml version="1.0" encoding="utf-8"?>
<styleSheet xmlns="http://schemas.openxmlformats.org/spreadsheetml/2006/main">
  <numFmts count="18">
    <numFmt numFmtId="164" formatCode="General"/>
    <numFmt numFmtId="165" formatCode="@"/>
    <numFmt numFmtId="166" formatCode="_-&quot;R$&quot;* #,##0.00_-;&quot;-R$&quot;* #,##0.00_-;_-&quot;R$&quot;* \-??_-;_-@_-"/>
    <numFmt numFmtId="167" formatCode="_-&quot;R$ &quot;* #,##0.00_-;&quot;-R$ &quot;* #,##0.00_-;_-&quot;R$ &quot;* \-??_-;_-@_-"/>
    <numFmt numFmtId="168" formatCode="0%"/>
    <numFmt numFmtId="169" formatCode="_-* #,##0.00_-;\-* #,##0.00_-;_-* \-??_-;_-@_-"/>
    <numFmt numFmtId="170" formatCode="\ #,##0.00\ ;\-#,##0.00\ ;&quot; -&quot;00\ ;\ @\ "/>
    <numFmt numFmtId="171" formatCode="#,##0.00"/>
    <numFmt numFmtId="172" formatCode="#,##0"/>
    <numFmt numFmtId="173" formatCode="0.00%"/>
    <numFmt numFmtId="174" formatCode="d/m/yyyy"/>
    <numFmt numFmtId="175" formatCode="mmm/yy"/>
    <numFmt numFmtId="176" formatCode="0"/>
    <numFmt numFmtId="177" formatCode="0.0000%"/>
    <numFmt numFmtId="178" formatCode="&quot;R$&quot;#,##0.00"/>
    <numFmt numFmtId="179" formatCode="_-* #,##0_-;\-* #,##0_-;_-* \-??_-;_-@_-"/>
    <numFmt numFmtId="180" formatCode="0.00"/>
    <numFmt numFmtId="181" formatCode="&quot;R$ &quot;#,##0.00"/>
  </numFmts>
  <fonts count="6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sz val="10"/>
      <color rgb="FFFFFFFF"/>
      <name val="Arial1"/>
      <family val="0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000000"/>
      <name val="Arial1"/>
      <family val="0"/>
      <charset val="1"/>
    </font>
    <font>
      <sz val="10"/>
      <color rgb="FFFF0000"/>
      <name val="Arial"/>
      <family val="2"/>
      <charset val="1"/>
    </font>
    <font>
      <sz val="10"/>
      <color rgb="FFCC0000"/>
      <name val="Arial1"/>
      <family val="0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1"/>
      <family val="0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1"/>
      <family val="0"/>
      <charset val="1"/>
    </font>
    <font>
      <sz val="10"/>
      <color rgb="FF008000"/>
      <name val="Arial"/>
      <family val="2"/>
      <charset val="1"/>
    </font>
    <font>
      <sz val="10"/>
      <color rgb="FF006600"/>
      <name val="Arial1"/>
      <family val="0"/>
      <charset val="1"/>
    </font>
    <font>
      <b val="true"/>
      <sz val="24"/>
      <color rgb="FF000000"/>
      <name val="Arial1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1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1"/>
      <family val="0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u val="single"/>
      <sz val="10"/>
      <color rgb="FF0000EE"/>
      <name val="Arial1"/>
      <family val="0"/>
      <charset val="1"/>
    </font>
    <font>
      <sz val="10"/>
      <color rgb="FF808000"/>
      <name val="Arial"/>
      <family val="2"/>
      <charset val="1"/>
    </font>
    <font>
      <sz val="10"/>
      <color rgb="FF996600"/>
      <name val="Arial1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Arial1"/>
      <family val="0"/>
      <charset val="1"/>
    </font>
    <font>
      <sz val="10"/>
      <color rgb="FF333333"/>
      <name val="Arial"/>
      <family val="2"/>
      <charset val="1"/>
    </font>
    <font>
      <sz val="10"/>
      <color rgb="FF333333"/>
      <name val="Arial1"/>
      <family val="0"/>
      <charset val="1"/>
    </font>
    <font>
      <b val="true"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BFBFBF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Arial"/>
      <family val="1"/>
      <charset val="1"/>
    </font>
    <font>
      <sz val="10"/>
      <name val="Arial"/>
      <family val="1"/>
      <charset val="1"/>
    </font>
    <font>
      <b val="true"/>
      <sz val="13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3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6"/>
      <name val="Arial"/>
      <family val="2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sz val="13.5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9"/>
      <color rgb="FF000000"/>
      <name val="Arial"/>
      <family val="0"/>
    </font>
    <font>
      <b val="true"/>
      <sz val="9"/>
      <name val="Arial"/>
      <family val="2"/>
      <charset val="1"/>
    </font>
    <font>
      <b val="true"/>
      <sz val="9"/>
      <color rgb="FF808080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808080"/>
      <name val="Arial"/>
      <family val="2"/>
      <charset val="1"/>
    </font>
    <font>
      <sz val="7"/>
      <name val="Arial"/>
      <family val="2"/>
      <charset val="1"/>
    </font>
    <font>
      <b val="true"/>
      <sz val="9"/>
      <color rgb="FFFF000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CCCCC"/>
      </patternFill>
    </fill>
    <fill>
      <patternFill patternType="solid">
        <fgColor rgb="FFDDDDDD"/>
        <bgColor rgb="FFD9D9D9"/>
      </patternFill>
    </fill>
    <fill>
      <patternFill patternType="solid">
        <fgColor rgb="FFFFCC99"/>
        <bgColor rgb="FFFFCCCC"/>
      </patternFill>
    </fill>
    <fill>
      <patternFill patternType="solid">
        <fgColor rgb="FFFFCCCC"/>
        <bgColor rgb="FFFFCC99"/>
      </patternFill>
    </fill>
    <fill>
      <patternFill patternType="solid">
        <fgColor rgb="FF99CCFF"/>
        <bgColor rgb="FFCCCCFF"/>
      </patternFill>
    </fill>
    <fill>
      <patternFill patternType="solid">
        <fgColor rgb="FFFF0000"/>
        <bgColor rgb="FFCC0000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</borders>
  <cellStyleXfs count="1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6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8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9" borderId="0" applyFont="true" applyBorder="false" applyAlignment="true" applyProtection="false">
      <alignment horizontal="general" vertical="bottom" textRotation="0" wrapText="false" indent="0" shrinkToFit="false"/>
    </xf>
    <xf numFmtId="164" fontId="11" fillId="9" borderId="0" applyFont="true" applyBorder="false" applyAlignment="true" applyProtection="false">
      <alignment horizontal="general" vertical="bottom" textRotation="0" wrapText="false" indent="0" shrinkToFit="false"/>
    </xf>
    <xf numFmtId="164" fontId="12" fillId="1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11" borderId="0" applyFont="true" applyBorder="false" applyAlignment="true" applyProtection="false">
      <alignment horizontal="general" vertical="bottom" textRotation="0" wrapText="false" indent="0" shrinkToFit="false"/>
    </xf>
    <xf numFmtId="164" fontId="15" fillId="11" borderId="0" applyFont="true" applyBorder="false" applyAlignment="true" applyProtection="false">
      <alignment horizontal="general" vertical="bottom" textRotation="0" wrapText="false" indent="0" shrinkToFit="false"/>
    </xf>
    <xf numFmtId="164" fontId="16" fillId="11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12" borderId="0" applyFont="true" applyBorder="false" applyAlignment="true" applyProtection="false">
      <alignment horizontal="general" vertical="bottom" textRotation="0" wrapText="false" indent="0" shrinkToFit="false"/>
    </xf>
    <xf numFmtId="164" fontId="25" fillId="12" borderId="0" applyFont="true" applyBorder="false" applyAlignment="true" applyProtection="false">
      <alignment horizontal="general" vertical="bottom" textRotation="0" wrapText="false" indent="0" shrinkToFit="false"/>
    </xf>
    <xf numFmtId="164" fontId="26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12" borderId="2" applyFont="true" applyBorder="true" applyAlignment="true" applyProtection="false">
      <alignment horizontal="general" vertical="bottom" textRotation="0" wrapText="false" indent="0" shrinkToFit="false"/>
    </xf>
    <xf numFmtId="164" fontId="30" fillId="12" borderId="2" applyFont="true" applyBorder="true" applyAlignment="true" applyProtection="false">
      <alignment horizontal="general" vertical="bottom" textRotation="0" wrapText="false" indent="0" shrinkToFit="false"/>
    </xf>
    <xf numFmtId="164" fontId="31" fillId="12" borderId="2" applyFont="true" applyBorder="tru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32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2" fillId="1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1" fontId="33" fillId="1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34" fillId="1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72" fontId="33" fillId="1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3" fontId="35" fillId="1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32" fillId="1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4" fontId="33" fillId="1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6" fillId="1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34" fillId="14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1" fontId="32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3" fillId="1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1" fontId="33" fillId="1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5" fontId="0" fillId="1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6" fillId="14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5" fontId="0" fillId="13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14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1" fontId="32" fillId="13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36" fillId="14" borderId="1" xfId="1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6" fontId="37" fillId="14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7" fontId="3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39" fillId="14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9" fillId="14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14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39" fillId="14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1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6" fillId="15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1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15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8" fontId="6" fillId="15" borderId="6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13" borderId="7" xfId="9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3" borderId="1" xfId="9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6" fillId="13" borderId="1" xfId="94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13" borderId="1" xfId="9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13" borderId="1" xfId="94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3" fontId="40" fillId="13" borderId="8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14" borderId="7" xfId="9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4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9" fontId="41" fillId="14" borderId="10" xfId="15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8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42" fillId="13" borderId="8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0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14" borderId="11" xfId="9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1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14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4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1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4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3" fillId="1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44" fillId="1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14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3" fillId="1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14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3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1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14" borderId="13" xfId="9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4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16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1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1" fontId="45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5" fillId="14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8" fontId="4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7" fillId="14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1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14" borderId="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8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8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14" borderId="8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3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1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1" fillId="14" borderId="8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2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4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4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4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4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4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4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14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9" fillId="14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14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14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3" fillId="14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4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5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6" fillId="14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5" fillId="14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4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4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17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1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1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7" xfId="35" applyFont="true" applyBorder="true" applyAlignment="false" applyProtection="false">
      <alignment horizontal="center" vertical="center" textRotation="0" wrapText="false" indent="0" shrinkToFit="false"/>
      <protection locked="true" hidden="false"/>
    </xf>
    <xf numFmtId="164" fontId="0" fillId="0" borderId="1" xfId="37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3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39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37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4" borderId="8" xfId="3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3" xfId="35" applyFont="true" applyBorder="true" applyAlignment="false" applyProtection="false">
      <alignment horizontal="center" vertical="center" textRotation="0" wrapText="false" indent="0" shrinkToFit="false"/>
      <protection locked="true" hidden="false"/>
    </xf>
    <xf numFmtId="164" fontId="10" fillId="0" borderId="14" xfId="37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3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5" borderId="1" xfId="9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61" fillId="1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6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6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3" fontId="6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6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60" fillId="1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64" fillId="1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5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2" fillId="18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3" fontId="5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3" fontId="6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1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1 2" xfId="21"/>
    <cellStyle name="Accent 1 6" xfId="22"/>
    <cellStyle name="Accent 2 1" xfId="23"/>
    <cellStyle name="Accent 2 1 2" xfId="24"/>
    <cellStyle name="Accent 2 7" xfId="25"/>
    <cellStyle name="Accent 3 1" xfId="26"/>
    <cellStyle name="Accent 3 1 2" xfId="27"/>
    <cellStyle name="Accent 3 8" xfId="28"/>
    <cellStyle name="Accent 4" xfId="29"/>
    <cellStyle name="Accent 4 2" xfId="30"/>
    <cellStyle name="Accent 5" xfId="31"/>
    <cellStyle name="Bad 1" xfId="32"/>
    <cellStyle name="Bad 1 2" xfId="33"/>
    <cellStyle name="Bad 9" xfId="34"/>
    <cellStyle name="ColStyle1" xfId="35"/>
    <cellStyle name="ColStyle1 2" xfId="36"/>
    <cellStyle name="ColStyle2" xfId="37"/>
    <cellStyle name="ColStyle2 2" xfId="38"/>
    <cellStyle name="ColStyle3" xfId="39"/>
    <cellStyle name="ColStyle3 2" xfId="40"/>
    <cellStyle name="Error 1" xfId="41"/>
    <cellStyle name="Error 1 2" xfId="42"/>
    <cellStyle name="Error 10" xfId="43"/>
    <cellStyle name="Footnote 1" xfId="44"/>
    <cellStyle name="Footnote 1 2" xfId="45"/>
    <cellStyle name="Footnote 13" xfId="46"/>
    <cellStyle name="Good 1" xfId="47"/>
    <cellStyle name="Good 1 2" xfId="48"/>
    <cellStyle name="Good 14" xfId="49"/>
    <cellStyle name="Heading" xfId="50"/>
    <cellStyle name="Heading 1 1" xfId="51"/>
    <cellStyle name="Heading 1 1 2" xfId="52"/>
    <cellStyle name="Heading 1 15" xfId="53"/>
    <cellStyle name="Heading 2 1" xfId="54"/>
    <cellStyle name="Heading 2 1 2" xfId="55"/>
    <cellStyle name="Heading 2 16" xfId="56"/>
    <cellStyle name="Heading 3" xfId="57"/>
    <cellStyle name="Heading 3 2" xfId="58"/>
    <cellStyle name="Hyperlink 1" xfId="59"/>
    <cellStyle name="Hyperlink 1 2" xfId="60"/>
    <cellStyle name="Hyperlink 17" xfId="61"/>
    <cellStyle name="Moeda 2" xfId="62"/>
    <cellStyle name="Moeda 2 2" xfId="63"/>
    <cellStyle name="Moeda 2 3" xfId="64"/>
    <cellStyle name="Moeda 3" xfId="65"/>
    <cellStyle name="Moeda 3 2" xfId="66"/>
    <cellStyle name="Moeda 4" xfId="67"/>
    <cellStyle name="Moeda 5" xfId="68"/>
    <cellStyle name="Moeda 6" xfId="69"/>
    <cellStyle name="Neutral 1" xfId="70"/>
    <cellStyle name="Neutral 1 2" xfId="71"/>
    <cellStyle name="Neutral 18" xfId="72"/>
    <cellStyle name="Normal 10" xfId="73"/>
    <cellStyle name="Normal 2" xfId="74"/>
    <cellStyle name="Normal 2 2" xfId="75"/>
    <cellStyle name="Normal 2 2 3" xfId="76"/>
    <cellStyle name="Normal 2 3" xfId="77"/>
    <cellStyle name="Normal 2 4" xfId="78"/>
    <cellStyle name="Normal 2 7" xfId="79"/>
    <cellStyle name="Normal 3" xfId="80"/>
    <cellStyle name="Normal 3 2" xfId="81"/>
    <cellStyle name="Normal 3 2 2" xfId="82"/>
    <cellStyle name="Normal 3 2 2 2" xfId="83"/>
    <cellStyle name="Normal 3 3" xfId="84"/>
    <cellStyle name="Normal 3 4" xfId="85"/>
    <cellStyle name="Normal 3 5" xfId="86"/>
    <cellStyle name="Normal 4" xfId="87"/>
    <cellStyle name="Normal 4 2" xfId="88"/>
    <cellStyle name="Normal 4 3" xfId="89"/>
    <cellStyle name="Normal 5" xfId="90"/>
    <cellStyle name="Normal 6" xfId="91"/>
    <cellStyle name="Normal 7" xfId="92"/>
    <cellStyle name="Normal 8" xfId="93"/>
    <cellStyle name="Normal 9" xfId="94"/>
    <cellStyle name="Note 1" xfId="95"/>
    <cellStyle name="Note 1 2" xfId="96"/>
    <cellStyle name="Note 19" xfId="97"/>
    <cellStyle name="Porcentagem 2" xfId="98"/>
    <cellStyle name="Porcentagem 3" xfId="99"/>
    <cellStyle name="Porcentagem 4" xfId="100"/>
    <cellStyle name="Status 1" xfId="101"/>
    <cellStyle name="Status 1 2" xfId="102"/>
    <cellStyle name="Status 20" xfId="103"/>
    <cellStyle name="Text 1" xfId="104"/>
    <cellStyle name="Text 1 2" xfId="105"/>
    <cellStyle name="Text 21" xfId="106"/>
    <cellStyle name="Vírgula 2" xfId="107"/>
    <cellStyle name="Vírgula 2 2" xfId="108"/>
    <cellStyle name="Vírgula 2 2 2" xfId="109"/>
    <cellStyle name="Vírgula 2 2 2 2" xfId="110"/>
    <cellStyle name="Vírgula 2 2 3" xfId="111"/>
    <cellStyle name="Vírgula 2 2 4" xfId="112"/>
    <cellStyle name="Vírgula 2 2 5" xfId="113"/>
    <cellStyle name="Vírgula 2 3" xfId="114"/>
    <cellStyle name="Vírgula 2 4" xfId="115"/>
    <cellStyle name="Vírgula 3" xfId="116"/>
    <cellStyle name="Vírgula 4" xfId="117"/>
    <cellStyle name="Vírgula 5" xfId="118"/>
    <cellStyle name="Vírgula 6" xfId="119"/>
    <cellStyle name="Vírgula 7" xfId="120"/>
    <cellStyle name="Warning 1" xfId="121"/>
    <cellStyle name="Warning 1 2" xfId="122"/>
    <cellStyle name="Warning 22" xfId="1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CCCCCC"/>
      <rgbColor rgb="FF993366"/>
      <rgbColor rgb="FFFFFFCC"/>
      <rgbColor rgb="FFDDDDD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D9D9D9"/>
      <rgbColor rgb="FFCCFFCC"/>
      <rgbColor rgb="FFFFFF99"/>
      <rgbColor rgb="FF99CCFF"/>
      <rgbColor rgb="FFFFCCCC"/>
      <rgbColor rgb="FFBFBFB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66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externalLink" Target="externalLinks/externalLink1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481680</xdr:colOff>
      <xdr:row>3</xdr:row>
      <xdr:rowOff>102600</xdr:rowOff>
    </xdr:from>
    <xdr:to>
      <xdr:col>2</xdr:col>
      <xdr:colOff>825120</xdr:colOff>
      <xdr:row>6</xdr:row>
      <xdr:rowOff>179640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81680" y="683640"/>
          <a:ext cx="2964600" cy="648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133200</xdr:colOff>
      <xdr:row>0</xdr:row>
      <xdr:rowOff>171360</xdr:rowOff>
    </xdr:from>
    <xdr:to>
      <xdr:col>7</xdr:col>
      <xdr:colOff>828000</xdr:colOff>
      <xdr:row>5</xdr:row>
      <xdr:rowOff>7200</xdr:rowOff>
    </xdr:to>
    <xdr:pic>
      <xdr:nvPicPr>
        <xdr:cNvPr id="1" name="Imagem 1" descr=""/>
        <xdr:cNvPicPr/>
      </xdr:nvPicPr>
      <xdr:blipFill>
        <a:blip r:embed="rId1"/>
        <a:stretch/>
      </xdr:blipFill>
      <xdr:spPr>
        <a:xfrm>
          <a:off x="4819680" y="171360"/>
          <a:ext cx="4504680" cy="788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95400</xdr:colOff>
      <xdr:row>3</xdr:row>
      <xdr:rowOff>104760</xdr:rowOff>
    </xdr:from>
    <xdr:to>
      <xdr:col>2</xdr:col>
      <xdr:colOff>5181480</xdr:colOff>
      <xdr:row>7</xdr:row>
      <xdr:rowOff>18720</xdr:rowOff>
    </xdr:to>
    <xdr:sp>
      <xdr:nvSpPr>
        <xdr:cNvPr id="2" name="AutoShape 1"/>
        <xdr:cNvSpPr/>
      </xdr:nvSpPr>
      <xdr:spPr>
        <a:xfrm>
          <a:off x="95400" y="819000"/>
          <a:ext cx="6969960" cy="618840"/>
        </a:xfrm>
        <a:prstGeom prst="flowChartAlternateProcess">
          <a:avLst/>
        </a:prstGeom>
        <a:noFill/>
        <a:ln cap="sq"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314280</xdr:colOff>
      <xdr:row>3</xdr:row>
      <xdr:rowOff>28440</xdr:rowOff>
    </xdr:from>
    <xdr:to>
      <xdr:col>1</xdr:col>
      <xdr:colOff>475920</xdr:colOff>
      <xdr:row>4</xdr:row>
      <xdr:rowOff>94680</xdr:rowOff>
    </xdr:to>
    <xdr:sp>
      <xdr:nvSpPr>
        <xdr:cNvPr id="3" name="Rectangle 3"/>
        <xdr:cNvSpPr/>
      </xdr:nvSpPr>
      <xdr:spPr>
        <a:xfrm>
          <a:off x="314280" y="742680"/>
          <a:ext cx="1008000" cy="24732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7360" rIns="0" tIns="22680" bIns="0" anchor="t">
          <a:noAutofit/>
        </a:bodyPr>
        <a:p>
          <a:pPr>
            <a:lnSpc>
              <a:spcPct val="100000"/>
            </a:lnSpc>
          </a:pPr>
          <a:r>
            <a:rPr b="1" lang="pt-BR" sz="900" spc="-1" strike="noStrike">
              <a:solidFill>
                <a:srgbClr val="000000"/>
              </a:solidFill>
              <a:latin typeface="Arial"/>
            </a:rPr>
            <a:t>  </a:t>
          </a:r>
          <a:r>
            <a:rPr b="1" lang="pt-BR" sz="900" spc="-1" strike="noStrike">
              <a:solidFill>
                <a:srgbClr val="000000"/>
              </a:solidFill>
              <a:latin typeface="Arial"/>
            </a:rPr>
            <a:t>Dados da obra</a:t>
          </a:r>
          <a:endParaRPr b="0" lang="pt-BR" sz="9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1704960</xdr:colOff>
      <xdr:row>0</xdr:row>
      <xdr:rowOff>95400</xdr:rowOff>
    </xdr:from>
    <xdr:to>
      <xdr:col>2</xdr:col>
      <xdr:colOff>5219280</xdr:colOff>
      <xdr:row>3</xdr:row>
      <xdr:rowOff>28440</xdr:rowOff>
    </xdr:to>
    <xdr:pic>
      <xdr:nvPicPr>
        <xdr:cNvPr id="4" name="Imagem 1" descr=""/>
        <xdr:cNvPicPr/>
      </xdr:nvPicPr>
      <xdr:blipFill>
        <a:blip r:embed="rId1">
          <a:alphaModFix amt="0"/>
        </a:blip>
        <a:srcRect l="-10" t="-56" r="-10" b="-56"/>
        <a:stretch/>
      </xdr:blipFill>
      <xdr:spPr>
        <a:xfrm>
          <a:off x="3588840" y="95400"/>
          <a:ext cx="3514320" cy="647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2114640</xdr:colOff>
      <xdr:row>0</xdr:row>
      <xdr:rowOff>285840</xdr:rowOff>
    </xdr:from>
    <xdr:to>
      <xdr:col>5</xdr:col>
      <xdr:colOff>247320</xdr:colOff>
      <xdr:row>0</xdr:row>
      <xdr:rowOff>1074240</xdr:rowOff>
    </xdr:to>
    <xdr:pic>
      <xdr:nvPicPr>
        <xdr:cNvPr id="5" name="Imagem 1" descr=""/>
        <xdr:cNvPicPr/>
      </xdr:nvPicPr>
      <xdr:blipFill>
        <a:blip r:embed="rId1"/>
        <a:stretch/>
      </xdr:blipFill>
      <xdr:spPr>
        <a:xfrm>
          <a:off x="2114640" y="285840"/>
          <a:ext cx="4664160" cy="7884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C:/Obras/Licita&#231;&#245;es/Obras%20em%20Andamento/TP%2042-22%20Travessia%20Minha%20Casa%20Minha%20Vida/LICITA&#199;&#195;O/REV%2004%20(prefeitura)/BTV_TRAVESSIA%20NOVO%20MUNDO_PAV_OR&#199;_R04%20(prefeitura)%20-%20PLANILHA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BDI"/>
      <sheetName val="PLANILHA"/>
      <sheetName val="MEMORIA"/>
      <sheetName val="CRONOGRAMA"/>
      <sheetName val="COMPOSICOES"/>
      <sheetName val="COTACOES"/>
      <sheetName val="MAPA BF"/>
    </sheetNames>
    <sheetDataSet>
      <sheetData sheetId="0">
        <row r="13">
          <cell r="B13" t="str">
            <v>NÃO DESONERADO</v>
          </cell>
        </row>
        <row r="30">
          <cell r="A30" t="str">
            <v>CDHU</v>
          </cell>
        </row>
        <row r="31">
          <cell r="A31" t="str">
            <v>SINAPI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L113"/>
  <sheetViews>
    <sheetView showFormulas="false" showGridLines="true" showRowColHeaders="true" showZeros="true" rightToLeft="false" tabSelected="false" showOutlineSymbols="true" defaultGridColor="true" view="normal" topLeftCell="A24" colorId="64" zoomScale="90" zoomScaleNormal="90" zoomScalePageLayoutView="100" workbookViewId="0">
      <selection pane="topLeft" activeCell="B94" activeCellId="0" sqref="B94"/>
    </sheetView>
  </sheetViews>
  <sheetFormatPr defaultColWidth="8.6875" defaultRowHeight="15" zeroHeight="false" outlineLevelRow="0" outlineLevelCol="0"/>
  <cols>
    <col collapsed="false" customWidth="true" hidden="false" outlineLevel="0" max="3" min="1" style="1" width="18.58"/>
    <col collapsed="false" customWidth="true" hidden="false" outlineLevel="0" max="4" min="4" style="0" width="59.42"/>
    <col collapsed="false" customWidth="true" hidden="false" outlineLevel="0" max="5" min="5" style="2" width="7.71"/>
    <col collapsed="false" customWidth="true" hidden="false" outlineLevel="0" max="6" min="6" style="1" width="22.01"/>
    <col collapsed="false" customWidth="true" hidden="true" outlineLevel="0" max="7" min="7" style="0" width="12.71"/>
    <col collapsed="false" customWidth="true" hidden="true" outlineLevel="0" max="8" min="8" style="0" width="11.14"/>
    <col collapsed="false" customWidth="true" hidden="false" outlineLevel="0" max="9" min="9" style="0" width="17"/>
    <col collapsed="false" customWidth="true" hidden="false" outlineLevel="0" max="10" min="10" style="3" width="15.42"/>
    <col collapsed="false" customWidth="true" hidden="false" outlineLevel="0" max="11" min="11" style="0" width="29.29"/>
    <col collapsed="false" customWidth="true" hidden="false" outlineLevel="0" max="12" min="12" style="0" width="18.58"/>
  </cols>
  <sheetData>
    <row r="2" customFormat="false" ht="15" hidden="false" customHeight="true" outlineLevel="0" collapsed="false">
      <c r="I2" s="4" t="s">
        <v>0</v>
      </c>
      <c r="J2" s="5" t="s">
        <v>1</v>
      </c>
      <c r="K2" s="6" t="s">
        <v>2</v>
      </c>
      <c r="L2" s="6"/>
    </row>
    <row r="3" customFormat="false" ht="15.75" hidden="false" customHeight="false" outlineLevel="0" collapsed="false">
      <c r="B3" s="7"/>
      <c r="C3" s="7"/>
      <c r="I3" s="4"/>
      <c r="J3" s="5" t="s">
        <v>3</v>
      </c>
      <c r="K3" s="8" t="s">
        <v>4</v>
      </c>
      <c r="L3" s="8"/>
    </row>
    <row r="4" customFormat="false" ht="15" hidden="false" customHeight="false" outlineLevel="0" collapsed="false">
      <c r="B4" s="9"/>
      <c r="C4" s="9"/>
      <c r="I4" s="4"/>
      <c r="J4" s="10" t="s">
        <v>5</v>
      </c>
      <c r="K4" s="11" t="n">
        <v>45034</v>
      </c>
      <c r="L4" s="11"/>
    </row>
    <row r="5" customFormat="false" ht="15" hidden="false" customHeight="false" outlineLevel="0" collapsed="false">
      <c r="B5" s="12"/>
      <c r="C5" s="12"/>
      <c r="I5" s="2"/>
      <c r="J5" s="13"/>
    </row>
    <row r="6" customFormat="false" ht="15" hidden="false" customHeight="true" outlineLevel="0" collapsed="false">
      <c r="D6" s="14" t="s">
        <v>6</v>
      </c>
      <c r="E6" s="14"/>
      <c r="F6" s="14"/>
      <c r="I6" s="15" t="s">
        <v>7</v>
      </c>
      <c r="J6" s="16" t="str">
        <f aca="false">[1]INFO!A30</f>
        <v>CDHU</v>
      </c>
      <c r="K6" s="17" t="str">
        <f aca="false">[1]INFO!$B$13</f>
        <v>NÃO DESONERADO</v>
      </c>
      <c r="L6" s="18" t="n">
        <v>44958</v>
      </c>
    </row>
    <row r="7" customFormat="false" ht="15" hidden="false" customHeight="false" outlineLevel="0" collapsed="false">
      <c r="D7" s="19" t="s">
        <v>8</v>
      </c>
      <c r="E7" s="19"/>
      <c r="F7" s="19"/>
      <c r="I7" s="15"/>
      <c r="J7" s="16" t="str">
        <f aca="false">[1]INFO!A31</f>
        <v>SINAPI</v>
      </c>
      <c r="K7" s="17" t="str">
        <f aca="false">[1]INFO!$B$13</f>
        <v>NÃO DESONERADO</v>
      </c>
      <c r="L7" s="18" t="n">
        <v>44958</v>
      </c>
    </row>
    <row r="8" customFormat="false" ht="15" hidden="false" customHeight="false" outlineLevel="0" collapsed="false">
      <c r="D8" s="20" t="s">
        <v>9</v>
      </c>
      <c r="E8" s="20"/>
      <c r="F8" s="20"/>
      <c r="I8" s="15"/>
      <c r="J8" s="16" t="s">
        <v>10</v>
      </c>
      <c r="K8" s="17" t="str">
        <f aca="false">[1]INFO!$B$13</f>
        <v>NÃO DESONERADO</v>
      </c>
      <c r="L8" s="21" t="n">
        <v>45017</v>
      </c>
    </row>
    <row r="9" customFormat="false" ht="15" hidden="false" customHeight="false" outlineLevel="0" collapsed="false">
      <c r="E9" s="22"/>
      <c r="F9" s="12"/>
      <c r="I9" s="23" t="s">
        <v>11</v>
      </c>
      <c r="J9" s="24" t="n">
        <v>0.2247</v>
      </c>
      <c r="K9" s="22"/>
      <c r="L9" s="25"/>
    </row>
    <row r="10" customFormat="false" ht="15" hidden="false" customHeight="false" outlineLevel="0" collapsed="false">
      <c r="I10" s="23" t="s">
        <v>12</v>
      </c>
      <c r="J10" s="24" t="n">
        <v>0.1494</v>
      </c>
    </row>
    <row r="11" customFormat="false" ht="21.75" hidden="false" customHeight="true" outlineLevel="0" collapsed="false">
      <c r="A11" s="26"/>
      <c r="B11" s="26"/>
      <c r="C11" s="26"/>
      <c r="D11" s="27"/>
      <c r="E11" s="28"/>
      <c r="F11" s="29"/>
      <c r="G11" s="30"/>
      <c r="H11" s="30"/>
      <c r="I11" s="30"/>
    </row>
    <row r="12" customFormat="false" ht="21.75" hidden="false" customHeight="true" outlineLevel="0" collapsed="false">
      <c r="A12" s="31"/>
      <c r="B12" s="31"/>
      <c r="C12" s="31"/>
      <c r="D12" s="32"/>
      <c r="E12" s="31"/>
      <c r="F12" s="31"/>
      <c r="G12" s="33"/>
      <c r="H12" s="33"/>
      <c r="I12" s="34"/>
      <c r="J12" s="35"/>
      <c r="K12" s="34"/>
      <c r="L12" s="34"/>
    </row>
    <row r="13" customFormat="false" ht="45" hidden="false" customHeight="true" outlineLevel="0" collapsed="false">
      <c r="A13" s="36" t="s">
        <v>13</v>
      </c>
      <c r="B13" s="37" t="s">
        <v>14</v>
      </c>
      <c r="C13" s="37" t="s">
        <v>15</v>
      </c>
      <c r="D13" s="37" t="s">
        <v>16</v>
      </c>
      <c r="E13" s="37" t="s">
        <v>17</v>
      </c>
      <c r="F13" s="38" t="s">
        <v>18</v>
      </c>
      <c r="G13" s="39" t="s">
        <v>19</v>
      </c>
      <c r="H13" s="39" t="s">
        <v>20</v>
      </c>
      <c r="I13" s="38" t="s">
        <v>21</v>
      </c>
      <c r="J13" s="40" t="s">
        <v>22</v>
      </c>
      <c r="K13" s="38" t="s">
        <v>23</v>
      </c>
      <c r="L13" s="41" t="s">
        <v>24</v>
      </c>
    </row>
    <row r="14" s="48" customFormat="true" ht="19.5" hidden="false" customHeight="true" outlineLevel="0" collapsed="false">
      <c r="A14" s="42" t="s">
        <v>25</v>
      </c>
      <c r="B14" s="43"/>
      <c r="C14" s="43"/>
      <c r="D14" s="43" t="s">
        <v>26</v>
      </c>
      <c r="E14" s="43"/>
      <c r="F14" s="44"/>
      <c r="G14" s="45"/>
      <c r="H14" s="45"/>
      <c r="I14" s="44"/>
      <c r="J14" s="46"/>
      <c r="K14" s="44" t="n">
        <f aca="false">SUM(K15:K18)</f>
        <v>18855.2913715</v>
      </c>
      <c r="L14" s="47" t="n">
        <f aca="false">K14/K99</f>
        <v>0.0568290279298596</v>
      </c>
    </row>
    <row r="15" s="48" customFormat="true" ht="15" hidden="false" customHeight="false" outlineLevel="0" collapsed="false">
      <c r="A15" s="49" t="s">
        <v>27</v>
      </c>
      <c r="B15" s="50" t="s">
        <v>28</v>
      </c>
      <c r="C15" s="50" t="s">
        <v>29</v>
      </c>
      <c r="D15" s="51" t="s">
        <v>30</v>
      </c>
      <c r="E15" s="50" t="s">
        <v>31</v>
      </c>
      <c r="F15" s="52" t="n">
        <v>6</v>
      </c>
      <c r="G15" s="53" t="n">
        <v>804.11</v>
      </c>
      <c r="H15" s="54" t="n">
        <v>89.45</v>
      </c>
      <c r="I15" s="54" t="n">
        <f aca="false">G15+H15</f>
        <v>893.56</v>
      </c>
      <c r="J15" s="54" t="n">
        <f aca="false">I15*1.2247</f>
        <v>1094.342932</v>
      </c>
      <c r="K15" s="54" t="n">
        <f aca="false">J15*F15</f>
        <v>6566.057592</v>
      </c>
      <c r="L15" s="55" t="n">
        <f aca="false">K15/K99</f>
        <v>0.019789811938353</v>
      </c>
    </row>
    <row r="16" s="48" customFormat="true" ht="15" hidden="false" customHeight="false" outlineLevel="0" collapsed="false">
      <c r="A16" s="49" t="s">
        <v>32</v>
      </c>
      <c r="B16" s="56" t="s">
        <v>33</v>
      </c>
      <c r="C16" s="50" t="s">
        <v>29</v>
      </c>
      <c r="D16" s="51" t="s">
        <v>34</v>
      </c>
      <c r="E16" s="50" t="s">
        <v>35</v>
      </c>
      <c r="F16" s="56" t="n">
        <v>59.5</v>
      </c>
      <c r="G16" s="54" t="n">
        <v>53.74</v>
      </c>
      <c r="H16" s="54" t="n">
        <v>51.57</v>
      </c>
      <c r="I16" s="54" t="n">
        <f aca="false">H16+G16</f>
        <v>105.31</v>
      </c>
      <c r="J16" s="54" t="n">
        <f aca="false">I16*1.2247</f>
        <v>128.973157</v>
      </c>
      <c r="K16" s="54" t="n">
        <f aca="false">J16*F16</f>
        <v>7673.9028415</v>
      </c>
      <c r="L16" s="55" t="n">
        <f aca="false">K16/K99</f>
        <v>0.0231288093256306</v>
      </c>
    </row>
    <row r="17" s="48" customFormat="true" ht="15" hidden="false" customHeight="false" outlineLevel="0" collapsed="false">
      <c r="A17" s="49" t="s">
        <v>36</v>
      </c>
      <c r="B17" s="50" t="s">
        <v>37</v>
      </c>
      <c r="C17" s="50" t="s">
        <v>29</v>
      </c>
      <c r="D17" s="51" t="s">
        <v>38</v>
      </c>
      <c r="E17" s="50" t="s">
        <v>39</v>
      </c>
      <c r="F17" s="56" t="n">
        <v>1</v>
      </c>
      <c r="G17" s="57" t="n">
        <v>536.38</v>
      </c>
      <c r="H17" s="54" t="n">
        <v>129.48</v>
      </c>
      <c r="I17" s="54" t="n">
        <f aca="false">H17+G17</f>
        <v>665.86</v>
      </c>
      <c r="J17" s="54" t="n">
        <f aca="false">I17*1.2247</f>
        <v>815.478742</v>
      </c>
      <c r="K17" s="54" t="n">
        <f aca="false">J17*F17</f>
        <v>815.478742</v>
      </c>
      <c r="L17" s="55" t="n">
        <f aca="false">K17/K99</f>
        <v>0.00245781745252542</v>
      </c>
    </row>
    <row r="18" s="48" customFormat="true" ht="15" hidden="false" customHeight="false" outlineLevel="0" collapsed="false">
      <c r="A18" s="49" t="s">
        <v>40</v>
      </c>
      <c r="B18" s="50" t="s">
        <v>41</v>
      </c>
      <c r="C18" s="50" t="s">
        <v>29</v>
      </c>
      <c r="D18" s="51" t="s">
        <v>42</v>
      </c>
      <c r="E18" s="50" t="s">
        <v>43</v>
      </c>
      <c r="F18" s="56" t="n">
        <v>4</v>
      </c>
      <c r="G18" s="54" t="n">
        <v>696.16</v>
      </c>
      <c r="H18" s="54" t="n">
        <v>79.51</v>
      </c>
      <c r="I18" s="54" t="n">
        <f aca="false">H18+G18</f>
        <v>775.67</v>
      </c>
      <c r="J18" s="54" t="n">
        <f aca="false">I18*1.2247</f>
        <v>949.963049</v>
      </c>
      <c r="K18" s="54" t="n">
        <f aca="false">J18*F18</f>
        <v>3799.852196</v>
      </c>
      <c r="L18" s="55" t="n">
        <f aca="false">K18/K99</f>
        <v>0.0114525892133505</v>
      </c>
    </row>
    <row r="19" s="48" customFormat="true" ht="19.5" hidden="false" customHeight="true" outlineLevel="0" collapsed="false">
      <c r="A19" s="42" t="s">
        <v>44</v>
      </c>
      <c r="B19" s="43"/>
      <c r="C19" s="43"/>
      <c r="D19" s="43" t="s">
        <v>45</v>
      </c>
      <c r="E19" s="43"/>
      <c r="F19" s="44"/>
      <c r="G19" s="45"/>
      <c r="H19" s="45"/>
      <c r="I19" s="44"/>
      <c r="J19" s="46"/>
      <c r="K19" s="44" t="n">
        <f aca="false">SUM(K20:K21)</f>
        <v>97731.2315224</v>
      </c>
      <c r="L19" s="47" t="n">
        <f aca="false">K19/K99</f>
        <v>0.294557680195859</v>
      </c>
    </row>
    <row r="20" s="48" customFormat="true" ht="19.5" hidden="false" customHeight="true" outlineLevel="0" collapsed="false">
      <c r="A20" s="49" t="s">
        <v>46</v>
      </c>
      <c r="B20" s="50" t="s">
        <v>47</v>
      </c>
      <c r="C20" s="50" t="s">
        <v>48</v>
      </c>
      <c r="D20" s="51" t="s">
        <v>45</v>
      </c>
      <c r="E20" s="50" t="s">
        <v>49</v>
      </c>
      <c r="F20" s="56" t="n">
        <v>2</v>
      </c>
      <c r="G20" s="54" t="n">
        <v>0</v>
      </c>
      <c r="H20" s="54" t="n">
        <v>0</v>
      </c>
      <c r="I20" s="54" t="n">
        <v>42033.33</v>
      </c>
      <c r="J20" s="54" t="n">
        <f aca="false">42033.33*1.1494</f>
        <v>48313.109502</v>
      </c>
      <c r="K20" s="54" t="n">
        <f aca="false">J20*F20</f>
        <v>96626.219004</v>
      </c>
      <c r="L20" s="55" t="n">
        <f aca="false">K20/K99</f>
        <v>0.291227220536884</v>
      </c>
    </row>
    <row r="21" s="48" customFormat="true" ht="39.75" hidden="false" customHeight="true" outlineLevel="0" collapsed="false">
      <c r="A21" s="49" t="s">
        <v>50</v>
      </c>
      <c r="B21" s="50" t="s">
        <v>51</v>
      </c>
      <c r="C21" s="50" t="s">
        <v>29</v>
      </c>
      <c r="D21" s="51" t="s">
        <v>52</v>
      </c>
      <c r="E21" s="50" t="s">
        <v>53</v>
      </c>
      <c r="F21" s="56" t="n">
        <f aca="false">190*0.04</f>
        <v>7.6</v>
      </c>
      <c r="G21" s="54" t="n">
        <v>107.04</v>
      </c>
      <c r="H21" s="54" t="n">
        <v>11.68</v>
      </c>
      <c r="I21" s="54" t="n">
        <f aca="false">G21+H21</f>
        <v>118.72</v>
      </c>
      <c r="J21" s="54" t="n">
        <f aca="false">I21*1.2247</f>
        <v>145.396384</v>
      </c>
      <c r="K21" s="54" t="n">
        <f aca="false">J21*F21</f>
        <v>1105.0125184</v>
      </c>
      <c r="L21" s="55" t="n">
        <f aca="false">K21/K99</f>
        <v>0.00333045965897489</v>
      </c>
    </row>
    <row r="22" s="48" customFormat="true" ht="19.5" hidden="false" customHeight="true" outlineLevel="0" collapsed="false">
      <c r="A22" s="42" t="s">
        <v>54</v>
      </c>
      <c r="B22" s="43"/>
      <c r="C22" s="43"/>
      <c r="D22" s="43" t="s">
        <v>55</v>
      </c>
      <c r="E22" s="43"/>
      <c r="F22" s="44"/>
      <c r="G22" s="45"/>
      <c r="H22" s="45"/>
      <c r="I22" s="44"/>
      <c r="J22" s="46"/>
      <c r="K22" s="44" t="n">
        <f aca="false">SUM(K23:K32)</f>
        <v>16734.99985876</v>
      </c>
      <c r="L22" s="47" t="n">
        <f aca="false">K22/K99</f>
        <v>0.0504385615497391</v>
      </c>
    </row>
    <row r="23" s="48" customFormat="true" ht="15" hidden="false" customHeight="false" outlineLevel="0" collapsed="false">
      <c r="A23" s="49" t="s">
        <v>56</v>
      </c>
      <c r="B23" s="56" t="s">
        <v>57</v>
      </c>
      <c r="C23" s="50" t="s">
        <v>29</v>
      </c>
      <c r="D23" s="58" t="s">
        <v>58</v>
      </c>
      <c r="E23" s="59" t="s">
        <v>35</v>
      </c>
      <c r="F23" s="56" t="n">
        <f aca="false">(2.1*1.2)+(2.1*0.8)</f>
        <v>4.2</v>
      </c>
      <c r="G23" s="54" t="n">
        <v>0</v>
      </c>
      <c r="H23" s="54" t="n">
        <v>30.21</v>
      </c>
      <c r="I23" s="54" t="n">
        <f aca="false">H23+G23</f>
        <v>30.21</v>
      </c>
      <c r="J23" s="54" t="n">
        <f aca="false">I23*1.2247</f>
        <v>36.998187</v>
      </c>
      <c r="K23" s="54" t="n">
        <f aca="false">J23*F23</f>
        <v>155.3923854</v>
      </c>
      <c r="L23" s="55" t="n">
        <f aca="false">K23/K99</f>
        <v>0.000468345889543344</v>
      </c>
    </row>
    <row r="24" s="48" customFormat="true" ht="15" hidden="false" customHeight="false" outlineLevel="0" collapsed="false">
      <c r="A24" s="49" t="s">
        <v>59</v>
      </c>
      <c r="B24" s="56" t="s">
        <v>60</v>
      </c>
      <c r="C24" s="50" t="s">
        <v>29</v>
      </c>
      <c r="D24" s="58" t="s">
        <v>61</v>
      </c>
      <c r="E24" s="59" t="s">
        <v>35</v>
      </c>
      <c r="F24" s="56" t="n">
        <v>4.2</v>
      </c>
      <c r="G24" s="54" t="n">
        <v>899.43</v>
      </c>
      <c r="H24" s="54" t="n">
        <v>82.1</v>
      </c>
      <c r="I24" s="54" t="n">
        <f aca="false">H24+G24</f>
        <v>981.53</v>
      </c>
      <c r="J24" s="54" t="n">
        <f aca="false">I24*1.2247</f>
        <v>1202.079791</v>
      </c>
      <c r="K24" s="54" t="n">
        <f aca="false">J24*F24</f>
        <v>5048.7351222</v>
      </c>
      <c r="L24" s="55" t="n">
        <f aca="false">K24/K99</f>
        <v>0.0152166680226242</v>
      </c>
    </row>
    <row r="25" s="48" customFormat="true" ht="15" hidden="false" customHeight="false" outlineLevel="0" collapsed="false">
      <c r="A25" s="49" t="s">
        <v>62</v>
      </c>
      <c r="B25" s="56" t="s">
        <v>63</v>
      </c>
      <c r="C25" s="50" t="s">
        <v>29</v>
      </c>
      <c r="D25" s="58" t="s">
        <v>64</v>
      </c>
      <c r="E25" s="59" t="s">
        <v>65</v>
      </c>
      <c r="F25" s="56" t="n">
        <v>9</v>
      </c>
      <c r="G25" s="54" t="n">
        <v>0</v>
      </c>
      <c r="H25" s="54" t="n">
        <v>21.59</v>
      </c>
      <c r="I25" s="54" t="n">
        <f aca="false">G25+H25</f>
        <v>21.59</v>
      </c>
      <c r="J25" s="54" t="n">
        <f aca="false">I25*1.2247</f>
        <v>26.441273</v>
      </c>
      <c r="K25" s="54" t="n">
        <f aca="false">J25*F25</f>
        <v>237.971457</v>
      </c>
      <c r="L25" s="55" t="n">
        <f aca="false">K25/K99</f>
        <v>0.000717235618899191</v>
      </c>
    </row>
    <row r="26" s="48" customFormat="true" ht="38.25" hidden="false" customHeight="false" outlineLevel="0" collapsed="false">
      <c r="A26" s="49" t="s">
        <v>66</v>
      </c>
      <c r="B26" s="56" t="s">
        <v>67</v>
      </c>
      <c r="C26" s="50" t="s">
        <v>29</v>
      </c>
      <c r="D26" s="58" t="s">
        <v>68</v>
      </c>
      <c r="E26" s="59" t="s">
        <v>65</v>
      </c>
      <c r="F26" s="56" t="n">
        <v>5</v>
      </c>
      <c r="G26" s="54" t="n">
        <v>588.46</v>
      </c>
      <c r="H26" s="54" t="n">
        <v>0</v>
      </c>
      <c r="I26" s="54" t="n">
        <f aca="false">G26+H26</f>
        <v>588.46</v>
      </c>
      <c r="J26" s="54" t="n">
        <f aca="false">I26*1.2247</f>
        <v>720.686962</v>
      </c>
      <c r="K26" s="54" t="n">
        <f aca="false">J26*F26</f>
        <v>3603.43481</v>
      </c>
      <c r="L26" s="55" t="n">
        <f aca="false">K26/K99</f>
        <v>0.010860595756714</v>
      </c>
    </row>
    <row r="27" s="48" customFormat="true" ht="15" hidden="false" customHeight="false" outlineLevel="0" collapsed="false">
      <c r="A27" s="49" t="s">
        <v>69</v>
      </c>
      <c r="B27" s="56" t="s">
        <v>70</v>
      </c>
      <c r="C27" s="50" t="s">
        <v>29</v>
      </c>
      <c r="D27" s="58" t="s">
        <v>71</v>
      </c>
      <c r="E27" s="59" t="s">
        <v>65</v>
      </c>
      <c r="F27" s="56" t="n">
        <v>4</v>
      </c>
      <c r="G27" s="54" t="n">
        <v>217.91</v>
      </c>
      <c r="H27" s="54" t="n">
        <v>64.75</v>
      </c>
      <c r="I27" s="54" t="n">
        <f aca="false">G27+H27</f>
        <v>282.66</v>
      </c>
      <c r="J27" s="54" t="n">
        <f aca="false">I27*1.2247</f>
        <v>346.173702</v>
      </c>
      <c r="K27" s="54" t="n">
        <f aca="false">J27*F27</f>
        <v>1384.694808</v>
      </c>
      <c r="L27" s="55" t="n">
        <f aca="false">K27/K99</f>
        <v>0.00417340991277948</v>
      </c>
    </row>
    <row r="28" s="48" customFormat="true" ht="15" hidden="false" customHeight="false" outlineLevel="0" collapsed="false">
      <c r="A28" s="49" t="s">
        <v>72</v>
      </c>
      <c r="B28" s="56" t="s">
        <v>73</v>
      </c>
      <c r="C28" s="50" t="s">
        <v>29</v>
      </c>
      <c r="D28" s="58" t="s">
        <v>74</v>
      </c>
      <c r="E28" s="59" t="s">
        <v>39</v>
      </c>
      <c r="F28" s="56" t="n">
        <v>4</v>
      </c>
      <c r="G28" s="54" t="n">
        <v>218.68</v>
      </c>
      <c r="H28" s="54" t="n">
        <v>64.75</v>
      </c>
      <c r="I28" s="54" t="n">
        <f aca="false">G28+H28</f>
        <v>283.43</v>
      </c>
      <c r="J28" s="54" t="n">
        <f aca="false">I28*1.2247</f>
        <v>347.116721</v>
      </c>
      <c r="K28" s="54" t="n">
        <f aca="false">J28*F28</f>
        <v>1388.466884</v>
      </c>
      <c r="L28" s="55" t="n">
        <f aca="false">K28/K99</f>
        <v>0.00418477878574644</v>
      </c>
    </row>
    <row r="29" s="48" customFormat="true" ht="82.5" hidden="false" customHeight="true" outlineLevel="0" collapsed="false">
      <c r="A29" s="49" t="s">
        <v>75</v>
      </c>
      <c r="B29" s="56" t="n">
        <v>100745</v>
      </c>
      <c r="C29" s="56" t="s">
        <v>76</v>
      </c>
      <c r="D29" s="58" t="s">
        <v>77</v>
      </c>
      <c r="E29" s="59" t="s">
        <v>31</v>
      </c>
      <c r="F29" s="56" t="n">
        <v>10.08</v>
      </c>
      <c r="G29" s="54"/>
      <c r="H29" s="54"/>
      <c r="I29" s="54" t="n">
        <v>28.76</v>
      </c>
      <c r="J29" s="54" t="n">
        <f aca="false">I29*1.2247</f>
        <v>35.222372</v>
      </c>
      <c r="K29" s="54" t="n">
        <f aca="false">J29*F29</f>
        <v>355.04150976</v>
      </c>
      <c r="L29" s="55" t="n">
        <f aca="false">K29/K99</f>
        <v>0.00107007966500628</v>
      </c>
    </row>
    <row r="30" s="48" customFormat="true" ht="30" hidden="false" customHeight="false" outlineLevel="0" collapsed="false">
      <c r="A30" s="49" t="s">
        <v>78</v>
      </c>
      <c r="B30" s="56" t="n">
        <v>102220</v>
      </c>
      <c r="C30" s="56" t="s">
        <v>76</v>
      </c>
      <c r="D30" s="60" t="s">
        <v>79</v>
      </c>
      <c r="E30" s="56" t="s">
        <v>31</v>
      </c>
      <c r="F30" s="56" t="n">
        <v>26.88</v>
      </c>
      <c r="G30" s="54"/>
      <c r="H30" s="54"/>
      <c r="I30" s="54" t="n">
        <v>19.1</v>
      </c>
      <c r="J30" s="54" t="n">
        <f aca="false">I30*1.2247</f>
        <v>23.39177</v>
      </c>
      <c r="K30" s="54" t="n">
        <f aca="false">J30*F30</f>
        <v>628.7707776</v>
      </c>
      <c r="L30" s="55" t="n">
        <f aca="false">K30/K99</f>
        <v>0.0018950877702012</v>
      </c>
    </row>
    <row r="31" s="48" customFormat="true" ht="15" hidden="false" customHeight="false" outlineLevel="0" collapsed="false">
      <c r="A31" s="49" t="s">
        <v>80</v>
      </c>
      <c r="B31" s="61" t="s">
        <v>81</v>
      </c>
      <c r="C31" s="56" t="s">
        <v>29</v>
      </c>
      <c r="D31" s="60" t="s">
        <v>82</v>
      </c>
      <c r="E31" s="56" t="s">
        <v>35</v>
      </c>
      <c r="F31" s="56" t="n">
        <f aca="false">(1*0.15)*20</f>
        <v>3</v>
      </c>
      <c r="G31" s="54" t="n">
        <v>159.76</v>
      </c>
      <c r="H31" s="54" t="n">
        <v>20.68</v>
      </c>
      <c r="I31" s="54" t="n">
        <f aca="false">H31+G31</f>
        <v>180.44</v>
      </c>
      <c r="J31" s="54" t="n">
        <f aca="false">I31*1.2247</f>
        <v>220.984868</v>
      </c>
      <c r="K31" s="54" t="n">
        <f aca="false">J31*F31</f>
        <v>662.954604</v>
      </c>
      <c r="L31" s="55" t="n">
        <f aca="false">K31/K99</f>
        <v>0.00199811633586799</v>
      </c>
    </row>
    <row r="32" s="48" customFormat="true" ht="30" hidden="false" customHeight="false" outlineLevel="0" collapsed="false">
      <c r="A32" s="49" t="s">
        <v>83</v>
      </c>
      <c r="B32" s="61" t="s">
        <v>84</v>
      </c>
      <c r="C32" s="56" t="s">
        <v>29</v>
      </c>
      <c r="D32" s="60" t="s">
        <v>85</v>
      </c>
      <c r="E32" s="56" t="s">
        <v>31</v>
      </c>
      <c r="F32" s="56" t="n">
        <f aca="false">2*1.2</f>
        <v>2.4</v>
      </c>
      <c r="G32" s="54" t="n">
        <v>1098.11</v>
      </c>
      <c r="H32" s="54" t="n">
        <v>14.25</v>
      </c>
      <c r="I32" s="54" t="n">
        <f aca="false">H32+G32</f>
        <v>1112.36</v>
      </c>
      <c r="J32" s="54" t="n">
        <f aca="false">I32*1.2247</f>
        <v>1362.307292</v>
      </c>
      <c r="K32" s="54" t="n">
        <f aca="false">J32*F32</f>
        <v>3269.5375008</v>
      </c>
      <c r="L32" s="55" t="n">
        <f aca="false">K32/K99</f>
        <v>0.009854243792357</v>
      </c>
    </row>
    <row r="33" s="48" customFormat="true" ht="19.5" hidden="false" customHeight="true" outlineLevel="0" collapsed="false">
      <c r="A33" s="42" t="s">
        <v>86</v>
      </c>
      <c r="B33" s="43"/>
      <c r="C33" s="43"/>
      <c r="D33" s="43" t="s">
        <v>87</v>
      </c>
      <c r="E33" s="43"/>
      <c r="F33" s="44"/>
      <c r="G33" s="45"/>
      <c r="H33" s="45"/>
      <c r="I33" s="44"/>
      <c r="J33" s="46"/>
      <c r="K33" s="44" t="n">
        <f aca="false">SUM(K34:K36)</f>
        <v>51170.599105</v>
      </c>
      <c r="L33" s="47" t="n">
        <f aca="false">K33/K99</f>
        <v>0.154225959622196</v>
      </c>
    </row>
    <row r="34" s="48" customFormat="true" ht="15" hidden="false" customHeight="false" outlineLevel="0" collapsed="false">
      <c r="A34" s="49" t="s">
        <v>88</v>
      </c>
      <c r="B34" s="56" t="s">
        <v>89</v>
      </c>
      <c r="C34" s="50" t="s">
        <v>29</v>
      </c>
      <c r="D34" s="58" t="s">
        <v>90</v>
      </c>
      <c r="E34" s="59" t="s">
        <v>91</v>
      </c>
      <c r="F34" s="56" t="n">
        <v>719</v>
      </c>
      <c r="G34" s="54" t="n">
        <v>9.52</v>
      </c>
      <c r="H34" s="54" t="n">
        <v>20.57</v>
      </c>
      <c r="I34" s="54" t="n">
        <f aca="false">G34+H34</f>
        <v>30.09</v>
      </c>
      <c r="J34" s="54" t="n">
        <f aca="false">I34*1.2247</f>
        <v>36.851223</v>
      </c>
      <c r="K34" s="54" t="n">
        <f aca="false">J34*F34</f>
        <v>26496.029337</v>
      </c>
      <c r="L34" s="55" t="n">
        <f aca="false">K34/K99</f>
        <v>0.0798578797620015</v>
      </c>
    </row>
    <row r="35" s="48" customFormat="true" ht="15" hidden="false" customHeight="false" outlineLevel="0" collapsed="false">
      <c r="A35" s="49" t="s">
        <v>92</v>
      </c>
      <c r="B35" s="56" t="s">
        <v>93</v>
      </c>
      <c r="C35" s="50" t="s">
        <v>29</v>
      </c>
      <c r="D35" s="58" t="s">
        <v>94</v>
      </c>
      <c r="E35" s="59" t="s">
        <v>35</v>
      </c>
      <c r="F35" s="56" t="n">
        <v>400</v>
      </c>
      <c r="G35" s="54" t="n">
        <v>11.25</v>
      </c>
      <c r="H35" s="54" t="n">
        <v>38.29</v>
      </c>
      <c r="I35" s="54" t="n">
        <f aca="false">G35+H35</f>
        <v>49.54</v>
      </c>
      <c r="J35" s="54" t="n">
        <f aca="false">I35*1.2247</f>
        <v>60.671638</v>
      </c>
      <c r="K35" s="54" t="n">
        <f aca="false">J35*F35</f>
        <v>24268.6552</v>
      </c>
      <c r="L35" s="55" t="n">
        <f aca="false">K35/K99</f>
        <v>0.0731446710107888</v>
      </c>
    </row>
    <row r="36" s="48" customFormat="true" ht="15" hidden="false" customHeight="false" outlineLevel="0" collapsed="false">
      <c r="A36" s="49" t="s">
        <v>95</v>
      </c>
      <c r="B36" s="62" t="s">
        <v>96</v>
      </c>
      <c r="C36" s="50" t="s">
        <v>29</v>
      </c>
      <c r="D36" s="58" t="s">
        <v>97</v>
      </c>
      <c r="E36" s="59" t="s">
        <v>98</v>
      </c>
      <c r="F36" s="56" t="n">
        <f aca="false">(6*2)</f>
        <v>12</v>
      </c>
      <c r="G36" s="54" t="n">
        <v>22.95</v>
      </c>
      <c r="H36" s="54" t="n">
        <v>4.67</v>
      </c>
      <c r="I36" s="54" t="n">
        <f aca="false">G36+H36</f>
        <v>27.62</v>
      </c>
      <c r="J36" s="54" t="n">
        <f aca="false">I36*1.2247</f>
        <v>33.826214</v>
      </c>
      <c r="K36" s="54" t="n">
        <f aca="false">J36*F36</f>
        <v>405.914568</v>
      </c>
      <c r="L36" s="55" t="n">
        <f aca="false">K36/K99</f>
        <v>0.00122340884940532</v>
      </c>
    </row>
    <row r="37" s="48" customFormat="true" ht="19.5" hidden="false" customHeight="true" outlineLevel="0" collapsed="false">
      <c r="A37" s="42" t="s">
        <v>99</v>
      </c>
      <c r="B37" s="43"/>
      <c r="C37" s="43"/>
      <c r="D37" s="43" t="s">
        <v>100</v>
      </c>
      <c r="E37" s="43"/>
      <c r="F37" s="44"/>
      <c r="G37" s="45"/>
      <c r="H37" s="45"/>
      <c r="I37" s="44"/>
      <c r="J37" s="46"/>
      <c r="K37" s="44" t="n">
        <f aca="false">SUM(K38:K44)</f>
        <v>65118.413379024</v>
      </c>
      <c r="L37" s="63" t="n">
        <f aca="false">K37/K99</f>
        <v>0.196264065070785</v>
      </c>
    </row>
    <row r="38" s="48" customFormat="true" ht="15" hidden="false" customHeight="false" outlineLevel="0" collapsed="false">
      <c r="A38" s="49" t="s">
        <v>101</v>
      </c>
      <c r="B38" s="56" t="s">
        <v>102</v>
      </c>
      <c r="C38" s="50" t="s">
        <v>29</v>
      </c>
      <c r="D38" s="58" t="s">
        <v>103</v>
      </c>
      <c r="E38" s="59" t="s">
        <v>35</v>
      </c>
      <c r="F38" s="56" t="n">
        <f aca="false">515+16</f>
        <v>531</v>
      </c>
      <c r="G38" s="54" t="n">
        <v>0</v>
      </c>
      <c r="H38" s="54" t="n">
        <v>7.79</v>
      </c>
      <c r="I38" s="54" t="n">
        <f aca="false">G38+H38</f>
        <v>7.79</v>
      </c>
      <c r="J38" s="54" t="n">
        <f aca="false">I38*1.2247</f>
        <v>9.540413</v>
      </c>
      <c r="K38" s="54" t="n">
        <f aca="false">J38*F38</f>
        <v>5065.959303</v>
      </c>
      <c r="L38" s="55" t="n">
        <f aca="false">K38/K99</f>
        <v>0.01526858095425</v>
      </c>
    </row>
    <row r="39" s="48" customFormat="true" ht="25.5" hidden="false" customHeight="false" outlineLevel="0" collapsed="false">
      <c r="A39" s="49" t="s">
        <v>104</v>
      </c>
      <c r="B39" s="56" t="s">
        <v>105</v>
      </c>
      <c r="C39" s="50" t="s">
        <v>29</v>
      </c>
      <c r="D39" s="58" t="s">
        <v>106</v>
      </c>
      <c r="E39" s="59" t="s">
        <v>35</v>
      </c>
      <c r="F39" s="56" t="n">
        <v>515</v>
      </c>
      <c r="G39" s="54" t="n">
        <v>46.49</v>
      </c>
      <c r="H39" s="54" t="n">
        <v>17.27</v>
      </c>
      <c r="I39" s="54" t="n">
        <f aca="false">G39+H39</f>
        <v>63.76</v>
      </c>
      <c r="J39" s="54" t="n">
        <f aca="false">I39*1.2247</f>
        <v>78.086872</v>
      </c>
      <c r="K39" s="54" t="n">
        <f aca="false">J39*F39</f>
        <v>40214.73908</v>
      </c>
      <c r="L39" s="55" t="n">
        <f aca="false">K39/K99</f>
        <v>0.121205474120845</v>
      </c>
    </row>
    <row r="40" s="48" customFormat="true" ht="25.5" hidden="false" customHeight="false" outlineLevel="0" collapsed="false">
      <c r="A40" s="49" t="s">
        <v>107</v>
      </c>
      <c r="B40" s="56" t="s">
        <v>108</v>
      </c>
      <c r="C40" s="50" t="s">
        <v>29</v>
      </c>
      <c r="D40" s="58" t="s">
        <v>109</v>
      </c>
      <c r="E40" s="59" t="s">
        <v>110</v>
      </c>
      <c r="F40" s="56" t="n">
        <v>30</v>
      </c>
      <c r="G40" s="54" t="n">
        <v>87.12</v>
      </c>
      <c r="H40" s="54" t="n">
        <v>8.63</v>
      </c>
      <c r="I40" s="54" t="n">
        <f aca="false">G40+H40</f>
        <v>95.75</v>
      </c>
      <c r="J40" s="54" t="n">
        <f aca="false">I40*1.2247</f>
        <v>117.265025</v>
      </c>
      <c r="K40" s="54" t="n">
        <f aca="false">J40*F40</f>
        <v>3517.95075</v>
      </c>
      <c r="L40" s="55" t="n">
        <f aca="false">K40/K99</f>
        <v>0.0106029505186965</v>
      </c>
    </row>
    <row r="41" s="48" customFormat="true" ht="15" hidden="false" customHeight="false" outlineLevel="0" collapsed="false">
      <c r="A41" s="49" t="s">
        <v>111</v>
      </c>
      <c r="B41" s="62" t="s">
        <v>96</v>
      </c>
      <c r="C41" s="50" t="s">
        <v>29</v>
      </c>
      <c r="D41" s="58" t="s">
        <v>97</v>
      </c>
      <c r="E41" s="59" t="s">
        <v>98</v>
      </c>
      <c r="F41" s="56" t="n">
        <f aca="false">(6*2)</f>
        <v>12</v>
      </c>
      <c r="G41" s="54" t="n">
        <v>22.95</v>
      </c>
      <c r="H41" s="54" t="n">
        <v>4.67</v>
      </c>
      <c r="I41" s="54" t="n">
        <f aca="false">G41+H41</f>
        <v>27.62</v>
      </c>
      <c r="J41" s="54" t="n">
        <f aca="false">I41*1.2247</f>
        <v>33.826214</v>
      </c>
      <c r="K41" s="54" t="n">
        <f aca="false">J41*F41</f>
        <v>405.914568</v>
      </c>
      <c r="L41" s="55" t="n">
        <f aca="false">K41/K99</f>
        <v>0.00122340884940532</v>
      </c>
    </row>
    <row r="42" s="48" customFormat="true" ht="25.5" hidden="false" customHeight="false" outlineLevel="0" collapsed="false">
      <c r="A42" s="49" t="s">
        <v>112</v>
      </c>
      <c r="B42" s="56" t="s">
        <v>113</v>
      </c>
      <c r="C42" s="50" t="s">
        <v>29</v>
      </c>
      <c r="D42" s="58" t="s">
        <v>114</v>
      </c>
      <c r="E42" s="59" t="s">
        <v>35</v>
      </c>
      <c r="F42" s="56" t="n">
        <v>16</v>
      </c>
      <c r="G42" s="54" t="n">
        <v>137.32</v>
      </c>
      <c r="H42" s="54" t="n">
        <v>17.27</v>
      </c>
      <c r="I42" s="54" t="n">
        <f aca="false">G42+H42</f>
        <v>154.59</v>
      </c>
      <c r="J42" s="54" t="n">
        <f aca="false">I42*1.2247</f>
        <v>189.326373</v>
      </c>
      <c r="K42" s="54" t="n">
        <f aca="false">J42*F42</f>
        <v>3029.221968</v>
      </c>
      <c r="L42" s="55" t="n">
        <f aca="false">K42/K99</f>
        <v>0.00912994323097121</v>
      </c>
    </row>
    <row r="43" s="48" customFormat="true" ht="38.25" hidden="false" customHeight="false" outlineLevel="0" collapsed="false">
      <c r="A43" s="49" t="s">
        <v>115</v>
      </c>
      <c r="B43" s="56" t="s">
        <v>51</v>
      </c>
      <c r="C43" s="50" t="s">
        <v>29</v>
      </c>
      <c r="D43" s="58" t="s">
        <v>52</v>
      </c>
      <c r="E43" s="59" t="s">
        <v>53</v>
      </c>
      <c r="F43" s="64" t="n">
        <f aca="false">(531*0.006)+20%</f>
        <v>3.386</v>
      </c>
      <c r="G43" s="54" t="n">
        <v>107.04</v>
      </c>
      <c r="H43" s="54" t="n">
        <v>11.68</v>
      </c>
      <c r="I43" s="54" t="n">
        <f aca="false">G43+H43</f>
        <v>118.72</v>
      </c>
      <c r="J43" s="54" t="n">
        <f aca="false">I43*1.2247</f>
        <v>145.396384</v>
      </c>
      <c r="K43" s="54" t="n">
        <f aca="false">J43*F43</f>
        <v>492.312156224</v>
      </c>
      <c r="L43" s="55" t="n">
        <f aca="false">K43/K99</f>
        <v>0.00148380742174855</v>
      </c>
    </row>
    <row r="44" s="48" customFormat="true" ht="15" hidden="false" customHeight="false" outlineLevel="0" collapsed="false">
      <c r="A44" s="49" t="s">
        <v>116</v>
      </c>
      <c r="B44" s="56" t="s">
        <v>117</v>
      </c>
      <c r="C44" s="50" t="s">
        <v>29</v>
      </c>
      <c r="D44" s="58" t="s">
        <v>118</v>
      </c>
      <c r="E44" s="59" t="s">
        <v>119</v>
      </c>
      <c r="F44" s="56" t="n">
        <f aca="false">33.9+13.75+33.9+18.35+5</f>
        <v>104.9</v>
      </c>
      <c r="G44" s="54" t="n">
        <v>43.81</v>
      </c>
      <c r="H44" s="54" t="n">
        <v>52.65</v>
      </c>
      <c r="I44" s="54" t="n">
        <f aca="false">G44+H44</f>
        <v>96.46</v>
      </c>
      <c r="J44" s="54" t="n">
        <f aca="false">I44*1.2247</f>
        <v>118.134562</v>
      </c>
      <c r="K44" s="54" t="n">
        <f aca="false">J44*F44</f>
        <v>12392.3155538</v>
      </c>
      <c r="L44" s="55" t="n">
        <f aca="false">K44/K99</f>
        <v>0.0373498999748689</v>
      </c>
    </row>
    <row r="45" s="48" customFormat="true" ht="19.5" hidden="false" customHeight="true" outlineLevel="0" collapsed="false">
      <c r="A45" s="42" t="s">
        <v>120</v>
      </c>
      <c r="B45" s="43"/>
      <c r="C45" s="43"/>
      <c r="D45" s="43" t="s">
        <v>121</v>
      </c>
      <c r="E45" s="43"/>
      <c r="F45" s="44"/>
      <c r="G45" s="45"/>
      <c r="H45" s="45"/>
      <c r="I45" s="44"/>
      <c r="J45" s="46"/>
      <c r="K45" s="44" t="n">
        <f aca="false">SUM(K46:K74)</f>
        <v>32100.759018</v>
      </c>
      <c r="L45" s="47" t="n">
        <f aca="false">K45/K99</f>
        <v>0.0967502911973557</v>
      </c>
    </row>
    <row r="46" s="48" customFormat="true" ht="25.5" hidden="false" customHeight="false" outlineLevel="0" collapsed="false">
      <c r="A46" s="65" t="s">
        <v>122</v>
      </c>
      <c r="B46" s="56" t="n">
        <v>97665</v>
      </c>
      <c r="C46" s="56" t="s">
        <v>76</v>
      </c>
      <c r="D46" s="58" t="s">
        <v>123</v>
      </c>
      <c r="E46" s="66" t="s">
        <v>124</v>
      </c>
      <c r="F46" s="56" t="n">
        <v>32</v>
      </c>
      <c r="G46" s="67" t="n">
        <v>0</v>
      </c>
      <c r="H46" s="54" t="n">
        <v>1.62</v>
      </c>
      <c r="I46" s="54" t="n">
        <f aca="false">G46+H46</f>
        <v>1.62</v>
      </c>
      <c r="J46" s="54" t="n">
        <f aca="false">I46*1.2247</f>
        <v>1.984014</v>
      </c>
      <c r="K46" s="54" t="n">
        <f aca="false">J46*F46</f>
        <v>63.488448</v>
      </c>
      <c r="L46" s="55" t="n">
        <f aca="false">K46/K99</f>
        <v>0.000191351420326973</v>
      </c>
    </row>
    <row r="47" s="48" customFormat="true" ht="25.5" hidden="false" customHeight="false" outlineLevel="0" collapsed="false">
      <c r="A47" s="68" t="s">
        <v>125</v>
      </c>
      <c r="B47" s="69" t="s">
        <v>126</v>
      </c>
      <c r="C47" s="50" t="s">
        <v>29</v>
      </c>
      <c r="D47" s="70" t="s">
        <v>127</v>
      </c>
      <c r="E47" s="71" t="s">
        <v>49</v>
      </c>
      <c r="F47" s="72" t="n">
        <v>32</v>
      </c>
      <c r="G47" s="57" t="n">
        <v>310.66</v>
      </c>
      <c r="H47" s="73" t="n">
        <v>19.15</v>
      </c>
      <c r="I47" s="73" t="n">
        <f aca="false">G47+H47</f>
        <v>329.81</v>
      </c>
      <c r="J47" s="54" t="n">
        <f aca="false">I47*1.2247</f>
        <v>403.918307</v>
      </c>
      <c r="K47" s="54" t="n">
        <f aca="false">J47*F47</f>
        <v>12925.385824</v>
      </c>
      <c r="L47" s="55" t="n">
        <f aca="false">K47/K99</f>
        <v>0.0389565505790363</v>
      </c>
    </row>
    <row r="48" s="48" customFormat="true" ht="38.25" hidden="false" customHeight="false" outlineLevel="0" collapsed="false">
      <c r="A48" s="49" t="s">
        <v>128</v>
      </c>
      <c r="B48" s="71" t="s">
        <v>129</v>
      </c>
      <c r="C48" s="71" t="s">
        <v>29</v>
      </c>
      <c r="D48" s="74" t="s">
        <v>130</v>
      </c>
      <c r="E48" s="71" t="s">
        <v>49</v>
      </c>
      <c r="F48" s="71" t="n">
        <v>4</v>
      </c>
      <c r="G48" s="75"/>
      <c r="H48" s="75"/>
      <c r="I48" s="76" t="n">
        <v>302.82</v>
      </c>
      <c r="J48" s="77" t="n">
        <f aca="false">I48*1.2247</f>
        <v>370.863654</v>
      </c>
      <c r="K48" s="73" t="n">
        <f aca="false">J48*F48</f>
        <v>1483.454616</v>
      </c>
      <c r="L48" s="55" t="n">
        <f aca="false">K48/K99</f>
        <v>0.00447106767773255</v>
      </c>
    </row>
    <row r="49" s="48" customFormat="true" ht="25.5" hidden="false" customHeight="false" outlineLevel="0" collapsed="false">
      <c r="A49" s="65" t="s">
        <v>131</v>
      </c>
      <c r="B49" s="71" t="s">
        <v>132</v>
      </c>
      <c r="C49" s="71" t="s">
        <v>10</v>
      </c>
      <c r="D49" s="74" t="s">
        <v>133</v>
      </c>
      <c r="E49" s="71" t="s">
        <v>49</v>
      </c>
      <c r="F49" s="71" t="n">
        <v>7</v>
      </c>
      <c r="G49" s="75"/>
      <c r="H49" s="75"/>
      <c r="I49" s="76" t="n">
        <v>182.86</v>
      </c>
      <c r="J49" s="77" t="n">
        <f aca="false">I49*1.2247</f>
        <v>223.948642</v>
      </c>
      <c r="K49" s="73" t="n">
        <f aca="false">J49*F49</f>
        <v>1567.640494</v>
      </c>
      <c r="L49" s="55" t="n">
        <f aca="false">K49/K99</f>
        <v>0.00472480025167692</v>
      </c>
    </row>
    <row r="50" s="2" customFormat="true" ht="15" hidden="false" customHeight="false" outlineLevel="0" collapsed="false">
      <c r="A50" s="68" t="s">
        <v>134</v>
      </c>
      <c r="B50" s="72" t="s">
        <v>135</v>
      </c>
      <c r="C50" s="78" t="s">
        <v>29</v>
      </c>
      <c r="D50" s="74" t="s">
        <v>136</v>
      </c>
      <c r="E50" s="71" t="s">
        <v>137</v>
      </c>
      <c r="F50" s="72" t="n">
        <v>15</v>
      </c>
      <c r="G50" s="72" t="n">
        <v>64.69</v>
      </c>
      <c r="H50" s="79" t="n">
        <v>23.94</v>
      </c>
      <c r="I50" s="79" t="n">
        <f aca="false">G50+H50</f>
        <v>88.63</v>
      </c>
      <c r="J50" s="79" t="n">
        <f aca="false">I50*1.2247</f>
        <v>108.545161</v>
      </c>
      <c r="K50" s="79" t="n">
        <f aca="false">J50*F50</f>
        <v>1628.177415</v>
      </c>
      <c r="L50" s="55" t="n">
        <f aca="false">K50/K99</f>
        <v>0.0049072558980265</v>
      </c>
    </row>
    <row r="51" s="48" customFormat="true" ht="15" hidden="false" customHeight="false" outlineLevel="0" collapsed="false">
      <c r="A51" s="49" t="s">
        <v>138</v>
      </c>
      <c r="B51" s="72" t="s">
        <v>139</v>
      </c>
      <c r="C51" s="78" t="s">
        <v>29</v>
      </c>
      <c r="D51" s="74" t="s">
        <v>140</v>
      </c>
      <c r="E51" s="71" t="s">
        <v>124</v>
      </c>
      <c r="F51" s="72" t="n">
        <v>7</v>
      </c>
      <c r="G51" s="75" t="n">
        <v>10.14</v>
      </c>
      <c r="H51" s="73" t="n">
        <v>11.97</v>
      </c>
      <c r="I51" s="79" t="n">
        <f aca="false">G51+H51</f>
        <v>22.11</v>
      </c>
      <c r="J51" s="79" t="n">
        <f aca="false">I51*1.2247</f>
        <v>27.078117</v>
      </c>
      <c r="K51" s="79" t="n">
        <f aca="false">J51*F51</f>
        <v>189.546819</v>
      </c>
      <c r="L51" s="55" t="n">
        <f aca="false">K51/K99</f>
        <v>0.000571285866589613</v>
      </c>
    </row>
    <row r="52" s="48" customFormat="true" ht="15" hidden="false" customHeight="false" outlineLevel="0" collapsed="false">
      <c r="A52" s="65" t="s">
        <v>141</v>
      </c>
      <c r="B52" s="71" t="s">
        <v>142</v>
      </c>
      <c r="C52" s="71" t="s">
        <v>10</v>
      </c>
      <c r="D52" s="74" t="s">
        <v>143</v>
      </c>
      <c r="E52" s="71" t="s">
        <v>137</v>
      </c>
      <c r="F52" s="71" t="n">
        <v>54</v>
      </c>
      <c r="G52" s="75"/>
      <c r="H52" s="75"/>
      <c r="I52" s="76" t="n">
        <v>28.45</v>
      </c>
      <c r="J52" s="80" t="n">
        <v>34.84</v>
      </c>
      <c r="K52" s="73" t="n">
        <f aca="false">J52*F52</f>
        <v>1881.36</v>
      </c>
      <c r="L52" s="55" t="n">
        <f aca="false">K52/K99</f>
        <v>0.0056703371949863</v>
      </c>
    </row>
    <row r="53" s="48" customFormat="true" ht="38.25" hidden="false" customHeight="false" outlineLevel="0" collapsed="false">
      <c r="A53" s="68" t="s">
        <v>144</v>
      </c>
      <c r="B53" s="71" t="s">
        <v>145</v>
      </c>
      <c r="C53" s="71" t="s">
        <v>76</v>
      </c>
      <c r="D53" s="74" t="s">
        <v>146</v>
      </c>
      <c r="E53" s="71" t="s">
        <v>49</v>
      </c>
      <c r="F53" s="72" t="n">
        <v>4</v>
      </c>
      <c r="G53" s="73" t="n">
        <v>0</v>
      </c>
      <c r="H53" s="73" t="n">
        <v>0</v>
      </c>
      <c r="I53" s="73" t="n">
        <v>27.01</v>
      </c>
      <c r="J53" s="54" t="n">
        <f aca="false">I53*1.2247</f>
        <v>33.079147</v>
      </c>
      <c r="K53" s="54" t="n">
        <f aca="false">J53*F53</f>
        <v>132.316588</v>
      </c>
      <c r="L53" s="55" t="n">
        <f aca="false">K53/K99</f>
        <v>0.000398796440048729</v>
      </c>
    </row>
    <row r="54" s="48" customFormat="true" ht="25.5" hidden="false" customHeight="false" outlineLevel="0" collapsed="false">
      <c r="A54" s="49" t="s">
        <v>147</v>
      </c>
      <c r="B54" s="71" t="s">
        <v>148</v>
      </c>
      <c r="C54" s="71" t="s">
        <v>76</v>
      </c>
      <c r="D54" s="74" t="s">
        <v>149</v>
      </c>
      <c r="E54" s="71" t="s">
        <v>49</v>
      </c>
      <c r="F54" s="72" t="n">
        <v>2</v>
      </c>
      <c r="G54" s="73"/>
      <c r="H54" s="73"/>
      <c r="I54" s="73" t="n">
        <v>32.45</v>
      </c>
      <c r="J54" s="54" t="n">
        <f aca="false">I54*1.2247</f>
        <v>39.741515</v>
      </c>
      <c r="K54" s="54" t="n">
        <f aca="false">J54*F54</f>
        <v>79.48303</v>
      </c>
      <c r="L54" s="55" t="n">
        <f aca="false">K54/K99</f>
        <v>0.00023955839466089</v>
      </c>
    </row>
    <row r="55" s="48" customFormat="true" ht="25.5" hidden="false" customHeight="false" outlineLevel="0" collapsed="false">
      <c r="A55" s="65" t="s">
        <v>150</v>
      </c>
      <c r="B55" s="71" t="s">
        <v>151</v>
      </c>
      <c r="C55" s="71" t="s">
        <v>76</v>
      </c>
      <c r="D55" s="74" t="s">
        <v>152</v>
      </c>
      <c r="E55" s="71" t="s">
        <v>49</v>
      </c>
      <c r="F55" s="72" t="n">
        <v>4</v>
      </c>
      <c r="G55" s="73"/>
      <c r="H55" s="73"/>
      <c r="I55" s="73" t="n">
        <v>33.29</v>
      </c>
      <c r="J55" s="54" t="n">
        <f aca="false">I55*1.2247</f>
        <v>40.770263</v>
      </c>
      <c r="K55" s="54" t="n">
        <f aca="false">J55*F55</f>
        <v>163.081052</v>
      </c>
      <c r="L55" s="55" t="n">
        <f aca="false">K55/K99</f>
        <v>0.000491519196194824</v>
      </c>
    </row>
    <row r="56" s="48" customFormat="true" ht="38.25" hidden="false" customHeight="false" outlineLevel="0" collapsed="false">
      <c r="A56" s="68" t="s">
        <v>153</v>
      </c>
      <c r="B56" s="71" t="s">
        <v>154</v>
      </c>
      <c r="C56" s="71" t="s">
        <v>76</v>
      </c>
      <c r="D56" s="74" t="s">
        <v>155</v>
      </c>
      <c r="E56" s="71" t="s">
        <v>49</v>
      </c>
      <c r="F56" s="72" t="n">
        <v>7</v>
      </c>
      <c r="G56" s="73"/>
      <c r="H56" s="73"/>
      <c r="I56" s="73" t="n">
        <v>28.75</v>
      </c>
      <c r="J56" s="54" t="n">
        <f aca="false">I56*1.2247</f>
        <v>35.210125</v>
      </c>
      <c r="K56" s="54" t="n">
        <f aca="false">J56*F56</f>
        <v>246.470875</v>
      </c>
      <c r="L56" s="55" t="n">
        <f aca="false">K56/K99</f>
        <v>0.000742852495000063</v>
      </c>
    </row>
    <row r="57" s="48" customFormat="true" ht="15" hidden="false" customHeight="false" outlineLevel="0" collapsed="false">
      <c r="A57" s="49" t="s">
        <v>156</v>
      </c>
      <c r="B57" s="71" t="s">
        <v>157</v>
      </c>
      <c r="C57" s="71" t="s">
        <v>10</v>
      </c>
      <c r="D57" s="74" t="s">
        <v>158</v>
      </c>
      <c r="E57" s="71" t="s">
        <v>49</v>
      </c>
      <c r="F57" s="72" t="n">
        <v>1</v>
      </c>
      <c r="G57" s="73"/>
      <c r="H57" s="73"/>
      <c r="I57" s="76" t="n">
        <v>31.43</v>
      </c>
      <c r="J57" s="54" t="n">
        <f aca="false">I57*1.2247</f>
        <v>38.492321</v>
      </c>
      <c r="K57" s="73" t="n">
        <f aca="false">J57*F57</f>
        <v>38.492321</v>
      </c>
      <c r="L57" s="55" t="n">
        <f aca="false">K57/K99</f>
        <v>0.000116014180958271</v>
      </c>
    </row>
    <row r="58" s="48" customFormat="true" ht="15" hidden="false" customHeight="false" outlineLevel="0" collapsed="false">
      <c r="A58" s="65" t="s">
        <v>159</v>
      </c>
      <c r="B58" s="71" t="s">
        <v>160</v>
      </c>
      <c r="C58" s="71" t="s">
        <v>10</v>
      </c>
      <c r="D58" s="74" t="s">
        <v>161</v>
      </c>
      <c r="E58" s="71" t="s">
        <v>49</v>
      </c>
      <c r="F58" s="72" t="n">
        <v>1</v>
      </c>
      <c r="G58" s="73"/>
      <c r="H58" s="73"/>
      <c r="I58" s="76" t="n">
        <v>55.71</v>
      </c>
      <c r="J58" s="54" t="n">
        <f aca="false">I58*1.2247</f>
        <v>68.228037</v>
      </c>
      <c r="K58" s="73" t="n">
        <f aca="false">J58*F58</f>
        <v>68.228037</v>
      </c>
      <c r="L58" s="55" t="n">
        <f aca="false">K58/K99</f>
        <v>0.000205636335386104</v>
      </c>
    </row>
    <row r="59" s="48" customFormat="true" ht="15" hidden="false" customHeight="false" outlineLevel="0" collapsed="false">
      <c r="A59" s="68" t="s">
        <v>162</v>
      </c>
      <c r="B59" s="62" t="s">
        <v>163</v>
      </c>
      <c r="C59" s="71" t="s">
        <v>29</v>
      </c>
      <c r="D59" s="74" t="s">
        <v>164</v>
      </c>
      <c r="E59" s="71" t="s">
        <v>39</v>
      </c>
      <c r="F59" s="72" t="n">
        <v>4</v>
      </c>
      <c r="G59" s="73" t="n">
        <v>19.01</v>
      </c>
      <c r="H59" s="73" t="n">
        <v>14.36</v>
      </c>
      <c r="I59" s="76" t="n">
        <f aca="false">H59+G59</f>
        <v>33.37</v>
      </c>
      <c r="J59" s="54" t="n">
        <f aca="false">I59*1.2247</f>
        <v>40.868239</v>
      </c>
      <c r="K59" s="73" t="n">
        <f aca="false">J59*F59</f>
        <v>163.472956</v>
      </c>
      <c r="L59" s="55" t="n">
        <f aca="false">K59/K99</f>
        <v>0.000492700377801781</v>
      </c>
    </row>
    <row r="60" s="48" customFormat="true" ht="15" hidden="false" customHeight="false" outlineLevel="0" collapsed="false">
      <c r="A60" s="49" t="s">
        <v>165</v>
      </c>
      <c r="B60" s="71" t="s">
        <v>166</v>
      </c>
      <c r="C60" s="71" t="s">
        <v>29</v>
      </c>
      <c r="D60" s="74" t="s">
        <v>167</v>
      </c>
      <c r="E60" s="71" t="s">
        <v>168</v>
      </c>
      <c r="F60" s="71" t="n">
        <v>3</v>
      </c>
      <c r="G60" s="75"/>
      <c r="H60" s="75"/>
      <c r="I60" s="76" t="n">
        <v>31.19</v>
      </c>
      <c r="J60" s="73" t="n">
        <f aca="false">I60*1.2247</f>
        <v>38.198393</v>
      </c>
      <c r="K60" s="73" t="n">
        <f aca="false">J60*F60</f>
        <v>114.595179</v>
      </c>
      <c r="L60" s="55" t="n">
        <f aca="false">K60/K99</f>
        <v>0.00034538488425916</v>
      </c>
    </row>
    <row r="61" s="48" customFormat="true" ht="15" hidden="false" customHeight="false" outlineLevel="0" collapsed="false">
      <c r="A61" s="65" t="s">
        <v>169</v>
      </c>
      <c r="B61" s="71" t="s">
        <v>170</v>
      </c>
      <c r="C61" s="71" t="s">
        <v>29</v>
      </c>
      <c r="D61" s="74" t="s">
        <v>171</v>
      </c>
      <c r="E61" s="71" t="s">
        <v>168</v>
      </c>
      <c r="F61" s="71" t="n">
        <v>13</v>
      </c>
      <c r="G61" s="75"/>
      <c r="H61" s="75"/>
      <c r="I61" s="76" t="n">
        <v>25.34</v>
      </c>
      <c r="J61" s="73" t="n">
        <f aca="false">I61*1.2247</f>
        <v>31.033898</v>
      </c>
      <c r="K61" s="73" t="n">
        <f aca="false">J61*F61</f>
        <v>403.440674</v>
      </c>
      <c r="L61" s="55" t="n">
        <f aca="false">K61/K99</f>
        <v>0.00121595264051141</v>
      </c>
    </row>
    <row r="62" s="48" customFormat="true" ht="25.5" hidden="false" customHeight="false" outlineLevel="0" collapsed="false">
      <c r="A62" s="68" t="s">
        <v>172</v>
      </c>
      <c r="B62" s="71" t="s">
        <v>173</v>
      </c>
      <c r="C62" s="71" t="s">
        <v>10</v>
      </c>
      <c r="D62" s="74" t="s">
        <v>174</v>
      </c>
      <c r="E62" s="71" t="s">
        <v>49</v>
      </c>
      <c r="F62" s="71" t="n">
        <v>16</v>
      </c>
      <c r="G62" s="75"/>
      <c r="H62" s="75"/>
      <c r="I62" s="76" t="n">
        <v>11.86</v>
      </c>
      <c r="J62" s="73" t="n">
        <f aca="false">I62*1.2247</f>
        <v>14.524942</v>
      </c>
      <c r="K62" s="73" t="n">
        <f aca="false">J62*F62</f>
        <v>232.399072</v>
      </c>
      <c r="L62" s="55" t="n">
        <f aca="false">K62/K99</f>
        <v>0.000700440692925277</v>
      </c>
    </row>
    <row r="63" s="48" customFormat="true" ht="25.5" hidden="false" customHeight="false" outlineLevel="0" collapsed="false">
      <c r="A63" s="49" t="s">
        <v>175</v>
      </c>
      <c r="B63" s="71" t="s">
        <v>176</v>
      </c>
      <c r="C63" s="78" t="s">
        <v>29</v>
      </c>
      <c r="D63" s="74" t="s">
        <v>177</v>
      </c>
      <c r="E63" s="71" t="s">
        <v>137</v>
      </c>
      <c r="F63" s="71" t="n">
        <v>100</v>
      </c>
      <c r="G63" s="75" t="n">
        <v>1.16</v>
      </c>
      <c r="H63" s="76" t="n">
        <v>1.92</v>
      </c>
      <c r="I63" s="73" t="n">
        <f aca="false">G63+H63</f>
        <v>3.08</v>
      </c>
      <c r="J63" s="73" t="n">
        <f aca="false">I63*1.2247</f>
        <v>3.772076</v>
      </c>
      <c r="K63" s="73" t="n">
        <f aca="false">J63*F63</f>
        <v>377.2076</v>
      </c>
      <c r="L63" s="55" t="n">
        <f aca="false">K63/K99</f>
        <v>0.00113688729669575</v>
      </c>
    </row>
    <row r="64" s="48" customFormat="true" ht="25.5" hidden="false" customHeight="false" outlineLevel="0" collapsed="false">
      <c r="A64" s="65" t="s">
        <v>178</v>
      </c>
      <c r="B64" s="71" t="s">
        <v>176</v>
      </c>
      <c r="C64" s="50" t="s">
        <v>29</v>
      </c>
      <c r="D64" s="74" t="s">
        <v>179</v>
      </c>
      <c r="E64" s="71" t="s">
        <v>137</v>
      </c>
      <c r="F64" s="71" t="n">
        <v>100</v>
      </c>
      <c r="G64" s="57" t="n">
        <v>1.16</v>
      </c>
      <c r="H64" s="76" t="n">
        <v>1.92</v>
      </c>
      <c r="I64" s="54" t="n">
        <f aca="false">G64+H64</f>
        <v>3.08</v>
      </c>
      <c r="J64" s="54" t="n">
        <f aca="false">I64*1.2247</f>
        <v>3.772076</v>
      </c>
      <c r="K64" s="54" t="n">
        <f aca="false">J64*F64</f>
        <v>377.2076</v>
      </c>
      <c r="L64" s="55" t="n">
        <f aca="false">K64/K99</f>
        <v>0.00113688729669575</v>
      </c>
    </row>
    <row r="65" s="48" customFormat="true" ht="25.5" hidden="false" customHeight="false" outlineLevel="0" collapsed="false">
      <c r="A65" s="68" t="s">
        <v>180</v>
      </c>
      <c r="B65" s="71" t="s">
        <v>181</v>
      </c>
      <c r="C65" s="50" t="s">
        <v>29</v>
      </c>
      <c r="D65" s="74" t="s">
        <v>182</v>
      </c>
      <c r="E65" s="71" t="s">
        <v>137</v>
      </c>
      <c r="F65" s="71" t="n">
        <v>100</v>
      </c>
      <c r="G65" s="57" t="n">
        <v>2.24</v>
      </c>
      <c r="H65" s="76" t="n">
        <v>2.39</v>
      </c>
      <c r="I65" s="54" t="n">
        <f aca="false">G65+H65</f>
        <v>4.63</v>
      </c>
      <c r="J65" s="54" t="n">
        <f aca="false">I65*1.2247</f>
        <v>5.670361</v>
      </c>
      <c r="K65" s="54" t="n">
        <f aca="false">J65*F65</f>
        <v>567.0361</v>
      </c>
      <c r="L65" s="55" t="n">
        <f aca="false">K65/K99</f>
        <v>0.00170902213756536</v>
      </c>
    </row>
    <row r="66" s="48" customFormat="true" ht="25.5" hidden="false" customHeight="false" outlineLevel="0" collapsed="false">
      <c r="A66" s="49" t="s">
        <v>183</v>
      </c>
      <c r="B66" s="71" t="s">
        <v>181</v>
      </c>
      <c r="C66" s="50" t="s">
        <v>29</v>
      </c>
      <c r="D66" s="74" t="s">
        <v>184</v>
      </c>
      <c r="E66" s="71" t="s">
        <v>137</v>
      </c>
      <c r="F66" s="71" t="n">
        <v>200</v>
      </c>
      <c r="G66" s="57" t="n">
        <v>2.24</v>
      </c>
      <c r="H66" s="76" t="n">
        <v>2.39</v>
      </c>
      <c r="I66" s="54" t="n">
        <f aca="false">G66+H66</f>
        <v>4.63</v>
      </c>
      <c r="J66" s="54" t="n">
        <f aca="false">I66*1.2247</f>
        <v>5.670361</v>
      </c>
      <c r="K66" s="54" t="n">
        <f aca="false">J66*F66</f>
        <v>1134.0722</v>
      </c>
      <c r="L66" s="55" t="n">
        <f aca="false">K66/K99</f>
        <v>0.00341804427513072</v>
      </c>
    </row>
    <row r="67" s="48" customFormat="true" ht="25.5" hidden="false" customHeight="false" outlineLevel="0" collapsed="false">
      <c r="A67" s="65" t="s">
        <v>185</v>
      </c>
      <c r="B67" s="71" t="s">
        <v>186</v>
      </c>
      <c r="C67" s="50" t="s">
        <v>29</v>
      </c>
      <c r="D67" s="74" t="s">
        <v>187</v>
      </c>
      <c r="E67" s="71" t="s">
        <v>137</v>
      </c>
      <c r="F67" s="71" t="n">
        <v>33</v>
      </c>
      <c r="G67" s="57" t="n">
        <v>3.7</v>
      </c>
      <c r="H67" s="76" t="n">
        <v>2.87</v>
      </c>
      <c r="I67" s="54" t="n">
        <f aca="false">G67+H67</f>
        <v>6.57</v>
      </c>
      <c r="J67" s="54" t="n">
        <f aca="false">I67*1.2247</f>
        <v>8.046279</v>
      </c>
      <c r="K67" s="54" t="n">
        <f aca="false">J67*F67</f>
        <v>265.527207</v>
      </c>
      <c r="L67" s="55" t="n">
        <f aca="false">K67/K99</f>
        <v>0.000800287450638329</v>
      </c>
    </row>
    <row r="68" s="48" customFormat="true" ht="25.5" hidden="false" customHeight="false" outlineLevel="0" collapsed="false">
      <c r="A68" s="68" t="s">
        <v>188</v>
      </c>
      <c r="B68" s="71" t="s">
        <v>186</v>
      </c>
      <c r="C68" s="50" t="s">
        <v>29</v>
      </c>
      <c r="D68" s="74" t="s">
        <v>189</v>
      </c>
      <c r="E68" s="71" t="s">
        <v>137</v>
      </c>
      <c r="F68" s="71" t="n">
        <v>17</v>
      </c>
      <c r="G68" s="57" t="n">
        <v>3.7</v>
      </c>
      <c r="H68" s="76" t="n">
        <v>2.87</v>
      </c>
      <c r="I68" s="54" t="n">
        <f aca="false">G68+H68</f>
        <v>6.57</v>
      </c>
      <c r="J68" s="54" t="n">
        <f aca="false">I68*1.2247</f>
        <v>8.046279</v>
      </c>
      <c r="K68" s="54" t="n">
        <f aca="false">J68*F68</f>
        <v>136.786743</v>
      </c>
      <c r="L68" s="55" t="n">
        <f aca="false">K68/K99</f>
        <v>0.000412269292753078</v>
      </c>
    </row>
    <row r="69" s="48" customFormat="true" ht="25.5" hidden="false" customHeight="false" outlineLevel="0" collapsed="false">
      <c r="A69" s="49" t="s">
        <v>190</v>
      </c>
      <c r="B69" s="56" t="s">
        <v>191</v>
      </c>
      <c r="C69" s="50" t="s">
        <v>29</v>
      </c>
      <c r="D69" s="74" t="s">
        <v>192</v>
      </c>
      <c r="E69" s="56" t="s">
        <v>119</v>
      </c>
      <c r="F69" s="56" t="n">
        <v>200</v>
      </c>
      <c r="G69" s="76" t="n">
        <v>7.64</v>
      </c>
      <c r="H69" s="76" t="n">
        <v>7.18</v>
      </c>
      <c r="I69" s="54" t="n">
        <f aca="false">G69+H69</f>
        <v>14.82</v>
      </c>
      <c r="J69" s="54" t="n">
        <f aca="false">I69*1.2247</f>
        <v>18.150054</v>
      </c>
      <c r="K69" s="54" t="n">
        <f aca="false">J69*F69</f>
        <v>3630.0108</v>
      </c>
      <c r="L69" s="55" t="n">
        <f aca="false">K69/K99</f>
        <v>0.0109406946344357</v>
      </c>
    </row>
    <row r="70" s="48" customFormat="true" ht="25.5" hidden="false" customHeight="false" outlineLevel="0" collapsed="false">
      <c r="A70" s="65" t="s">
        <v>193</v>
      </c>
      <c r="B70" s="56" t="s">
        <v>194</v>
      </c>
      <c r="C70" s="50" t="s">
        <v>29</v>
      </c>
      <c r="D70" s="74" t="s">
        <v>195</v>
      </c>
      <c r="E70" s="56" t="s">
        <v>119</v>
      </c>
      <c r="F70" s="56" t="n">
        <v>160</v>
      </c>
      <c r="G70" s="76" t="n">
        <v>4.75</v>
      </c>
      <c r="H70" s="76" t="n">
        <v>5.75</v>
      </c>
      <c r="I70" s="54" t="n">
        <f aca="false">G70+H70</f>
        <v>10.5</v>
      </c>
      <c r="J70" s="54" t="n">
        <f aca="false">I70*1.2247</f>
        <v>12.85935</v>
      </c>
      <c r="K70" s="54" t="n">
        <f aca="false">J70*F70</f>
        <v>2057.496</v>
      </c>
      <c r="L70" s="55" t="n">
        <f aca="false">K70/K99</f>
        <v>0.00620120343652226</v>
      </c>
    </row>
    <row r="71" s="48" customFormat="true" ht="25.5" hidden="false" customHeight="false" outlineLevel="0" collapsed="false">
      <c r="A71" s="68" t="s">
        <v>196</v>
      </c>
      <c r="B71" s="71" t="s">
        <v>197</v>
      </c>
      <c r="C71" s="50" t="s">
        <v>29</v>
      </c>
      <c r="D71" s="74" t="s">
        <v>198</v>
      </c>
      <c r="E71" s="71" t="s">
        <v>49</v>
      </c>
      <c r="F71" s="72" t="n">
        <v>4</v>
      </c>
      <c r="G71" s="57" t="n">
        <v>47.06</v>
      </c>
      <c r="H71" s="76" t="n">
        <v>9.57</v>
      </c>
      <c r="I71" s="54" t="n">
        <f aca="false">G71+H71</f>
        <v>56.63</v>
      </c>
      <c r="J71" s="54" t="n">
        <f aca="false">I71*1.2247</f>
        <v>69.354761</v>
      </c>
      <c r="K71" s="54" t="n">
        <f aca="false">J71*F71</f>
        <v>277.419044</v>
      </c>
      <c r="L71" s="55" t="n">
        <f aca="false">K71/K99</f>
        <v>0.000836128930024418</v>
      </c>
    </row>
    <row r="72" s="48" customFormat="true" ht="25.5" hidden="false" customHeight="false" outlineLevel="0" collapsed="false">
      <c r="A72" s="49" t="s">
        <v>199</v>
      </c>
      <c r="B72" s="71" t="s">
        <v>200</v>
      </c>
      <c r="C72" s="50" t="s">
        <v>29</v>
      </c>
      <c r="D72" s="74" t="s">
        <v>201</v>
      </c>
      <c r="E72" s="71" t="s">
        <v>49</v>
      </c>
      <c r="F72" s="72" t="n">
        <v>2</v>
      </c>
      <c r="G72" s="57" t="n">
        <v>43.41</v>
      </c>
      <c r="H72" s="76" t="n">
        <v>9.57</v>
      </c>
      <c r="I72" s="76" t="n">
        <f aca="false">G72+H72</f>
        <v>52.98</v>
      </c>
      <c r="J72" s="81" t="n">
        <f aca="false">I72*1.2247</f>
        <v>64.884606</v>
      </c>
      <c r="K72" s="54" t="n">
        <f aca="false">J72*F72</f>
        <v>129.769212</v>
      </c>
      <c r="L72" s="55" t="n">
        <f aca="false">K72/K99</f>
        <v>0.000391118759603511</v>
      </c>
    </row>
    <row r="73" s="48" customFormat="true" ht="15" hidden="false" customHeight="false" outlineLevel="0" collapsed="false">
      <c r="A73" s="68" t="s">
        <v>202</v>
      </c>
      <c r="B73" s="71" t="s">
        <v>203</v>
      </c>
      <c r="C73" s="82" t="s">
        <v>204</v>
      </c>
      <c r="D73" s="74" t="s">
        <v>205</v>
      </c>
      <c r="E73" s="71" t="s">
        <v>49</v>
      </c>
      <c r="F73" s="72" t="n">
        <v>8</v>
      </c>
      <c r="G73" s="75"/>
      <c r="H73" s="76" t="n">
        <v>10.51</v>
      </c>
      <c r="I73" s="76" t="n">
        <f aca="false">G73+H73</f>
        <v>10.51</v>
      </c>
      <c r="J73" s="83" t="n">
        <f aca="false">I73*1.2247</f>
        <v>12.871597</v>
      </c>
      <c r="K73" s="73" t="n">
        <f aca="false">J73*F73</f>
        <v>102.972776</v>
      </c>
      <c r="L73" s="55" t="n">
        <f aca="false">K73/K99</f>
        <v>0.000310355467227852</v>
      </c>
    </row>
    <row r="74" s="48" customFormat="true" ht="38.25" hidden="false" customHeight="false" outlineLevel="0" collapsed="false">
      <c r="A74" s="49" t="s">
        <v>206</v>
      </c>
      <c r="B74" s="72" t="s">
        <v>207</v>
      </c>
      <c r="C74" s="72" t="s">
        <v>208</v>
      </c>
      <c r="D74" s="58" t="s">
        <v>209</v>
      </c>
      <c r="E74" s="71" t="s">
        <v>49</v>
      </c>
      <c r="F74" s="72" t="n">
        <v>6</v>
      </c>
      <c r="G74" s="73" t="n">
        <v>0</v>
      </c>
      <c r="H74" s="73" t="n">
        <v>226.48</v>
      </c>
      <c r="I74" s="76" t="n">
        <f aca="false">G74+H74</f>
        <v>226.48</v>
      </c>
      <c r="J74" s="83" t="n">
        <f aca="false">I74*1.2247</f>
        <v>277.370056</v>
      </c>
      <c r="K74" s="73" t="n">
        <f aca="false">J74*F74</f>
        <v>1664.220336</v>
      </c>
      <c r="L74" s="55" t="n">
        <f aca="false">K74/K99</f>
        <v>0.00501588769394129</v>
      </c>
    </row>
    <row r="75" s="48" customFormat="true" ht="15" hidden="false" customHeight="false" outlineLevel="0" collapsed="false">
      <c r="A75" s="42" t="n">
        <v>7</v>
      </c>
      <c r="B75" s="43"/>
      <c r="C75" s="43"/>
      <c r="D75" s="43" t="s">
        <v>210</v>
      </c>
      <c r="E75" s="43"/>
      <c r="F75" s="44"/>
      <c r="G75" s="45"/>
      <c r="H75" s="45"/>
      <c r="I75" s="44"/>
      <c r="J75" s="46"/>
      <c r="K75" s="44" t="n">
        <f aca="false">SUM(K76:K80)</f>
        <v>3324.1125822</v>
      </c>
      <c r="L75" s="47" t="n">
        <f aca="false">K75/K99</f>
        <v>0.0100187307135108</v>
      </c>
    </row>
    <row r="76" s="48" customFormat="true" ht="25.5" hidden="false" customHeight="false" outlineLevel="0" collapsed="false">
      <c r="A76" s="49" t="s">
        <v>211</v>
      </c>
      <c r="B76" s="61" t="n">
        <v>100849</v>
      </c>
      <c r="C76" s="72" t="s">
        <v>76</v>
      </c>
      <c r="D76" s="58" t="s">
        <v>212</v>
      </c>
      <c r="E76" s="71" t="s">
        <v>49</v>
      </c>
      <c r="F76" s="72" t="n">
        <v>4</v>
      </c>
      <c r="G76" s="79"/>
      <c r="H76" s="79" t="n">
        <v>48.19</v>
      </c>
      <c r="I76" s="84" t="n">
        <f aca="false">G76+H76</f>
        <v>48.19</v>
      </c>
      <c r="J76" s="85" t="n">
        <f aca="false">I76*1.2247</f>
        <v>59.018293</v>
      </c>
      <c r="K76" s="79" t="n">
        <f aca="false">J76*F76</f>
        <v>236.073172</v>
      </c>
      <c r="L76" s="55" t="n">
        <f aca="false">K76/K99</f>
        <v>0.000711514270490495</v>
      </c>
    </row>
    <row r="77" s="48" customFormat="true" ht="38.25" hidden="false" customHeight="false" outlineLevel="0" collapsed="false">
      <c r="A77" s="49" t="s">
        <v>213</v>
      </c>
      <c r="B77" s="86" t="n">
        <v>99635</v>
      </c>
      <c r="C77" s="72" t="s">
        <v>76</v>
      </c>
      <c r="D77" s="58" t="s">
        <v>214</v>
      </c>
      <c r="E77" s="78" t="s">
        <v>215</v>
      </c>
      <c r="F77" s="72" t="n">
        <v>4</v>
      </c>
      <c r="G77" s="73"/>
      <c r="H77" s="73" t="n">
        <v>350.17</v>
      </c>
      <c r="I77" s="84" t="n">
        <f aca="false">G77+H77</f>
        <v>350.17</v>
      </c>
      <c r="J77" s="85" t="n">
        <f aca="false">I77*1.2247</f>
        <v>428.853199</v>
      </c>
      <c r="K77" s="79" t="n">
        <f aca="false">J77*F77</f>
        <v>1715.412796</v>
      </c>
      <c r="L77" s="55" t="n">
        <f aca="false">K77/K99</f>
        <v>0.00517017954135</v>
      </c>
    </row>
    <row r="78" s="48" customFormat="true" ht="38.25" hidden="false" customHeight="false" outlineLevel="0" collapsed="false">
      <c r="A78" s="49" t="s">
        <v>216</v>
      </c>
      <c r="B78" s="61" t="n">
        <v>86906</v>
      </c>
      <c r="C78" s="72" t="s">
        <v>76</v>
      </c>
      <c r="D78" s="58" t="s">
        <v>217</v>
      </c>
      <c r="E78" s="78" t="s">
        <v>65</v>
      </c>
      <c r="F78" s="72" t="n">
        <v>2</v>
      </c>
      <c r="G78" s="79"/>
      <c r="H78" s="79" t="n">
        <v>76.85</v>
      </c>
      <c r="I78" s="84" t="n">
        <f aca="false">G78+H78</f>
        <v>76.85</v>
      </c>
      <c r="J78" s="85" t="n">
        <f aca="false">I78*1.2247</f>
        <v>94.118195</v>
      </c>
      <c r="K78" s="79" t="n">
        <f aca="false">J78*F78</f>
        <v>188.23639</v>
      </c>
      <c r="L78" s="55" t="n">
        <f aca="false">K78/K99</f>
        <v>0.000567336290591352</v>
      </c>
    </row>
    <row r="79" s="48" customFormat="true" ht="38.25" hidden="false" customHeight="false" outlineLevel="0" collapsed="false">
      <c r="A79" s="49" t="s">
        <v>218</v>
      </c>
      <c r="B79" s="61" t="n">
        <v>86910</v>
      </c>
      <c r="C79" s="72" t="s">
        <v>76</v>
      </c>
      <c r="D79" s="58" t="s">
        <v>219</v>
      </c>
      <c r="E79" s="78" t="s">
        <v>65</v>
      </c>
      <c r="F79" s="72" t="n">
        <v>1</v>
      </c>
      <c r="G79" s="79"/>
      <c r="H79" s="79" t="n">
        <v>131.07</v>
      </c>
      <c r="I79" s="84" t="n">
        <f aca="false">G79+H79</f>
        <v>131.07</v>
      </c>
      <c r="J79" s="85" t="n">
        <f aca="false">I79*1.2247</f>
        <v>160.521429</v>
      </c>
      <c r="K79" s="79" t="n">
        <f aca="false">J79*F79</f>
        <v>160.521429</v>
      </c>
      <c r="L79" s="55" t="n">
        <f aca="false">K79/K99</f>
        <v>0.000483804603824389</v>
      </c>
    </row>
    <row r="80" s="48" customFormat="true" ht="15" hidden="false" customHeight="false" outlineLevel="0" collapsed="false">
      <c r="A80" s="49" t="s">
        <v>220</v>
      </c>
      <c r="B80" s="61" t="s">
        <v>221</v>
      </c>
      <c r="C80" s="72" t="s">
        <v>29</v>
      </c>
      <c r="D80" s="58" t="s">
        <v>222</v>
      </c>
      <c r="E80" s="78" t="s">
        <v>35</v>
      </c>
      <c r="F80" s="72" t="n">
        <f aca="false">(0.8*1)*2</f>
        <v>1.6</v>
      </c>
      <c r="G80" s="79"/>
      <c r="H80" s="79" t="n">
        <v>522.51</v>
      </c>
      <c r="I80" s="84" t="n">
        <f aca="false">G80+H80</f>
        <v>522.51</v>
      </c>
      <c r="J80" s="85" t="n">
        <f aca="false">I80*1.2247</f>
        <v>639.917997</v>
      </c>
      <c r="K80" s="79" t="n">
        <f aca="false">J80*F80</f>
        <v>1023.8687952</v>
      </c>
      <c r="L80" s="55" t="n">
        <f aca="false">K80/K99</f>
        <v>0.00308589600725452</v>
      </c>
    </row>
    <row r="81" s="48" customFormat="true" ht="15" hidden="false" customHeight="false" outlineLevel="0" collapsed="false">
      <c r="A81" s="42" t="n">
        <v>8</v>
      </c>
      <c r="B81" s="43"/>
      <c r="C81" s="43"/>
      <c r="D81" s="43" t="s">
        <v>223</v>
      </c>
      <c r="E81" s="43"/>
      <c r="F81" s="44"/>
      <c r="G81" s="45"/>
      <c r="H81" s="45"/>
      <c r="I81" s="44"/>
      <c r="J81" s="46"/>
      <c r="K81" s="44" t="n">
        <f aca="false">SUM(K82:K86)</f>
        <v>11259.722032086</v>
      </c>
      <c r="L81" s="47" t="n">
        <f aca="false">K81/K99</f>
        <v>0.0339363123717651</v>
      </c>
    </row>
    <row r="82" s="48" customFormat="true" ht="38.25" hidden="false" customHeight="false" outlineLevel="0" collapsed="false">
      <c r="A82" s="49" t="s">
        <v>224</v>
      </c>
      <c r="B82" s="56" t="s">
        <v>225</v>
      </c>
      <c r="C82" s="50" t="s">
        <v>29</v>
      </c>
      <c r="D82" s="58" t="s">
        <v>226</v>
      </c>
      <c r="E82" s="56" t="s">
        <v>31</v>
      </c>
      <c r="F82" s="56" t="n">
        <v>6.6</v>
      </c>
      <c r="G82" s="54" t="n">
        <v>4.14</v>
      </c>
      <c r="H82" s="54" t="n">
        <v>0.16</v>
      </c>
      <c r="I82" s="54" t="n">
        <f aca="false">G82+H82</f>
        <v>4.3</v>
      </c>
      <c r="J82" s="54" t="n">
        <f aca="false">I82*1.2247</f>
        <v>5.26621</v>
      </c>
      <c r="K82" s="54" t="n">
        <f aca="false">J82*F82</f>
        <v>34.756986</v>
      </c>
      <c r="L82" s="55" t="n">
        <f aca="false">K82/K99</f>
        <v>0.000104756043766965</v>
      </c>
    </row>
    <row r="83" s="48" customFormat="true" ht="25.5" hidden="false" customHeight="false" outlineLevel="0" collapsed="false">
      <c r="A83" s="49" t="s">
        <v>227</v>
      </c>
      <c r="B83" s="56" t="s">
        <v>228</v>
      </c>
      <c r="C83" s="50" t="s">
        <v>29</v>
      </c>
      <c r="D83" s="58" t="s">
        <v>229</v>
      </c>
      <c r="E83" s="59" t="s">
        <v>35</v>
      </c>
      <c r="F83" s="56" t="n">
        <v>6.6</v>
      </c>
      <c r="G83" s="54" t="n">
        <v>3.63</v>
      </c>
      <c r="H83" s="54" t="n">
        <v>0.16</v>
      </c>
      <c r="I83" s="54" t="n">
        <f aca="false">G83+H83</f>
        <v>3.79</v>
      </c>
      <c r="J83" s="54" t="n">
        <f aca="false">I83*1.2247</f>
        <v>4.641613</v>
      </c>
      <c r="K83" s="54" t="n">
        <f aca="false">J83*F83</f>
        <v>30.6346458</v>
      </c>
      <c r="L83" s="55" t="n">
        <f aca="false">K83/K99</f>
        <v>9.23314897387904E-005</v>
      </c>
    </row>
    <row r="84" s="48" customFormat="true" ht="15" hidden="false" customHeight="false" outlineLevel="0" collapsed="false">
      <c r="A84" s="49" t="s">
        <v>230</v>
      </c>
      <c r="B84" s="62" t="s">
        <v>231</v>
      </c>
      <c r="C84" s="50" t="s">
        <v>29</v>
      </c>
      <c r="D84" s="58" t="s">
        <v>232</v>
      </c>
      <c r="E84" s="59" t="s">
        <v>53</v>
      </c>
      <c r="F84" s="64" t="n">
        <f aca="false">6.6*0.07</f>
        <v>0.462</v>
      </c>
      <c r="G84" s="54" t="n">
        <v>144.08</v>
      </c>
      <c r="H84" s="54" t="n">
        <v>29.21</v>
      </c>
      <c r="I84" s="54" t="n">
        <f aca="false">G84+H84</f>
        <v>173.29</v>
      </c>
      <c r="J84" s="54" t="n">
        <f aca="false">I84*1.2247</f>
        <v>212.228263</v>
      </c>
      <c r="K84" s="54" t="n">
        <f aca="false">J84*F84</f>
        <v>98.049457506</v>
      </c>
      <c r="L84" s="55" t="n">
        <f aca="false">K84/K99</f>
        <v>0.000295516799466609</v>
      </c>
    </row>
    <row r="85" s="48" customFormat="true" ht="15" hidden="false" customHeight="false" outlineLevel="0" collapsed="false">
      <c r="A85" s="49" t="s">
        <v>233</v>
      </c>
      <c r="B85" s="56" t="s">
        <v>234</v>
      </c>
      <c r="C85" s="50" t="s">
        <v>29</v>
      </c>
      <c r="D85" s="58" t="s">
        <v>235</v>
      </c>
      <c r="E85" s="59" t="s">
        <v>236</v>
      </c>
      <c r="F85" s="56" t="n">
        <f aca="false">F83*0.1</f>
        <v>0.66</v>
      </c>
      <c r="G85" s="54" t="n">
        <v>376.07</v>
      </c>
      <c r="H85" s="54" t="n">
        <v>116.82</v>
      </c>
      <c r="I85" s="54" t="n">
        <f aca="false">G85+H85</f>
        <v>492.89</v>
      </c>
      <c r="J85" s="54" t="n">
        <f aca="false">I85*1.2247</f>
        <v>603.642383</v>
      </c>
      <c r="K85" s="54" t="n">
        <f aca="false">J85*F85</f>
        <v>398.40397278</v>
      </c>
      <c r="L85" s="55" t="n">
        <f aca="false">K85/K99</f>
        <v>0.0012007722421465</v>
      </c>
    </row>
    <row r="86" s="48" customFormat="true" ht="25.5" hidden="false" customHeight="false" outlineLevel="0" collapsed="false">
      <c r="A86" s="49" t="s">
        <v>237</v>
      </c>
      <c r="B86" s="56" t="s">
        <v>238</v>
      </c>
      <c r="C86" s="50" t="s">
        <v>29</v>
      </c>
      <c r="D86" s="58" t="s">
        <v>239</v>
      </c>
      <c r="E86" s="59" t="s">
        <v>119</v>
      </c>
      <c r="F86" s="56" t="n">
        <f aca="false">5.5+5.5</f>
        <v>11</v>
      </c>
      <c r="G86" s="54" t="n">
        <v>742.31</v>
      </c>
      <c r="H86" s="54" t="n">
        <v>51.79</v>
      </c>
      <c r="I86" s="54" t="n">
        <f aca="false">G86+H86</f>
        <v>794.1</v>
      </c>
      <c r="J86" s="54" t="n">
        <f aca="false">I86*1.2247</f>
        <v>972.53427</v>
      </c>
      <c r="K86" s="54" t="n">
        <f aca="false">J86*F86</f>
        <v>10697.87697</v>
      </c>
      <c r="L86" s="55" t="n">
        <f aca="false">K86/K99</f>
        <v>0.0322429357966462</v>
      </c>
    </row>
    <row r="87" s="48" customFormat="true" ht="15" hidden="false" customHeight="false" outlineLevel="0" collapsed="false">
      <c r="A87" s="42" t="n">
        <v>9</v>
      </c>
      <c r="B87" s="43"/>
      <c r="C87" s="43"/>
      <c r="D87" s="43" t="s">
        <v>240</v>
      </c>
      <c r="E87" s="43"/>
      <c r="F87" s="44"/>
      <c r="G87" s="45"/>
      <c r="H87" s="45"/>
      <c r="I87" s="44"/>
      <c r="J87" s="46"/>
      <c r="K87" s="44" t="n">
        <f aca="false">SUM(K88:K92)</f>
        <v>18920.786049558</v>
      </c>
      <c r="L87" s="47" t="n">
        <f aca="false">K87/K99</f>
        <v>0.0570264260403041</v>
      </c>
    </row>
    <row r="88" s="48" customFormat="true" ht="30" hidden="false" customHeight="false" outlineLevel="0" collapsed="false">
      <c r="A88" s="87" t="s">
        <v>241</v>
      </c>
      <c r="B88" s="56" t="s">
        <v>242</v>
      </c>
      <c r="C88" s="50" t="s">
        <v>29</v>
      </c>
      <c r="D88" s="60" t="s">
        <v>243</v>
      </c>
      <c r="E88" s="56" t="s">
        <v>53</v>
      </c>
      <c r="F88" s="56" t="n">
        <f aca="false">(5.15+10+20.15+35.1+15+25.28)*0.1</f>
        <v>11.068</v>
      </c>
      <c r="G88" s="57" t="n">
        <v>218.27</v>
      </c>
      <c r="H88" s="57" t="n">
        <v>77.88</v>
      </c>
      <c r="I88" s="54" t="n">
        <f aca="false">G88+H88</f>
        <v>296.15</v>
      </c>
      <c r="J88" s="54" t="n">
        <f aca="false">I88*1.2247</f>
        <v>362.694905</v>
      </c>
      <c r="K88" s="54" t="n">
        <f aca="false">J88*F88</f>
        <v>4014.30720854</v>
      </c>
      <c r="L88" s="55" t="n">
        <f aca="false">K88/K99</f>
        <v>0.0120989472916858</v>
      </c>
    </row>
    <row r="89" s="48" customFormat="true" ht="38.25" hidden="false" customHeight="false" outlineLevel="0" collapsed="false">
      <c r="A89" s="87" t="s">
        <v>244</v>
      </c>
      <c r="B89" s="50" t="s">
        <v>51</v>
      </c>
      <c r="C89" s="50" t="s">
        <v>29</v>
      </c>
      <c r="D89" s="51" t="s">
        <v>52</v>
      </c>
      <c r="E89" s="50" t="s">
        <v>53</v>
      </c>
      <c r="F89" s="56" t="n">
        <f aca="false">F88</f>
        <v>11.068</v>
      </c>
      <c r="G89" s="54" t="n">
        <v>107.04</v>
      </c>
      <c r="H89" s="54" t="n">
        <v>11.68</v>
      </c>
      <c r="I89" s="54" t="n">
        <f aca="false">G89+H89</f>
        <v>118.72</v>
      </c>
      <c r="J89" s="54" t="n">
        <f aca="false">I89*1.2247</f>
        <v>145.396384</v>
      </c>
      <c r="K89" s="54" t="n">
        <f aca="false">J89*F89</f>
        <v>1609.247178112</v>
      </c>
      <c r="L89" s="55" t="n">
        <f aca="false">K89/K99</f>
        <v>0.00485020098757027</v>
      </c>
    </row>
    <row r="90" s="48" customFormat="true" ht="25.5" hidden="false" customHeight="false" outlineLevel="0" collapsed="false">
      <c r="A90" s="87" t="s">
        <v>245</v>
      </c>
      <c r="B90" s="56" t="s">
        <v>228</v>
      </c>
      <c r="C90" s="50" t="s">
        <v>29</v>
      </c>
      <c r="D90" s="58" t="s">
        <v>229</v>
      </c>
      <c r="E90" s="59" t="s">
        <v>35</v>
      </c>
      <c r="F90" s="56" t="n">
        <f aca="false">(5.15+10+20.15+35.1+15+25.28)*1</f>
        <v>110.68</v>
      </c>
      <c r="G90" s="54" t="n">
        <v>3.63</v>
      </c>
      <c r="H90" s="54" t="n">
        <v>0.16</v>
      </c>
      <c r="I90" s="54" t="n">
        <f aca="false">G90+H90</f>
        <v>3.79</v>
      </c>
      <c r="J90" s="54" t="n">
        <f aca="false">I90*1.2247</f>
        <v>4.641613</v>
      </c>
      <c r="K90" s="54" t="n">
        <f aca="false">J90*F90</f>
        <v>513.73372684</v>
      </c>
      <c r="L90" s="55" t="n">
        <f aca="false">K90/K99</f>
        <v>0.0015483711036802</v>
      </c>
    </row>
    <row r="91" s="48" customFormat="true" ht="15" hidden="false" customHeight="false" outlineLevel="0" collapsed="false">
      <c r="A91" s="87" t="s">
        <v>246</v>
      </c>
      <c r="B91" s="56" t="s">
        <v>231</v>
      </c>
      <c r="C91" s="50" t="s">
        <v>29</v>
      </c>
      <c r="D91" s="58" t="s">
        <v>232</v>
      </c>
      <c r="E91" s="59" t="s">
        <v>53</v>
      </c>
      <c r="F91" s="56" t="n">
        <f aca="false">F90*0.05</f>
        <v>5.534</v>
      </c>
      <c r="G91" s="54" t="n">
        <v>144.08</v>
      </c>
      <c r="H91" s="54" t="n">
        <v>29.21</v>
      </c>
      <c r="I91" s="54" t="n">
        <f aca="false">G91+H91</f>
        <v>173.29</v>
      </c>
      <c r="J91" s="54" t="n">
        <f aca="false">I91*1.2247</f>
        <v>212.228263</v>
      </c>
      <c r="K91" s="54" t="n">
        <f aca="false">J91*F91</f>
        <v>1174.471207442</v>
      </c>
      <c r="L91" s="55" t="n">
        <f aca="false">K91/K99</f>
        <v>0.00353980512607839</v>
      </c>
    </row>
    <row r="92" s="48" customFormat="true" ht="15" hidden="false" customHeight="false" outlineLevel="0" collapsed="false">
      <c r="A92" s="87" t="s">
        <v>247</v>
      </c>
      <c r="B92" s="56" t="s">
        <v>248</v>
      </c>
      <c r="C92" s="50" t="s">
        <v>29</v>
      </c>
      <c r="D92" s="58" t="s">
        <v>249</v>
      </c>
      <c r="E92" s="56" t="s">
        <v>53</v>
      </c>
      <c r="F92" s="56" t="n">
        <f aca="false">F90*0.1</f>
        <v>11.068</v>
      </c>
      <c r="G92" s="57" t="n">
        <v>442.19</v>
      </c>
      <c r="H92" s="57" t="n">
        <v>414.25</v>
      </c>
      <c r="I92" s="54" t="n">
        <f aca="false">G92+H92</f>
        <v>856.44</v>
      </c>
      <c r="J92" s="54" t="n">
        <f aca="false">I92*1.2247</f>
        <v>1048.882068</v>
      </c>
      <c r="K92" s="54" t="n">
        <f aca="false">J92*F92</f>
        <v>11609.026728624</v>
      </c>
      <c r="L92" s="55" t="n">
        <f aca="false">K92/K99</f>
        <v>0.0349891015312895</v>
      </c>
    </row>
    <row r="93" s="48" customFormat="true" ht="15" hidden="false" customHeight="false" outlineLevel="0" collapsed="false">
      <c r="A93" s="42" t="n">
        <v>10</v>
      </c>
      <c r="B93" s="43"/>
      <c r="C93" s="43"/>
      <c r="D93" s="43" t="s">
        <v>250</v>
      </c>
      <c r="E93" s="43"/>
      <c r="F93" s="44"/>
      <c r="G93" s="45"/>
      <c r="H93" s="45"/>
      <c r="I93" s="44"/>
      <c r="J93" s="46"/>
      <c r="K93" s="44" t="n">
        <f aca="false">SUM(K94:K96)</f>
        <v>7977.156932</v>
      </c>
      <c r="L93" s="47" t="n">
        <f aca="false">K93/K99</f>
        <v>0.0240428039619012</v>
      </c>
    </row>
    <row r="94" s="48" customFormat="true" ht="30" hidden="false" customHeight="false" outlineLevel="0" collapsed="false">
      <c r="A94" s="87" t="s">
        <v>251</v>
      </c>
      <c r="B94" s="56" t="s">
        <v>252</v>
      </c>
      <c r="C94" s="59" t="s">
        <v>10</v>
      </c>
      <c r="D94" s="60" t="s">
        <v>253</v>
      </c>
      <c r="E94" s="56" t="s">
        <v>49</v>
      </c>
      <c r="F94" s="56" t="n">
        <v>8</v>
      </c>
      <c r="G94" s="57"/>
      <c r="H94" s="57"/>
      <c r="I94" s="54" t="n">
        <v>474.87</v>
      </c>
      <c r="J94" s="54" t="n">
        <f aca="false">I94*1.2247</f>
        <v>581.573289</v>
      </c>
      <c r="K94" s="54" t="n">
        <f aca="false">J94*F94</f>
        <v>4652.586312</v>
      </c>
      <c r="L94" s="55" t="n">
        <f aca="false">K94/K99</f>
        <v>0.0140226927423873</v>
      </c>
    </row>
    <row r="95" s="48" customFormat="true" ht="48.75" hidden="false" customHeight="true" outlineLevel="0" collapsed="false">
      <c r="A95" s="87" t="s">
        <v>254</v>
      </c>
      <c r="B95" s="56" t="s">
        <v>255</v>
      </c>
      <c r="C95" s="59" t="s">
        <v>29</v>
      </c>
      <c r="D95" s="60" t="s">
        <v>256</v>
      </c>
      <c r="E95" s="56" t="s">
        <v>65</v>
      </c>
      <c r="F95" s="56" t="n">
        <v>1</v>
      </c>
      <c r="G95" s="88" t="n">
        <v>1379.05</v>
      </c>
      <c r="H95" s="57" t="n">
        <v>168.55</v>
      </c>
      <c r="I95" s="54" t="n">
        <f aca="false">H95+G95</f>
        <v>1547.6</v>
      </c>
      <c r="J95" s="54" t="n">
        <f aca="false">I95*1.2247</f>
        <v>1895.34572</v>
      </c>
      <c r="K95" s="54" t="n">
        <f aca="false">J95*F95</f>
        <v>1895.34572</v>
      </c>
      <c r="L95" s="55" t="n">
        <f aca="false">K95/K99</f>
        <v>0.00571248954664396</v>
      </c>
    </row>
    <row r="96" s="48" customFormat="true" ht="48.75" hidden="false" customHeight="true" outlineLevel="0" collapsed="false">
      <c r="A96" s="87" t="s">
        <v>257</v>
      </c>
      <c r="B96" s="56" t="s">
        <v>258</v>
      </c>
      <c r="C96" s="59" t="s">
        <v>29</v>
      </c>
      <c r="D96" s="60" t="s">
        <v>259</v>
      </c>
      <c r="E96" s="56" t="s">
        <v>110</v>
      </c>
      <c r="F96" s="56" t="n">
        <v>150</v>
      </c>
      <c r="G96" s="88" t="n">
        <v>2.52</v>
      </c>
      <c r="H96" s="57" t="n">
        <v>5.26</v>
      </c>
      <c r="I96" s="54" t="n">
        <f aca="false">H96+G96</f>
        <v>7.78</v>
      </c>
      <c r="J96" s="54" t="n">
        <f aca="false">I96*1.2247</f>
        <v>9.528166</v>
      </c>
      <c r="K96" s="54" t="n">
        <f aca="false">J96*F96</f>
        <v>1429.2249</v>
      </c>
      <c r="L96" s="55" t="n">
        <f aca="false">K96/K99</f>
        <v>0.00430762167286993</v>
      </c>
    </row>
    <row r="97" s="48" customFormat="true" ht="15" hidden="false" customHeight="false" outlineLevel="0" collapsed="false">
      <c r="A97" s="42" t="n">
        <v>11</v>
      </c>
      <c r="B97" s="43"/>
      <c r="C97" s="43"/>
      <c r="D97" s="43" t="s">
        <v>260</v>
      </c>
      <c r="E97" s="43"/>
      <c r="F97" s="44"/>
      <c r="G97" s="45"/>
      <c r="H97" s="45"/>
      <c r="I97" s="44"/>
      <c r="J97" s="46"/>
      <c r="K97" s="44" t="n">
        <f aca="false">K98</f>
        <v>8596.720415</v>
      </c>
      <c r="L97" s="47" t="n">
        <f aca="false">K97/K99</f>
        <v>0.0259101413467239</v>
      </c>
    </row>
    <row r="98" s="48" customFormat="true" ht="15.75" hidden="false" customHeight="false" outlineLevel="0" collapsed="false">
      <c r="A98" s="89" t="s">
        <v>261</v>
      </c>
      <c r="B98" s="90" t="s">
        <v>262</v>
      </c>
      <c r="C98" s="91" t="s">
        <v>29</v>
      </c>
      <c r="D98" s="92" t="s">
        <v>263</v>
      </c>
      <c r="E98" s="90" t="s">
        <v>31</v>
      </c>
      <c r="F98" s="90" t="n">
        <v>515</v>
      </c>
      <c r="G98" s="93" t="n">
        <v>0</v>
      </c>
      <c r="H98" s="93" t="n">
        <v>13.63</v>
      </c>
      <c r="I98" s="94" t="n">
        <f aca="false">G98+H98</f>
        <v>13.63</v>
      </c>
      <c r="J98" s="94" t="n">
        <f aca="false">I98*1.2247</f>
        <v>16.692661</v>
      </c>
      <c r="K98" s="94" t="n">
        <f aca="false">J98*F98</f>
        <v>8596.720415</v>
      </c>
      <c r="L98" s="95" t="n">
        <f aca="false">K98/K99</f>
        <v>0.0259101413467239</v>
      </c>
    </row>
    <row r="99" customFormat="false" ht="14.25" hidden="false" customHeight="true" outlineLevel="0" collapsed="false">
      <c r="A99" s="86"/>
      <c r="B99" s="86"/>
      <c r="C99" s="86"/>
      <c r="D99" s="96"/>
      <c r="E99" s="62"/>
      <c r="F99" s="86"/>
      <c r="G99" s="33"/>
      <c r="H99" s="33"/>
      <c r="I99" s="33"/>
      <c r="J99" s="97" t="s">
        <v>23</v>
      </c>
      <c r="K99" s="98" t="n">
        <f aca="false">K97+K93+K87+K81+K75+K45+K37+K33+K22+K19+K14</f>
        <v>331789.792265528</v>
      </c>
      <c r="L99" s="99" t="n">
        <f aca="false">L97+L93+L87+L81+L75+L45+L37+L33+L22+L19+L14</f>
        <v>1</v>
      </c>
    </row>
    <row r="100" customFormat="false" ht="14.25" hidden="false" customHeight="true" outlineLevel="0" collapsed="false">
      <c r="D100" s="96"/>
    </row>
    <row r="101" customFormat="false" ht="14.25" hidden="false" customHeight="true" outlineLevel="0" collapsed="false">
      <c r="D101" s="96"/>
    </row>
    <row r="102" customFormat="false" ht="14.25" hidden="false" customHeight="true" outlineLevel="0" collapsed="false">
      <c r="D102" s="96"/>
    </row>
    <row r="103" customFormat="false" ht="14.25" hidden="false" customHeight="true" outlineLevel="0" collapsed="false">
      <c r="D103" s="1"/>
      <c r="E103" s="1"/>
      <c r="G103" s="1"/>
      <c r="H103" s="1"/>
      <c r="I103" s="1"/>
      <c r="J103" s="1" t="s">
        <v>264</v>
      </c>
      <c r="K103" s="1"/>
    </row>
    <row r="104" customFormat="false" ht="14.25" hidden="false" customHeight="true" outlineLevel="0" collapsed="false">
      <c r="D104" s="1"/>
      <c r="E104" s="1"/>
      <c r="G104" s="1"/>
      <c r="H104" s="1"/>
      <c r="I104" s="1"/>
      <c r="J104" s="1"/>
      <c r="K104" s="1"/>
    </row>
    <row r="105" customFormat="false" ht="14.25" hidden="false" customHeight="true" outlineLevel="0" collapsed="false">
      <c r="B105" s="100" t="s">
        <v>265</v>
      </c>
      <c r="D105" s="1"/>
      <c r="E105" s="1"/>
      <c r="F105" s="100" t="s">
        <v>265</v>
      </c>
      <c r="G105" s="1"/>
      <c r="H105" s="1"/>
      <c r="I105" s="1"/>
      <c r="J105" s="1"/>
      <c r="K105" s="1"/>
    </row>
    <row r="106" customFormat="false" ht="14.25" hidden="false" customHeight="true" outlineLevel="0" collapsed="false">
      <c r="B106" s="101" t="s">
        <v>266</v>
      </c>
      <c r="D106" s="1"/>
      <c r="E106" s="102"/>
      <c r="F106" s="102" t="s">
        <v>267</v>
      </c>
      <c r="G106" s="102"/>
      <c r="H106" s="1"/>
      <c r="I106" s="1"/>
      <c r="J106" s="1"/>
      <c r="K106" s="1"/>
    </row>
    <row r="107" customFormat="false" ht="14.25" hidden="false" customHeight="true" outlineLevel="0" collapsed="false">
      <c r="B107" s="2" t="s">
        <v>268</v>
      </c>
      <c r="D107" s="1"/>
      <c r="E107" s="1"/>
      <c r="F107" s="1" t="s">
        <v>269</v>
      </c>
      <c r="G107" s="1"/>
      <c r="H107" s="1"/>
      <c r="I107" s="1"/>
      <c r="J107" s="1"/>
      <c r="K107" s="1"/>
    </row>
    <row r="108" customFormat="false" ht="14.25" hidden="false" customHeight="true" outlineLevel="0" collapsed="false">
      <c r="D108" s="96"/>
    </row>
    <row r="109" customFormat="false" ht="14.25" hidden="false" customHeight="true" outlineLevel="0" collapsed="false">
      <c r="D109" s="96"/>
    </row>
    <row r="110" customFormat="false" ht="14.25" hidden="false" customHeight="true" outlineLevel="0" collapsed="false">
      <c r="D110" s="96"/>
    </row>
    <row r="113" customFormat="false" ht="19.5" hidden="false" customHeight="true" outlineLevel="0" collapsed="false"/>
  </sheetData>
  <mergeCells count="8">
    <mergeCell ref="I2:I4"/>
    <mergeCell ref="K2:L2"/>
    <mergeCell ref="K3:L3"/>
    <mergeCell ref="K4:L4"/>
    <mergeCell ref="D6:F6"/>
    <mergeCell ref="I6:I8"/>
    <mergeCell ref="D7:F7"/>
    <mergeCell ref="D8:F8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3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7:M34"/>
  <sheetViews>
    <sheetView showFormulas="false" showGridLines="true" showRowColHeaders="true" showZeros="true" rightToLeft="false" tabSelected="true" showOutlineSymbols="true" defaultGridColor="true" view="normal" topLeftCell="F13" colorId="64" zoomScale="100" zoomScaleNormal="100" zoomScalePageLayoutView="100" workbookViewId="0">
      <selection pane="topLeft" activeCell="L32" activeCellId="0" sqref="L3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6.42"/>
    <col collapsed="false" customWidth="true" hidden="false" outlineLevel="0" max="2" min="2" style="0" width="35.71"/>
    <col collapsed="false" customWidth="true" hidden="false" outlineLevel="0" max="3" min="3" style="0" width="14.28"/>
    <col collapsed="false" customWidth="true" hidden="false" outlineLevel="0" max="4" min="4" style="1" width="17.42"/>
    <col collapsed="false" customWidth="true" hidden="false" outlineLevel="0" max="5" min="5" style="1" width="9.14"/>
    <col collapsed="false" customWidth="true" hidden="false" outlineLevel="0" max="6" min="6" style="1" width="18.29"/>
    <col collapsed="false" customWidth="true" hidden="false" outlineLevel="0" max="7" min="7" style="1" width="9.14"/>
    <col collapsed="false" customWidth="true" hidden="false" outlineLevel="0" max="8" min="8" style="1" width="18.42"/>
    <col collapsed="false" customWidth="true" hidden="false" outlineLevel="0" max="9" min="9" style="1" width="9.14"/>
    <col collapsed="false" customWidth="true" hidden="false" outlineLevel="0" max="10" min="10" style="1" width="13.29"/>
    <col collapsed="false" customWidth="true" hidden="false" outlineLevel="0" max="11" min="11" style="1" width="11.14"/>
    <col collapsed="false" customWidth="true" hidden="false" outlineLevel="0" max="12" min="12" style="0" width="18.29"/>
  </cols>
  <sheetData>
    <row r="7" customFormat="false" ht="17.25" hidden="false" customHeight="false" outlineLevel="0" collapsed="false">
      <c r="A7" s="103" t="s">
        <v>270</v>
      </c>
      <c r="B7" s="103"/>
      <c r="C7" s="103"/>
      <c r="F7" s="104"/>
      <c r="G7" s="104"/>
      <c r="H7" s="104"/>
      <c r="I7" s="104"/>
      <c r="J7" s="104"/>
      <c r="K7" s="104"/>
      <c r="L7" s="104"/>
    </row>
    <row r="8" customFormat="false" ht="17.25" hidden="false" customHeight="false" outlineLevel="0" collapsed="false">
      <c r="A8" s="105" t="s">
        <v>271</v>
      </c>
      <c r="B8" s="105"/>
      <c r="C8" s="105"/>
      <c r="F8" s="104"/>
      <c r="G8" s="104"/>
      <c r="H8" s="104"/>
      <c r="I8" s="104"/>
      <c r="J8" s="106"/>
      <c r="K8" s="106"/>
      <c r="L8" s="106"/>
    </row>
    <row r="9" customFormat="false" ht="17.25" hidden="false" customHeight="false" outlineLevel="0" collapsed="false">
      <c r="A9" s="107" t="s">
        <v>272</v>
      </c>
      <c r="B9" s="107"/>
      <c r="C9" s="107"/>
      <c r="F9" s="104"/>
      <c r="G9" s="104"/>
      <c r="H9" s="104"/>
      <c r="I9" s="104"/>
      <c r="J9" s="104"/>
      <c r="K9" s="104"/>
      <c r="L9" s="104"/>
    </row>
    <row r="10" customFormat="false" ht="15.75" hidden="false" customHeight="false" outlineLevel="0" collapsed="false"/>
    <row r="11" customFormat="false" ht="19.5" hidden="false" customHeight="false" outlineLevel="0" collapsed="false">
      <c r="A11" s="108" t="s">
        <v>270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</row>
    <row r="12" customFormat="false" ht="15" hidden="false" customHeight="false" outlineLevel="0" collapsed="false">
      <c r="A12" s="109"/>
      <c r="B12" s="110"/>
      <c r="C12" s="111"/>
      <c r="D12" s="112" t="s">
        <v>273</v>
      </c>
      <c r="E12" s="112"/>
      <c r="F12" s="112" t="s">
        <v>274</v>
      </c>
      <c r="G12" s="112"/>
      <c r="H12" s="112" t="s">
        <v>275</v>
      </c>
      <c r="I12" s="112"/>
      <c r="J12" s="112" t="s">
        <v>276</v>
      </c>
      <c r="K12" s="112"/>
      <c r="L12" s="112" t="s">
        <v>23</v>
      </c>
      <c r="M12" s="112"/>
    </row>
    <row r="13" customFormat="false" ht="15" hidden="false" customHeight="false" outlineLevel="0" collapsed="false">
      <c r="A13" s="113" t="s">
        <v>13</v>
      </c>
      <c r="B13" s="61" t="s">
        <v>16</v>
      </c>
      <c r="C13" s="114" t="s">
        <v>277</v>
      </c>
      <c r="D13" s="113" t="s">
        <v>278</v>
      </c>
      <c r="E13" s="114" t="s">
        <v>279</v>
      </c>
      <c r="F13" s="113" t="s">
        <v>278</v>
      </c>
      <c r="G13" s="114" t="s">
        <v>279</v>
      </c>
      <c r="H13" s="113" t="s">
        <v>278</v>
      </c>
      <c r="I13" s="114" t="s">
        <v>279</v>
      </c>
      <c r="J13" s="115"/>
      <c r="K13" s="115"/>
      <c r="L13" s="113" t="s">
        <v>278</v>
      </c>
      <c r="M13" s="114" t="s">
        <v>279</v>
      </c>
    </row>
    <row r="14" customFormat="false" ht="15" hidden="false" customHeight="false" outlineLevel="0" collapsed="false">
      <c r="A14" s="113" t="n">
        <v>1</v>
      </c>
      <c r="B14" s="116" t="s">
        <v>26</v>
      </c>
      <c r="C14" s="117" t="n">
        <v>18855.29</v>
      </c>
      <c r="D14" s="118" t="n">
        <f aca="false">6566.06+7673.9+815.48+949.96</f>
        <v>16005.4</v>
      </c>
      <c r="E14" s="119" t="n">
        <f aca="false">D14/C14</f>
        <v>0.848854618518198</v>
      </c>
      <c r="F14" s="54" t="n">
        <f aca="false">'PLANILHA ORCAMENTARIA'!$J$18</f>
        <v>949.963049</v>
      </c>
      <c r="G14" s="119" t="n">
        <f aca="false">F14/C14</f>
        <v>0.0503817787475027</v>
      </c>
      <c r="H14" s="54" t="n">
        <f aca="false">'PLANILHA ORCAMENTARIA'!$J$18</f>
        <v>949.963049</v>
      </c>
      <c r="I14" s="119" t="n">
        <f aca="false">H14/C14</f>
        <v>0.0503817787475027</v>
      </c>
      <c r="J14" s="54" t="n">
        <f aca="false">'PLANILHA ORCAMENTARIA'!$J$18</f>
        <v>949.963049</v>
      </c>
      <c r="K14" s="120" t="n">
        <f aca="false">J14/C14</f>
        <v>0.0503817787475027</v>
      </c>
      <c r="L14" s="121" t="n">
        <f aca="false">D14+F14+H14+J14</f>
        <v>18855.289147</v>
      </c>
      <c r="M14" s="122" t="n">
        <f aca="false">L14/C14</f>
        <v>0.999999954760706</v>
      </c>
    </row>
    <row r="15" customFormat="false" ht="15" hidden="false" customHeight="false" outlineLevel="0" collapsed="false">
      <c r="A15" s="113" t="n">
        <v>2</v>
      </c>
      <c r="B15" s="116" t="s">
        <v>45</v>
      </c>
      <c r="C15" s="123" t="n">
        <v>97731.23</v>
      </c>
      <c r="D15" s="118" t="n">
        <v>0</v>
      </c>
      <c r="E15" s="119" t="n">
        <f aca="false">D15/C15</f>
        <v>0</v>
      </c>
      <c r="F15" s="118" t="n">
        <v>0</v>
      </c>
      <c r="G15" s="119" t="n">
        <f aca="false">F15/C15</f>
        <v>0</v>
      </c>
      <c r="H15" s="118" t="n">
        <f aca="false">C15*60%</f>
        <v>58638.738</v>
      </c>
      <c r="I15" s="124" t="n">
        <f aca="false">H15/C15</f>
        <v>0.6</v>
      </c>
      <c r="J15" s="118" t="n">
        <f aca="false">C15*40%</f>
        <v>39092.492</v>
      </c>
      <c r="K15" s="125" t="n">
        <v>0</v>
      </c>
      <c r="L15" s="121" t="n">
        <f aca="false">D15+F15+H15+J15</f>
        <v>97731.23</v>
      </c>
      <c r="M15" s="122" t="n">
        <f aca="false">L15/C15</f>
        <v>1</v>
      </c>
    </row>
    <row r="16" customFormat="false" ht="15" hidden="false" customHeight="false" outlineLevel="0" collapsed="false">
      <c r="A16" s="113" t="n">
        <v>3</v>
      </c>
      <c r="B16" s="126" t="s">
        <v>55</v>
      </c>
      <c r="C16" s="127" t="n">
        <v>16735</v>
      </c>
      <c r="D16" s="118" t="n">
        <f aca="false">C16*20%</f>
        <v>3347</v>
      </c>
      <c r="E16" s="119" t="n">
        <f aca="false">D16/C16</f>
        <v>0.2</v>
      </c>
      <c r="F16" s="118" t="n">
        <f aca="false">C16*40%</f>
        <v>6694</v>
      </c>
      <c r="G16" s="119" t="n">
        <f aca="false">F16/C16</f>
        <v>0.4</v>
      </c>
      <c r="H16" s="118" t="n">
        <f aca="false">C16*40%</f>
        <v>6694</v>
      </c>
      <c r="I16" s="124" t="n">
        <f aca="false">H16/C16</f>
        <v>0.4</v>
      </c>
      <c r="J16" s="128" t="n">
        <v>0</v>
      </c>
      <c r="K16" s="125" t="n">
        <v>0</v>
      </c>
      <c r="L16" s="121" t="n">
        <f aca="false">D16+F16+H16+J16</f>
        <v>16735</v>
      </c>
      <c r="M16" s="122" t="n">
        <f aca="false">L16/C16</f>
        <v>1</v>
      </c>
    </row>
    <row r="17" customFormat="false" ht="15" hidden="false" customHeight="false" outlineLevel="0" collapsed="false">
      <c r="A17" s="113" t="n">
        <v>4</v>
      </c>
      <c r="B17" s="126" t="s">
        <v>87</v>
      </c>
      <c r="C17" s="127" t="n">
        <v>51170.6</v>
      </c>
      <c r="D17" s="118" t="n">
        <v>0</v>
      </c>
      <c r="E17" s="119" t="n">
        <f aca="false">D17/C17</f>
        <v>0</v>
      </c>
      <c r="F17" s="118" t="n">
        <f aca="false">C17*40%</f>
        <v>20468.24</v>
      </c>
      <c r="G17" s="119" t="n">
        <f aca="false">F17/C17</f>
        <v>0.4</v>
      </c>
      <c r="H17" s="118" t="n">
        <f aca="false">C17*40%</f>
        <v>20468.24</v>
      </c>
      <c r="I17" s="119" t="n">
        <f aca="false">H17/C17</f>
        <v>0.4</v>
      </c>
      <c r="J17" s="54" t="n">
        <f aca="false">C17*20%</f>
        <v>10234.12</v>
      </c>
      <c r="K17" s="120" t="n">
        <f aca="false">J17/C17</f>
        <v>0.2</v>
      </c>
      <c r="L17" s="121" t="n">
        <f aca="false">D17+F17+H17+J17</f>
        <v>51170.6</v>
      </c>
      <c r="M17" s="122" t="n">
        <f aca="false">L17/C17</f>
        <v>1</v>
      </c>
    </row>
    <row r="18" customFormat="false" ht="15" hidden="false" customHeight="false" outlineLevel="0" collapsed="false">
      <c r="A18" s="113" t="n">
        <v>5</v>
      </c>
      <c r="B18" s="126" t="s">
        <v>100</v>
      </c>
      <c r="C18" s="127" t="n">
        <v>65118.41</v>
      </c>
      <c r="D18" s="118" t="n">
        <f aca="false">C18*25%</f>
        <v>16279.6025</v>
      </c>
      <c r="E18" s="119" t="n">
        <f aca="false">D18/C18</f>
        <v>0.25</v>
      </c>
      <c r="F18" s="118" t="n">
        <f aca="false">C18*45%</f>
        <v>29303.2845</v>
      </c>
      <c r="G18" s="119" t="n">
        <f aca="false">F18/C18</f>
        <v>0.45</v>
      </c>
      <c r="H18" s="118" t="n">
        <f aca="false">C18*30%</f>
        <v>19535.523</v>
      </c>
      <c r="I18" s="119" t="n">
        <f aca="false">H18/C18</f>
        <v>0.3</v>
      </c>
      <c r="J18" s="129" t="n">
        <v>0</v>
      </c>
      <c r="K18" s="120" t="n">
        <f aca="false">J18/C18</f>
        <v>0</v>
      </c>
      <c r="L18" s="121" t="n">
        <f aca="false">D18+F18+H18+J18</f>
        <v>65118.41</v>
      </c>
      <c r="M18" s="122" t="n">
        <f aca="false">L18/C18</f>
        <v>1</v>
      </c>
    </row>
    <row r="19" customFormat="false" ht="15" hidden="false" customHeight="false" outlineLevel="0" collapsed="false">
      <c r="A19" s="113" t="n">
        <v>6</v>
      </c>
      <c r="B19" s="126" t="s">
        <v>121</v>
      </c>
      <c r="C19" s="127" t="n">
        <v>32100.76</v>
      </c>
      <c r="D19" s="118" t="n">
        <f aca="false">C19*30%</f>
        <v>9630.228</v>
      </c>
      <c r="E19" s="119" t="n">
        <f aca="false">D19/C19</f>
        <v>0.3</v>
      </c>
      <c r="F19" s="118" t="n">
        <f aca="false">C19*40%</f>
        <v>12840.304</v>
      </c>
      <c r="G19" s="119" t="n">
        <f aca="false">F19/C19</f>
        <v>0.4</v>
      </c>
      <c r="H19" s="118" t="n">
        <f aca="false">C19*30%</f>
        <v>9630.228</v>
      </c>
      <c r="I19" s="119" t="n">
        <f aca="false">H19/C19</f>
        <v>0.3</v>
      </c>
      <c r="J19" s="129" t="n">
        <v>0</v>
      </c>
      <c r="K19" s="120" t="n">
        <f aca="false">J19/C19</f>
        <v>0</v>
      </c>
      <c r="L19" s="121" t="n">
        <f aca="false">D19+F19+H19+J19</f>
        <v>32100.76</v>
      </c>
      <c r="M19" s="122" t="n">
        <f aca="false">L19/C19</f>
        <v>1</v>
      </c>
    </row>
    <row r="20" customFormat="false" ht="15" hidden="false" customHeight="false" outlineLevel="0" collapsed="false">
      <c r="A20" s="113" t="n">
        <v>7</v>
      </c>
      <c r="B20" s="126" t="s">
        <v>210</v>
      </c>
      <c r="C20" s="127" t="n">
        <v>3324.11</v>
      </c>
      <c r="D20" s="118" t="n">
        <v>0</v>
      </c>
      <c r="E20" s="119" t="n">
        <f aca="false">D20/C20</f>
        <v>0</v>
      </c>
      <c r="F20" s="118" t="n">
        <v>0</v>
      </c>
      <c r="G20" s="119" t="n">
        <f aca="false">F20/C20</f>
        <v>0</v>
      </c>
      <c r="H20" s="118" t="n">
        <v>0</v>
      </c>
      <c r="I20" s="119" t="n">
        <f aca="false">H20/C20</f>
        <v>0</v>
      </c>
      <c r="J20" s="129" t="n">
        <f aca="false">C20</f>
        <v>3324.11</v>
      </c>
      <c r="K20" s="120" t="n">
        <f aca="false">J20/C20</f>
        <v>1</v>
      </c>
      <c r="L20" s="121" t="n">
        <f aca="false">D20+F20+H20+J20</f>
        <v>3324.11</v>
      </c>
      <c r="M20" s="122" t="n">
        <f aca="false">L20/C20</f>
        <v>1</v>
      </c>
    </row>
    <row r="21" customFormat="false" ht="15" hidden="false" customHeight="false" outlineLevel="0" collapsed="false">
      <c r="A21" s="113" t="n">
        <v>8</v>
      </c>
      <c r="B21" s="126" t="s">
        <v>223</v>
      </c>
      <c r="C21" s="127" t="n">
        <v>11259.72</v>
      </c>
      <c r="D21" s="118" t="n">
        <v>0</v>
      </c>
      <c r="E21" s="119" t="n">
        <f aca="false">D21/C21</f>
        <v>0</v>
      </c>
      <c r="F21" s="118" t="n">
        <f aca="false">C21*30%</f>
        <v>3377.916</v>
      </c>
      <c r="G21" s="119" t="n">
        <f aca="false">F21/C21</f>
        <v>0.3</v>
      </c>
      <c r="H21" s="118" t="n">
        <f aca="false">C21*50%</f>
        <v>5629.86</v>
      </c>
      <c r="I21" s="119" t="n">
        <f aca="false">H21/C21</f>
        <v>0.5</v>
      </c>
      <c r="J21" s="129" t="n">
        <f aca="false">C21*20%</f>
        <v>2251.944</v>
      </c>
      <c r="K21" s="120" t="n">
        <f aca="false">J21/C21</f>
        <v>0.2</v>
      </c>
      <c r="L21" s="121" t="n">
        <f aca="false">D21+F21+H21+J21</f>
        <v>11259.72</v>
      </c>
      <c r="M21" s="122" t="n">
        <f aca="false">L21/C21</f>
        <v>1</v>
      </c>
    </row>
    <row r="22" customFormat="false" ht="15" hidden="false" customHeight="false" outlineLevel="0" collapsed="false">
      <c r="A22" s="113" t="n">
        <v>9</v>
      </c>
      <c r="B22" s="126" t="s">
        <v>240</v>
      </c>
      <c r="C22" s="127" t="n">
        <v>18920.79</v>
      </c>
      <c r="D22" s="118" t="n">
        <v>0</v>
      </c>
      <c r="E22" s="119" t="n">
        <f aca="false">D22/C22</f>
        <v>0</v>
      </c>
      <c r="F22" s="118" t="n">
        <f aca="false">C22*20%</f>
        <v>3784.158</v>
      </c>
      <c r="G22" s="119" t="n">
        <f aca="false">F22/C22</f>
        <v>0.2</v>
      </c>
      <c r="H22" s="118" t="n">
        <f aca="false">C22*50%</f>
        <v>9460.395</v>
      </c>
      <c r="I22" s="119" t="n">
        <f aca="false">H22/C22</f>
        <v>0.5</v>
      </c>
      <c r="J22" s="129" t="n">
        <f aca="false">C22*30%</f>
        <v>5676.237</v>
      </c>
      <c r="K22" s="120" t="n">
        <f aca="false">J22/C22</f>
        <v>0.3</v>
      </c>
      <c r="L22" s="121" t="n">
        <f aca="false">D22+F22+H22+J22</f>
        <v>18920.79</v>
      </c>
      <c r="M22" s="122" t="n">
        <f aca="false">L22/C22</f>
        <v>1</v>
      </c>
    </row>
    <row r="23" customFormat="false" ht="15" hidden="false" customHeight="false" outlineLevel="0" collapsed="false">
      <c r="A23" s="113" t="n">
        <v>10</v>
      </c>
      <c r="B23" s="126" t="s">
        <v>250</v>
      </c>
      <c r="C23" s="127" t="n">
        <v>7977.16</v>
      </c>
      <c r="D23" s="118" t="n">
        <v>0</v>
      </c>
      <c r="E23" s="119" t="n">
        <f aca="false">D23/C23</f>
        <v>0</v>
      </c>
      <c r="F23" s="118" t="n">
        <v>0</v>
      </c>
      <c r="G23" s="119" t="n">
        <f aca="false">F23/C23</f>
        <v>0</v>
      </c>
      <c r="H23" s="118" t="n">
        <v>0</v>
      </c>
      <c r="I23" s="119" t="n">
        <f aca="false">H23/C23</f>
        <v>0</v>
      </c>
      <c r="J23" s="129" t="n">
        <v>7977.16</v>
      </c>
      <c r="K23" s="120" t="n">
        <f aca="false">J23/C23</f>
        <v>1</v>
      </c>
      <c r="L23" s="121" t="n">
        <f aca="false">D23+F23+H23+J23</f>
        <v>7977.16</v>
      </c>
      <c r="M23" s="122" t="n">
        <f aca="false">L23/C23</f>
        <v>1</v>
      </c>
    </row>
    <row r="24" customFormat="false" ht="15" hidden="false" customHeight="false" outlineLevel="0" collapsed="false">
      <c r="A24" s="113" t="n">
        <v>11</v>
      </c>
      <c r="B24" s="126" t="s">
        <v>260</v>
      </c>
      <c r="C24" s="127" t="n">
        <v>8596.72</v>
      </c>
      <c r="D24" s="118" t="n">
        <v>0</v>
      </c>
      <c r="E24" s="119" t="n">
        <f aca="false">D24/C24</f>
        <v>0</v>
      </c>
      <c r="F24" s="118" t="n">
        <v>0</v>
      </c>
      <c r="G24" s="119" t="n">
        <f aca="false">F24/C24</f>
        <v>0</v>
      </c>
      <c r="H24" s="118" t="n">
        <v>0</v>
      </c>
      <c r="I24" s="119" t="n">
        <f aca="false">H24/C24</f>
        <v>0</v>
      </c>
      <c r="J24" s="129" t="n">
        <v>8596.72</v>
      </c>
      <c r="K24" s="120" t="n">
        <f aca="false">J24/C24</f>
        <v>1</v>
      </c>
      <c r="L24" s="121" t="n">
        <f aca="false">D24+F24+H24+J24</f>
        <v>8596.72</v>
      </c>
      <c r="M24" s="122" t="n">
        <f aca="false">L24/C24</f>
        <v>1</v>
      </c>
    </row>
    <row r="25" customFormat="false" ht="15" hidden="false" customHeight="false" outlineLevel="0" collapsed="false">
      <c r="A25" s="130" t="s">
        <v>23</v>
      </c>
      <c r="B25" s="130"/>
      <c r="C25" s="131" t="n">
        <f aca="false">SUM(C14:C24)</f>
        <v>331789.79</v>
      </c>
      <c r="D25" s="132" t="n">
        <f aca="false">SUM(D14:D24)</f>
        <v>45262.2305</v>
      </c>
      <c r="E25" s="133" t="n">
        <f aca="false">D25/C25</f>
        <v>0.136418394610636</v>
      </c>
      <c r="F25" s="132" t="n">
        <f aca="false">SUM(F14:F24)</f>
        <v>77417.865549</v>
      </c>
      <c r="G25" s="133" t="n">
        <f aca="false">F25/C25</f>
        <v>0.233334080439907</v>
      </c>
      <c r="H25" s="132" t="n">
        <f aca="false">SUM(H14:H24)</f>
        <v>131006.947049</v>
      </c>
      <c r="I25" s="133" t="n">
        <f aca="false">H25/C25</f>
        <v>0.394849241891982</v>
      </c>
      <c r="J25" s="132" t="n">
        <f aca="false">SUM(J14:J24)</f>
        <v>78102.746049</v>
      </c>
      <c r="K25" s="133" t="n">
        <f aca="false">J25/C25</f>
        <v>0.23539828048657</v>
      </c>
      <c r="L25" s="134" t="n">
        <f aca="false">SUM(L14:L24)</f>
        <v>331789.789147</v>
      </c>
      <c r="M25" s="135" t="n">
        <f aca="false">C25/L25</f>
        <v>1.0000000025709</v>
      </c>
    </row>
    <row r="26" customFormat="false" ht="15.75" hidden="false" customHeight="false" outlineLevel="0" collapsed="false">
      <c r="A26" s="136" t="s">
        <v>280</v>
      </c>
      <c r="B26" s="136"/>
      <c r="C26" s="136"/>
      <c r="D26" s="137" t="n">
        <f aca="false">D25</f>
        <v>45262.2305</v>
      </c>
      <c r="E26" s="138" t="n">
        <f aca="false">E25</f>
        <v>0.136418394610636</v>
      </c>
      <c r="F26" s="137" t="n">
        <f aca="false">D26+F25</f>
        <v>122680.096049</v>
      </c>
      <c r="G26" s="138" t="n">
        <f aca="false">E26+G25</f>
        <v>0.369752475050543</v>
      </c>
      <c r="H26" s="137" t="n">
        <f aca="false">F26+H25</f>
        <v>253687.043098</v>
      </c>
      <c r="I26" s="138" t="n">
        <f aca="false">G26+I25</f>
        <v>0.764601716942526</v>
      </c>
      <c r="J26" s="137" t="n">
        <f aca="false">H26+J25</f>
        <v>331789.789147</v>
      </c>
      <c r="K26" s="138" t="n">
        <f aca="false">I26+K25</f>
        <v>0.999999997429095</v>
      </c>
      <c r="L26" s="134"/>
      <c r="M26" s="135"/>
    </row>
    <row r="29" customFormat="false" ht="15" hidden="false" customHeight="false" outlineLevel="0" collapsed="false">
      <c r="J29" s="1" t="s">
        <v>264</v>
      </c>
    </row>
    <row r="31" customFormat="false" ht="15" hidden="false" customHeight="false" outlineLevel="0" collapsed="false">
      <c r="B31" s="100" t="s">
        <v>265</v>
      </c>
      <c r="F31" s="100" t="s">
        <v>265</v>
      </c>
    </row>
    <row r="32" customFormat="false" ht="15" hidden="false" customHeight="false" outlineLevel="0" collapsed="false">
      <c r="B32" s="101" t="s">
        <v>266</v>
      </c>
      <c r="E32" s="102"/>
      <c r="F32" s="102" t="s">
        <v>267</v>
      </c>
      <c r="G32" s="102"/>
    </row>
    <row r="33" customFormat="false" ht="15" hidden="false" customHeight="false" outlineLevel="0" collapsed="false">
      <c r="B33" s="2" t="s">
        <v>281</v>
      </c>
      <c r="F33" s="1" t="s">
        <v>269</v>
      </c>
    </row>
    <row r="34" customFormat="false" ht="15" hidden="false" customHeight="false" outlineLevel="0" collapsed="false">
      <c r="B34" s="48"/>
    </row>
  </sheetData>
  <mergeCells count="11">
    <mergeCell ref="A7:C7"/>
    <mergeCell ref="A11:M11"/>
    <mergeCell ref="D12:E12"/>
    <mergeCell ref="F12:G12"/>
    <mergeCell ref="H12:I12"/>
    <mergeCell ref="J12:K12"/>
    <mergeCell ref="L12:M12"/>
    <mergeCell ref="A25:B25"/>
    <mergeCell ref="L25:L26"/>
    <mergeCell ref="M25:M26"/>
    <mergeCell ref="A26:C2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9" activeCellId="0" sqref="C3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14.7"/>
    <col collapsed="false" customWidth="true" hidden="false" outlineLevel="0" max="3" min="3" style="0" width="78.85"/>
    <col collapsed="false" customWidth="true" hidden="false" outlineLevel="0" max="4" min="4" style="0" width="8"/>
    <col collapsed="false" customWidth="true" hidden="false" outlineLevel="0" max="5" min="5" style="0" width="97.86"/>
    <col collapsed="false" customWidth="true" hidden="false" outlineLevel="0" max="6" min="6" style="0" width="15.86"/>
    <col collapsed="false" customWidth="true" hidden="false" outlineLevel="0" max="7" min="7" style="0" width="12.57"/>
    <col collapsed="false" customWidth="true" hidden="false" outlineLevel="0" max="8" min="8" style="0" width="26.42"/>
    <col collapsed="false" customWidth="true" hidden="false" outlineLevel="0" max="257" min="257" style="0" width="11.99"/>
    <col collapsed="false" customWidth="true" hidden="false" outlineLevel="0" max="258" min="258" style="0" width="14.7"/>
    <col collapsed="false" customWidth="true" hidden="false" outlineLevel="0" max="259" min="259" style="0" width="78.85"/>
    <col collapsed="false" customWidth="true" hidden="false" outlineLevel="0" max="260" min="260" style="0" width="8"/>
    <col collapsed="false" customWidth="true" hidden="false" outlineLevel="0" max="261" min="261" style="0" width="17"/>
    <col collapsed="false" customWidth="true" hidden="false" outlineLevel="0" max="262" min="262" style="0" width="15.86"/>
    <col collapsed="false" customWidth="true" hidden="false" outlineLevel="0" max="263" min="263" style="0" width="12.57"/>
    <col collapsed="false" customWidth="true" hidden="false" outlineLevel="0" max="264" min="264" style="0" width="26.42"/>
    <col collapsed="false" customWidth="true" hidden="false" outlineLevel="0" max="513" min="513" style="0" width="11.99"/>
    <col collapsed="false" customWidth="true" hidden="false" outlineLevel="0" max="514" min="514" style="0" width="14.7"/>
    <col collapsed="false" customWidth="true" hidden="false" outlineLevel="0" max="515" min="515" style="0" width="78.85"/>
    <col collapsed="false" customWidth="true" hidden="false" outlineLevel="0" max="516" min="516" style="0" width="8"/>
    <col collapsed="false" customWidth="true" hidden="false" outlineLevel="0" max="517" min="517" style="0" width="17"/>
    <col collapsed="false" customWidth="true" hidden="false" outlineLevel="0" max="518" min="518" style="0" width="15.86"/>
    <col collapsed="false" customWidth="true" hidden="false" outlineLevel="0" max="519" min="519" style="0" width="12.57"/>
    <col collapsed="false" customWidth="true" hidden="false" outlineLevel="0" max="520" min="520" style="0" width="26.42"/>
    <col collapsed="false" customWidth="true" hidden="false" outlineLevel="0" max="769" min="769" style="0" width="11.99"/>
    <col collapsed="false" customWidth="true" hidden="false" outlineLevel="0" max="770" min="770" style="0" width="14.7"/>
    <col collapsed="false" customWidth="true" hidden="false" outlineLevel="0" max="771" min="771" style="0" width="78.85"/>
    <col collapsed="false" customWidth="true" hidden="false" outlineLevel="0" max="772" min="772" style="0" width="8"/>
    <col collapsed="false" customWidth="true" hidden="false" outlineLevel="0" max="773" min="773" style="0" width="17"/>
    <col collapsed="false" customWidth="true" hidden="false" outlineLevel="0" max="774" min="774" style="0" width="15.86"/>
    <col collapsed="false" customWidth="true" hidden="false" outlineLevel="0" max="775" min="775" style="0" width="12.57"/>
    <col collapsed="false" customWidth="true" hidden="false" outlineLevel="0" max="776" min="776" style="0" width="26.42"/>
  </cols>
  <sheetData>
    <row r="1" s="145" customFormat="true" ht="21" hidden="false" customHeight="true" outlineLevel="0" collapsed="false">
      <c r="A1" s="139"/>
      <c r="B1" s="140"/>
      <c r="C1" s="141"/>
      <c r="D1" s="142"/>
      <c r="E1" s="142"/>
      <c r="F1" s="143"/>
      <c r="G1" s="144"/>
      <c r="H1" s="144"/>
    </row>
    <row r="2" s="145" customFormat="true" ht="22.5" hidden="false" customHeight="true" outlineLevel="0" collapsed="false">
      <c r="A2" s="146" t="s">
        <v>282</v>
      </c>
      <c r="B2" s="147"/>
      <c r="C2" s="148"/>
      <c r="H2" s="149"/>
    </row>
    <row r="3" s="145" customFormat="true" ht="12.75" hidden="false" customHeight="true" outlineLevel="0" collapsed="false">
      <c r="A3" s="150"/>
      <c r="B3" s="151"/>
      <c r="C3" s="152"/>
      <c r="D3" s="144"/>
      <c r="E3" s="153"/>
      <c r="F3" s="154"/>
    </row>
    <row r="4" s="156" customFormat="true" ht="14.25" hidden="false" customHeight="true" outlineLevel="0" collapsed="false">
      <c r="A4" s="150"/>
      <c r="B4" s="147"/>
      <c r="C4" s="15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="156" customFormat="true" ht="14.25" hidden="false" customHeight="true" outlineLevel="0" collapsed="false">
      <c r="A5" s="150"/>
      <c r="B5" s="157" t="s">
        <v>283</v>
      </c>
      <c r="C5" s="158" t="s">
        <v>284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="156" customFormat="true" ht="12.75" hidden="false" customHeight="true" outlineLevel="0" collapsed="false">
      <c r="A6" s="159"/>
      <c r="B6" s="157" t="s">
        <v>285</v>
      </c>
      <c r="C6" s="158" t="s">
        <v>286</v>
      </c>
      <c r="D6" s="160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</row>
    <row r="7" s="156" customFormat="true" ht="14.25" hidden="false" customHeight="true" outlineLevel="0" collapsed="false">
      <c r="A7" s="161"/>
      <c r="B7" s="157" t="s">
        <v>287</v>
      </c>
      <c r="C7" s="158" t="s">
        <v>288</v>
      </c>
      <c r="D7" s="162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="156" customFormat="true" ht="13.5" hidden="false" customHeight="true" outlineLevel="0" collapsed="false">
      <c r="A8" s="161"/>
      <c r="B8" s="163"/>
      <c r="C8" s="164"/>
      <c r="D8" s="162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</row>
    <row r="9" customFormat="false" ht="14.25" hidden="false" customHeight="true" outlineLevel="0" collapsed="false">
      <c r="A9" s="165" t="s">
        <v>289</v>
      </c>
      <c r="B9" s="166" t="s">
        <v>290</v>
      </c>
      <c r="C9" s="167" t="s">
        <v>291</v>
      </c>
      <c r="D9" s="156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customFormat="false" ht="14.25" hidden="false" customHeight="true" outlineLevel="0" collapsed="false">
      <c r="A10" s="168" t="n">
        <v>32</v>
      </c>
      <c r="B10" s="169"/>
      <c r="C10" s="170" t="s">
        <v>292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</row>
    <row r="11" customFormat="false" ht="14.25" hidden="false" customHeight="true" outlineLevel="0" collapsed="false">
      <c r="A11" s="168" t="n">
        <v>4</v>
      </c>
      <c r="B11" s="171"/>
      <c r="C11" s="170" t="s">
        <v>293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customFormat="false" ht="14.25" hidden="false" customHeight="true" outlineLevel="0" collapsed="false">
      <c r="A12" s="168" t="n">
        <v>7</v>
      </c>
      <c r="B12" s="171"/>
      <c r="C12" s="170" t="s">
        <v>294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</row>
    <row r="13" customFormat="false" ht="14.25" hidden="false" customHeight="true" outlineLevel="0" collapsed="false">
      <c r="A13" s="168" t="s">
        <v>295</v>
      </c>
      <c r="B13" s="172"/>
      <c r="C13" s="170" t="s">
        <v>296</v>
      </c>
      <c r="I13" s="156"/>
    </row>
    <row r="14" customFormat="false" ht="14.25" hidden="false" customHeight="true" outlineLevel="0" collapsed="false">
      <c r="A14" s="168" t="n">
        <v>7</v>
      </c>
      <c r="B14" s="172"/>
      <c r="C14" s="170" t="s">
        <v>297</v>
      </c>
      <c r="I14" s="156"/>
    </row>
    <row r="15" customFormat="false" ht="14.25" hidden="false" customHeight="true" outlineLevel="0" collapsed="false">
      <c r="A15" s="168" t="s">
        <v>298</v>
      </c>
      <c r="B15" s="172"/>
      <c r="C15" s="170" t="s">
        <v>299</v>
      </c>
      <c r="I15" s="156"/>
    </row>
    <row r="16" customFormat="false" ht="14.25" hidden="false" customHeight="true" outlineLevel="0" collapsed="false">
      <c r="A16" s="168" t="n">
        <v>4</v>
      </c>
      <c r="B16" s="172"/>
      <c r="C16" s="170" t="s">
        <v>300</v>
      </c>
      <c r="I16" s="156"/>
    </row>
    <row r="17" customFormat="false" ht="14.25" hidden="false" customHeight="true" outlineLevel="0" collapsed="false">
      <c r="A17" s="168" t="n">
        <v>2</v>
      </c>
      <c r="B17" s="172"/>
      <c r="C17" s="170" t="s">
        <v>301</v>
      </c>
      <c r="I17" s="156"/>
    </row>
    <row r="18" customFormat="false" ht="14.25" hidden="false" customHeight="true" outlineLevel="0" collapsed="false">
      <c r="A18" s="168" t="n">
        <v>4</v>
      </c>
      <c r="B18" s="172"/>
      <c r="C18" s="170" t="s">
        <v>302</v>
      </c>
      <c r="I18" s="156"/>
    </row>
    <row r="19" customFormat="false" ht="14.25" hidden="false" customHeight="true" outlineLevel="0" collapsed="false">
      <c r="A19" s="168" t="n">
        <v>7</v>
      </c>
      <c r="B19" s="172"/>
      <c r="C19" s="170" t="s">
        <v>303</v>
      </c>
      <c r="I19" s="156"/>
    </row>
    <row r="20" customFormat="false" ht="14.25" hidden="false" customHeight="true" outlineLevel="0" collapsed="false">
      <c r="A20" s="168" t="n">
        <v>1</v>
      </c>
      <c r="B20" s="172"/>
      <c r="C20" s="173" t="s">
        <v>304</v>
      </c>
      <c r="I20" s="156"/>
    </row>
    <row r="21" customFormat="false" ht="14.25" hidden="false" customHeight="true" outlineLevel="0" collapsed="false">
      <c r="A21" s="168" t="n">
        <v>1</v>
      </c>
      <c r="B21" s="172"/>
      <c r="C21" s="173" t="s">
        <v>305</v>
      </c>
      <c r="I21" s="156"/>
    </row>
    <row r="22" customFormat="false" ht="14.25" hidden="false" customHeight="true" outlineLevel="0" collapsed="false">
      <c r="A22" s="168" t="n">
        <v>4</v>
      </c>
      <c r="B22" s="172"/>
      <c r="C22" s="173" t="s">
        <v>306</v>
      </c>
      <c r="I22" s="156"/>
    </row>
    <row r="23" customFormat="false" ht="14.25" hidden="false" customHeight="true" outlineLevel="0" collapsed="false">
      <c r="A23" s="168" t="n">
        <v>3</v>
      </c>
      <c r="B23" s="172"/>
      <c r="C23" s="173" t="s">
        <v>307</v>
      </c>
      <c r="I23" s="156"/>
    </row>
    <row r="24" customFormat="false" ht="14.25" hidden="false" customHeight="true" outlineLevel="0" collapsed="false">
      <c r="A24" s="168" t="n">
        <v>3</v>
      </c>
      <c r="B24" s="172"/>
      <c r="C24" s="173" t="s">
        <v>308</v>
      </c>
      <c r="I24" s="156"/>
    </row>
    <row r="25" customFormat="false" ht="14.25" hidden="false" customHeight="true" outlineLevel="0" collapsed="false">
      <c r="A25" s="168" t="n">
        <v>13</v>
      </c>
      <c r="B25" s="172"/>
      <c r="C25" s="173" t="s">
        <v>309</v>
      </c>
      <c r="I25" s="156"/>
    </row>
    <row r="26" customFormat="false" ht="14.25" hidden="false" customHeight="true" outlineLevel="0" collapsed="false">
      <c r="A26" s="168" t="s">
        <v>310</v>
      </c>
      <c r="B26" s="172"/>
      <c r="C26" s="173" t="s">
        <v>311</v>
      </c>
      <c r="I26" s="156"/>
    </row>
    <row r="27" customFormat="false" ht="14.25" hidden="false" customHeight="true" outlineLevel="0" collapsed="false">
      <c r="A27" s="168" t="s">
        <v>312</v>
      </c>
      <c r="B27" s="172"/>
      <c r="C27" s="173" t="s">
        <v>313</v>
      </c>
      <c r="I27" s="156"/>
    </row>
    <row r="28" customFormat="false" ht="14.25" hidden="false" customHeight="true" outlineLevel="0" collapsed="false">
      <c r="A28" s="168" t="s">
        <v>314</v>
      </c>
      <c r="B28" s="172"/>
      <c r="C28" s="170" t="s">
        <v>315</v>
      </c>
      <c r="I28" s="156"/>
    </row>
    <row r="29" customFormat="false" ht="14.25" hidden="false" customHeight="true" outlineLevel="0" collapsed="false">
      <c r="A29" s="168" t="s">
        <v>312</v>
      </c>
      <c r="B29" s="172"/>
      <c r="C29" s="170" t="s">
        <v>316</v>
      </c>
      <c r="I29" s="156"/>
    </row>
    <row r="30" customFormat="false" ht="14.25" hidden="false" customHeight="true" outlineLevel="0" collapsed="false">
      <c r="A30" s="168" t="s">
        <v>317</v>
      </c>
      <c r="B30" s="172"/>
      <c r="C30" s="170" t="s">
        <v>318</v>
      </c>
      <c r="I30" s="156"/>
    </row>
    <row r="31" customFormat="false" ht="14.25" hidden="false" customHeight="true" outlineLevel="0" collapsed="false">
      <c r="A31" s="168" t="n">
        <v>1</v>
      </c>
      <c r="B31" s="172"/>
      <c r="C31" s="170" t="s">
        <v>319</v>
      </c>
      <c r="I31" s="156"/>
    </row>
    <row r="32" customFormat="false" ht="14.25" hidden="false" customHeight="true" outlineLevel="0" collapsed="false">
      <c r="A32" s="168" t="n">
        <v>3</v>
      </c>
      <c r="B32" s="172"/>
      <c r="C32" s="170" t="s">
        <v>320</v>
      </c>
      <c r="I32" s="156"/>
    </row>
    <row r="33" customFormat="false" ht="14.25" hidden="false" customHeight="true" outlineLevel="0" collapsed="false">
      <c r="A33" s="168" t="n">
        <v>2</v>
      </c>
      <c r="B33" s="172"/>
      <c r="C33" s="170" t="s">
        <v>321</v>
      </c>
      <c r="I33" s="156"/>
    </row>
    <row r="34" customFormat="false" ht="14.25" hidden="false" customHeight="true" outlineLevel="0" collapsed="false">
      <c r="A34" s="174" t="n">
        <v>1</v>
      </c>
      <c r="B34" s="175"/>
      <c r="C34" s="176" t="s">
        <v>322</v>
      </c>
      <c r="I34" s="156"/>
    </row>
    <row r="35" customFormat="false" ht="12.75" hidden="false" customHeight="true" outlineLevel="0" collapsed="false">
      <c r="A35" s="162"/>
      <c r="I35" s="156"/>
    </row>
    <row r="36" customFormat="false" ht="12.75" hidden="false" customHeight="true" outlineLevel="0" collapsed="false">
      <c r="A36" s="162"/>
      <c r="B36" s="162"/>
      <c r="C36" s="162"/>
      <c r="D36" s="162"/>
      <c r="E36" s="162"/>
      <c r="F36" s="162"/>
      <c r="G36" s="162"/>
      <c r="H36" s="162"/>
      <c r="I36" s="156"/>
    </row>
    <row r="37" customFormat="false" ht="12.75" hidden="false" customHeight="true" outlineLevel="0" collapsed="false">
      <c r="A37" s="162"/>
      <c r="B37" s="162"/>
      <c r="C37" s="162"/>
      <c r="D37" s="162"/>
      <c r="E37" s="162"/>
      <c r="F37" s="162"/>
      <c r="G37" s="162"/>
      <c r="H37" s="162"/>
      <c r="I37" s="156"/>
    </row>
    <row r="38" customFormat="false" ht="12.75" hidden="false" customHeight="true" outlineLevel="0" collapsed="false">
      <c r="A38" s="162"/>
      <c r="B38" s="162"/>
      <c r="C38" s="162"/>
      <c r="D38" s="162"/>
      <c r="E38" s="162"/>
      <c r="F38" s="162"/>
      <c r="G38" s="162"/>
      <c r="H38" s="162"/>
      <c r="I38" s="156"/>
    </row>
  </sheetData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0"/>
  <sheetViews>
    <sheetView showFormulas="false" showGridLines="true" showRowColHeaders="true" showZeros="true" rightToLeft="false" tabSelected="false" showOutlineSymbols="true" defaultGridColor="true" view="normal" topLeftCell="A56" colorId="64" zoomScale="100" zoomScaleNormal="100" zoomScalePageLayoutView="100" workbookViewId="0">
      <selection pane="topLeft" activeCell="A20" activeCellId="0" sqref="A2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7.86"/>
    <col collapsed="false" customWidth="true" hidden="false" outlineLevel="0" max="2" min="2" style="0" width="16"/>
    <col collapsed="false" customWidth="true" hidden="false" outlineLevel="0" max="3" min="3" style="0" width="13.29"/>
    <col collapsed="false" customWidth="true" hidden="false" outlineLevel="0" max="4" min="4" style="0" width="14.43"/>
    <col collapsed="false" customWidth="true" hidden="false" outlineLevel="0" max="5" min="5" style="0" width="10.99"/>
    <col collapsed="false" customWidth="true" hidden="false" outlineLevel="0" max="6" min="6" style="0" width="27.14"/>
    <col collapsed="false" customWidth="true" hidden="false" outlineLevel="0" max="7" min="7" style="0" width="33"/>
  </cols>
  <sheetData>
    <row r="1" customFormat="false" ht="121.5" hidden="false" customHeight="true" outlineLevel="0" collapsed="false">
      <c r="A1" s="30"/>
      <c r="B1" s="30"/>
      <c r="C1" s="30"/>
      <c r="D1" s="30"/>
      <c r="E1" s="30"/>
      <c r="F1" s="30"/>
      <c r="G1" s="30"/>
    </row>
    <row r="2" customFormat="false" ht="121.5" hidden="false" customHeight="true" outlineLevel="0" collapsed="false">
      <c r="A2" s="30"/>
      <c r="B2" s="30"/>
      <c r="C2" s="30"/>
      <c r="D2" s="30"/>
      <c r="E2" s="30"/>
      <c r="F2" s="30"/>
      <c r="G2" s="30"/>
    </row>
    <row r="3" customFormat="false" ht="15" hidden="false" customHeight="false" outlineLevel="0" collapsed="false">
      <c r="A3" s="177" t="s">
        <v>291</v>
      </c>
      <c r="B3" s="177" t="s">
        <v>323</v>
      </c>
      <c r="C3" s="177" t="s">
        <v>324</v>
      </c>
      <c r="D3" s="177" t="s">
        <v>325</v>
      </c>
      <c r="E3" s="177" t="s">
        <v>326</v>
      </c>
      <c r="F3" s="30"/>
      <c r="G3" s="30"/>
    </row>
    <row r="4" s="2" customFormat="true" ht="25.5" hidden="false" customHeight="false" outlineLevel="0" collapsed="false">
      <c r="A4" s="78" t="s">
        <v>34</v>
      </c>
      <c r="B4" s="56" t="s">
        <v>327</v>
      </c>
      <c r="C4" s="56" t="n">
        <v>9.91</v>
      </c>
      <c r="D4" s="56" t="n">
        <v>6</v>
      </c>
      <c r="E4" s="56" t="n">
        <f aca="false">C4*D4</f>
        <v>59.46</v>
      </c>
    </row>
    <row r="7" customFormat="false" ht="15" hidden="false" customHeight="false" outlineLevel="0" collapsed="false">
      <c r="A7" s="177" t="s">
        <v>291</v>
      </c>
      <c r="B7" s="177" t="s">
        <v>323</v>
      </c>
      <c r="C7" s="177" t="s">
        <v>324</v>
      </c>
      <c r="D7" s="177" t="s">
        <v>325</v>
      </c>
      <c r="E7" s="177" t="s">
        <v>326</v>
      </c>
    </row>
    <row r="8" customFormat="false" ht="15" hidden="false" customHeight="false" outlineLevel="0" collapsed="false">
      <c r="A8" s="78" t="s">
        <v>328</v>
      </c>
      <c r="B8" s="56" t="s">
        <v>329</v>
      </c>
      <c r="C8" s="56" t="n">
        <v>23.8</v>
      </c>
      <c r="D8" s="56" t="n">
        <v>3.85</v>
      </c>
      <c r="E8" s="56" t="n">
        <f aca="false">C8*D8</f>
        <v>91.63</v>
      </c>
      <c r="F8" s="0" t="s">
        <v>330</v>
      </c>
    </row>
    <row r="14" customFormat="false" ht="15" hidden="false" customHeight="false" outlineLevel="0" collapsed="false">
      <c r="A14" s="178" t="s">
        <v>331</v>
      </c>
      <c r="B14" s="179" t="n">
        <v>77500</v>
      </c>
    </row>
    <row r="15" customFormat="false" ht="15" hidden="false" customHeight="false" outlineLevel="0" collapsed="false">
      <c r="A15" s="178" t="s">
        <v>332</v>
      </c>
      <c r="B15" s="179" t="n">
        <v>82500</v>
      </c>
    </row>
    <row r="16" customFormat="false" ht="15" hidden="false" customHeight="false" outlineLevel="0" collapsed="false">
      <c r="A16" s="178" t="s">
        <v>333</v>
      </c>
      <c r="B16" s="179" t="n">
        <v>92200</v>
      </c>
    </row>
    <row r="17" customFormat="false" ht="15" hidden="false" customHeight="false" outlineLevel="0" collapsed="false">
      <c r="A17" s="180" t="s">
        <v>23</v>
      </c>
      <c r="B17" s="179" t="n">
        <f aca="false">SUM(B14:B16)</f>
        <v>252200</v>
      </c>
    </row>
    <row r="18" customFormat="false" ht="15" hidden="false" customHeight="false" outlineLevel="0" collapsed="false">
      <c r="A18" s="180" t="s">
        <v>334</v>
      </c>
      <c r="B18" s="181" t="n">
        <f aca="false">B17/3</f>
        <v>84066.6666666667</v>
      </c>
    </row>
    <row r="19" customFormat="false" ht="15" hidden="false" customHeight="false" outlineLevel="0" collapsed="false">
      <c r="A19" s="180" t="s">
        <v>335</v>
      </c>
      <c r="B19" s="181" t="n">
        <f aca="false">B18/2</f>
        <v>42033.3333333333</v>
      </c>
    </row>
    <row r="22" customFormat="false" ht="15" hidden="false" customHeight="false" outlineLevel="0" collapsed="false">
      <c r="A22" s="177" t="s">
        <v>291</v>
      </c>
      <c r="B22" s="177" t="s">
        <v>323</v>
      </c>
      <c r="C22" s="177" t="s">
        <v>324</v>
      </c>
      <c r="D22" s="177" t="s">
        <v>325</v>
      </c>
      <c r="E22" s="177" t="s">
        <v>326</v>
      </c>
    </row>
    <row r="23" customFormat="false" ht="15" hidden="false" customHeight="false" outlineLevel="0" collapsed="false">
      <c r="A23" s="78" t="s">
        <v>58</v>
      </c>
      <c r="B23" s="56" t="s">
        <v>327</v>
      </c>
      <c r="C23" s="56" t="n">
        <v>1.2</v>
      </c>
      <c r="D23" s="56" t="n">
        <v>2.1</v>
      </c>
      <c r="E23" s="56" t="n">
        <f aca="false">C23*D23</f>
        <v>2.52</v>
      </c>
      <c r="F23" s="0" t="s">
        <v>336</v>
      </c>
    </row>
    <row r="24" customFormat="false" ht="15" hidden="false" customHeight="false" outlineLevel="0" collapsed="false">
      <c r="A24" s="56"/>
      <c r="B24" s="56" t="s">
        <v>327</v>
      </c>
      <c r="C24" s="56" t="n">
        <v>0.8</v>
      </c>
      <c r="D24" s="56" t="n">
        <v>2.1</v>
      </c>
      <c r="E24" s="56" t="n">
        <f aca="false">C24*D24</f>
        <v>1.68</v>
      </c>
      <c r="F24" s="0" t="s">
        <v>337</v>
      </c>
    </row>
    <row r="25" customFormat="false" ht="15" hidden="false" customHeight="false" outlineLevel="0" collapsed="false">
      <c r="D25" s="178" t="s">
        <v>23</v>
      </c>
      <c r="E25" s="61" t="n">
        <f aca="false">SUM(E23:E24)</f>
        <v>4.2</v>
      </c>
    </row>
    <row r="28" customFormat="false" ht="15" hidden="false" customHeight="false" outlineLevel="0" collapsed="false">
      <c r="A28" s="177" t="s">
        <v>291</v>
      </c>
      <c r="B28" s="177" t="s">
        <v>323</v>
      </c>
      <c r="C28" s="177" t="s">
        <v>324</v>
      </c>
      <c r="D28" s="177" t="s">
        <v>325</v>
      </c>
      <c r="E28" s="177" t="s">
        <v>326</v>
      </c>
    </row>
    <row r="29" customFormat="false" ht="25.5" hidden="false" customHeight="false" outlineLevel="0" collapsed="false">
      <c r="A29" s="58" t="s">
        <v>338</v>
      </c>
      <c r="B29" s="56" t="s">
        <v>327</v>
      </c>
      <c r="C29" s="56" t="n">
        <v>1.2</v>
      </c>
      <c r="D29" s="56" t="n">
        <v>2.1</v>
      </c>
      <c r="E29" s="56" t="n">
        <f aca="false">C29*D29</f>
        <v>2.52</v>
      </c>
      <c r="F29" s="0" t="s">
        <v>336</v>
      </c>
    </row>
    <row r="32" customFormat="false" ht="15" hidden="false" customHeight="false" outlineLevel="0" collapsed="false">
      <c r="A32" s="177" t="s">
        <v>291</v>
      </c>
      <c r="B32" s="177" t="s">
        <v>323</v>
      </c>
      <c r="C32" s="177" t="s">
        <v>339</v>
      </c>
    </row>
    <row r="33" customFormat="false" ht="15" hidden="false" customHeight="false" outlineLevel="0" collapsed="false">
      <c r="A33" s="58" t="s">
        <v>64</v>
      </c>
      <c r="B33" s="178" t="s">
        <v>124</v>
      </c>
      <c r="C33" s="178" t="n">
        <v>5</v>
      </c>
      <c r="D33" s="0" t="s">
        <v>340</v>
      </c>
    </row>
    <row r="35" customFormat="false" ht="15" hidden="false" customHeight="false" outlineLevel="0" collapsed="false">
      <c r="A35" s="177" t="s">
        <v>291</v>
      </c>
      <c r="B35" s="177" t="s">
        <v>323</v>
      </c>
      <c r="C35" s="177" t="s">
        <v>339</v>
      </c>
    </row>
    <row r="36" customFormat="false" ht="15" hidden="false" customHeight="false" outlineLevel="0" collapsed="false">
      <c r="A36" s="58" t="s">
        <v>341</v>
      </c>
      <c r="B36" s="178" t="s">
        <v>124</v>
      </c>
      <c r="C36" s="178" t="n">
        <v>5</v>
      </c>
      <c r="D36" s="0" t="s">
        <v>340</v>
      </c>
    </row>
    <row r="38" customFormat="false" ht="15" hidden="false" customHeight="false" outlineLevel="0" collapsed="false">
      <c r="A38" s="177" t="s">
        <v>291</v>
      </c>
      <c r="B38" s="177" t="s">
        <v>323</v>
      </c>
      <c r="C38" s="177" t="s">
        <v>324</v>
      </c>
      <c r="D38" s="177" t="s">
        <v>325</v>
      </c>
      <c r="E38" s="177" t="s">
        <v>326</v>
      </c>
    </row>
    <row r="39" customFormat="false" ht="25.5" hidden="false" customHeight="false" outlineLevel="0" collapsed="false">
      <c r="A39" s="51" t="s">
        <v>342</v>
      </c>
      <c r="B39" s="56" t="s">
        <v>327</v>
      </c>
      <c r="C39" s="56" t="n">
        <v>1.2</v>
      </c>
      <c r="D39" s="56" t="n">
        <v>2.1</v>
      </c>
      <c r="E39" s="56" t="n">
        <f aca="false">(C39*D39)*4</f>
        <v>10.08</v>
      </c>
      <c r="F39" s="0" t="s">
        <v>336</v>
      </c>
    </row>
    <row r="42" customFormat="false" ht="15" hidden="false" customHeight="false" outlineLevel="0" collapsed="false">
      <c r="A42" s="182" t="s">
        <v>291</v>
      </c>
      <c r="B42" s="182" t="s">
        <v>323</v>
      </c>
      <c r="C42" s="182" t="s">
        <v>324</v>
      </c>
      <c r="D42" s="182" t="s">
        <v>325</v>
      </c>
      <c r="E42" s="182" t="s">
        <v>326</v>
      </c>
      <c r="F42" s="33"/>
    </row>
    <row r="43" customFormat="false" ht="60" hidden="false" customHeight="false" outlineLevel="0" collapsed="false">
      <c r="A43" s="183" t="s">
        <v>79</v>
      </c>
      <c r="B43" s="178" t="s">
        <v>343</v>
      </c>
      <c r="C43" s="178" t="n">
        <v>0.8</v>
      </c>
      <c r="D43" s="178" t="n">
        <v>2.1</v>
      </c>
      <c r="E43" s="178" t="n">
        <f aca="false">C43*D43</f>
        <v>1.68</v>
      </c>
      <c r="F43" s="178" t="n">
        <f aca="false">(E43*2)*5</f>
        <v>16.8</v>
      </c>
      <c r="G43" s="0" t="s">
        <v>344</v>
      </c>
    </row>
    <row r="44" customFormat="false" ht="15" hidden="false" customHeight="false" outlineLevel="0" collapsed="false">
      <c r="A44" s="178"/>
      <c r="B44" s="178" t="s">
        <v>327</v>
      </c>
      <c r="C44" s="178" t="n">
        <v>0.6</v>
      </c>
      <c r="D44" s="178" t="n">
        <v>2.1</v>
      </c>
      <c r="E44" s="178" t="n">
        <f aca="false">C44*D44</f>
        <v>1.26</v>
      </c>
      <c r="F44" s="178" t="n">
        <f aca="false">(E44*2)*4</f>
        <v>10.08</v>
      </c>
      <c r="G44" s="0" t="s">
        <v>345</v>
      </c>
    </row>
    <row r="45" customFormat="false" ht="15" hidden="false" customHeight="false" outlineLevel="0" collapsed="false">
      <c r="F45" s="0" t="n">
        <f aca="false">SUM(F43:F44)</f>
        <v>26.88</v>
      </c>
    </row>
    <row r="46" customFormat="false" ht="15" hidden="false" customHeight="true" outlineLevel="0" collapsed="false">
      <c r="A46" s="78" t="s">
        <v>90</v>
      </c>
      <c r="B46" s="78"/>
      <c r="C46" s="78"/>
      <c r="D46" s="78"/>
      <c r="E46" s="78"/>
    </row>
    <row r="47" customFormat="false" ht="15" hidden="false" customHeight="false" outlineLevel="0" collapsed="false">
      <c r="A47" s="177" t="s">
        <v>291</v>
      </c>
      <c r="B47" s="177" t="s">
        <v>323</v>
      </c>
      <c r="C47" s="177" t="s">
        <v>346</v>
      </c>
      <c r="D47" s="177" t="s">
        <v>325</v>
      </c>
      <c r="E47" s="177" t="s">
        <v>326</v>
      </c>
    </row>
    <row r="48" customFormat="false" ht="15" hidden="false" customHeight="false" outlineLevel="0" collapsed="false">
      <c r="A48" s="178" t="s">
        <v>347</v>
      </c>
      <c r="B48" s="178" t="s">
        <v>343</v>
      </c>
      <c r="C48" s="178" t="n">
        <v>1.8</v>
      </c>
      <c r="D48" s="178" t="n">
        <v>24.85</v>
      </c>
      <c r="E48" s="178" t="n">
        <f aca="false">C48*D48</f>
        <v>44.73</v>
      </c>
    </row>
    <row r="49" customFormat="false" ht="15" hidden="false" customHeight="false" outlineLevel="0" collapsed="false">
      <c r="A49" s="178" t="s">
        <v>347</v>
      </c>
      <c r="B49" s="178" t="s">
        <v>343</v>
      </c>
      <c r="C49" s="178" t="n">
        <v>1.8</v>
      </c>
      <c r="D49" s="178" t="n">
        <v>24.85</v>
      </c>
      <c r="E49" s="178" t="n">
        <f aca="false">C49*D49</f>
        <v>44.73</v>
      </c>
    </row>
    <row r="50" customFormat="false" ht="15" hidden="false" customHeight="false" outlineLevel="0" collapsed="false">
      <c r="A50" s="178" t="s">
        <v>348</v>
      </c>
      <c r="B50" s="178" t="s">
        <v>343</v>
      </c>
      <c r="C50" s="178" t="n">
        <v>1.8</v>
      </c>
      <c r="D50" s="178" t="n">
        <v>33.9</v>
      </c>
      <c r="E50" s="178" t="n">
        <f aca="false">C50*D50</f>
        <v>61.02</v>
      </c>
    </row>
    <row r="51" customFormat="false" ht="15" hidden="false" customHeight="false" outlineLevel="0" collapsed="false">
      <c r="A51" s="178" t="s">
        <v>348</v>
      </c>
      <c r="B51" s="178" t="s">
        <v>343</v>
      </c>
      <c r="C51" s="178" t="n">
        <v>1.8</v>
      </c>
      <c r="D51" s="178" t="n">
        <v>33.9</v>
      </c>
      <c r="E51" s="178" t="n">
        <f aca="false">C51*D51</f>
        <v>61.02</v>
      </c>
    </row>
    <row r="52" customFormat="false" ht="15" hidden="false" customHeight="false" outlineLevel="0" collapsed="false">
      <c r="A52" s="178" t="s">
        <v>349</v>
      </c>
      <c r="B52" s="178" t="s">
        <v>343</v>
      </c>
      <c r="C52" s="178" t="n">
        <v>1.8</v>
      </c>
      <c r="D52" s="178" t="n">
        <f aca="false">5+7.71+3.55+1.15+1.9</f>
        <v>19.31</v>
      </c>
      <c r="E52" s="178" t="n">
        <f aca="false">C52*D52</f>
        <v>34.758</v>
      </c>
    </row>
    <row r="53" customFormat="false" ht="15" hidden="false" customHeight="false" outlineLevel="0" collapsed="false">
      <c r="A53" s="178" t="s">
        <v>350</v>
      </c>
      <c r="B53" s="178" t="s">
        <v>343</v>
      </c>
      <c r="C53" s="178" t="n">
        <v>3</v>
      </c>
      <c r="D53" s="178" t="n">
        <f aca="false">4.52+4.52+3.01+3.01</f>
        <v>15.06</v>
      </c>
      <c r="E53" s="178" t="n">
        <f aca="false">C53*D53</f>
        <v>45.18</v>
      </c>
    </row>
    <row r="54" customFormat="false" ht="15" hidden="false" customHeight="false" outlineLevel="0" collapsed="false">
      <c r="A54" s="178" t="s">
        <v>351</v>
      </c>
      <c r="B54" s="178" t="s">
        <v>343</v>
      </c>
      <c r="C54" s="178" t="n">
        <v>3</v>
      </c>
      <c r="D54" s="178" t="n">
        <f aca="false">2.22+3.37+2.22+3.37</f>
        <v>11.18</v>
      </c>
      <c r="E54" s="178" t="n">
        <f aca="false">C54*D54</f>
        <v>33.54</v>
      </c>
    </row>
    <row r="55" customFormat="false" ht="15" hidden="false" customHeight="false" outlineLevel="0" collapsed="false">
      <c r="A55" s="178" t="s">
        <v>352</v>
      </c>
      <c r="B55" s="178" t="s">
        <v>343</v>
      </c>
      <c r="C55" s="178" t="n">
        <v>3</v>
      </c>
      <c r="D55" s="178" t="n">
        <f aca="false">3.37+2.44+1.15+1.25+3.37+2.44+1.15+1.25</f>
        <v>16.42</v>
      </c>
      <c r="E55" s="178" t="n">
        <f aca="false">C55*D55</f>
        <v>49.26</v>
      </c>
    </row>
    <row r="56" customFormat="false" ht="15" hidden="false" customHeight="false" outlineLevel="0" collapsed="false">
      <c r="A56" s="178" t="s">
        <v>353</v>
      </c>
      <c r="B56" s="178" t="s">
        <v>343</v>
      </c>
      <c r="C56" s="178" t="n">
        <v>3</v>
      </c>
      <c r="D56" s="178" t="n">
        <f aca="false">4.52+2.1+4.52+2.1</f>
        <v>13.24</v>
      </c>
      <c r="E56" s="178" t="n">
        <f aca="false">C56*D56</f>
        <v>39.72</v>
      </c>
    </row>
    <row r="57" customFormat="false" ht="15" hidden="false" customHeight="false" outlineLevel="0" collapsed="false">
      <c r="A57" s="178" t="s">
        <v>353</v>
      </c>
      <c r="B57" s="178" t="s">
        <v>343</v>
      </c>
      <c r="C57" s="178" t="n">
        <v>3</v>
      </c>
      <c r="D57" s="178" t="n">
        <f aca="false">2.29+2.29+4.52+4.52</f>
        <v>13.62</v>
      </c>
      <c r="E57" s="178" t="n">
        <f aca="false">C57*D57</f>
        <v>40.86</v>
      </c>
    </row>
    <row r="58" customFormat="false" ht="15" hidden="false" customHeight="false" outlineLevel="0" collapsed="false">
      <c r="A58" s="178" t="s">
        <v>354</v>
      </c>
      <c r="B58" s="178" t="s">
        <v>343</v>
      </c>
      <c r="C58" s="178" t="n">
        <v>5.2</v>
      </c>
      <c r="D58" s="178" t="n">
        <v>18.35</v>
      </c>
      <c r="E58" s="178" t="n">
        <f aca="false">C58*D58</f>
        <v>95.42</v>
      </c>
    </row>
    <row r="59" customFormat="false" ht="15" hidden="false" customHeight="false" outlineLevel="0" collapsed="false">
      <c r="A59" s="178" t="s">
        <v>355</v>
      </c>
      <c r="B59" s="178" t="s">
        <v>343</v>
      </c>
      <c r="C59" s="178" t="n">
        <v>3</v>
      </c>
      <c r="D59" s="178" t="n">
        <v>18.35</v>
      </c>
      <c r="E59" s="178" t="n">
        <f aca="false">C59*D59</f>
        <v>55.05</v>
      </c>
    </row>
    <row r="60" customFormat="false" ht="15" hidden="false" customHeight="false" outlineLevel="0" collapsed="false">
      <c r="A60" s="178"/>
      <c r="B60" s="178"/>
      <c r="C60" s="178"/>
      <c r="D60" s="178"/>
      <c r="E60" s="178" t="n">
        <f aca="false">SUM(E48:E59)</f>
        <v>605.288</v>
      </c>
    </row>
    <row r="61" customFormat="false" ht="15" hidden="false" customHeight="false" outlineLevel="0" collapsed="false">
      <c r="A61" s="178" t="s">
        <v>356</v>
      </c>
      <c r="B61" s="178"/>
      <c r="C61" s="178"/>
      <c r="D61" s="178" t="n">
        <f aca="false">13.55+7.5+9.68+8.39+9.23</f>
        <v>48.35</v>
      </c>
      <c r="E61" s="178" t="n">
        <f aca="false">D61</f>
        <v>48.35</v>
      </c>
    </row>
    <row r="62" customFormat="false" ht="15" hidden="false" customHeight="false" outlineLevel="0" collapsed="false">
      <c r="A62" s="178"/>
      <c r="B62" s="178"/>
      <c r="C62" s="178"/>
      <c r="D62" s="178"/>
      <c r="E62" s="178" t="n">
        <f aca="false">SUM(E60:E61)</f>
        <v>653.638</v>
      </c>
      <c r="F62" s="184" t="n">
        <f aca="false">E62+(10%*E62)</f>
        <v>719.0018</v>
      </c>
    </row>
    <row r="65" customFormat="false" ht="15" hidden="false" customHeight="false" outlineLevel="0" collapsed="false">
      <c r="A65" s="78"/>
      <c r="B65" s="78"/>
      <c r="C65" s="78"/>
      <c r="D65" s="78"/>
      <c r="E65" s="78"/>
    </row>
    <row r="66" customFormat="false" ht="15" hidden="false" customHeight="false" outlineLevel="0" collapsed="false">
      <c r="A66" s="177" t="s">
        <v>291</v>
      </c>
      <c r="B66" s="177" t="s">
        <v>323</v>
      </c>
      <c r="C66" s="177" t="s">
        <v>346</v>
      </c>
      <c r="D66" s="177" t="s">
        <v>325</v>
      </c>
      <c r="E66" s="177" t="s">
        <v>326</v>
      </c>
    </row>
    <row r="67" customFormat="false" ht="15" hidden="false" customHeight="false" outlineLevel="0" collapsed="false">
      <c r="A67" s="178" t="s">
        <v>357</v>
      </c>
      <c r="B67" s="178"/>
      <c r="C67" s="178"/>
      <c r="D67" s="178"/>
      <c r="E67" s="178" t="n">
        <v>400</v>
      </c>
    </row>
    <row r="71" customFormat="false" ht="15" hidden="false" customHeight="false" outlineLevel="0" collapsed="false">
      <c r="A71" s="185" t="s">
        <v>223</v>
      </c>
    </row>
    <row r="73" customFormat="false" ht="51" hidden="false" customHeight="true" outlineLevel="0" collapsed="false">
      <c r="A73" s="78" t="s">
        <v>226</v>
      </c>
      <c r="B73" s="78"/>
      <c r="C73" s="78"/>
      <c r="D73" s="78"/>
      <c r="E73" s="78"/>
    </row>
    <row r="74" customFormat="false" ht="15" hidden="false" customHeight="false" outlineLevel="0" collapsed="false">
      <c r="A74" s="177" t="s">
        <v>291</v>
      </c>
      <c r="B74" s="177" t="s">
        <v>323</v>
      </c>
      <c r="C74" s="177" t="s">
        <v>358</v>
      </c>
      <c r="D74" s="177" t="s">
        <v>325</v>
      </c>
      <c r="E74" s="177" t="s">
        <v>326</v>
      </c>
    </row>
    <row r="75" customFormat="false" ht="15" hidden="false" customHeight="false" outlineLevel="0" collapsed="false">
      <c r="A75" s="178" t="s">
        <v>359</v>
      </c>
      <c r="B75" s="178" t="s">
        <v>327</v>
      </c>
      <c r="C75" s="178" t="n">
        <v>1.2</v>
      </c>
      <c r="D75" s="178" t="n">
        <v>5.5</v>
      </c>
      <c r="E75" s="178" t="n">
        <f aca="false">D75*C75</f>
        <v>6.6</v>
      </c>
    </row>
    <row r="77" customFormat="false" ht="38.25" hidden="false" customHeight="true" outlineLevel="0" collapsed="false">
      <c r="A77" s="78" t="s">
        <v>229</v>
      </c>
      <c r="B77" s="78"/>
      <c r="C77" s="78"/>
      <c r="D77" s="78"/>
      <c r="E77" s="78"/>
    </row>
    <row r="78" customFormat="false" ht="15" hidden="false" customHeight="false" outlineLevel="0" collapsed="false">
      <c r="A78" s="177" t="s">
        <v>291</v>
      </c>
      <c r="B78" s="177" t="s">
        <v>323</v>
      </c>
      <c r="C78" s="177" t="s">
        <v>358</v>
      </c>
      <c r="D78" s="177" t="s">
        <v>325</v>
      </c>
      <c r="E78" s="177" t="s">
        <v>360</v>
      </c>
    </row>
    <row r="79" customFormat="false" ht="15" hidden="false" customHeight="false" outlineLevel="0" collapsed="false">
      <c r="A79" s="178" t="s">
        <v>359</v>
      </c>
      <c r="B79" s="178" t="s">
        <v>361</v>
      </c>
      <c r="C79" s="178" t="n">
        <v>1.2</v>
      </c>
      <c r="D79" s="178" t="n">
        <v>5.5</v>
      </c>
      <c r="E79" s="178" t="n">
        <f aca="false">D79*C79</f>
        <v>6.6</v>
      </c>
    </row>
    <row r="80" customFormat="false" ht="15" hidden="false" customHeight="false" outlineLevel="0" collapsed="false">
      <c r="D80" s="178" t="s">
        <v>362</v>
      </c>
      <c r="E80" s="178"/>
    </row>
  </sheetData>
  <mergeCells count="5">
    <mergeCell ref="A1:G1"/>
    <mergeCell ref="A46:E46"/>
    <mergeCell ref="A65:E65"/>
    <mergeCell ref="A73:E73"/>
    <mergeCell ref="A77:E77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48" width="26.85"/>
    <col collapsed="false" customWidth="true" hidden="false" outlineLevel="0" max="2" min="2" style="2" width="11.86"/>
    <col collapsed="false" customWidth="true" hidden="false" outlineLevel="0" max="4" min="3" style="48" width="9.29"/>
    <col collapsed="false" customWidth="true" hidden="false" outlineLevel="0" max="5" min="5" style="48" width="10"/>
    <col collapsed="false" customWidth="true" hidden="true" outlineLevel="0" max="7" min="6" style="48" width="11.52"/>
    <col collapsed="false" customWidth="true" hidden="true" outlineLevel="0" max="8" min="8" style="48" width="6.57"/>
    <col collapsed="false" customWidth="false" hidden="false" outlineLevel="0" max="256" min="9" style="48" width="9.14"/>
    <col collapsed="false" customWidth="true" hidden="false" outlineLevel="0" max="257" min="257" style="48" width="26.85"/>
    <col collapsed="false" customWidth="true" hidden="false" outlineLevel="0" max="258" min="258" style="48" width="11.86"/>
    <col collapsed="false" customWidth="true" hidden="false" outlineLevel="0" max="260" min="259" style="48" width="9.29"/>
    <col collapsed="false" customWidth="true" hidden="false" outlineLevel="0" max="261" min="261" style="48" width="10"/>
    <col collapsed="false" customWidth="true" hidden="true" outlineLevel="0" max="264" min="262" style="48" width="11.52"/>
    <col collapsed="false" customWidth="false" hidden="false" outlineLevel="0" max="512" min="265" style="48" width="9.14"/>
    <col collapsed="false" customWidth="true" hidden="false" outlineLevel="0" max="513" min="513" style="48" width="26.85"/>
    <col collapsed="false" customWidth="true" hidden="false" outlineLevel="0" max="514" min="514" style="48" width="11.86"/>
    <col collapsed="false" customWidth="true" hidden="false" outlineLevel="0" max="516" min="515" style="48" width="9.29"/>
    <col collapsed="false" customWidth="true" hidden="false" outlineLevel="0" max="517" min="517" style="48" width="10"/>
    <col collapsed="false" customWidth="true" hidden="true" outlineLevel="0" max="520" min="518" style="48" width="11.52"/>
    <col collapsed="false" customWidth="false" hidden="false" outlineLevel="0" max="768" min="521" style="48" width="9.14"/>
    <col collapsed="false" customWidth="true" hidden="false" outlineLevel="0" max="769" min="769" style="48" width="26.85"/>
    <col collapsed="false" customWidth="true" hidden="false" outlineLevel="0" max="770" min="770" style="48" width="11.86"/>
    <col collapsed="false" customWidth="true" hidden="false" outlineLevel="0" max="772" min="771" style="48" width="9.29"/>
    <col collapsed="false" customWidth="true" hidden="false" outlineLevel="0" max="773" min="773" style="48" width="10"/>
    <col collapsed="false" customWidth="true" hidden="true" outlineLevel="0" max="776" min="774" style="48" width="11.52"/>
    <col collapsed="false" customWidth="false" hidden="false" outlineLevel="0" max="1024" min="777" style="48" width="9.14"/>
  </cols>
  <sheetData>
    <row r="1" customFormat="false" ht="15.75" hidden="false" customHeight="false" outlineLevel="0" collapsed="false">
      <c r="A1" s="186" t="s">
        <v>363</v>
      </c>
      <c r="B1" s="186"/>
      <c r="C1" s="186"/>
      <c r="D1" s="186"/>
      <c r="E1" s="186"/>
    </row>
    <row r="2" customFormat="false" ht="15.75" hidden="false" customHeight="false" outlineLevel="0" collapsed="false">
      <c r="A2" s="187" t="s">
        <v>364</v>
      </c>
      <c r="B2" s="187"/>
      <c r="C2" s="188" t="s">
        <v>365</v>
      </c>
      <c r="D2" s="188"/>
      <c r="E2" s="188"/>
    </row>
    <row r="3" s="191" customFormat="true" ht="24" hidden="false" customHeight="false" outlineLevel="0" collapsed="false">
      <c r="A3" s="189" t="s">
        <v>366</v>
      </c>
      <c r="B3" s="190" t="s">
        <v>367</v>
      </c>
      <c r="C3" s="188" t="s">
        <v>368</v>
      </c>
      <c r="D3" s="188" t="s">
        <v>369</v>
      </c>
      <c r="E3" s="188" t="s">
        <v>370</v>
      </c>
    </row>
    <row r="4" customFormat="false" ht="15" hidden="false" customHeight="false" outlineLevel="0" collapsed="false">
      <c r="A4" s="192" t="s">
        <v>371</v>
      </c>
      <c r="B4" s="193" t="n">
        <v>0.03</v>
      </c>
      <c r="C4" s="194" t="n">
        <v>0.03</v>
      </c>
      <c r="D4" s="194" t="n">
        <v>0.04</v>
      </c>
      <c r="E4" s="194" t="n">
        <v>0.055</v>
      </c>
      <c r="F4" s="195" t="n">
        <v>0.04555</v>
      </c>
      <c r="G4" s="195" t="n">
        <v>0.0498</v>
      </c>
      <c r="H4" s="195" t="n">
        <v>0.0516</v>
      </c>
    </row>
    <row r="5" customFormat="false" ht="15" hidden="false" customHeight="false" outlineLevel="0" collapsed="false">
      <c r="A5" s="192" t="s">
        <v>372</v>
      </c>
      <c r="B5" s="193" t="n">
        <v>0.0616</v>
      </c>
      <c r="C5" s="194" t="n">
        <v>0.0616</v>
      </c>
      <c r="D5" s="194" t="n">
        <v>0.074</v>
      </c>
      <c r="E5" s="194" t="n">
        <v>0.0896</v>
      </c>
      <c r="F5" s="195" t="n">
        <v>0.0616</v>
      </c>
      <c r="G5" s="195" t="n">
        <v>0.0616</v>
      </c>
      <c r="H5" s="195" t="n">
        <v>0.0616</v>
      </c>
    </row>
    <row r="6" customFormat="false" ht="15" hidden="false" customHeight="false" outlineLevel="0" collapsed="false">
      <c r="A6" s="192" t="s">
        <v>373</v>
      </c>
      <c r="B6" s="193" t="n">
        <v>0.0059</v>
      </c>
      <c r="C6" s="194" t="n">
        <v>0.0059</v>
      </c>
      <c r="D6" s="194" t="n">
        <v>0.0123</v>
      </c>
      <c r="E6" s="194" t="n">
        <v>0.0139</v>
      </c>
      <c r="F6" s="195" t="n">
        <v>0.0059</v>
      </c>
      <c r="G6" s="195" t="n">
        <v>0.0059</v>
      </c>
      <c r="H6" s="195" t="n">
        <v>0.0059</v>
      </c>
    </row>
    <row r="7" customFormat="false" ht="15" hidden="false" customHeight="false" outlineLevel="0" collapsed="false">
      <c r="A7" s="192" t="s">
        <v>374</v>
      </c>
      <c r="B7" s="193" t="n">
        <v>0.008</v>
      </c>
      <c r="C7" s="194" t="n">
        <v>0.008</v>
      </c>
      <c r="D7" s="194" t="n">
        <v>0.008</v>
      </c>
      <c r="E7" s="194" t="n">
        <v>0.01</v>
      </c>
      <c r="F7" s="195" t="n">
        <v>0.008</v>
      </c>
      <c r="G7" s="195" t="n">
        <v>0.008</v>
      </c>
      <c r="H7" s="195" t="n">
        <v>0.008</v>
      </c>
    </row>
    <row r="8" customFormat="false" ht="15" hidden="false" customHeight="false" outlineLevel="0" collapsed="false">
      <c r="A8" s="192" t="s">
        <v>375</v>
      </c>
      <c r="B8" s="193" t="n">
        <v>0.0097</v>
      </c>
      <c r="C8" s="194" t="n">
        <v>0.0097</v>
      </c>
      <c r="D8" s="194" t="n">
        <v>0.0127</v>
      </c>
      <c r="E8" s="194" t="n">
        <v>0.0127</v>
      </c>
      <c r="F8" s="195" t="n">
        <v>0.0097</v>
      </c>
      <c r="G8" s="195" t="n">
        <v>0.0097</v>
      </c>
      <c r="H8" s="195" t="n">
        <v>0.0097</v>
      </c>
    </row>
    <row r="9" customFormat="false" ht="15" hidden="false" customHeight="false" outlineLevel="0" collapsed="false">
      <c r="A9" s="192" t="s">
        <v>376</v>
      </c>
      <c r="B9" s="196" t="n">
        <f aca="false">B10+B11+B12+B13</f>
        <v>0.0865</v>
      </c>
      <c r="C9" s="197" t="s">
        <v>377</v>
      </c>
      <c r="D9" s="197"/>
      <c r="E9" s="197"/>
      <c r="F9" s="195" t="n">
        <v>0.0765</v>
      </c>
      <c r="G9" s="195" t="n">
        <v>0.0865</v>
      </c>
      <c r="H9" s="195" t="n">
        <v>0.1065</v>
      </c>
    </row>
    <row r="10" customFormat="false" ht="15" hidden="false" customHeight="false" outlineLevel="0" collapsed="false">
      <c r="A10" s="192" t="s">
        <v>378</v>
      </c>
      <c r="B10" s="198" t="n">
        <v>0.0065</v>
      </c>
      <c r="C10" s="197"/>
      <c r="D10" s="197"/>
      <c r="E10" s="197"/>
      <c r="F10" s="195" t="s">
        <v>379</v>
      </c>
      <c r="G10" s="195" t="s">
        <v>379</v>
      </c>
      <c r="H10" s="195" t="s">
        <v>380</v>
      </c>
    </row>
    <row r="11" customFormat="false" ht="15" hidden="false" customHeight="false" outlineLevel="0" collapsed="false">
      <c r="A11" s="192" t="s">
        <v>381</v>
      </c>
      <c r="B11" s="198" t="n">
        <v>0.03</v>
      </c>
      <c r="C11" s="197"/>
      <c r="D11" s="197"/>
      <c r="E11" s="197"/>
      <c r="F11" s="195" t="s">
        <v>379</v>
      </c>
      <c r="G11" s="195" t="s">
        <v>379</v>
      </c>
      <c r="H11" s="195" t="s">
        <v>380</v>
      </c>
    </row>
    <row r="12" customFormat="false" ht="15" hidden="false" customHeight="false" outlineLevel="0" collapsed="false">
      <c r="A12" s="192" t="s">
        <v>382</v>
      </c>
      <c r="B12" s="198" t="n">
        <v>0.05</v>
      </c>
      <c r="C12" s="194" t="s">
        <v>383</v>
      </c>
      <c r="D12" s="194"/>
      <c r="E12" s="194"/>
      <c r="F12" s="195" t="s">
        <v>379</v>
      </c>
      <c r="G12" s="195" t="s">
        <v>379</v>
      </c>
      <c r="H12" s="195" t="s">
        <v>380</v>
      </c>
    </row>
    <row r="13" customFormat="false" ht="15" hidden="false" customHeight="false" outlineLevel="0" collapsed="false">
      <c r="A13" s="192" t="s">
        <v>384</v>
      </c>
      <c r="B13" s="199"/>
      <c r="C13" s="194" t="s">
        <v>385</v>
      </c>
      <c r="D13" s="194"/>
      <c r="E13" s="194"/>
      <c r="F13" s="195" t="n">
        <v>0.02</v>
      </c>
      <c r="G13" s="195" t="n">
        <v>0.02</v>
      </c>
      <c r="H13" s="195" t="n">
        <v>0.02</v>
      </c>
    </row>
    <row r="14" customFormat="false" ht="15.75" hidden="false" customHeight="false" outlineLevel="0" collapsed="false">
      <c r="A14" s="200" t="s">
        <v>386</v>
      </c>
      <c r="B14" s="201" t="n">
        <f aca="false">(((1+B4+B7+B8)*(1+B6)*(1+B5))/(1-B9))-1</f>
        <v>0.224740586850575</v>
      </c>
      <c r="C14" s="197" t="n">
        <v>0.2295</v>
      </c>
      <c r="D14" s="194" t="n">
        <v>0.2479</v>
      </c>
      <c r="E14" s="194" t="n">
        <v>0.278</v>
      </c>
      <c r="F14" s="195" t="n">
        <v>0.2295</v>
      </c>
      <c r="G14" s="195" t="n">
        <v>0.2479</v>
      </c>
      <c r="H14" s="195" t="n">
        <v>0.278</v>
      </c>
    </row>
    <row r="15" customFormat="false" ht="15" hidden="false" customHeight="false" outlineLevel="0" collapsed="false">
      <c r="A15" s="202" t="s">
        <v>387</v>
      </c>
      <c r="B15" s="203"/>
      <c r="C15" s="204"/>
      <c r="D15" s="204"/>
      <c r="E15" s="204"/>
    </row>
    <row r="16" customFormat="false" ht="15" hidden="false" customHeight="true" outlineLevel="0" collapsed="false">
      <c r="A16" s="205" t="s">
        <v>388</v>
      </c>
      <c r="B16" s="205"/>
      <c r="C16" s="194" t="n">
        <v>0.2034</v>
      </c>
      <c r="D16" s="194" t="n">
        <v>0.2212</v>
      </c>
      <c r="E16" s="194" t="n">
        <v>0.25</v>
      </c>
    </row>
    <row r="17" customFormat="false" ht="15" hidden="false" customHeight="false" outlineLevel="0" collapsed="false">
      <c r="A17" s="205"/>
      <c r="B17" s="205"/>
      <c r="C17" s="194"/>
      <c r="D17" s="194"/>
      <c r="E17" s="194"/>
    </row>
  </sheetData>
  <mergeCells count="10">
    <mergeCell ref="A1:E1"/>
    <mergeCell ref="A2:B2"/>
    <mergeCell ref="C2:E2"/>
    <mergeCell ref="C9:E11"/>
    <mergeCell ref="C12:E12"/>
    <mergeCell ref="C13:E13"/>
    <mergeCell ref="A16:B17"/>
    <mergeCell ref="C16:C17"/>
    <mergeCell ref="D16:D17"/>
    <mergeCell ref="E16:E17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3" activeCellId="0" sqref="O33"/>
    </sheetView>
  </sheetViews>
  <sheetFormatPr defaultColWidth="9.15625" defaultRowHeight="15" zeroHeight="false" outlineLevelRow="0" outlineLevelCol="0"/>
  <cols>
    <col collapsed="false" customWidth="true" hidden="false" outlineLevel="0" max="1" min="1" style="48" width="26.85"/>
    <col collapsed="false" customWidth="true" hidden="false" outlineLevel="0" max="2" min="2" style="2" width="11.86"/>
    <col collapsed="false" customWidth="true" hidden="false" outlineLevel="0" max="4" min="3" style="48" width="9.29"/>
    <col collapsed="false" customWidth="true" hidden="false" outlineLevel="0" max="5" min="5" style="48" width="10"/>
    <col collapsed="false" customWidth="true" hidden="true" outlineLevel="0" max="7" min="6" style="48" width="11.52"/>
    <col collapsed="false" customWidth="true" hidden="true" outlineLevel="0" max="8" min="8" style="48" width="6.57"/>
    <col collapsed="false" customWidth="false" hidden="false" outlineLevel="0" max="256" min="9" style="48" width="9.14"/>
    <col collapsed="false" customWidth="true" hidden="false" outlineLevel="0" max="257" min="257" style="48" width="26.85"/>
    <col collapsed="false" customWidth="true" hidden="false" outlineLevel="0" max="258" min="258" style="48" width="11.86"/>
    <col collapsed="false" customWidth="true" hidden="false" outlineLevel="0" max="260" min="259" style="48" width="9.29"/>
    <col collapsed="false" customWidth="true" hidden="false" outlineLevel="0" max="261" min="261" style="48" width="10"/>
    <col collapsed="false" customWidth="true" hidden="true" outlineLevel="0" max="264" min="262" style="48" width="11.52"/>
    <col collapsed="false" customWidth="false" hidden="false" outlineLevel="0" max="512" min="265" style="48" width="9.14"/>
    <col collapsed="false" customWidth="true" hidden="false" outlineLevel="0" max="513" min="513" style="48" width="26.85"/>
    <col collapsed="false" customWidth="true" hidden="false" outlineLevel="0" max="514" min="514" style="48" width="11.86"/>
    <col collapsed="false" customWidth="true" hidden="false" outlineLevel="0" max="516" min="515" style="48" width="9.29"/>
    <col collapsed="false" customWidth="true" hidden="false" outlineLevel="0" max="517" min="517" style="48" width="10"/>
    <col collapsed="false" customWidth="true" hidden="true" outlineLevel="0" max="520" min="518" style="48" width="11.52"/>
    <col collapsed="false" customWidth="false" hidden="false" outlineLevel="0" max="768" min="521" style="48" width="9.14"/>
    <col collapsed="false" customWidth="true" hidden="false" outlineLevel="0" max="769" min="769" style="48" width="26.85"/>
    <col collapsed="false" customWidth="true" hidden="false" outlineLevel="0" max="770" min="770" style="48" width="11.86"/>
    <col collapsed="false" customWidth="true" hidden="false" outlineLevel="0" max="772" min="771" style="48" width="9.29"/>
    <col collapsed="false" customWidth="true" hidden="false" outlineLevel="0" max="773" min="773" style="48" width="10"/>
    <col collapsed="false" customWidth="true" hidden="true" outlineLevel="0" max="776" min="774" style="48" width="11.52"/>
    <col collapsed="false" customWidth="false" hidden="false" outlineLevel="0" max="1024" min="777" style="48" width="9.14"/>
  </cols>
  <sheetData>
    <row r="1" customFormat="false" ht="15.75" hidden="false" customHeight="false" outlineLevel="0" collapsed="false">
      <c r="A1" s="186" t="s">
        <v>363</v>
      </c>
      <c r="B1" s="186"/>
      <c r="C1" s="186"/>
      <c r="D1" s="186"/>
      <c r="E1" s="186"/>
    </row>
    <row r="2" customFormat="false" ht="15.75" hidden="false" customHeight="false" outlineLevel="0" collapsed="false">
      <c r="A2" s="187" t="s">
        <v>364</v>
      </c>
      <c r="B2" s="187"/>
      <c r="C2" s="188" t="s">
        <v>365</v>
      </c>
      <c r="D2" s="188"/>
      <c r="E2" s="188"/>
    </row>
    <row r="3" s="191" customFormat="true" ht="24" hidden="false" customHeight="false" outlineLevel="0" collapsed="false">
      <c r="A3" s="189" t="s">
        <v>366</v>
      </c>
      <c r="B3" s="190" t="s">
        <v>367</v>
      </c>
      <c r="C3" s="188" t="s">
        <v>368</v>
      </c>
      <c r="D3" s="188" t="s">
        <v>369</v>
      </c>
      <c r="E3" s="188" t="s">
        <v>370</v>
      </c>
    </row>
    <row r="4" customFormat="false" ht="15" hidden="false" customHeight="false" outlineLevel="0" collapsed="false">
      <c r="A4" s="192" t="s">
        <v>371</v>
      </c>
      <c r="B4" s="193" t="n">
        <v>0</v>
      </c>
      <c r="C4" s="194" t="n">
        <v>0.03</v>
      </c>
      <c r="D4" s="194" t="n">
        <v>0.04</v>
      </c>
      <c r="E4" s="194" t="n">
        <v>0.055</v>
      </c>
      <c r="F4" s="195" t="n">
        <v>0.04555</v>
      </c>
      <c r="G4" s="195" t="n">
        <v>0.0498</v>
      </c>
      <c r="H4" s="195" t="n">
        <v>0.0516</v>
      </c>
    </row>
    <row r="5" customFormat="false" ht="15" hidden="false" customHeight="false" outlineLevel="0" collapsed="false">
      <c r="A5" s="192" t="s">
        <v>372</v>
      </c>
      <c r="B5" s="193" t="n">
        <v>0.05</v>
      </c>
      <c r="C5" s="194" t="n">
        <v>0.0616</v>
      </c>
      <c r="D5" s="194" t="n">
        <v>0.074</v>
      </c>
      <c r="E5" s="194" t="n">
        <v>0.0896</v>
      </c>
      <c r="F5" s="195" t="n">
        <v>0.0616</v>
      </c>
      <c r="G5" s="195" t="n">
        <v>0.0616</v>
      </c>
      <c r="H5" s="195" t="n">
        <v>0.0616</v>
      </c>
    </row>
    <row r="6" customFormat="false" ht="15" hidden="false" customHeight="false" outlineLevel="0" collapsed="false">
      <c r="A6" s="192" t="s">
        <v>373</v>
      </c>
      <c r="B6" s="193" t="n">
        <v>0</v>
      </c>
      <c r="C6" s="194" t="n">
        <v>0.0059</v>
      </c>
      <c r="D6" s="194" t="n">
        <v>0.0123</v>
      </c>
      <c r="E6" s="194" t="n">
        <v>0.0139</v>
      </c>
      <c r="F6" s="195" t="n">
        <v>0.0059</v>
      </c>
      <c r="G6" s="195" t="n">
        <v>0.0059</v>
      </c>
      <c r="H6" s="195" t="n">
        <v>0.0059</v>
      </c>
    </row>
    <row r="7" customFormat="false" ht="15" hidden="false" customHeight="false" outlineLevel="0" collapsed="false">
      <c r="A7" s="192" t="s">
        <v>374</v>
      </c>
      <c r="B7" s="193" t="n">
        <v>0</v>
      </c>
      <c r="C7" s="194" t="n">
        <v>0.008</v>
      </c>
      <c r="D7" s="194" t="n">
        <v>0.008</v>
      </c>
      <c r="E7" s="194" t="n">
        <v>0.01</v>
      </c>
      <c r="F7" s="195" t="n">
        <v>0.008</v>
      </c>
      <c r="G7" s="195" t="n">
        <v>0.008</v>
      </c>
      <c r="H7" s="195" t="n">
        <v>0.008</v>
      </c>
    </row>
    <row r="8" customFormat="false" ht="15" hidden="false" customHeight="false" outlineLevel="0" collapsed="false">
      <c r="A8" s="192" t="s">
        <v>375</v>
      </c>
      <c r="B8" s="193" t="n">
        <v>0</v>
      </c>
      <c r="C8" s="194" t="n">
        <v>0.0097</v>
      </c>
      <c r="D8" s="194" t="n">
        <v>0.0127</v>
      </c>
      <c r="E8" s="194" t="n">
        <v>0.0127</v>
      </c>
      <c r="F8" s="195" t="n">
        <v>0.0097</v>
      </c>
      <c r="G8" s="195" t="n">
        <v>0.0097</v>
      </c>
      <c r="H8" s="195" t="n">
        <v>0.0097</v>
      </c>
    </row>
    <row r="9" customFormat="false" ht="15" hidden="false" customHeight="false" outlineLevel="0" collapsed="false">
      <c r="A9" s="192" t="s">
        <v>376</v>
      </c>
      <c r="B9" s="196" t="n">
        <f aca="false">B10+B11+B12+B13</f>
        <v>0.0865</v>
      </c>
      <c r="C9" s="197" t="s">
        <v>377</v>
      </c>
      <c r="D9" s="197"/>
      <c r="E9" s="197"/>
      <c r="F9" s="195" t="n">
        <v>0.0765</v>
      </c>
      <c r="G9" s="195" t="n">
        <v>0.0865</v>
      </c>
      <c r="H9" s="195" t="n">
        <v>0.1065</v>
      </c>
    </row>
    <row r="10" customFormat="false" ht="15" hidden="false" customHeight="false" outlineLevel="0" collapsed="false">
      <c r="A10" s="192" t="s">
        <v>378</v>
      </c>
      <c r="B10" s="198" t="n">
        <v>0.0065</v>
      </c>
      <c r="C10" s="197"/>
      <c r="D10" s="197"/>
      <c r="E10" s="197"/>
      <c r="F10" s="195" t="s">
        <v>379</v>
      </c>
      <c r="G10" s="195" t="s">
        <v>379</v>
      </c>
      <c r="H10" s="195" t="s">
        <v>380</v>
      </c>
    </row>
    <row r="11" customFormat="false" ht="15" hidden="false" customHeight="false" outlineLevel="0" collapsed="false">
      <c r="A11" s="192" t="s">
        <v>381</v>
      </c>
      <c r="B11" s="198" t="n">
        <v>0.03</v>
      </c>
      <c r="C11" s="197"/>
      <c r="D11" s="197"/>
      <c r="E11" s="197"/>
      <c r="F11" s="195" t="s">
        <v>379</v>
      </c>
      <c r="G11" s="195" t="s">
        <v>379</v>
      </c>
      <c r="H11" s="195" t="s">
        <v>380</v>
      </c>
    </row>
    <row r="12" customFormat="false" ht="15" hidden="false" customHeight="false" outlineLevel="0" collapsed="false">
      <c r="A12" s="192" t="s">
        <v>382</v>
      </c>
      <c r="B12" s="198" t="n">
        <v>0.05</v>
      </c>
      <c r="C12" s="194" t="s">
        <v>383</v>
      </c>
      <c r="D12" s="194"/>
      <c r="E12" s="194"/>
      <c r="F12" s="195" t="s">
        <v>379</v>
      </c>
      <c r="G12" s="195" t="s">
        <v>379</v>
      </c>
      <c r="H12" s="195" t="s">
        <v>380</v>
      </c>
    </row>
    <row r="13" customFormat="false" ht="15" hidden="false" customHeight="false" outlineLevel="0" collapsed="false">
      <c r="A13" s="192" t="s">
        <v>384</v>
      </c>
      <c r="B13" s="199"/>
      <c r="C13" s="194" t="s">
        <v>385</v>
      </c>
      <c r="D13" s="194"/>
      <c r="E13" s="194"/>
      <c r="F13" s="195" t="n">
        <v>0.02</v>
      </c>
      <c r="G13" s="195" t="n">
        <v>0.02</v>
      </c>
      <c r="H13" s="195" t="n">
        <v>0.02</v>
      </c>
    </row>
    <row r="14" customFormat="false" ht="15.75" hidden="false" customHeight="false" outlineLevel="0" collapsed="false">
      <c r="A14" s="200" t="s">
        <v>386</v>
      </c>
      <c r="B14" s="201" t="n">
        <f aca="false">(((1+B4+B7+B8)*(1+B6)*(1+B5))/(1-B9))-1</f>
        <v>0.149425287356322</v>
      </c>
      <c r="C14" s="197" t="n">
        <v>0.2295</v>
      </c>
      <c r="D14" s="194" t="n">
        <v>0.2479</v>
      </c>
      <c r="E14" s="194" t="n">
        <v>0.278</v>
      </c>
      <c r="F14" s="195" t="n">
        <v>0.2295</v>
      </c>
      <c r="G14" s="195" t="n">
        <v>0.2479</v>
      </c>
      <c r="H14" s="195" t="n">
        <v>0.278</v>
      </c>
    </row>
    <row r="15" customFormat="false" ht="15" hidden="false" customHeight="false" outlineLevel="0" collapsed="false">
      <c r="A15" s="202" t="s">
        <v>387</v>
      </c>
      <c r="B15" s="203"/>
      <c r="C15" s="204"/>
      <c r="D15" s="204"/>
      <c r="E15" s="204"/>
    </row>
    <row r="16" customFormat="false" ht="15" hidden="false" customHeight="true" outlineLevel="0" collapsed="false">
      <c r="A16" s="205" t="s">
        <v>388</v>
      </c>
      <c r="B16" s="205"/>
      <c r="C16" s="194" t="n">
        <v>0.2034</v>
      </c>
      <c r="D16" s="194" t="n">
        <v>0.2212</v>
      </c>
      <c r="E16" s="194" t="n">
        <v>0.25</v>
      </c>
    </row>
    <row r="17" customFormat="false" ht="15" hidden="false" customHeight="false" outlineLevel="0" collapsed="false">
      <c r="A17" s="205"/>
      <c r="B17" s="205"/>
      <c r="C17" s="194"/>
      <c r="D17" s="194"/>
      <c r="E17" s="194"/>
    </row>
  </sheetData>
  <mergeCells count="10">
    <mergeCell ref="A1:E1"/>
    <mergeCell ref="A2:B2"/>
    <mergeCell ref="C2:E2"/>
    <mergeCell ref="C9:E11"/>
    <mergeCell ref="C12:E12"/>
    <mergeCell ref="C13:E13"/>
    <mergeCell ref="A16:B17"/>
    <mergeCell ref="C16:C17"/>
    <mergeCell ref="D16:D17"/>
    <mergeCell ref="E16:E17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G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9" activeCellId="0" sqref="P9"/>
    </sheetView>
  </sheetViews>
  <sheetFormatPr defaultColWidth="8.6875" defaultRowHeight="15" zeroHeight="false" outlineLevelRow="0" outlineLevelCol="0"/>
  <cols>
    <col collapsed="false" customWidth="true" hidden="false" outlineLevel="0" max="3" min="2" style="1" width="9.14"/>
    <col collapsed="false" customWidth="true" hidden="false" outlineLevel="0" max="4" min="4" style="1" width="36.57"/>
    <col collapsed="false" customWidth="true" hidden="false" outlineLevel="0" max="5" min="5" style="1" width="9.14"/>
    <col collapsed="false" customWidth="true" hidden="true" outlineLevel="0" max="6" min="6" style="1" width="11.52"/>
    <col collapsed="false" customWidth="true" hidden="false" outlineLevel="0" max="7" min="7" style="2" width="9.14"/>
  </cols>
  <sheetData>
    <row r="2" customFormat="false" ht="15.75" hidden="false" customHeight="false" outlineLevel="0" collapsed="false"/>
    <row r="3" customFormat="false" ht="15" hidden="false" customHeight="false" outlineLevel="0" collapsed="false">
      <c r="B3" s="37" t="s">
        <v>14</v>
      </c>
      <c r="C3" s="37" t="s">
        <v>15</v>
      </c>
      <c r="D3" s="37" t="s">
        <v>16</v>
      </c>
      <c r="E3" s="37" t="s">
        <v>17</v>
      </c>
      <c r="F3" s="38" t="s">
        <v>18</v>
      </c>
      <c r="G3" s="38" t="s">
        <v>18</v>
      </c>
    </row>
    <row r="4" s="206" customFormat="true" ht="15" hidden="false" customHeight="false" outlineLevel="0" collapsed="false">
      <c r="B4" s="56" t="s">
        <v>89</v>
      </c>
      <c r="C4" s="56" t="s">
        <v>29</v>
      </c>
      <c r="D4" s="207" t="s">
        <v>90</v>
      </c>
      <c r="E4" s="56" t="s">
        <v>91</v>
      </c>
      <c r="F4" s="56" t="n">
        <v>719</v>
      </c>
      <c r="G4" s="56" t="n">
        <f aca="false">F4/2</f>
        <v>359.5</v>
      </c>
    </row>
    <row r="5" s="206" customFormat="true" ht="25.5" hidden="false" customHeight="false" outlineLevel="0" collapsed="false">
      <c r="B5" s="56" t="s">
        <v>93</v>
      </c>
      <c r="C5" s="59" t="s">
        <v>29</v>
      </c>
      <c r="D5" s="58" t="s">
        <v>94</v>
      </c>
      <c r="E5" s="59" t="s">
        <v>35</v>
      </c>
      <c r="F5" s="56" t="n">
        <v>400</v>
      </c>
      <c r="G5" s="56" t="n">
        <f aca="false">F5/2</f>
        <v>200</v>
      </c>
    </row>
    <row r="6" s="206" customFormat="true" ht="38.25" hidden="false" customHeight="false" outlineLevel="0" collapsed="false">
      <c r="B6" s="56" t="s">
        <v>105</v>
      </c>
      <c r="C6" s="59" t="s">
        <v>29</v>
      </c>
      <c r="D6" s="58" t="s">
        <v>106</v>
      </c>
      <c r="E6" s="59" t="s">
        <v>35</v>
      </c>
      <c r="F6" s="56" t="n">
        <v>515</v>
      </c>
      <c r="G6" s="56" t="n">
        <f aca="false">F6/2</f>
        <v>257.5</v>
      </c>
    </row>
    <row r="7" s="206" customFormat="true" ht="25.5" hidden="false" customHeight="false" outlineLevel="0" collapsed="false">
      <c r="B7" s="56" t="s">
        <v>117</v>
      </c>
      <c r="C7" s="59" t="s">
        <v>29</v>
      </c>
      <c r="D7" s="58" t="s">
        <v>118</v>
      </c>
      <c r="E7" s="59" t="s">
        <v>119</v>
      </c>
      <c r="F7" s="56" t="n">
        <f aca="false">33.9+13.75+33.9+18.35+5</f>
        <v>104.9</v>
      </c>
      <c r="G7" s="56" t="n">
        <f aca="false">F7/2</f>
        <v>52.45</v>
      </c>
    </row>
    <row r="8" s="206" customFormat="true" ht="25.5" hidden="false" customHeight="false" outlineLevel="0" collapsed="false">
      <c r="B8" s="71" t="s">
        <v>142</v>
      </c>
      <c r="C8" s="71" t="s">
        <v>10</v>
      </c>
      <c r="D8" s="74" t="s">
        <v>143</v>
      </c>
      <c r="E8" s="71" t="s">
        <v>137</v>
      </c>
      <c r="F8" s="71" t="n">
        <v>54</v>
      </c>
      <c r="G8" s="56" t="n">
        <f aca="false">F8/2</f>
        <v>27</v>
      </c>
    </row>
    <row r="9" s="206" customFormat="true" ht="25.5" hidden="false" customHeight="false" outlineLevel="0" collapsed="false">
      <c r="B9" s="56" t="s">
        <v>248</v>
      </c>
      <c r="C9" s="59" t="s">
        <v>29</v>
      </c>
      <c r="D9" s="58" t="s">
        <v>249</v>
      </c>
      <c r="E9" s="56" t="s">
        <v>53</v>
      </c>
      <c r="F9" s="56" t="n">
        <f aca="false">F7*0.1</f>
        <v>10.49</v>
      </c>
      <c r="G9" s="56" t="n">
        <f aca="false">F9/2</f>
        <v>5.245</v>
      </c>
    </row>
    <row r="12" customFormat="false" ht="30" hidden="false" customHeight="false" outlineLevel="0" collapsed="false">
      <c r="B12" s="56" t="s">
        <v>252</v>
      </c>
      <c r="C12" s="59" t="s">
        <v>10</v>
      </c>
      <c r="D12" s="208" t="s">
        <v>253</v>
      </c>
      <c r="E12" s="56" t="s">
        <v>49</v>
      </c>
      <c r="F12" s="56" t="n">
        <v>8</v>
      </c>
      <c r="G12" s="56" t="n">
        <f aca="false">F12/2</f>
        <v>4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2023-03-16T17:16:24Z</dcterms:created>
  <dc:creator/>
  <dc:description/>
  <dc:language>pt-BR</dc:language>
  <cp:lastModifiedBy/>
  <dcterms:modified xsi:type="dcterms:W3CDTF">2023-04-19T12:17:22Z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