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Z:\DEPARTAMENTO DE PROJETOS NOVOS\LICITAÇÕES\RECAPES APROVADOS\23- DEMANDA 064375_R$ 1 MILHÃO\"/>
    </mc:Choice>
  </mc:AlternateContent>
  <xr:revisionPtr revIDLastSave="0" documentId="13_ncr:1_{F381DA13-4C5A-448B-AA0E-92D1369D710C}" xr6:coauthVersionLast="47" xr6:coauthVersionMax="47" xr10:uidLastSave="{00000000-0000-0000-0000-000000000000}"/>
  <bookViews>
    <workbookView xWindow="-120" yWindow="-120" windowWidth="29040" windowHeight="15840" tabRatio="500" xr2:uid="{00000000-000D-0000-FFFF-FFFF00000000}"/>
  </bookViews>
  <sheets>
    <sheet name="Planilha orçamentária" sheetId="1" r:id="rId1"/>
    <sheet name="Cronograma" sheetId="2" r:id="rId2"/>
  </sheets>
  <definedNames>
    <definedName name="_xlnm.Print_Area" localSheetId="1">Cronograma!$A$1:$J$26</definedName>
    <definedName name="_xlnm.Print_Area" localSheetId="0">'Planilha orçamentária'!$A$1:$I$220</definedName>
    <definedName name="Print_Area_0" localSheetId="0">'Planilha orçamentária'!$A$1:$I$221</definedName>
    <definedName name="Print_Area_0_0" localSheetId="0">'Planilha orçamentária'!$A$1:$I$228</definedName>
    <definedName name="Print_Area_0_0_0" localSheetId="0">'Planilha orçamentária'!$A$1:$I$224</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18" i="2" l="1"/>
  <c r="I16" i="2"/>
  <c r="C16" i="2" s="1"/>
  <c r="I15" i="2"/>
  <c r="C15" i="2" s="1"/>
  <c r="I14" i="2"/>
  <c r="I13" i="2"/>
  <c r="G13" i="2" s="1"/>
  <c r="I12" i="2"/>
  <c r="C12" i="2" s="1"/>
  <c r="I11" i="2"/>
  <c r="E11" i="2" s="1"/>
  <c r="B16" i="2"/>
  <c r="B15" i="2"/>
  <c r="B14" i="2"/>
  <c r="B13" i="2"/>
  <c r="B12" i="2"/>
  <c r="B11" i="2"/>
  <c r="C14" i="2"/>
  <c r="G14" i="2"/>
  <c r="E13" i="2"/>
  <c r="E14" i="2"/>
  <c r="C11" i="2"/>
  <c r="E204" i="1"/>
  <c r="E213" i="1"/>
  <c r="E158" i="1"/>
  <c r="E200" i="1"/>
  <c r="E201" i="1"/>
  <c r="E199" i="1"/>
  <c r="E198" i="1"/>
  <c r="E148" i="1"/>
  <c r="E145" i="1"/>
  <c r="E143" i="1" s="1"/>
  <c r="E85" i="1"/>
  <c r="E30" i="1"/>
  <c r="E41" i="1" s="1"/>
  <c r="E19" i="1"/>
  <c r="E64" i="1"/>
  <c r="E44" i="1"/>
  <c r="E177" i="1"/>
  <c r="E176" i="1"/>
  <c r="E175" i="1"/>
  <c r="E172" i="1"/>
  <c r="E171" i="1"/>
  <c r="E170" i="1"/>
  <c r="E112" i="1"/>
  <c r="E110" i="1"/>
  <c r="E117" i="1"/>
  <c r="E141" i="1"/>
  <c r="E140" i="1"/>
  <c r="E195" i="1"/>
  <c r="E196" i="1"/>
  <c r="E25" i="1"/>
  <c r="E24" i="1"/>
  <c r="E23" i="1"/>
  <c r="E22" i="1"/>
  <c r="E14" i="1"/>
  <c r="E13" i="1"/>
  <c r="E12" i="1"/>
  <c r="E11" i="1"/>
  <c r="E29" i="1"/>
  <c r="E40" i="1" s="1"/>
  <c r="E18" i="1"/>
  <c r="E26" i="1"/>
  <c r="E212" i="1"/>
  <c r="E63" i="1"/>
  <c r="E17" i="1"/>
  <c r="E28" i="1"/>
  <c r="E27" i="1"/>
  <c r="E16" i="1"/>
  <c r="E206" i="1"/>
  <c r="E207" i="1"/>
  <c r="E208" i="1"/>
  <c r="E209" i="1"/>
  <c r="E210" i="1"/>
  <c r="E211" i="1"/>
  <c r="E205" i="1"/>
  <c r="E119" i="1"/>
  <c r="H204" i="1"/>
  <c r="G15" i="2" l="1"/>
  <c r="G12" i="2"/>
  <c r="E15" i="2"/>
  <c r="G16" i="2"/>
  <c r="E12" i="2"/>
  <c r="E16" i="2"/>
  <c r="G11" i="2"/>
  <c r="G17" i="2" s="1"/>
  <c r="C13" i="2"/>
  <c r="E21" i="1"/>
  <c r="E138" i="1"/>
  <c r="E194" i="1"/>
  <c r="I204" i="1"/>
  <c r="I216" i="1" s="1"/>
  <c r="E17" i="2" l="1"/>
  <c r="G18" i="2"/>
  <c r="E192" i="1"/>
  <c r="E191" i="1"/>
  <c r="E190" i="1"/>
  <c r="E187" i="1"/>
  <c r="E186" i="1"/>
  <c r="E183" i="1"/>
  <c r="E182" i="1"/>
  <c r="E181" i="1"/>
  <c r="E160" i="1"/>
  <c r="E161" i="1"/>
  <c r="E135" i="1"/>
  <c r="E133" i="1" s="1"/>
  <c r="E130" i="1"/>
  <c r="E128" i="1" s="1"/>
  <c r="E124" i="1"/>
  <c r="E122" i="1" s="1"/>
  <c r="E114" i="1"/>
  <c r="E111" i="1"/>
  <c r="E109" i="1" s="1"/>
  <c r="E82" i="1"/>
  <c r="E72" i="1"/>
  <c r="E71" i="1" s="1"/>
  <c r="E77" i="1" s="1"/>
  <c r="H71" i="1"/>
  <c r="E180" i="1" l="1"/>
  <c r="E189" i="1"/>
  <c r="E185" i="1"/>
  <c r="E62" i="1"/>
  <c r="E38" i="1"/>
  <c r="E15" i="1"/>
  <c r="E10" i="1" s="1"/>
  <c r="E37" i="1"/>
  <c r="E61" i="1"/>
  <c r="E60" i="1"/>
  <c r="E116" i="1"/>
  <c r="E36" i="1"/>
  <c r="E35" i="1"/>
  <c r="E59" i="1"/>
  <c r="E58" i="1"/>
  <c r="E169" i="1" l="1"/>
  <c r="E39" i="1"/>
  <c r="E174" i="1"/>
  <c r="E167" i="1"/>
  <c r="E166" i="1"/>
  <c r="E165" i="1"/>
  <c r="E162" i="1"/>
  <c r="E106" i="1"/>
  <c r="E67" i="1"/>
  <c r="E76" i="1" s="1"/>
  <c r="E75" i="1" s="1"/>
  <c r="E81" i="1"/>
  <c r="E80" i="1"/>
  <c r="E34" i="1"/>
  <c r="E56" i="1"/>
  <c r="E57" i="1"/>
  <c r="H67" i="1"/>
  <c r="A2" i="2"/>
  <c r="A1" i="2"/>
  <c r="H158" i="1"/>
  <c r="H148" i="1"/>
  <c r="H96" i="1"/>
  <c r="H85" i="1"/>
  <c r="H79" i="1"/>
  <c r="H75" i="1"/>
  <c r="H55" i="1"/>
  <c r="H44" i="1"/>
  <c r="H32" i="1"/>
  <c r="H21" i="1"/>
  <c r="H10" i="1"/>
  <c r="H8" i="1"/>
  <c r="I8" i="1" s="1"/>
  <c r="C3" i="1"/>
  <c r="E55" i="1" l="1"/>
  <c r="I21" i="1"/>
  <c r="E79" i="1"/>
  <c r="I10" i="1"/>
  <c r="E164" i="1"/>
  <c r="E159" i="1"/>
  <c r="E104" i="1"/>
  <c r="E97" i="1"/>
  <c r="I67" i="1"/>
  <c r="E33" i="1"/>
  <c r="E32" i="1" s="1"/>
  <c r="I85" i="1"/>
  <c r="I94" i="1" s="1"/>
  <c r="I44" i="1"/>
  <c r="I148" i="1"/>
  <c r="E96" i="1" l="1"/>
  <c r="I96" i="1" s="1"/>
  <c r="I158" i="1"/>
  <c r="I75" i="1"/>
  <c r="I71" i="1"/>
  <c r="I79" i="1"/>
  <c r="I83" i="1" l="1"/>
  <c r="I202" i="1"/>
  <c r="I55" i="1" l="1"/>
  <c r="I65" i="1" s="1"/>
  <c r="I32" i="1" l="1"/>
  <c r="I42" i="1" s="1"/>
  <c r="I217" i="1" s="1"/>
  <c r="C17" i="2" l="1"/>
  <c r="I17" i="2"/>
  <c r="C18" i="2" l="1"/>
  <c r="D17" i="2"/>
  <c r="D18" i="2" s="1"/>
  <c r="F18" i="2" s="1"/>
  <c r="H18" i="2" s="1"/>
  <c r="H17" i="2"/>
  <c r="F17" i="2"/>
  <c r="J15" i="2"/>
  <c r="J16" i="2"/>
  <c r="J12" i="2"/>
  <c r="J13" i="2"/>
  <c r="J14" i="2"/>
  <c r="J11" i="2"/>
  <c r="J17" i="2" l="1"/>
</calcChain>
</file>

<file path=xl/sharedStrings.xml><?xml version="1.0" encoding="utf-8"?>
<sst xmlns="http://schemas.openxmlformats.org/spreadsheetml/2006/main" count="263" uniqueCount="119">
  <si>
    <t>PLANILHA ORÇAMENTÁRIA</t>
  </si>
  <si>
    <t>MUNICÍPIO:</t>
  </si>
  <si>
    <r>
      <rPr>
        <b/>
        <sz val="11"/>
        <color rgb="FF000000"/>
        <rFont val="Calibri"/>
        <family val="2"/>
        <charset val="1"/>
      </rPr>
      <t xml:space="preserve"> </t>
    </r>
    <r>
      <rPr>
        <sz val="11"/>
        <color rgb="FF000000"/>
        <rFont val="Calibri"/>
        <family val="2"/>
        <charset val="1"/>
      </rPr>
      <t>BOITUVA</t>
    </r>
  </si>
  <si>
    <t>OBJETO:</t>
  </si>
  <si>
    <t>REFERÊNCIA:</t>
  </si>
  <si>
    <t>LOCAL:</t>
  </si>
  <si>
    <t>BDI NÃO DESONERADO:</t>
  </si>
  <si>
    <t>ITEM</t>
  </si>
  <si>
    <t>CÓD.</t>
  </si>
  <si>
    <t>DESCRIÇÃO DOS SERVIÇOS</t>
  </si>
  <si>
    <t>QUANT.</t>
  </si>
  <si>
    <t xml:space="preserve">UN. </t>
  </si>
  <si>
    <t>VALOR UNITÁRIO SEM BDI</t>
  </si>
  <si>
    <t>VALOR UNITÁRIO COM BDI</t>
  </si>
  <si>
    <t>TOTAL (R$) NÃO DESONERADO</t>
  </si>
  <si>
    <t>Serviços Preliminares</t>
  </si>
  <si>
    <t>1.1</t>
  </si>
  <si>
    <t>CDHU 02.08.020</t>
  </si>
  <si>
    <t>Placa de identificação para obra</t>
  </si>
  <si>
    <t>m²</t>
  </si>
  <si>
    <t>1.2</t>
  </si>
  <si>
    <t>CDHU 03.07.050</t>
  </si>
  <si>
    <t>Fresagem de pavimento asfáltico com espessura até 5 cm, inclusive carregamento, transporte até 1 quilômetro e descarregamento</t>
  </si>
  <si>
    <t>1.3</t>
  </si>
  <si>
    <t>CDHU 54.03.230</t>
  </si>
  <si>
    <t>Imprimação betuminosa ligante</t>
  </si>
  <si>
    <t>1.4</t>
  </si>
  <si>
    <t>CDHU 54.03.200</t>
  </si>
  <si>
    <t>Concreto asfáltico usinado a quente - Binder</t>
  </si>
  <si>
    <t>m³</t>
  </si>
  <si>
    <t>SUBTOTAL</t>
  </si>
  <si>
    <t>Capa asfáltica</t>
  </si>
  <si>
    <t>2.1</t>
  </si>
  <si>
    <t>2.2</t>
  </si>
  <si>
    <t>CDHU 54.03.210</t>
  </si>
  <si>
    <t>Camada de rolamento em concreto betuminoso usinado quente - CBUQ</t>
  </si>
  <si>
    <t>Sarjetão</t>
  </si>
  <si>
    <t>3.4</t>
  </si>
  <si>
    <t>CDHU 05.07.060</t>
  </si>
  <si>
    <t>Remoção de entulho de obra com caçamba metálica - material rejeitado e misturado por vegetação, isopor, manta asfáltica e lã de vidro</t>
  </si>
  <si>
    <t>CDHU 54.06.170</t>
  </si>
  <si>
    <t>Sarjeta ou sarjetão moldado no local, tipo PMSP em concreto com FCK 25 Mpa</t>
  </si>
  <si>
    <t>Levantamento de Poço de Visita</t>
  </si>
  <si>
    <t>4.1</t>
  </si>
  <si>
    <t>Levantamento ou rebaixamento de tampão de poço de visita</t>
  </si>
  <si>
    <t xml:space="preserve">un   </t>
  </si>
  <si>
    <t xml:space="preserve">Sinalização </t>
  </si>
  <si>
    <t>5.1</t>
  </si>
  <si>
    <t>CDHU 70.02.010</t>
  </si>
  <si>
    <t>Sinalização horizontal com tinta vinílica ou acrílica, para faixas (diversas cores)</t>
  </si>
  <si>
    <t>5.2</t>
  </si>
  <si>
    <t>CDHU 70.04.001</t>
  </si>
  <si>
    <t>Coluna simples (PP), diâmetro de 2 1/2" e comprimento de 3,6m</t>
  </si>
  <si>
    <t xml:space="preserve">un </t>
  </si>
  <si>
    <t>5.3</t>
  </si>
  <si>
    <t>CDHU 70.03.003</t>
  </si>
  <si>
    <t>Placa para sinalização viária em chapa de aço, totalmente refletiva com película III/III - área até 2,0m²</t>
  </si>
  <si>
    <t>TOTAL DO ORÇAMENTO</t>
  </si>
  <si>
    <t>Recapeamento de vias do município de Boituva.</t>
  </si>
  <si>
    <t>LOCAL</t>
  </si>
  <si>
    <t>CRONOGRAMA</t>
  </si>
  <si>
    <t>item</t>
  </si>
  <si>
    <t>DESCRIÇÃO</t>
  </si>
  <si>
    <t>%</t>
  </si>
  <si>
    <t>TOTAL</t>
  </si>
  <si>
    <t>somatória</t>
  </si>
  <si>
    <t>retenção</t>
  </si>
  <si>
    <t>retangular</t>
  </si>
  <si>
    <t>octagonal</t>
  </si>
  <si>
    <t>escrita</t>
  </si>
  <si>
    <t>linha divisão de fluxo</t>
  </si>
  <si>
    <t>3.3</t>
  </si>
  <si>
    <t>demolição pavimento</t>
  </si>
  <si>
    <t>CDHU 03.01.250</t>
  </si>
  <si>
    <t>Demolição mecanizada de pavimento ou piso em concreto, inclusive fragmentação e acomodação do material</t>
  </si>
  <si>
    <t>Rua Delfino Walter</t>
  </si>
  <si>
    <t>Rua Joaquim Antonio da Silva</t>
  </si>
  <si>
    <t>faixa pedestre</t>
  </si>
  <si>
    <t>faixa amarela</t>
  </si>
  <si>
    <t>vagas</t>
  </si>
  <si>
    <t>circular</t>
  </si>
  <si>
    <t xml:space="preserve"> </t>
  </si>
  <si>
    <t>CDHU 191</t>
  </si>
  <si>
    <t>Rua Nelson Andrade</t>
  </si>
  <si>
    <t>Rua Almerio José Dorighello</t>
  </si>
  <si>
    <t>lombada</t>
  </si>
  <si>
    <t>faixa de pedestre</t>
  </si>
  <si>
    <t>Rua Antonio Penatti</t>
  </si>
  <si>
    <t>Rua Dino Bruno Labronici</t>
  </si>
  <si>
    <t>Rua Lourdes Lisboa Dalmazzo</t>
  </si>
  <si>
    <t>3.1</t>
  </si>
  <si>
    <t>CDHU 03.01.270</t>
  </si>
  <si>
    <t>Demolição mecanizada de sarjeta ou sarjetão, inclusive fragmentação e acomodação do material</t>
  </si>
  <si>
    <t xml:space="preserve">demolição sarjetão </t>
  </si>
  <si>
    <t>Rua Antonio Penati</t>
  </si>
  <si>
    <t>faixa pedestre + retenção</t>
  </si>
  <si>
    <t>linha divisão de fluxo + lombada</t>
  </si>
  <si>
    <t>quadrada</t>
  </si>
  <si>
    <t>quadrado</t>
  </si>
  <si>
    <t>Serviços Complementares</t>
  </si>
  <si>
    <t>CDHU 01.20.280</t>
  </si>
  <si>
    <t>Levantamento planimétrico de área pavimentada para veículo e pedestre</t>
  </si>
  <si>
    <t>Rua Orlando Maciel de Lima</t>
  </si>
  <si>
    <t>3.2</t>
  </si>
  <si>
    <t>6.1</t>
  </si>
  <si>
    <t>faixa de pedestre + retenção</t>
  </si>
  <si>
    <t>linha divisão de fluxo + faixa amarela</t>
  </si>
  <si>
    <t>lombada - linha divisão de fluxo</t>
  </si>
  <si>
    <t>vaga</t>
  </si>
  <si>
    <t>Rua Almério José Dorighello</t>
  </si>
  <si>
    <t>Prefeitura do Município de Boituva, aos 06/12/2023</t>
  </si>
  <si>
    <t>Rua Delfino Walter, Rua Joaquim Antonio da Silva, Rua Nelson Andrade, Rua Almério José Dorighello, Rua Antonio Penatti, Rua Dino Bruno Labronici, Rua Lourdes Lisboa Dalmazzo, Rua Orlando Maciel de Lima e Rua Albertina Batista Pacheco</t>
  </si>
  <si>
    <t>Rua Albertina Batista Pacheco</t>
  </si>
  <si>
    <t>lombada+linha divisão de fluxo</t>
  </si>
  <si>
    <t>(SIURB 07/2023) 06-21-00</t>
  </si>
  <si>
    <t>CDHU 191 - NÃO DESONERADO</t>
  </si>
  <si>
    <t>1ª MÊS</t>
  </si>
  <si>
    <t>2ª MÊS</t>
  </si>
  <si>
    <t>3ª MÊS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</si>
</sst>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quot;R$&quot;#,##0.00"/>
  </numFmts>
  <fonts count="12" x14ac:knownFonts="1">
    <font>
      <sz val="11"/>
      <color rgb="FF000000"/>
      <name val="Calibri"/>
      <family val="2"/>
      <charset val="1"/>
    </font>
    <font>
      <sz val="10"/>
      <name val="Arial"/>
      <family val="2"/>
      <charset val="1"/>
    </font>
    <font>
      <b/>
      <sz val="11"/>
      <color rgb="FF000000"/>
      <name val="Calibri"/>
      <family val="2"/>
      <charset val="1"/>
    </font>
    <font>
      <b/>
      <sz val="12"/>
      <color rgb="FF000000"/>
      <name val="Calibri"/>
      <family val="2"/>
      <charset val="1"/>
    </font>
    <font>
      <sz val="11"/>
      <name val="Calibri"/>
      <family val="2"/>
      <charset val="1"/>
    </font>
    <font>
      <b/>
      <sz val="10"/>
      <color rgb="FF000000"/>
      <name val="Calibri"/>
      <family val="2"/>
      <charset val="1"/>
    </font>
    <font>
      <sz val="10"/>
      <color rgb="FF000000"/>
      <name val="Calibri"/>
      <family val="2"/>
      <charset val="1"/>
    </font>
    <font>
      <sz val="10"/>
      <name val="Calibri"/>
      <family val="2"/>
      <charset val="1"/>
    </font>
    <font>
      <sz val="12"/>
      <name val="Arial"/>
      <family val="2"/>
      <charset val="1"/>
    </font>
    <font>
      <b/>
      <sz val="20"/>
      <color rgb="FF000000"/>
      <name val="Calibri"/>
      <family val="2"/>
      <charset val="1"/>
    </font>
    <font>
      <sz val="11"/>
      <color rgb="FF000000"/>
      <name val="Calibri"/>
      <family val="2"/>
      <charset val="1"/>
    </font>
    <font>
      <b/>
      <sz val="10"/>
      <color rgb="FF000000"/>
      <name val="Calibri"/>
      <family val="2"/>
    </font>
  </fonts>
  <fills count="3">
    <fill>
      <patternFill patternType="none"/>
    </fill>
    <fill>
      <patternFill patternType="gray125"/>
    </fill>
    <fill>
      <patternFill patternType="solid">
        <fgColor rgb="FFFFFFFF"/>
        <bgColor rgb="FFFFFFCC"/>
      </patternFill>
    </fill>
  </fills>
  <borders count="17">
    <border>
      <left/>
      <right/>
      <top/>
      <bottom/>
      <diagonal/>
    </border>
    <border>
      <left/>
      <right style="hair">
        <color auto="1"/>
      </right>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10" fillId="0" borderId="0"/>
    <xf numFmtId="0" fontId="1" fillId="0" borderId="0"/>
    <xf numFmtId="9" fontId="10" fillId="0" borderId="0" applyFont="0" applyFill="0" applyBorder="0" applyAlignment="0" applyProtection="0"/>
  </cellStyleXfs>
  <cellXfs count="81">
    <xf numFmtId="0" fontId="0" fillId="0" borderId="0" xfId="0"/>
    <xf numFmtId="0" fontId="6" fillId="2" borderId="3" xfId="1" applyFont="1" applyFill="1" applyBorder="1" applyAlignment="1">
      <alignment horizontal="center" vertical="center"/>
    </xf>
    <xf numFmtId="0" fontId="5" fillId="2" borderId="3" xfId="1" applyFont="1" applyFill="1" applyBorder="1" applyAlignment="1">
      <alignment horizontal="center" vertical="center"/>
    </xf>
    <xf numFmtId="0" fontId="2" fillId="2" borderId="0" xfId="1" applyFont="1" applyFill="1" applyAlignment="1">
      <alignment horizontal="left" vertical="center"/>
    </xf>
    <xf numFmtId="0" fontId="3" fillId="2" borderId="0" xfId="1" applyFont="1" applyFill="1" applyAlignment="1">
      <alignment horizontal="center" vertical="center"/>
    </xf>
    <xf numFmtId="2" fontId="0" fillId="0" borderId="0" xfId="0" applyNumberFormat="1" applyAlignment="1">
      <alignment horizontal="center" vertical="center"/>
    </xf>
    <xf numFmtId="4" fontId="2" fillId="0" borderId="0" xfId="0" applyNumberFormat="1" applyFont="1" applyAlignment="1">
      <alignment horizontal="center"/>
    </xf>
    <xf numFmtId="0" fontId="0" fillId="2" borderId="0" xfId="0" applyFill="1"/>
    <xf numFmtId="2" fontId="3" fillId="2" borderId="0" xfId="1" applyNumberFormat="1" applyFont="1" applyFill="1" applyAlignment="1">
      <alignment horizontal="center" vertical="center"/>
    </xf>
    <xf numFmtId="4" fontId="3" fillId="2" borderId="0" xfId="1" applyNumberFormat="1" applyFont="1" applyFill="1" applyAlignment="1">
      <alignment horizontal="center" vertical="center"/>
    </xf>
    <xf numFmtId="164" fontId="10" fillId="2" borderId="2" xfId="1" applyNumberFormat="1" applyFill="1" applyBorder="1" applyAlignment="1">
      <alignment horizontal="center" vertical="center"/>
    </xf>
    <xf numFmtId="4" fontId="2" fillId="2" borderId="0" xfId="1" applyNumberFormat="1" applyFont="1" applyFill="1" applyAlignment="1">
      <alignment horizontal="center" vertical="center"/>
    </xf>
    <xf numFmtId="0" fontId="5" fillId="2" borderId="3" xfId="1" applyFont="1" applyFill="1" applyBorder="1" applyAlignment="1">
      <alignment horizontal="center" vertical="center" wrapText="1"/>
    </xf>
    <xf numFmtId="2" fontId="5" fillId="2" borderId="3" xfId="1" applyNumberFormat="1" applyFont="1" applyFill="1" applyBorder="1" applyAlignment="1">
      <alignment horizontal="center" vertical="center"/>
    </xf>
    <xf numFmtId="4" fontId="5" fillId="2" borderId="3" xfId="1" applyNumberFormat="1" applyFont="1" applyFill="1" applyBorder="1" applyAlignment="1">
      <alignment horizontal="center" vertical="center" wrapText="1"/>
    </xf>
    <xf numFmtId="4" fontId="6" fillId="2" borderId="3" xfId="1" applyNumberFormat="1" applyFont="1" applyFill="1" applyBorder="1" applyAlignment="1">
      <alignment vertical="center"/>
    </xf>
    <xf numFmtId="0" fontId="6" fillId="2" borderId="3" xfId="1" applyFont="1" applyFill="1" applyBorder="1" applyAlignment="1">
      <alignment horizontal="left" vertical="center"/>
    </xf>
    <xf numFmtId="2" fontId="6" fillId="2" borderId="3" xfId="1" applyNumberFormat="1" applyFont="1" applyFill="1" applyBorder="1" applyAlignment="1">
      <alignment horizontal="center" vertical="center"/>
    </xf>
    <xf numFmtId="4" fontId="6" fillId="2" borderId="3" xfId="1" applyNumberFormat="1" applyFont="1" applyFill="1" applyBorder="1" applyAlignment="1">
      <alignment horizontal="center"/>
    </xf>
    <xf numFmtId="165" fontId="6" fillId="2" borderId="3" xfId="1" applyNumberFormat="1" applyFont="1" applyFill="1" applyBorder="1" applyAlignment="1">
      <alignment horizontal="center" vertical="center"/>
    </xf>
    <xf numFmtId="165" fontId="0" fillId="2" borderId="0" xfId="0" applyNumberFormat="1" applyFill="1"/>
    <xf numFmtId="2" fontId="6" fillId="2" borderId="2" xfId="1" applyNumberFormat="1" applyFont="1" applyFill="1" applyBorder="1" applyAlignment="1">
      <alignment horizontal="center" vertical="center"/>
    </xf>
    <xf numFmtId="0" fontId="6" fillId="2" borderId="3" xfId="1" applyFont="1" applyFill="1" applyBorder="1" applyAlignment="1">
      <alignment horizontal="center"/>
    </xf>
    <xf numFmtId="0" fontId="6" fillId="2" borderId="3" xfId="1" applyFont="1" applyFill="1" applyBorder="1" applyAlignment="1">
      <alignment horizontal="left" vertical="center" wrapText="1"/>
    </xf>
    <xf numFmtId="165" fontId="6" fillId="2" borderId="3" xfId="1" applyNumberFormat="1" applyFont="1" applyFill="1" applyBorder="1" applyAlignment="1">
      <alignment horizontal="center"/>
    </xf>
    <xf numFmtId="165" fontId="5" fillId="2" borderId="3" xfId="1" applyNumberFormat="1" applyFont="1" applyFill="1" applyBorder="1" applyAlignment="1">
      <alignment horizontal="center" vertical="center"/>
    </xf>
    <xf numFmtId="0" fontId="7" fillId="2" borderId="3" xfId="1" applyFont="1" applyFill="1" applyBorder="1" applyAlignment="1">
      <alignment horizontal="left" vertical="center" wrapText="1"/>
    </xf>
    <xf numFmtId="0" fontId="5" fillId="2" borderId="2" xfId="1" applyFont="1" applyFill="1" applyBorder="1" applyAlignment="1">
      <alignment horizontal="left" vertical="center"/>
    </xf>
    <xf numFmtId="4" fontId="6" fillId="2" borderId="3" xfId="1" applyNumberFormat="1" applyFont="1" applyFill="1" applyBorder="1" applyAlignment="1">
      <alignment horizontal="center" vertical="center"/>
    </xf>
    <xf numFmtId="0" fontId="10" fillId="2" borderId="0" xfId="1" applyFill="1"/>
    <xf numFmtId="0" fontId="0" fillId="2" borderId="0" xfId="1" applyFont="1" applyFill="1"/>
    <xf numFmtId="2" fontId="0" fillId="2" borderId="0" xfId="1" applyNumberFormat="1" applyFont="1" applyFill="1" applyAlignment="1">
      <alignment horizontal="center" vertical="center"/>
    </xf>
    <xf numFmtId="4" fontId="2" fillId="2" borderId="0" xfId="1" applyNumberFormat="1" applyFont="1" applyFill="1" applyAlignment="1">
      <alignment horizontal="center"/>
    </xf>
    <xf numFmtId="0" fontId="0" fillId="2" borderId="0" xfId="0" applyFill="1" applyAlignment="1">
      <alignment horizontal="center"/>
    </xf>
    <xf numFmtId="2" fontId="0" fillId="2" borderId="0" xfId="0" applyNumberFormat="1" applyFill="1" applyAlignment="1">
      <alignment horizontal="center" vertical="center"/>
    </xf>
    <xf numFmtId="4" fontId="2" fillId="2" borderId="0" xfId="0" applyNumberFormat="1" applyFont="1" applyFill="1" applyAlignment="1">
      <alignment horizontal="center"/>
    </xf>
    <xf numFmtId="0" fontId="0" fillId="0" borderId="4" xfId="0" applyBorder="1" applyAlignment="1">
      <alignment horizontal="center"/>
    </xf>
    <xf numFmtId="0" fontId="0" fillId="0" borderId="5" xfId="0" applyBorder="1"/>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3" xfId="0" applyBorder="1"/>
    <xf numFmtId="165" fontId="0" fillId="0" borderId="3" xfId="0" applyNumberFormat="1" applyBorder="1" applyAlignment="1">
      <alignment horizontal="center"/>
    </xf>
    <xf numFmtId="10" fontId="0" fillId="0" borderId="3" xfId="0" applyNumberFormat="1" applyBorder="1" applyAlignment="1">
      <alignment horizontal="center"/>
    </xf>
    <xf numFmtId="10" fontId="0" fillId="0" borderId="8" xfId="0" applyNumberFormat="1" applyBorder="1" applyAlignment="1">
      <alignment horizontal="center"/>
    </xf>
    <xf numFmtId="165" fontId="0" fillId="0" borderId="7" xfId="0" applyNumberFormat="1" applyBorder="1" applyAlignment="1">
      <alignment horizontal="center"/>
    </xf>
    <xf numFmtId="0" fontId="0" fillId="0" borderId="9" xfId="0" applyBorder="1"/>
    <xf numFmtId="165" fontId="2" fillId="0" borderId="3" xfId="0" applyNumberFormat="1" applyFont="1" applyBorder="1" applyAlignment="1">
      <alignment horizontal="center"/>
    </xf>
    <xf numFmtId="10" fontId="2" fillId="0" borderId="3" xfId="0" applyNumberFormat="1" applyFont="1" applyBorder="1" applyAlignment="1">
      <alignment horizontal="center"/>
    </xf>
    <xf numFmtId="10" fontId="2" fillId="0" borderId="8" xfId="0" applyNumberFormat="1" applyFont="1" applyBorder="1" applyAlignment="1">
      <alignment horizontal="center"/>
    </xf>
    <xf numFmtId="165" fontId="2" fillId="0" borderId="12" xfId="0" applyNumberFormat="1" applyFont="1" applyBorder="1" applyAlignment="1">
      <alignment horizontal="center"/>
    </xf>
    <xf numFmtId="10" fontId="2" fillId="0" borderId="12" xfId="0" applyNumberFormat="1" applyFont="1" applyBorder="1" applyAlignment="1">
      <alignment horizontal="center"/>
    </xf>
    <xf numFmtId="10" fontId="2" fillId="0" borderId="13" xfId="0" applyNumberFormat="1" applyFont="1" applyBorder="1" applyAlignment="1">
      <alignment horizontal="center"/>
    </xf>
    <xf numFmtId="0" fontId="11" fillId="2" borderId="3" xfId="1" applyFont="1" applyFill="1" applyBorder="1" applyAlignment="1">
      <alignment horizontal="left" vertical="center"/>
    </xf>
    <xf numFmtId="2" fontId="11" fillId="2" borderId="3" xfId="1" applyNumberFormat="1" applyFont="1" applyFill="1" applyBorder="1" applyAlignment="1">
      <alignment horizontal="center" vertical="center"/>
    </xf>
    <xf numFmtId="0" fontId="6" fillId="2" borderId="14"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16" xfId="1" applyFont="1" applyFill="1" applyBorder="1" applyAlignment="1">
      <alignment horizontal="center" vertical="center"/>
    </xf>
    <xf numFmtId="0" fontId="5" fillId="2" borderId="14" xfId="1" applyFont="1" applyFill="1" applyBorder="1" applyAlignment="1">
      <alignment horizontal="right" vertical="center"/>
    </xf>
    <xf numFmtId="0" fontId="5" fillId="2" borderId="15" xfId="1" applyFont="1" applyFill="1" applyBorder="1" applyAlignment="1">
      <alignment horizontal="right" vertical="center"/>
    </xf>
    <xf numFmtId="0" fontId="5" fillId="2" borderId="16" xfId="1" applyFont="1" applyFill="1" applyBorder="1" applyAlignment="1">
      <alignment horizontal="right" vertical="center"/>
    </xf>
    <xf numFmtId="0" fontId="6" fillId="2" borderId="3" xfId="1" applyFont="1" applyFill="1" applyBorder="1" applyAlignment="1">
      <alignment horizontal="center" vertical="center"/>
    </xf>
    <xf numFmtId="0" fontId="5" fillId="2" borderId="3" xfId="1" applyFont="1" applyFill="1" applyBorder="1" applyAlignment="1">
      <alignment horizontal="center" vertical="center"/>
    </xf>
    <xf numFmtId="0" fontId="6" fillId="0" borderId="3" xfId="1" applyFont="1" applyBorder="1" applyAlignment="1">
      <alignment horizontal="center" vertical="center"/>
    </xf>
    <xf numFmtId="0" fontId="5" fillId="2" borderId="3" xfId="1" applyFont="1" applyFill="1" applyBorder="1" applyAlignment="1">
      <alignment horizontal="right" vertical="center"/>
    </xf>
    <xf numFmtId="0" fontId="3" fillId="2" borderId="0" xfId="1" applyFont="1" applyFill="1" applyAlignment="1">
      <alignment horizontal="center" vertical="center"/>
    </xf>
    <xf numFmtId="0" fontId="2" fillId="2" borderId="0" xfId="1" applyFont="1" applyFill="1" applyAlignment="1">
      <alignment horizontal="left" vertical="center"/>
    </xf>
    <xf numFmtId="0" fontId="0" fillId="2" borderId="0" xfId="1" applyFont="1" applyFill="1" applyAlignment="1">
      <alignment horizontal="left" vertical="center"/>
    </xf>
    <xf numFmtId="0" fontId="4" fillId="2" borderId="0" xfId="1" applyFont="1" applyFill="1" applyAlignment="1">
      <alignment horizontal="left" vertical="center"/>
    </xf>
    <xf numFmtId="164" fontId="0" fillId="2" borderId="1" xfId="1" applyNumberFormat="1" applyFont="1" applyFill="1" applyBorder="1" applyAlignment="1">
      <alignment horizontal="left" vertical="center" wrapText="1" shrinkToFit="1"/>
    </xf>
    <xf numFmtId="0" fontId="2" fillId="2" borderId="2" xfId="0" applyFont="1" applyFill="1" applyBorder="1" applyAlignment="1">
      <alignment horizontal="center" vertical="center"/>
    </xf>
    <xf numFmtId="0" fontId="0" fillId="2" borderId="0" xfId="1" applyFont="1" applyFill="1" applyAlignment="1">
      <alignment horizontal="right" vertical="center"/>
    </xf>
    <xf numFmtId="0" fontId="8" fillId="0" borderId="0" xfId="0" applyFont="1" applyAlignment="1">
      <alignment horizontal="left" wrapText="1" shrinkToFit="1"/>
    </xf>
    <xf numFmtId="0" fontId="1" fillId="0" borderId="0" xfId="0" applyFont="1" applyAlignment="1">
      <alignment horizontal="left" vertical="center" wrapText="1" shrinkToFit="1"/>
    </xf>
    <xf numFmtId="0" fontId="9" fillId="0" borderId="0" xfId="0" applyFont="1" applyAlignment="1">
      <alignment horizontal="center"/>
    </xf>
    <xf numFmtId="0" fontId="2" fillId="0" borderId="10" xfId="0" applyFont="1" applyBorder="1" applyAlignment="1">
      <alignment horizontal="center" vertical="center"/>
    </xf>
    <xf numFmtId="165" fontId="2" fillId="0" borderId="10" xfId="0" applyNumberFormat="1" applyFont="1" applyBorder="1" applyAlignment="1">
      <alignment vertical="center"/>
    </xf>
    <xf numFmtId="10" fontId="2" fillId="0" borderId="11" xfId="0" applyNumberFormat="1" applyFont="1" applyBorder="1" applyAlignment="1">
      <alignment horizontal="center" vertical="center"/>
    </xf>
    <xf numFmtId="9" fontId="6" fillId="2" borderId="3" xfId="3" applyFont="1" applyFill="1" applyBorder="1" applyAlignment="1">
      <alignment horizontal="center"/>
    </xf>
    <xf numFmtId="9" fontId="6" fillId="2" borderId="3" xfId="3" applyFont="1" applyFill="1" applyBorder="1" applyAlignment="1">
      <alignment horizontal="center" vertical="center"/>
    </xf>
  </cellXfs>
  <cellStyles count="4">
    <cellStyle name="Normal" xfId="0" builtinId="0"/>
    <cellStyle name="Normal 2" xfId="1" xr:uid="{00000000-0005-0000-0000-000006000000}"/>
    <cellStyle name="Normal 3" xfId="2" xr:uid="{00000000-0005-0000-0000-000007000000}"/>
    <cellStyle name="Porcentagem"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57150</xdr:rowOff>
    </xdr:from>
    <xdr:to>
      <xdr:col>8</xdr:col>
      <xdr:colOff>47624</xdr:colOff>
      <xdr:row>3</xdr:row>
      <xdr:rowOff>182460</xdr:rowOff>
    </xdr:to>
    <xdr:pic>
      <xdr:nvPicPr>
        <xdr:cNvPr id="2" name="Figura1">
          <a:extLst>
            <a:ext uri="{FF2B5EF4-FFF2-40B4-BE49-F238E27FC236}">
              <a16:creationId xmlns:a16="http://schemas.microsoft.com/office/drawing/2014/main" id="{9C78B127-D413-4590-B78B-970CDFE130CD}"/>
            </a:ext>
          </a:extLst>
        </xdr:cNvPr>
        <xdr:cNvPicPr>
          <a:picLocks noChangeAspect="1"/>
        </xdr:cNvPicPr>
      </xdr:nvPicPr>
      <xdr:blipFill>
        <a:blip xmlns:r="http://schemas.openxmlformats.org/officeDocument/2006/relationships" r:embed="rId1"/>
        <a:srcRect l="-9" t="-44" r="-9" b="-44"/>
        <a:stretch>
          <a:fillRect/>
        </a:stretch>
      </xdr:blipFill>
      <xdr:spPr bwMode="auto">
        <a:xfrm>
          <a:off x="6124575" y="57150"/>
          <a:ext cx="3400424" cy="715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69273</xdr:colOff>
      <xdr:row>0</xdr:row>
      <xdr:rowOff>43296</xdr:rowOff>
    </xdr:from>
    <xdr:to>
      <xdr:col>1</xdr:col>
      <xdr:colOff>2578309</xdr:colOff>
      <xdr:row>0</xdr:row>
      <xdr:rowOff>571500</xdr:rowOff>
    </xdr:to>
    <xdr:pic>
      <xdr:nvPicPr>
        <xdr:cNvPr id="3" name="Figura1">
          <a:extLst>
            <a:ext uri="{FF2B5EF4-FFF2-40B4-BE49-F238E27FC236}">
              <a16:creationId xmlns:a16="http://schemas.microsoft.com/office/drawing/2014/main" id="{E2D46F5C-A1D2-499E-87EA-CB8A201E5A57}"/>
            </a:ext>
          </a:extLst>
        </xdr:cNvPr>
        <xdr:cNvPicPr>
          <a:picLocks noChangeAspect="1"/>
        </xdr:cNvPicPr>
      </xdr:nvPicPr>
      <xdr:blipFill>
        <a:blip xmlns:r="http://schemas.openxmlformats.org/officeDocument/2006/relationships" r:embed="rId1"/>
        <a:srcRect l="-9" t="-44" r="-9" b="-44"/>
        <a:stretch>
          <a:fillRect/>
        </a:stretch>
      </xdr:blipFill>
      <xdr:spPr bwMode="auto">
        <a:xfrm>
          <a:off x="1099705" y="43296"/>
          <a:ext cx="2509036" cy="528204"/>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14"/>
  <sheetViews>
    <sheetView tabSelected="1" view="pageBreakPreview" zoomScaleNormal="100" zoomScaleSheetLayoutView="100" zoomScalePageLayoutView="110" workbookViewId="0">
      <selection activeCell="C5" sqref="C5:D5"/>
    </sheetView>
  </sheetViews>
  <sheetFormatPr defaultColWidth="9.5703125" defaultRowHeight="15" x14ac:dyDescent="0.25"/>
  <cols>
    <col min="3" max="3" width="12.28515625" customWidth="1"/>
    <col min="4" max="4" width="60.42578125" customWidth="1"/>
    <col min="5" max="5" width="11.42578125" style="5" customWidth="1"/>
    <col min="6" max="6" width="8.28515625" customWidth="1"/>
    <col min="7" max="8" width="15.28515625" customWidth="1"/>
    <col min="9" max="9" width="13.85546875" style="6" customWidth="1"/>
    <col min="10" max="10" width="11.28515625" customWidth="1"/>
    <col min="1022" max="1024" width="11.5703125" customWidth="1"/>
  </cols>
  <sheetData>
    <row r="1" spans="1:10" ht="15.75" x14ac:dyDescent="0.25">
      <c r="A1" s="66" t="s">
        <v>0</v>
      </c>
      <c r="B1" s="66"/>
      <c r="C1" s="66"/>
      <c r="D1" s="66"/>
      <c r="E1" s="66"/>
      <c r="F1" s="66"/>
      <c r="G1" s="66"/>
      <c r="H1" s="66"/>
      <c r="I1" s="66"/>
      <c r="J1" s="7"/>
    </row>
    <row r="2" spans="1:10" ht="15.75" x14ac:dyDescent="0.25">
      <c r="A2" s="67" t="s">
        <v>1</v>
      </c>
      <c r="B2" s="67"/>
      <c r="C2" s="3" t="s">
        <v>2</v>
      </c>
      <c r="D2" s="4"/>
      <c r="E2" s="8"/>
      <c r="F2" s="4"/>
      <c r="G2" s="4"/>
      <c r="H2" s="4"/>
      <c r="I2" s="9"/>
      <c r="J2" s="7"/>
    </row>
    <row r="3" spans="1:10" x14ac:dyDescent="0.25">
      <c r="A3" s="67" t="s">
        <v>3</v>
      </c>
      <c r="B3" s="67"/>
      <c r="C3" s="68" t="str">
        <f>Cronograma!B1</f>
        <v>Recapeamento de vias do município de Boituva.</v>
      </c>
      <c r="D3" s="68"/>
      <c r="E3" s="68"/>
      <c r="F3" s="68"/>
      <c r="G3" s="68"/>
      <c r="H3" s="68"/>
      <c r="I3" s="68"/>
      <c r="J3" s="7"/>
    </row>
    <row r="4" spans="1:10" x14ac:dyDescent="0.25">
      <c r="A4" s="67" t="s">
        <v>4</v>
      </c>
      <c r="B4" s="67"/>
      <c r="C4" s="69" t="s">
        <v>82</v>
      </c>
      <c r="D4" s="69"/>
      <c r="E4" s="69"/>
      <c r="F4" s="69"/>
      <c r="G4" s="69"/>
      <c r="H4" s="69"/>
      <c r="I4" s="69"/>
      <c r="J4" s="7"/>
    </row>
    <row r="5" spans="1:10" ht="54.75" customHeight="1" x14ac:dyDescent="0.25">
      <c r="A5" s="67" t="s">
        <v>5</v>
      </c>
      <c r="B5" s="67"/>
      <c r="C5" s="70" t="s">
        <v>111</v>
      </c>
      <c r="D5" s="70"/>
      <c r="E5" s="71" t="s">
        <v>6</v>
      </c>
      <c r="F5" s="71"/>
      <c r="G5" s="71"/>
      <c r="H5" s="10">
        <v>1.2353000000000001</v>
      </c>
      <c r="I5" s="11"/>
      <c r="J5" s="7"/>
    </row>
    <row r="6" spans="1:10" ht="25.5" x14ac:dyDescent="0.25">
      <c r="A6" s="2" t="s">
        <v>7</v>
      </c>
      <c r="B6" s="63" t="s">
        <v>8</v>
      </c>
      <c r="C6" s="63"/>
      <c r="D6" s="12" t="s">
        <v>9</v>
      </c>
      <c r="E6" s="13" t="s">
        <v>10</v>
      </c>
      <c r="F6" s="2" t="s">
        <v>11</v>
      </c>
      <c r="G6" s="12" t="s">
        <v>12</v>
      </c>
      <c r="H6" s="12" t="s">
        <v>13</v>
      </c>
      <c r="I6" s="14" t="s">
        <v>14</v>
      </c>
      <c r="J6" s="7"/>
    </row>
    <row r="7" spans="1:10" x14ac:dyDescent="0.25">
      <c r="A7" s="2">
        <v>1</v>
      </c>
      <c r="B7" s="63"/>
      <c r="C7" s="63"/>
      <c r="D7" s="2" t="s">
        <v>15</v>
      </c>
      <c r="E7" s="15"/>
      <c r="F7" s="15"/>
      <c r="G7" s="15"/>
      <c r="H7" s="15"/>
      <c r="I7" s="15"/>
      <c r="J7" s="7"/>
    </row>
    <row r="8" spans="1:10" x14ac:dyDescent="0.25">
      <c r="A8" s="1" t="s">
        <v>16</v>
      </c>
      <c r="B8" s="62" t="s">
        <v>17</v>
      </c>
      <c r="C8" s="62"/>
      <c r="D8" s="16" t="s">
        <v>18</v>
      </c>
      <c r="E8" s="17">
        <v>4.5</v>
      </c>
      <c r="F8" s="1" t="s">
        <v>19</v>
      </c>
      <c r="G8" s="18">
        <v>890.9</v>
      </c>
      <c r="H8" s="19">
        <f>G8*H5</f>
        <v>1100.5287700000001</v>
      </c>
      <c r="I8" s="19">
        <f>H8*E8</f>
        <v>4952.3794650000009</v>
      </c>
      <c r="J8" s="20"/>
    </row>
    <row r="9" spans="1:10" x14ac:dyDescent="0.25">
      <c r="A9" s="1"/>
      <c r="B9" s="62"/>
      <c r="C9" s="62"/>
      <c r="D9" s="16"/>
      <c r="E9" s="21"/>
      <c r="F9" s="1"/>
      <c r="G9" s="22"/>
      <c r="H9" s="19"/>
      <c r="I9" s="19"/>
      <c r="J9" s="20"/>
    </row>
    <row r="10" spans="1:10" ht="25.5" x14ac:dyDescent="0.25">
      <c r="A10" s="22" t="s">
        <v>20</v>
      </c>
      <c r="B10" s="62" t="s">
        <v>21</v>
      </c>
      <c r="C10" s="62"/>
      <c r="D10" s="23" t="s">
        <v>22</v>
      </c>
      <c r="E10" s="17">
        <f>SUM(E11:E19)</f>
        <v>5366.4520149999998</v>
      </c>
      <c r="F10" s="22" t="s">
        <v>19</v>
      </c>
      <c r="G10" s="22">
        <v>10.9</v>
      </c>
      <c r="H10" s="24">
        <f>G10*H5</f>
        <v>13.464770000000001</v>
      </c>
      <c r="I10" s="24">
        <f>H10*E10</f>
        <v>72258.04209801156</v>
      </c>
      <c r="J10" s="20"/>
    </row>
    <row r="11" spans="1:10" x14ac:dyDescent="0.25">
      <c r="A11" s="22"/>
      <c r="B11" s="62"/>
      <c r="C11" s="62"/>
      <c r="D11" s="23" t="s">
        <v>75</v>
      </c>
      <c r="E11" s="17">
        <f>E45*0.65</f>
        <v>787.93357500000002</v>
      </c>
      <c r="F11" s="79"/>
      <c r="G11" s="22"/>
      <c r="H11" s="24"/>
      <c r="I11" s="24"/>
      <c r="J11" s="20"/>
    </row>
    <row r="12" spans="1:10" x14ac:dyDescent="0.25">
      <c r="A12" s="1"/>
      <c r="B12" s="62"/>
      <c r="C12" s="62"/>
      <c r="D12" s="16" t="s">
        <v>76</v>
      </c>
      <c r="E12" s="17">
        <f>E46*0.7</f>
        <v>1274.8969099999999</v>
      </c>
      <c r="F12" s="79"/>
      <c r="G12" s="22"/>
      <c r="H12" s="19"/>
      <c r="I12" s="19"/>
      <c r="J12" s="20"/>
    </row>
    <row r="13" spans="1:10" x14ac:dyDescent="0.25">
      <c r="A13" s="1"/>
      <c r="B13" s="62"/>
      <c r="C13" s="62"/>
      <c r="D13" s="16" t="s">
        <v>83</v>
      </c>
      <c r="E13" s="17">
        <f>E47*0.5</f>
        <v>1214.4349999999999</v>
      </c>
      <c r="F13" s="79"/>
      <c r="G13" s="22"/>
      <c r="H13" s="19"/>
      <c r="I13" s="19"/>
      <c r="J13" s="20"/>
    </row>
    <row r="14" spans="1:10" x14ac:dyDescent="0.25">
      <c r="A14" s="1"/>
      <c r="B14" s="62"/>
      <c r="C14" s="62"/>
      <c r="D14" s="16" t="s">
        <v>84</v>
      </c>
      <c r="E14" s="17">
        <f>E48*0.35</f>
        <v>239.29160499999998</v>
      </c>
      <c r="F14" s="79"/>
      <c r="G14" s="22"/>
      <c r="H14" s="19"/>
      <c r="I14" s="19"/>
      <c r="J14" s="20"/>
    </row>
    <row r="15" spans="1:10" x14ac:dyDescent="0.25">
      <c r="A15" s="1"/>
      <c r="B15" s="62"/>
      <c r="C15" s="62"/>
      <c r="D15" s="16" t="s">
        <v>87</v>
      </c>
      <c r="E15" s="17">
        <f>E49*0.25</f>
        <v>405.77145000000002</v>
      </c>
      <c r="F15" s="79"/>
      <c r="G15" s="22"/>
      <c r="H15" s="19"/>
      <c r="I15" s="19"/>
      <c r="J15" s="20"/>
    </row>
    <row r="16" spans="1:10" x14ac:dyDescent="0.25">
      <c r="A16" s="1"/>
      <c r="B16" s="62"/>
      <c r="C16" s="62"/>
      <c r="D16" s="16" t="s">
        <v>88</v>
      </c>
      <c r="E16" s="17">
        <f>E50*0.35</f>
        <v>479.55260499999997</v>
      </c>
      <c r="F16" s="79"/>
      <c r="G16" s="22"/>
      <c r="H16" s="19"/>
      <c r="I16" s="19"/>
      <c r="J16" s="20"/>
    </row>
    <row r="17" spans="1:10" x14ac:dyDescent="0.25">
      <c r="A17" s="1"/>
      <c r="B17" s="62"/>
      <c r="C17" s="62"/>
      <c r="D17" s="16" t="s">
        <v>89</v>
      </c>
      <c r="E17" s="17">
        <f>E51*0.35</f>
        <v>354.21882999999997</v>
      </c>
      <c r="F17" s="79"/>
      <c r="G17" s="22"/>
      <c r="H17" s="19"/>
      <c r="I17" s="19"/>
      <c r="J17" s="20"/>
    </row>
    <row r="18" spans="1:10" x14ac:dyDescent="0.25">
      <c r="A18" s="1"/>
      <c r="B18" s="62"/>
      <c r="C18" s="62"/>
      <c r="D18" s="16" t="s">
        <v>102</v>
      </c>
      <c r="E18" s="17">
        <f>E52*0.3</f>
        <v>326.541</v>
      </c>
      <c r="F18" s="79"/>
      <c r="G18" s="22"/>
      <c r="H18" s="19"/>
      <c r="I18" s="19"/>
      <c r="J18" s="20"/>
    </row>
    <row r="19" spans="1:10" x14ac:dyDescent="0.25">
      <c r="A19" s="22"/>
      <c r="B19" s="62"/>
      <c r="C19" s="62"/>
      <c r="D19" s="16" t="s">
        <v>112</v>
      </c>
      <c r="E19" s="17">
        <f>236.5092*1.2</f>
        <v>283.81103999999999</v>
      </c>
      <c r="F19" s="79"/>
      <c r="G19" s="22"/>
      <c r="H19" s="24"/>
      <c r="I19" s="24"/>
      <c r="J19" s="20"/>
    </row>
    <row r="20" spans="1:10" x14ac:dyDescent="0.25">
      <c r="A20" s="1"/>
      <c r="B20" s="62"/>
      <c r="C20" s="62"/>
      <c r="D20" s="16"/>
      <c r="E20" s="17"/>
      <c r="F20" s="1"/>
      <c r="G20" s="22"/>
      <c r="H20" s="19"/>
      <c r="I20" s="19"/>
      <c r="J20" s="20"/>
    </row>
    <row r="21" spans="1:10" x14ac:dyDescent="0.25">
      <c r="A21" s="1" t="s">
        <v>23</v>
      </c>
      <c r="B21" s="62" t="s">
        <v>24</v>
      </c>
      <c r="C21" s="62"/>
      <c r="D21" s="16" t="s">
        <v>25</v>
      </c>
      <c r="E21" s="17">
        <f>SUM(E22:E30)</f>
        <v>2850.341664</v>
      </c>
      <c r="F21" s="1" t="s">
        <v>19</v>
      </c>
      <c r="G21" s="17">
        <v>7.11</v>
      </c>
      <c r="H21" s="19">
        <f>G21*H5</f>
        <v>8.7829830000000015</v>
      </c>
      <c r="I21" s="19">
        <f>H21*E21</f>
        <v>25034.502379103717</v>
      </c>
      <c r="J21" s="20"/>
    </row>
    <row r="22" spans="1:10" x14ac:dyDescent="0.25">
      <c r="A22" s="1"/>
      <c r="B22" s="62"/>
      <c r="C22" s="62"/>
      <c r="D22" s="23" t="s">
        <v>75</v>
      </c>
      <c r="E22" s="17">
        <f>E45*0.25</f>
        <v>303.05137500000001</v>
      </c>
      <c r="F22" s="80"/>
      <c r="G22" s="17"/>
      <c r="H22" s="19"/>
      <c r="I22" s="19"/>
      <c r="J22" s="20"/>
    </row>
    <row r="23" spans="1:10" x14ac:dyDescent="0.25">
      <c r="A23" s="1"/>
      <c r="B23" s="62"/>
      <c r="C23" s="62"/>
      <c r="D23" s="16" t="s">
        <v>76</v>
      </c>
      <c r="E23" s="17">
        <f>E46*0.45</f>
        <v>819.57658500000002</v>
      </c>
      <c r="F23" s="80"/>
      <c r="G23" s="22"/>
      <c r="H23" s="19"/>
      <c r="I23" s="19"/>
      <c r="J23" s="20"/>
    </row>
    <row r="24" spans="1:10" x14ac:dyDescent="0.25">
      <c r="A24" s="1"/>
      <c r="B24" s="62"/>
      <c r="C24" s="62"/>
      <c r="D24" s="16" t="s">
        <v>83</v>
      </c>
      <c r="E24" s="17">
        <f>E47*0.3</f>
        <v>728.66099999999994</v>
      </c>
      <c r="F24" s="80"/>
      <c r="G24" s="22"/>
      <c r="H24" s="19"/>
      <c r="I24" s="19"/>
      <c r="J24" s="20"/>
    </row>
    <row r="25" spans="1:10" x14ac:dyDescent="0.25">
      <c r="A25" s="1"/>
      <c r="B25" s="62"/>
      <c r="C25" s="62"/>
      <c r="D25" s="16" t="s">
        <v>84</v>
      </c>
      <c r="E25" s="17">
        <f>E48*0.08</f>
        <v>54.695223999999996</v>
      </c>
      <c r="F25" s="80"/>
      <c r="G25" s="22"/>
      <c r="H25" s="19"/>
      <c r="I25" s="19"/>
      <c r="J25" s="20"/>
    </row>
    <row r="26" spans="1:10" x14ac:dyDescent="0.25">
      <c r="A26" s="1"/>
      <c r="B26" s="62"/>
      <c r="C26" s="62"/>
      <c r="D26" s="16" t="s">
        <v>87</v>
      </c>
      <c r="E26" s="17">
        <f>E49*0.1</f>
        <v>162.30858000000001</v>
      </c>
      <c r="F26" s="80"/>
      <c r="G26" s="22"/>
      <c r="H26" s="19"/>
      <c r="I26" s="19"/>
      <c r="J26" s="20"/>
    </row>
    <row r="27" spans="1:10" x14ac:dyDescent="0.25">
      <c r="A27" s="1"/>
      <c r="B27" s="62"/>
      <c r="C27" s="62"/>
      <c r="D27" s="16" t="s">
        <v>88</v>
      </c>
      <c r="E27" s="17">
        <f>E50*0.2</f>
        <v>274.03005999999999</v>
      </c>
      <c r="F27" s="80"/>
      <c r="G27" s="22"/>
      <c r="H27" s="19"/>
      <c r="I27" s="19"/>
      <c r="J27" s="20"/>
    </row>
    <row r="28" spans="1:10" x14ac:dyDescent="0.25">
      <c r="A28" s="1"/>
      <c r="B28" s="62"/>
      <c r="C28" s="62"/>
      <c r="D28" s="16" t="s">
        <v>89</v>
      </c>
      <c r="E28" s="17">
        <f>E51*0.25</f>
        <v>253.01345000000001</v>
      </c>
      <c r="F28" s="80"/>
      <c r="G28" s="22"/>
      <c r="H28" s="19"/>
      <c r="I28" s="19"/>
      <c r="J28" s="20"/>
    </row>
    <row r="29" spans="1:10" x14ac:dyDescent="0.25">
      <c r="A29" s="1"/>
      <c r="B29" s="62"/>
      <c r="C29" s="62"/>
      <c r="D29" s="16" t="s">
        <v>102</v>
      </c>
      <c r="E29" s="17">
        <f>E52*0.15</f>
        <v>163.2705</v>
      </c>
      <c r="F29" s="80"/>
      <c r="G29" s="22"/>
      <c r="H29" s="19"/>
      <c r="I29" s="19"/>
      <c r="J29" s="20"/>
    </row>
    <row r="30" spans="1:10" x14ac:dyDescent="0.25">
      <c r="A30" s="22"/>
      <c r="B30" s="62"/>
      <c r="C30" s="62"/>
      <c r="D30" s="16" t="s">
        <v>112</v>
      </c>
      <c r="E30" s="17">
        <f>E53*0.1</f>
        <v>91.734890000000007</v>
      </c>
      <c r="F30" s="80"/>
      <c r="G30" s="22"/>
      <c r="H30" s="24"/>
      <c r="I30" s="24"/>
      <c r="J30" s="20"/>
    </row>
    <row r="31" spans="1:10" x14ac:dyDescent="0.25">
      <c r="A31" s="1"/>
      <c r="B31" s="62"/>
      <c r="C31" s="62"/>
      <c r="D31" s="16"/>
      <c r="E31" s="17"/>
      <c r="F31" s="1"/>
      <c r="G31" s="22"/>
      <c r="H31" s="19"/>
      <c r="I31" s="19"/>
      <c r="J31" s="20"/>
    </row>
    <row r="32" spans="1:10" x14ac:dyDescent="0.25">
      <c r="A32" s="1" t="s">
        <v>26</v>
      </c>
      <c r="B32" s="62" t="s">
        <v>27</v>
      </c>
      <c r="C32" s="62"/>
      <c r="D32" s="16" t="s">
        <v>28</v>
      </c>
      <c r="E32" s="17">
        <f>SUM(E33:E41)</f>
        <v>85.510249919999993</v>
      </c>
      <c r="F32" s="1" t="s">
        <v>29</v>
      </c>
      <c r="G32" s="18">
        <v>1348.29</v>
      </c>
      <c r="H32" s="19">
        <f>G32*H5</f>
        <v>1665.542637</v>
      </c>
      <c r="I32" s="19">
        <f>H32*E32</f>
        <v>142420.96714228584</v>
      </c>
      <c r="J32" s="20"/>
    </row>
    <row r="33" spans="1:10" x14ac:dyDescent="0.25">
      <c r="A33" s="1"/>
      <c r="B33" s="62"/>
      <c r="C33" s="62"/>
      <c r="D33" s="23" t="s">
        <v>75</v>
      </c>
      <c r="E33" s="17">
        <f t="shared" ref="E33:E41" si="0">E22*0.03</f>
        <v>9.0915412500000006</v>
      </c>
      <c r="F33" s="1"/>
      <c r="G33" s="18"/>
      <c r="H33" s="19"/>
      <c r="I33" s="19"/>
      <c r="J33" s="20"/>
    </row>
    <row r="34" spans="1:10" x14ac:dyDescent="0.25">
      <c r="A34" s="1"/>
      <c r="B34" s="62"/>
      <c r="C34" s="62"/>
      <c r="D34" s="16" t="s">
        <v>76</v>
      </c>
      <c r="E34" s="17">
        <f t="shared" si="0"/>
        <v>24.587297549999999</v>
      </c>
      <c r="F34" s="1"/>
      <c r="G34" s="22"/>
      <c r="H34" s="19"/>
      <c r="I34" s="19"/>
      <c r="J34" s="20"/>
    </row>
    <row r="35" spans="1:10" x14ac:dyDescent="0.25">
      <c r="A35" s="1"/>
      <c r="B35" s="62"/>
      <c r="C35" s="62"/>
      <c r="D35" s="16" t="s">
        <v>83</v>
      </c>
      <c r="E35" s="17">
        <f t="shared" si="0"/>
        <v>21.859829999999999</v>
      </c>
      <c r="F35" s="1"/>
      <c r="G35" s="22"/>
      <c r="H35" s="19"/>
      <c r="I35" s="19"/>
      <c r="J35" s="20"/>
    </row>
    <row r="36" spans="1:10" x14ac:dyDescent="0.25">
      <c r="A36" s="1"/>
      <c r="B36" s="62"/>
      <c r="C36" s="62"/>
      <c r="D36" s="16" t="s">
        <v>84</v>
      </c>
      <c r="E36" s="17">
        <f t="shared" si="0"/>
        <v>1.6408567199999997</v>
      </c>
      <c r="F36" s="1"/>
      <c r="G36" s="22"/>
      <c r="H36" s="19"/>
      <c r="I36" s="19"/>
      <c r="J36" s="20"/>
    </row>
    <row r="37" spans="1:10" x14ac:dyDescent="0.25">
      <c r="A37" s="1"/>
      <c r="B37" s="62"/>
      <c r="C37" s="62"/>
      <c r="D37" s="16" t="s">
        <v>87</v>
      </c>
      <c r="E37" s="17">
        <f t="shared" si="0"/>
        <v>4.8692574000000004</v>
      </c>
      <c r="F37" s="1"/>
      <c r="G37" s="22"/>
      <c r="H37" s="19"/>
      <c r="I37" s="19"/>
      <c r="J37" s="20"/>
    </row>
    <row r="38" spans="1:10" x14ac:dyDescent="0.25">
      <c r="A38" s="1"/>
      <c r="B38" s="62"/>
      <c r="C38" s="62"/>
      <c r="D38" s="16" t="s">
        <v>88</v>
      </c>
      <c r="E38" s="17">
        <f t="shared" si="0"/>
        <v>8.2209018</v>
      </c>
      <c r="F38" s="1"/>
      <c r="G38" s="22"/>
      <c r="H38" s="19"/>
      <c r="I38" s="19"/>
      <c r="J38" s="20"/>
    </row>
    <row r="39" spans="1:10" x14ac:dyDescent="0.25">
      <c r="A39" s="1"/>
      <c r="B39" s="62"/>
      <c r="C39" s="62"/>
      <c r="D39" s="16" t="s">
        <v>89</v>
      </c>
      <c r="E39" s="17">
        <f t="shared" si="0"/>
        <v>7.5904034999999999</v>
      </c>
      <c r="F39" s="1"/>
      <c r="G39" s="22"/>
      <c r="H39" s="19"/>
      <c r="I39" s="19"/>
      <c r="J39" s="20"/>
    </row>
    <row r="40" spans="1:10" x14ac:dyDescent="0.25">
      <c r="A40" s="1"/>
      <c r="B40" s="62"/>
      <c r="C40" s="62"/>
      <c r="D40" s="16" t="s">
        <v>102</v>
      </c>
      <c r="E40" s="17">
        <f t="shared" si="0"/>
        <v>4.8981149999999998</v>
      </c>
      <c r="F40" s="1"/>
      <c r="G40" s="22"/>
      <c r="H40" s="19"/>
      <c r="I40" s="19"/>
      <c r="J40" s="20"/>
    </row>
    <row r="41" spans="1:10" x14ac:dyDescent="0.25">
      <c r="A41" s="22"/>
      <c r="B41" s="62"/>
      <c r="C41" s="62"/>
      <c r="D41" s="16" t="s">
        <v>112</v>
      </c>
      <c r="E41" s="17">
        <f t="shared" si="0"/>
        <v>2.7520467000000002</v>
      </c>
      <c r="F41" s="22"/>
      <c r="G41" s="22"/>
      <c r="H41" s="24"/>
      <c r="I41" s="24"/>
      <c r="J41" s="20"/>
    </row>
    <row r="42" spans="1:10" x14ac:dyDescent="0.25">
      <c r="A42" s="65" t="s">
        <v>30</v>
      </c>
      <c r="B42" s="65"/>
      <c r="C42" s="65"/>
      <c r="D42" s="65"/>
      <c r="E42" s="65"/>
      <c r="F42" s="65"/>
      <c r="G42" s="65"/>
      <c r="H42" s="65"/>
      <c r="I42" s="25">
        <f>I8+I32+I10+I21</f>
        <v>244665.89108440111</v>
      </c>
      <c r="J42" s="20"/>
    </row>
    <row r="43" spans="1:10" x14ac:dyDescent="0.25">
      <c r="A43" s="2">
        <v>2</v>
      </c>
      <c r="B43" s="63"/>
      <c r="C43" s="63"/>
      <c r="D43" s="2" t="s">
        <v>31</v>
      </c>
      <c r="E43" s="17"/>
      <c r="F43" s="1"/>
      <c r="G43" s="19"/>
      <c r="H43" s="19"/>
      <c r="I43" s="25"/>
      <c r="J43" s="7"/>
    </row>
    <row r="44" spans="1:10" x14ac:dyDescent="0.25">
      <c r="A44" s="1" t="s">
        <v>32</v>
      </c>
      <c r="B44" s="62" t="s">
        <v>24</v>
      </c>
      <c r="C44" s="62"/>
      <c r="D44" s="16" t="s">
        <v>25</v>
      </c>
      <c r="E44" s="17">
        <f>SUM(E45:E53)</f>
        <v>12157.155899999998</v>
      </c>
      <c r="F44" s="1" t="s">
        <v>19</v>
      </c>
      <c r="G44" s="17">
        <v>7.11</v>
      </c>
      <c r="H44" s="19">
        <f>G44*H5</f>
        <v>8.7829830000000015</v>
      </c>
      <c r="I44" s="19">
        <f>H44*E44</f>
        <v>106776.0935980497</v>
      </c>
      <c r="J44" s="7"/>
    </row>
    <row r="45" spans="1:10" x14ac:dyDescent="0.25">
      <c r="A45" s="1"/>
      <c r="B45" s="62"/>
      <c r="C45" s="62"/>
      <c r="D45" s="23" t="s">
        <v>75</v>
      </c>
      <c r="E45" s="17">
        <v>1212.2055</v>
      </c>
      <c r="F45" s="1"/>
      <c r="G45" s="17"/>
      <c r="H45" s="19"/>
      <c r="I45" s="19"/>
      <c r="J45" s="7"/>
    </row>
    <row r="46" spans="1:10" x14ac:dyDescent="0.25">
      <c r="A46" s="1"/>
      <c r="B46" s="62"/>
      <c r="C46" s="62"/>
      <c r="D46" s="16" t="s">
        <v>76</v>
      </c>
      <c r="E46" s="17">
        <v>1821.2813000000001</v>
      </c>
      <c r="F46" s="1"/>
      <c r="G46" s="22"/>
      <c r="H46" s="19"/>
      <c r="I46" s="19"/>
      <c r="J46" s="20"/>
    </row>
    <row r="47" spans="1:10" x14ac:dyDescent="0.25">
      <c r="A47" s="1"/>
      <c r="B47" s="62"/>
      <c r="C47" s="62"/>
      <c r="D47" s="16" t="s">
        <v>83</v>
      </c>
      <c r="E47" s="17">
        <v>2428.87</v>
      </c>
      <c r="F47" s="1"/>
      <c r="G47" s="22"/>
      <c r="H47" s="19"/>
      <c r="I47" s="19"/>
      <c r="J47" s="20"/>
    </row>
    <row r="48" spans="1:10" x14ac:dyDescent="0.25">
      <c r="A48" s="22"/>
      <c r="B48" s="62"/>
      <c r="C48" s="62"/>
      <c r="D48" s="16" t="s">
        <v>84</v>
      </c>
      <c r="E48" s="17">
        <v>683.69029999999998</v>
      </c>
      <c r="F48" s="22"/>
      <c r="G48" s="22"/>
      <c r="H48" s="24"/>
      <c r="I48" s="24"/>
      <c r="J48" s="20"/>
    </row>
    <row r="49" spans="1:10" x14ac:dyDescent="0.25">
      <c r="A49" s="22"/>
      <c r="B49" s="62"/>
      <c r="C49" s="62"/>
      <c r="D49" s="16" t="s">
        <v>87</v>
      </c>
      <c r="E49" s="17">
        <v>1623.0858000000001</v>
      </c>
      <c r="F49" s="22"/>
      <c r="G49" s="22"/>
      <c r="H49" s="24"/>
      <c r="I49" s="24"/>
      <c r="J49" s="20"/>
    </row>
    <row r="50" spans="1:10" x14ac:dyDescent="0.25">
      <c r="A50" s="22"/>
      <c r="B50" s="62"/>
      <c r="C50" s="62"/>
      <c r="D50" s="16" t="s">
        <v>88</v>
      </c>
      <c r="E50" s="17">
        <v>1370.1503</v>
      </c>
      <c r="F50" s="22"/>
      <c r="G50" s="22"/>
      <c r="H50" s="24"/>
      <c r="I50" s="24"/>
      <c r="J50" s="20"/>
    </row>
    <row r="51" spans="1:10" x14ac:dyDescent="0.25">
      <c r="A51" s="22"/>
      <c r="B51" s="62"/>
      <c r="C51" s="62"/>
      <c r="D51" s="16" t="s">
        <v>89</v>
      </c>
      <c r="E51" s="17">
        <v>1012.0538</v>
      </c>
      <c r="F51" s="22"/>
      <c r="G51" s="22"/>
      <c r="H51" s="24"/>
      <c r="I51" s="24"/>
      <c r="J51" s="20"/>
    </row>
    <row r="52" spans="1:10" x14ac:dyDescent="0.25">
      <c r="A52" s="22"/>
      <c r="B52" s="62"/>
      <c r="C52" s="62"/>
      <c r="D52" s="16" t="s">
        <v>102</v>
      </c>
      <c r="E52" s="17">
        <v>1088.47</v>
      </c>
      <c r="F52" s="22"/>
      <c r="G52" s="22"/>
      <c r="H52" s="24"/>
      <c r="I52" s="24"/>
      <c r="J52" s="20"/>
    </row>
    <row r="53" spans="1:10" x14ac:dyDescent="0.25">
      <c r="A53" s="22"/>
      <c r="B53" s="62"/>
      <c r="C53" s="62"/>
      <c r="D53" s="16" t="s">
        <v>112</v>
      </c>
      <c r="E53" s="17">
        <v>917.34889999999996</v>
      </c>
      <c r="F53" s="22"/>
      <c r="G53" s="22"/>
      <c r="H53" s="24"/>
      <c r="I53" s="24"/>
      <c r="J53" s="20"/>
    </row>
    <row r="54" spans="1:10" x14ac:dyDescent="0.25">
      <c r="A54" s="1"/>
      <c r="B54" s="62"/>
      <c r="C54" s="62"/>
      <c r="D54" s="16"/>
      <c r="E54" s="17"/>
      <c r="F54" s="1"/>
      <c r="G54" s="1"/>
      <c r="H54" s="19"/>
      <c r="I54" s="19"/>
      <c r="J54" s="7"/>
    </row>
    <row r="55" spans="1:10" x14ac:dyDescent="0.25">
      <c r="A55" s="1" t="s">
        <v>33</v>
      </c>
      <c r="B55" s="62" t="s">
        <v>34</v>
      </c>
      <c r="C55" s="62"/>
      <c r="D55" s="23" t="s">
        <v>35</v>
      </c>
      <c r="E55" s="17">
        <f>SUM(E56:E64)</f>
        <v>364.71467699999999</v>
      </c>
      <c r="F55" s="1" t="s">
        <v>29</v>
      </c>
      <c r="G55" s="17">
        <v>1504.05</v>
      </c>
      <c r="H55" s="19">
        <f>G55*H5</f>
        <v>1857.9529649999999</v>
      </c>
      <c r="I55" s="19">
        <f>H55*E55</f>
        <v>677622.71551116731</v>
      </c>
      <c r="J55" s="7"/>
    </row>
    <row r="56" spans="1:10" x14ac:dyDescent="0.25">
      <c r="A56" s="1"/>
      <c r="B56" s="62"/>
      <c r="C56" s="62"/>
      <c r="D56" s="23" t="s">
        <v>75</v>
      </c>
      <c r="E56" s="17">
        <f t="shared" ref="E56:E64" si="1">E45*0.03</f>
        <v>36.366165000000002</v>
      </c>
      <c r="F56" s="1"/>
      <c r="G56" s="17"/>
      <c r="H56" s="19"/>
      <c r="I56" s="19"/>
      <c r="J56" s="7"/>
    </row>
    <row r="57" spans="1:10" x14ac:dyDescent="0.25">
      <c r="A57" s="22"/>
      <c r="B57" s="62"/>
      <c r="C57" s="62"/>
      <c r="D57" s="16" t="s">
        <v>76</v>
      </c>
      <c r="E57" s="17">
        <f t="shared" si="1"/>
        <v>54.638438999999998</v>
      </c>
      <c r="F57" s="22"/>
      <c r="G57" s="22"/>
      <c r="H57" s="24"/>
      <c r="I57" s="24"/>
      <c r="J57" s="20"/>
    </row>
    <row r="58" spans="1:10" x14ac:dyDescent="0.25">
      <c r="A58" s="22"/>
      <c r="B58" s="62"/>
      <c r="C58" s="62"/>
      <c r="D58" s="16" t="s">
        <v>83</v>
      </c>
      <c r="E58" s="17">
        <f t="shared" si="1"/>
        <v>72.866099999999989</v>
      </c>
      <c r="F58" s="22"/>
      <c r="G58" s="22"/>
      <c r="H58" s="24"/>
      <c r="I58" s="24"/>
      <c r="J58" s="20"/>
    </row>
    <row r="59" spans="1:10" x14ac:dyDescent="0.25">
      <c r="A59" s="22"/>
      <c r="B59" s="62"/>
      <c r="C59" s="62"/>
      <c r="D59" s="16" t="s">
        <v>84</v>
      </c>
      <c r="E59" s="17">
        <f t="shared" si="1"/>
        <v>20.510708999999999</v>
      </c>
      <c r="F59" s="22"/>
      <c r="G59" s="22"/>
      <c r="H59" s="24"/>
      <c r="I59" s="24"/>
      <c r="J59" s="20"/>
    </row>
    <row r="60" spans="1:10" x14ac:dyDescent="0.25">
      <c r="A60" s="22"/>
      <c r="B60" s="62"/>
      <c r="C60" s="62"/>
      <c r="D60" s="16" t="s">
        <v>87</v>
      </c>
      <c r="E60" s="17">
        <f t="shared" si="1"/>
        <v>48.692574</v>
      </c>
      <c r="F60" s="22"/>
      <c r="G60" s="22"/>
      <c r="H60" s="24"/>
      <c r="I60" s="24"/>
      <c r="J60" s="20"/>
    </row>
    <row r="61" spans="1:10" x14ac:dyDescent="0.25">
      <c r="A61" s="22"/>
      <c r="B61" s="62"/>
      <c r="C61" s="62"/>
      <c r="D61" s="16" t="s">
        <v>88</v>
      </c>
      <c r="E61" s="17">
        <f t="shared" si="1"/>
        <v>41.104509</v>
      </c>
      <c r="F61" s="22"/>
      <c r="G61" s="22"/>
      <c r="H61" s="24"/>
      <c r="I61" s="24"/>
      <c r="J61" s="20"/>
    </row>
    <row r="62" spans="1:10" x14ac:dyDescent="0.25">
      <c r="A62" s="22"/>
      <c r="B62" s="62"/>
      <c r="C62" s="62"/>
      <c r="D62" s="16" t="s">
        <v>89</v>
      </c>
      <c r="E62" s="17">
        <f t="shared" si="1"/>
        <v>30.361613999999999</v>
      </c>
      <c r="F62" s="22"/>
      <c r="G62" s="22"/>
      <c r="H62" s="24"/>
      <c r="I62" s="24"/>
      <c r="J62" s="20"/>
    </row>
    <row r="63" spans="1:10" x14ac:dyDescent="0.25">
      <c r="A63" s="22"/>
      <c r="B63" s="62"/>
      <c r="C63" s="62"/>
      <c r="D63" s="16" t="s">
        <v>102</v>
      </c>
      <c r="E63" s="17">
        <f t="shared" si="1"/>
        <v>32.6541</v>
      </c>
      <c r="F63" s="22"/>
      <c r="G63" s="22"/>
      <c r="H63" s="24"/>
      <c r="I63" s="24"/>
      <c r="J63" s="20"/>
    </row>
    <row r="64" spans="1:10" x14ac:dyDescent="0.25">
      <c r="A64" s="22"/>
      <c r="B64" s="62"/>
      <c r="C64" s="62"/>
      <c r="D64" s="16" t="s">
        <v>112</v>
      </c>
      <c r="E64" s="17">
        <f t="shared" si="1"/>
        <v>27.520466999999996</v>
      </c>
      <c r="F64" s="22"/>
      <c r="G64" s="22"/>
      <c r="H64" s="24"/>
      <c r="I64" s="24"/>
      <c r="J64" s="20"/>
    </row>
    <row r="65" spans="1:10" ht="15.6" customHeight="1" x14ac:dyDescent="0.25">
      <c r="A65" s="65" t="s">
        <v>30</v>
      </c>
      <c r="B65" s="65"/>
      <c r="C65" s="65"/>
      <c r="D65" s="65"/>
      <c r="E65" s="65"/>
      <c r="F65" s="65"/>
      <c r="G65" s="65"/>
      <c r="H65" s="65"/>
      <c r="I65" s="25">
        <f>I44+I55</f>
        <v>784398.80910921702</v>
      </c>
      <c r="J65" s="7"/>
    </row>
    <row r="66" spans="1:10" x14ac:dyDescent="0.25">
      <c r="A66" s="2">
        <v>3</v>
      </c>
      <c r="B66" s="63"/>
      <c r="C66" s="63"/>
      <c r="D66" s="2" t="s">
        <v>36</v>
      </c>
      <c r="E66" s="17"/>
      <c r="F66" s="1"/>
      <c r="G66" s="19"/>
      <c r="H66" s="19"/>
      <c r="I66" s="25"/>
      <c r="J66" s="7"/>
    </row>
    <row r="67" spans="1:10" ht="25.5" x14ac:dyDescent="0.25">
      <c r="A67" s="1" t="s">
        <v>90</v>
      </c>
      <c r="B67" s="62" t="s">
        <v>73</v>
      </c>
      <c r="C67" s="62"/>
      <c r="D67" s="26" t="s">
        <v>74</v>
      </c>
      <c r="E67" s="17">
        <f>SUM(E68:E69)</f>
        <v>21.017400000000002</v>
      </c>
      <c r="F67" s="1" t="s">
        <v>19</v>
      </c>
      <c r="G67" s="1">
        <v>29.45</v>
      </c>
      <c r="H67" s="19">
        <f>G67*H$5</f>
        <v>36.379584999999999</v>
      </c>
      <c r="I67" s="19">
        <f>H67*E67</f>
        <v>764.60428977900006</v>
      </c>
      <c r="J67" s="7"/>
    </row>
    <row r="68" spans="1:10" x14ac:dyDescent="0.25">
      <c r="A68" s="1"/>
      <c r="B68" s="57"/>
      <c r="C68" s="58"/>
      <c r="D68" s="23" t="s">
        <v>75</v>
      </c>
      <c r="E68" s="17">
        <v>10.3209</v>
      </c>
      <c r="F68" s="1"/>
      <c r="G68" s="22"/>
      <c r="H68" s="19"/>
      <c r="I68" s="19"/>
      <c r="J68" s="7"/>
    </row>
    <row r="69" spans="1:10" x14ac:dyDescent="0.25">
      <c r="A69" s="1"/>
      <c r="B69" s="55"/>
      <c r="C69" s="56"/>
      <c r="D69" s="16" t="s">
        <v>76</v>
      </c>
      <c r="E69" s="17">
        <v>10.6965</v>
      </c>
      <c r="F69" s="1"/>
      <c r="G69" s="22"/>
      <c r="H69" s="19"/>
      <c r="I69" s="19"/>
      <c r="J69" s="7"/>
    </row>
    <row r="70" spans="1:10" x14ac:dyDescent="0.25">
      <c r="A70" s="1"/>
      <c r="B70" s="57"/>
      <c r="C70" s="58"/>
      <c r="D70" s="26"/>
      <c r="E70" s="17"/>
      <c r="F70" s="1"/>
      <c r="G70" s="22"/>
      <c r="H70" s="19"/>
      <c r="I70" s="19"/>
      <c r="J70" s="7"/>
    </row>
    <row r="71" spans="1:10" ht="25.5" x14ac:dyDescent="0.25">
      <c r="A71" s="1" t="s">
        <v>103</v>
      </c>
      <c r="B71" s="62" t="s">
        <v>91</v>
      </c>
      <c r="C71" s="62"/>
      <c r="D71" s="26" t="s">
        <v>92</v>
      </c>
      <c r="E71" s="17">
        <f>E72</f>
        <v>4.0922800000000006</v>
      </c>
      <c r="F71" s="1" t="s">
        <v>29</v>
      </c>
      <c r="G71" s="1">
        <v>294.55</v>
      </c>
      <c r="H71" s="19">
        <f>G71*H$5</f>
        <v>363.85761500000001</v>
      </c>
      <c r="I71" s="19">
        <f>H71*E71</f>
        <v>1489.0072407122002</v>
      </c>
      <c r="J71" s="7"/>
    </row>
    <row r="72" spans="1:10" x14ac:dyDescent="0.25">
      <c r="A72" s="1"/>
      <c r="B72" s="57"/>
      <c r="C72" s="58"/>
      <c r="D72" s="26" t="s">
        <v>89</v>
      </c>
      <c r="E72" s="17">
        <f>20.4614*0.2</f>
        <v>4.0922800000000006</v>
      </c>
      <c r="F72" s="1"/>
      <c r="G72" s="1"/>
      <c r="H72" s="19"/>
      <c r="I72" s="19"/>
      <c r="J72" s="7"/>
    </row>
    <row r="73" spans="1:10" x14ac:dyDescent="0.25">
      <c r="A73" s="1"/>
      <c r="B73" s="57"/>
      <c r="C73" s="58"/>
      <c r="D73" s="26"/>
      <c r="E73" s="17"/>
      <c r="F73" s="1"/>
      <c r="G73" s="1"/>
      <c r="H73" s="19"/>
      <c r="I73" s="19"/>
      <c r="J73" s="7"/>
    </row>
    <row r="74" spans="1:10" x14ac:dyDescent="0.25">
      <c r="A74" s="1"/>
      <c r="B74" s="57"/>
      <c r="C74" s="58"/>
      <c r="D74" s="26"/>
      <c r="E74" s="17"/>
      <c r="F74" s="1"/>
      <c r="G74" s="1"/>
      <c r="H74" s="19"/>
      <c r="I74" s="19"/>
      <c r="J74" s="7"/>
    </row>
    <row r="75" spans="1:10" ht="25.5" x14ac:dyDescent="0.25">
      <c r="A75" s="1" t="s">
        <v>71</v>
      </c>
      <c r="B75" s="62" t="s">
        <v>38</v>
      </c>
      <c r="C75" s="62"/>
      <c r="D75" s="26" t="s">
        <v>39</v>
      </c>
      <c r="E75" s="17">
        <f>SUM(E76:E77)</f>
        <v>8.2957600000000014</v>
      </c>
      <c r="F75" s="1" t="s">
        <v>29</v>
      </c>
      <c r="G75" s="22">
        <v>131.81</v>
      </c>
      <c r="H75" s="19">
        <f>G75*H$5</f>
        <v>162.824893</v>
      </c>
      <c r="I75" s="19">
        <f>H75*E75</f>
        <v>1350.7562343536802</v>
      </c>
      <c r="J75" s="7"/>
    </row>
    <row r="76" spans="1:10" x14ac:dyDescent="0.25">
      <c r="A76" s="1"/>
      <c r="B76" s="62"/>
      <c r="C76" s="62"/>
      <c r="D76" s="16" t="s">
        <v>72</v>
      </c>
      <c r="E76" s="17">
        <f>E67*0.2</f>
        <v>4.2034800000000008</v>
      </c>
      <c r="F76" s="1"/>
      <c r="G76" s="22"/>
      <c r="H76" s="19"/>
      <c r="I76" s="19"/>
      <c r="J76" s="7"/>
    </row>
    <row r="77" spans="1:10" x14ac:dyDescent="0.25">
      <c r="A77" s="1"/>
      <c r="B77" s="62"/>
      <c r="C77" s="62"/>
      <c r="D77" s="16" t="s">
        <v>93</v>
      </c>
      <c r="E77" s="17">
        <f>E71</f>
        <v>4.0922800000000006</v>
      </c>
      <c r="F77" s="1"/>
      <c r="G77" s="22"/>
      <c r="H77" s="19"/>
      <c r="I77" s="19"/>
      <c r="J77" s="7"/>
    </row>
    <row r="78" spans="1:10" x14ac:dyDescent="0.25">
      <c r="A78" s="1"/>
      <c r="B78" s="62"/>
      <c r="C78" s="62"/>
      <c r="D78" s="26"/>
      <c r="E78" s="17"/>
      <c r="F78" s="1"/>
      <c r="G78" s="22"/>
      <c r="H78" s="19"/>
      <c r="I78" s="19"/>
      <c r="J78" s="7"/>
    </row>
    <row r="79" spans="1:10" ht="25.5" x14ac:dyDescent="0.25">
      <c r="A79" s="1" t="s">
        <v>37</v>
      </c>
      <c r="B79" s="62" t="s">
        <v>40</v>
      </c>
      <c r="C79" s="62"/>
      <c r="D79" s="23" t="s">
        <v>41</v>
      </c>
      <c r="E79" s="17">
        <f>SUM(E80:E82)</f>
        <v>8.2957600000000014</v>
      </c>
      <c r="F79" s="1" t="s">
        <v>29</v>
      </c>
      <c r="G79" s="18">
        <v>821.94</v>
      </c>
      <c r="H79" s="19">
        <f>G79*H$5</f>
        <v>1015.3424820000001</v>
      </c>
      <c r="I79" s="19">
        <f>H79*E79</f>
        <v>8423.0375484763226</v>
      </c>
      <c r="J79" s="7"/>
    </row>
    <row r="80" spans="1:10" x14ac:dyDescent="0.25">
      <c r="A80" s="1"/>
      <c r="B80" s="57"/>
      <c r="C80" s="58"/>
      <c r="D80" s="23" t="s">
        <v>75</v>
      </c>
      <c r="E80" s="17">
        <f>E68*0.2</f>
        <v>2.0641799999999999</v>
      </c>
      <c r="F80" s="1"/>
      <c r="G80" s="22"/>
      <c r="H80" s="19"/>
      <c r="I80" s="19"/>
      <c r="J80" s="7"/>
    </row>
    <row r="81" spans="1:10" x14ac:dyDescent="0.25">
      <c r="A81" s="1"/>
      <c r="B81" s="62"/>
      <c r="C81" s="62"/>
      <c r="D81" s="16" t="s">
        <v>76</v>
      </c>
      <c r="E81" s="17">
        <f>E69*0.2</f>
        <v>2.1393</v>
      </c>
      <c r="F81" s="1"/>
      <c r="G81" s="22"/>
      <c r="H81" s="19"/>
      <c r="I81" s="19"/>
      <c r="J81" s="7"/>
    </row>
    <row r="82" spans="1:10" x14ac:dyDescent="0.25">
      <c r="A82" s="1"/>
      <c r="B82" s="62"/>
      <c r="C82" s="62"/>
      <c r="D82" s="26" t="s">
        <v>89</v>
      </c>
      <c r="E82" s="17">
        <f>20.4614*0.2</f>
        <v>4.0922800000000006</v>
      </c>
      <c r="F82" s="1"/>
      <c r="G82" s="22"/>
      <c r="H82" s="19"/>
      <c r="I82" s="19"/>
      <c r="J82" s="7"/>
    </row>
    <row r="83" spans="1:10" ht="14.85" customHeight="1" x14ac:dyDescent="0.25">
      <c r="A83" s="65" t="s">
        <v>30</v>
      </c>
      <c r="B83" s="65"/>
      <c r="C83" s="65"/>
      <c r="D83" s="65"/>
      <c r="E83" s="65"/>
      <c r="F83" s="65"/>
      <c r="G83" s="65"/>
      <c r="H83" s="65"/>
      <c r="I83" s="25">
        <f>I67+I75+I79+I71</f>
        <v>12027.405313321204</v>
      </c>
      <c r="J83" s="7"/>
    </row>
    <row r="84" spans="1:10" x14ac:dyDescent="0.25">
      <c r="A84" s="2">
        <v>4</v>
      </c>
      <c r="B84" s="63"/>
      <c r="C84" s="63"/>
      <c r="D84" s="2" t="s">
        <v>42</v>
      </c>
      <c r="E84" s="17"/>
      <c r="F84" s="1"/>
      <c r="G84" s="19"/>
      <c r="H84" s="19"/>
      <c r="I84" s="25"/>
      <c r="J84" s="7"/>
    </row>
    <row r="85" spans="1:10" x14ac:dyDescent="0.25">
      <c r="A85" s="1" t="s">
        <v>43</v>
      </c>
      <c r="B85" s="64" t="s">
        <v>114</v>
      </c>
      <c r="C85" s="64"/>
      <c r="D85" s="23" t="s">
        <v>44</v>
      </c>
      <c r="E85" s="17">
        <f>SUM(E86:E93)</f>
        <v>20</v>
      </c>
      <c r="F85" s="1" t="s">
        <v>45</v>
      </c>
      <c r="G85" s="17">
        <v>172.71</v>
      </c>
      <c r="H85" s="19">
        <f>G85*H$5</f>
        <v>213.34866300000002</v>
      </c>
      <c r="I85" s="19">
        <f>H85*E85</f>
        <v>4266.9732600000007</v>
      </c>
      <c r="J85" s="7"/>
    </row>
    <row r="86" spans="1:10" x14ac:dyDescent="0.25">
      <c r="A86" s="1"/>
      <c r="B86" s="62"/>
      <c r="C86" s="62"/>
      <c r="D86" s="23" t="s">
        <v>75</v>
      </c>
      <c r="E86" s="17">
        <v>3</v>
      </c>
      <c r="F86" s="1"/>
      <c r="G86" s="17"/>
      <c r="H86" s="19"/>
      <c r="I86" s="19"/>
      <c r="J86" s="7"/>
    </row>
    <row r="87" spans="1:10" x14ac:dyDescent="0.25">
      <c r="A87" s="1"/>
      <c r="B87" s="62"/>
      <c r="C87" s="62"/>
      <c r="D87" s="16" t="s">
        <v>76</v>
      </c>
      <c r="E87" s="17">
        <v>4</v>
      </c>
      <c r="F87" s="1"/>
      <c r="G87" s="22"/>
      <c r="H87" s="19"/>
      <c r="I87" s="19"/>
      <c r="J87" s="20"/>
    </row>
    <row r="88" spans="1:10" x14ac:dyDescent="0.25">
      <c r="A88" s="1"/>
      <c r="B88" s="62"/>
      <c r="C88" s="62"/>
      <c r="D88" s="16" t="s">
        <v>83</v>
      </c>
      <c r="E88" s="17">
        <v>3</v>
      </c>
      <c r="F88" s="1"/>
      <c r="G88" s="22"/>
      <c r="H88" s="19"/>
      <c r="I88" s="19"/>
      <c r="J88" s="20"/>
    </row>
    <row r="89" spans="1:10" x14ac:dyDescent="0.25">
      <c r="A89" s="1"/>
      <c r="B89" s="62"/>
      <c r="C89" s="62"/>
      <c r="D89" s="16" t="s">
        <v>87</v>
      </c>
      <c r="E89" s="17">
        <v>2</v>
      </c>
      <c r="F89" s="1"/>
      <c r="G89" s="22"/>
      <c r="H89" s="19"/>
      <c r="I89" s="19"/>
      <c r="J89" s="20"/>
    </row>
    <row r="90" spans="1:10" x14ac:dyDescent="0.25">
      <c r="A90" s="1"/>
      <c r="B90" s="62"/>
      <c r="C90" s="62"/>
      <c r="D90" s="16" t="s">
        <v>88</v>
      </c>
      <c r="E90" s="17">
        <v>2</v>
      </c>
      <c r="F90" s="1"/>
      <c r="G90" s="22"/>
      <c r="H90" s="19"/>
      <c r="I90" s="19"/>
      <c r="J90" s="20"/>
    </row>
    <row r="91" spans="1:10" x14ac:dyDescent="0.25">
      <c r="A91" s="1"/>
      <c r="B91" s="62"/>
      <c r="C91" s="62"/>
      <c r="D91" s="16" t="s">
        <v>89</v>
      </c>
      <c r="E91" s="17">
        <v>3</v>
      </c>
      <c r="F91" s="1"/>
      <c r="G91" s="22"/>
      <c r="H91" s="19"/>
      <c r="I91" s="19"/>
      <c r="J91" s="20"/>
    </row>
    <row r="92" spans="1:10" x14ac:dyDescent="0.25">
      <c r="A92" s="1"/>
      <c r="B92" s="62"/>
      <c r="C92" s="62"/>
      <c r="D92" s="16" t="s">
        <v>102</v>
      </c>
      <c r="E92" s="17">
        <v>2</v>
      </c>
      <c r="F92" s="1"/>
      <c r="G92" s="22"/>
      <c r="H92" s="19"/>
      <c r="I92" s="19"/>
      <c r="J92" s="20"/>
    </row>
    <row r="93" spans="1:10" x14ac:dyDescent="0.25">
      <c r="A93" s="22"/>
      <c r="B93" s="62"/>
      <c r="C93" s="62"/>
      <c r="D93" s="16" t="s">
        <v>112</v>
      </c>
      <c r="E93" s="17">
        <v>1</v>
      </c>
      <c r="F93" s="22"/>
      <c r="G93" s="22"/>
      <c r="H93" s="24"/>
      <c r="I93" s="24"/>
      <c r="J93" s="20"/>
    </row>
    <row r="94" spans="1:10" x14ac:dyDescent="0.25">
      <c r="A94" s="65" t="s">
        <v>30</v>
      </c>
      <c r="B94" s="65"/>
      <c r="C94" s="65"/>
      <c r="D94" s="65"/>
      <c r="E94" s="65"/>
      <c r="F94" s="65"/>
      <c r="G94" s="65"/>
      <c r="H94" s="65"/>
      <c r="I94" s="25">
        <f>I85</f>
        <v>4266.9732600000007</v>
      </c>
      <c r="J94" s="7"/>
    </row>
    <row r="95" spans="1:10" x14ac:dyDescent="0.25">
      <c r="A95" s="2">
        <v>5</v>
      </c>
      <c r="B95" s="63"/>
      <c r="C95" s="63"/>
      <c r="D95" s="2" t="s">
        <v>46</v>
      </c>
      <c r="E95" s="17"/>
      <c r="F95" s="1"/>
      <c r="G95" s="19"/>
      <c r="H95" s="19"/>
      <c r="I95" s="25"/>
      <c r="J95" s="7"/>
    </row>
    <row r="96" spans="1:10" ht="25.5" x14ac:dyDescent="0.25">
      <c r="A96" s="1" t="s">
        <v>47</v>
      </c>
      <c r="B96" s="62" t="s">
        <v>48</v>
      </c>
      <c r="C96" s="62"/>
      <c r="D96" s="23" t="s">
        <v>49</v>
      </c>
      <c r="E96" s="17">
        <f>E97+E104+E109+E116+24+E122+E128+E133+E138+E143</f>
        <v>521.11109999999996</v>
      </c>
      <c r="F96" s="1" t="s">
        <v>19</v>
      </c>
      <c r="G96" s="1">
        <v>37.380000000000003</v>
      </c>
      <c r="H96" s="19">
        <f>G96*H5</f>
        <v>46.175514000000007</v>
      </c>
      <c r="I96" s="19">
        <f>H96*E96</f>
        <v>24062.5728936054</v>
      </c>
      <c r="J96" s="7"/>
    </row>
    <row r="97" spans="1:10" x14ac:dyDescent="0.25">
      <c r="A97" s="1"/>
      <c r="B97" s="62"/>
      <c r="C97" s="62"/>
      <c r="D97" s="27" t="s">
        <v>75</v>
      </c>
      <c r="E97" s="54">
        <f>SUM(E98:E102)</f>
        <v>41.240500000000004</v>
      </c>
      <c r="F97" s="1"/>
      <c r="G97" s="1"/>
      <c r="H97" s="19"/>
      <c r="I97" s="19"/>
      <c r="J97" s="7"/>
    </row>
    <row r="98" spans="1:10" x14ac:dyDescent="0.25">
      <c r="A98" s="1"/>
      <c r="B98" s="62"/>
      <c r="C98" s="62"/>
      <c r="D98" s="23" t="s">
        <v>77</v>
      </c>
      <c r="E98" s="17">
        <v>21.027000000000001</v>
      </c>
      <c r="F98" s="1"/>
      <c r="G98" s="1"/>
      <c r="H98" s="19"/>
      <c r="I98" s="19"/>
      <c r="J98" s="7"/>
    </row>
    <row r="99" spans="1:10" x14ac:dyDescent="0.25">
      <c r="A99" s="1"/>
      <c r="B99" s="62"/>
      <c r="C99" s="62"/>
      <c r="D99" s="23" t="s">
        <v>66</v>
      </c>
      <c r="E99" s="17">
        <v>4.6044999999999998</v>
      </c>
      <c r="F99" s="1"/>
      <c r="G99" s="1"/>
      <c r="H99" s="19"/>
      <c r="I99" s="19"/>
      <c r="J99" s="7"/>
    </row>
    <row r="100" spans="1:10" x14ac:dyDescent="0.25">
      <c r="A100" s="1"/>
      <c r="B100" s="62"/>
      <c r="C100" s="62"/>
      <c r="D100" s="23" t="s">
        <v>79</v>
      </c>
      <c r="E100" s="17">
        <v>2.78</v>
      </c>
      <c r="F100" s="1"/>
      <c r="G100" s="1"/>
      <c r="H100" s="19"/>
      <c r="I100" s="19"/>
      <c r="J100" s="7"/>
    </row>
    <row r="101" spans="1:10" x14ac:dyDescent="0.25">
      <c r="A101" s="1"/>
      <c r="B101" s="62"/>
      <c r="C101" s="62"/>
      <c r="D101" s="23" t="s">
        <v>69</v>
      </c>
      <c r="E101" s="17">
        <v>2.2909999999999999</v>
      </c>
      <c r="F101" s="1"/>
      <c r="G101" s="1"/>
      <c r="H101" s="19"/>
      <c r="I101" s="19"/>
      <c r="J101" s="7"/>
    </row>
    <row r="102" spans="1:10" x14ac:dyDescent="0.25">
      <c r="A102" s="1"/>
      <c r="B102" s="62"/>
      <c r="C102" s="62"/>
      <c r="D102" s="23" t="s">
        <v>78</v>
      </c>
      <c r="E102" s="17">
        <v>10.538</v>
      </c>
      <c r="F102" s="1"/>
      <c r="G102" s="1"/>
      <c r="H102" s="19"/>
      <c r="I102" s="19"/>
      <c r="J102" s="7"/>
    </row>
    <row r="103" spans="1:10" x14ac:dyDescent="0.25">
      <c r="A103" s="1"/>
      <c r="B103" s="62"/>
      <c r="C103" s="62"/>
      <c r="D103" s="23"/>
      <c r="E103" s="17"/>
      <c r="F103" s="1"/>
      <c r="G103" s="1"/>
      <c r="H103" s="19"/>
      <c r="I103" s="19"/>
      <c r="J103" s="7"/>
    </row>
    <row r="104" spans="1:10" x14ac:dyDescent="0.25">
      <c r="A104" s="1"/>
      <c r="B104" s="62"/>
      <c r="C104" s="62"/>
      <c r="D104" s="27" t="s">
        <v>76</v>
      </c>
      <c r="E104" s="13">
        <f>SUM(E105:E107)</f>
        <v>32.550199999999997</v>
      </c>
      <c r="F104" s="1"/>
      <c r="G104" s="22"/>
      <c r="H104" s="19"/>
      <c r="I104" s="19"/>
      <c r="J104" s="20"/>
    </row>
    <row r="105" spans="1:10" x14ac:dyDescent="0.25">
      <c r="A105" s="1"/>
      <c r="B105" s="62"/>
      <c r="C105" s="62"/>
      <c r="D105" s="16" t="s">
        <v>66</v>
      </c>
      <c r="E105" s="17">
        <v>9.8312000000000008</v>
      </c>
      <c r="F105" s="1"/>
      <c r="G105" s="22"/>
      <c r="H105" s="19"/>
      <c r="I105" s="19"/>
      <c r="J105" s="20"/>
    </row>
    <row r="106" spans="1:10" x14ac:dyDescent="0.25">
      <c r="A106" s="1"/>
      <c r="B106" s="62"/>
      <c r="C106" s="62"/>
      <c r="D106" s="16" t="s">
        <v>69</v>
      </c>
      <c r="E106" s="17">
        <f>2.291*6</f>
        <v>13.745999999999999</v>
      </c>
      <c r="F106" s="1"/>
      <c r="G106" s="22"/>
      <c r="H106" s="19"/>
      <c r="I106" s="19"/>
      <c r="J106" s="20"/>
    </row>
    <row r="107" spans="1:10" x14ac:dyDescent="0.25">
      <c r="A107" s="1"/>
      <c r="B107" s="62"/>
      <c r="C107" s="62"/>
      <c r="D107" s="16" t="s">
        <v>70</v>
      </c>
      <c r="E107" s="17">
        <v>8.9730000000000008</v>
      </c>
      <c r="F107" s="1"/>
      <c r="G107" s="22"/>
      <c r="H107" s="19"/>
      <c r="I107" s="19"/>
      <c r="J107" s="20"/>
    </row>
    <row r="108" spans="1:10" x14ac:dyDescent="0.25">
      <c r="A108" s="1"/>
      <c r="B108" s="62"/>
      <c r="C108" s="62"/>
      <c r="D108" s="53"/>
      <c r="E108" s="17"/>
      <c r="F108" s="1"/>
      <c r="G108" s="22"/>
      <c r="H108" s="19"/>
      <c r="I108" s="19"/>
      <c r="J108" s="20"/>
    </row>
    <row r="109" spans="1:10" x14ac:dyDescent="0.25">
      <c r="A109" s="1"/>
      <c r="B109" s="62"/>
      <c r="C109" s="62"/>
      <c r="D109" s="53" t="s">
        <v>83</v>
      </c>
      <c r="E109" s="13">
        <f>SUM(E110:E114)</f>
        <v>86.613900000000001</v>
      </c>
      <c r="F109" s="1"/>
      <c r="G109" s="22"/>
      <c r="H109" s="19"/>
      <c r="I109" s="19"/>
      <c r="J109" s="20"/>
    </row>
    <row r="110" spans="1:10" x14ac:dyDescent="0.25">
      <c r="A110" s="1"/>
      <c r="B110" s="62"/>
      <c r="C110" s="62"/>
      <c r="D110" s="16" t="s">
        <v>107</v>
      </c>
      <c r="E110" s="17">
        <f>9.5071+3.0138</f>
        <v>12.520899999999999</v>
      </c>
      <c r="F110" s="1"/>
      <c r="G110" s="22"/>
      <c r="H110" s="19"/>
      <c r="I110" s="19"/>
      <c r="J110" s="20"/>
    </row>
    <row r="111" spans="1:10" x14ac:dyDescent="0.25">
      <c r="A111" s="1"/>
      <c r="B111" s="62"/>
      <c r="C111" s="62"/>
      <c r="D111" s="16" t="s">
        <v>66</v>
      </c>
      <c r="E111" s="17">
        <f>3.6709+2.6147</f>
        <v>6.2856000000000005</v>
      </c>
      <c r="F111" s="1"/>
      <c r="G111" s="22"/>
      <c r="H111" s="19"/>
      <c r="I111" s="19"/>
      <c r="J111" s="20"/>
    </row>
    <row r="112" spans="1:10" x14ac:dyDescent="0.25">
      <c r="A112" s="1"/>
      <c r="B112" s="62"/>
      <c r="C112" s="62"/>
      <c r="D112" s="16" t="s">
        <v>69</v>
      </c>
      <c r="E112" s="17">
        <f>2.1129*2</f>
        <v>4.2257999999999996</v>
      </c>
      <c r="F112" s="1"/>
      <c r="G112" s="22"/>
      <c r="H112" s="19"/>
      <c r="I112" s="19"/>
      <c r="J112" s="20"/>
    </row>
    <row r="113" spans="1:10" x14ac:dyDescent="0.25">
      <c r="A113" s="1"/>
      <c r="B113" s="62"/>
      <c r="C113" s="62"/>
      <c r="D113" s="16" t="s">
        <v>108</v>
      </c>
      <c r="E113" s="17">
        <v>4.4755000000000003</v>
      </c>
      <c r="F113" s="1"/>
      <c r="G113" s="22"/>
      <c r="H113" s="19"/>
      <c r="I113" s="19"/>
      <c r="J113" s="20"/>
    </row>
    <row r="114" spans="1:10" x14ac:dyDescent="0.25">
      <c r="A114" s="1"/>
      <c r="B114" s="62"/>
      <c r="C114" s="62"/>
      <c r="D114" s="16" t="s">
        <v>86</v>
      </c>
      <c r="E114" s="17">
        <f>32.4248+12.5597+14.1216</f>
        <v>59.106099999999998</v>
      </c>
      <c r="F114" s="1"/>
      <c r="G114" s="22"/>
      <c r="H114" s="19"/>
      <c r="I114" s="19"/>
      <c r="J114" s="20"/>
    </row>
    <row r="115" spans="1:10" x14ac:dyDescent="0.25">
      <c r="A115" s="1"/>
      <c r="B115" s="62"/>
      <c r="C115" s="62"/>
      <c r="D115" s="53"/>
      <c r="E115" s="54"/>
      <c r="F115" s="1"/>
      <c r="G115" s="22"/>
      <c r="H115" s="19"/>
      <c r="I115" s="19"/>
      <c r="J115" s="20"/>
    </row>
    <row r="116" spans="1:10" x14ac:dyDescent="0.25">
      <c r="A116" s="1"/>
      <c r="B116" s="62"/>
      <c r="C116" s="62"/>
      <c r="D116" s="53" t="s">
        <v>84</v>
      </c>
      <c r="E116" s="54">
        <f>SUM(E117:E120)</f>
        <v>56.338200000000001</v>
      </c>
      <c r="F116" s="1"/>
      <c r="G116" s="22"/>
      <c r="H116" s="19"/>
      <c r="I116" s="19"/>
      <c r="J116" s="20"/>
    </row>
    <row r="117" spans="1:10" x14ac:dyDescent="0.25">
      <c r="A117" s="1"/>
      <c r="B117" s="62"/>
      <c r="C117" s="62"/>
      <c r="D117" s="16" t="s">
        <v>66</v>
      </c>
      <c r="E117" s="17">
        <f>3.4857+2.4552</f>
        <v>5.9409000000000001</v>
      </c>
      <c r="F117" s="1"/>
      <c r="G117" s="22"/>
      <c r="H117" s="19"/>
      <c r="I117" s="19"/>
      <c r="J117" s="20"/>
    </row>
    <row r="118" spans="1:10" x14ac:dyDescent="0.25">
      <c r="A118" s="1"/>
      <c r="B118" s="62"/>
      <c r="C118" s="62"/>
      <c r="D118" s="16" t="s">
        <v>86</v>
      </c>
      <c r="E118" s="17">
        <v>29.177099999999999</v>
      </c>
      <c r="F118" s="1"/>
      <c r="G118" s="22"/>
      <c r="H118" s="19"/>
      <c r="I118" s="19"/>
      <c r="J118" s="20"/>
    </row>
    <row r="119" spans="1:10" x14ac:dyDescent="0.25">
      <c r="A119" s="1"/>
      <c r="B119" s="62"/>
      <c r="C119" s="62"/>
      <c r="D119" s="16" t="s">
        <v>69</v>
      </c>
      <c r="E119" s="17">
        <f>2.291*3</f>
        <v>6.8729999999999993</v>
      </c>
      <c r="F119" s="1"/>
      <c r="G119" s="22"/>
      <c r="H119" s="19"/>
      <c r="I119" s="19"/>
      <c r="J119" s="20"/>
    </row>
    <row r="120" spans="1:10" x14ac:dyDescent="0.25">
      <c r="A120" s="1"/>
      <c r="B120" s="62"/>
      <c r="C120" s="62"/>
      <c r="D120" s="16" t="s">
        <v>70</v>
      </c>
      <c r="E120" s="17">
        <v>14.347200000000001</v>
      </c>
      <c r="F120" s="1"/>
      <c r="G120" s="22"/>
      <c r="H120" s="19"/>
      <c r="I120" s="19"/>
      <c r="J120" s="20"/>
    </row>
    <row r="121" spans="1:10" x14ac:dyDescent="0.25">
      <c r="A121" s="1"/>
      <c r="B121" s="62"/>
      <c r="C121" s="62"/>
      <c r="D121" s="16"/>
      <c r="E121" s="17"/>
      <c r="F121" s="1"/>
      <c r="G121" s="22"/>
      <c r="H121" s="19"/>
      <c r="I121" s="19"/>
      <c r="J121" s="20"/>
    </row>
    <row r="122" spans="1:10" x14ac:dyDescent="0.25">
      <c r="A122" s="1"/>
      <c r="B122" s="62"/>
      <c r="C122" s="62"/>
      <c r="D122" s="53" t="s">
        <v>94</v>
      </c>
      <c r="E122" s="54">
        <f>SUM(E123:E126)</f>
        <v>76.163000000000011</v>
      </c>
      <c r="F122" s="1"/>
      <c r="G122" s="22"/>
      <c r="H122" s="19"/>
      <c r="I122" s="19"/>
      <c r="J122" s="20"/>
    </row>
    <row r="123" spans="1:10" x14ac:dyDescent="0.25">
      <c r="A123" s="1"/>
      <c r="B123" s="62"/>
      <c r="C123" s="62"/>
      <c r="D123" s="16" t="s">
        <v>95</v>
      </c>
      <c r="E123" s="17">
        <v>54.615400000000001</v>
      </c>
      <c r="F123" s="1"/>
      <c r="G123" s="22"/>
      <c r="H123" s="19"/>
      <c r="I123" s="19"/>
      <c r="J123" s="20"/>
    </row>
    <row r="124" spans="1:10" x14ac:dyDescent="0.25">
      <c r="A124" s="1"/>
      <c r="B124" s="62"/>
      <c r="C124" s="62"/>
      <c r="D124" s="16" t="s">
        <v>69</v>
      </c>
      <c r="E124" s="17">
        <f>2*2.291</f>
        <v>4.5819999999999999</v>
      </c>
      <c r="F124" s="1"/>
      <c r="G124" s="22"/>
      <c r="H124" s="19"/>
      <c r="I124" s="19"/>
      <c r="J124" s="20"/>
    </row>
    <row r="125" spans="1:10" x14ac:dyDescent="0.25">
      <c r="A125" s="1"/>
      <c r="B125" s="62"/>
      <c r="C125" s="62"/>
      <c r="D125" s="16" t="s">
        <v>70</v>
      </c>
      <c r="E125" s="17">
        <v>5.9615999999999998</v>
      </c>
      <c r="F125" s="1"/>
      <c r="G125" s="22"/>
      <c r="H125" s="19"/>
      <c r="I125" s="19"/>
      <c r="J125" s="20"/>
    </row>
    <row r="126" spans="1:10" x14ac:dyDescent="0.25">
      <c r="A126" s="1"/>
      <c r="B126" s="62"/>
      <c r="C126" s="62"/>
      <c r="D126" s="16" t="s">
        <v>85</v>
      </c>
      <c r="E126" s="17">
        <v>11.004</v>
      </c>
      <c r="F126" s="1"/>
      <c r="G126" s="22"/>
      <c r="H126" s="19"/>
      <c r="I126" s="19"/>
      <c r="J126" s="20"/>
    </row>
    <row r="127" spans="1:10" x14ac:dyDescent="0.25">
      <c r="A127" s="1"/>
      <c r="B127" s="62"/>
      <c r="C127" s="62"/>
      <c r="D127" s="16"/>
      <c r="E127" s="17"/>
      <c r="F127" s="1"/>
      <c r="G127" s="22"/>
      <c r="H127" s="19"/>
      <c r="I127" s="19"/>
      <c r="J127" s="20"/>
    </row>
    <row r="128" spans="1:10" x14ac:dyDescent="0.25">
      <c r="A128" s="1"/>
      <c r="B128" s="62"/>
      <c r="C128" s="62"/>
      <c r="D128" s="53" t="s">
        <v>88</v>
      </c>
      <c r="E128" s="54">
        <f>SUM(E129:E131)</f>
        <v>42.316499999999998</v>
      </c>
      <c r="F128" s="1"/>
      <c r="G128" s="22"/>
      <c r="H128" s="19"/>
      <c r="I128" s="19"/>
      <c r="J128" s="20"/>
    </row>
    <row r="129" spans="1:10" x14ac:dyDescent="0.25">
      <c r="A129" s="1"/>
      <c r="B129" s="62"/>
      <c r="C129" s="62"/>
      <c r="D129" s="16" t="s">
        <v>95</v>
      </c>
      <c r="E129" s="17">
        <v>31.7026</v>
      </c>
      <c r="F129" s="1"/>
      <c r="G129" s="22"/>
      <c r="H129" s="19"/>
      <c r="I129" s="19"/>
      <c r="J129" s="20"/>
    </row>
    <row r="130" spans="1:10" x14ac:dyDescent="0.25">
      <c r="A130" s="1"/>
      <c r="B130" s="62"/>
      <c r="C130" s="62"/>
      <c r="D130" s="16" t="s">
        <v>69</v>
      </c>
      <c r="E130" s="17">
        <f>2*2.291</f>
        <v>4.5819999999999999</v>
      </c>
      <c r="F130" s="1"/>
      <c r="G130" s="22"/>
      <c r="H130" s="19"/>
      <c r="I130" s="19"/>
      <c r="J130" s="20"/>
    </row>
    <row r="131" spans="1:10" x14ac:dyDescent="0.25">
      <c r="A131" s="1"/>
      <c r="B131" s="62"/>
      <c r="C131" s="62"/>
      <c r="D131" s="16" t="s">
        <v>70</v>
      </c>
      <c r="E131" s="17">
        <v>6.0319000000000003</v>
      </c>
      <c r="F131" s="1"/>
      <c r="G131" s="22"/>
      <c r="H131" s="19"/>
      <c r="I131" s="19"/>
      <c r="J131" s="20"/>
    </row>
    <row r="132" spans="1:10" x14ac:dyDescent="0.25">
      <c r="A132" s="1"/>
      <c r="B132" s="62"/>
      <c r="C132" s="62"/>
      <c r="D132" s="16"/>
      <c r="E132" s="17"/>
      <c r="F132" s="1"/>
      <c r="G132" s="22"/>
      <c r="H132" s="19"/>
      <c r="I132" s="19"/>
      <c r="J132" s="20"/>
    </row>
    <row r="133" spans="1:10" x14ac:dyDescent="0.25">
      <c r="A133" s="1"/>
      <c r="B133" s="62"/>
      <c r="C133" s="62"/>
      <c r="D133" s="53" t="s">
        <v>89</v>
      </c>
      <c r="E133" s="54">
        <f>SUM(E134:E136)</f>
        <v>27.0322</v>
      </c>
      <c r="F133" s="1"/>
      <c r="G133" s="22"/>
      <c r="H133" s="19"/>
      <c r="I133" s="19"/>
      <c r="J133" s="20"/>
    </row>
    <row r="134" spans="1:10" x14ac:dyDescent="0.25">
      <c r="A134" s="1"/>
      <c r="B134" s="62"/>
      <c r="C134" s="62"/>
      <c r="D134" s="16" t="s">
        <v>66</v>
      </c>
      <c r="E134" s="17">
        <v>5.0069999999999997</v>
      </c>
      <c r="F134" s="1"/>
      <c r="G134" s="22"/>
      <c r="H134" s="19"/>
      <c r="I134" s="19"/>
      <c r="J134" s="20"/>
    </row>
    <row r="135" spans="1:10" x14ac:dyDescent="0.25">
      <c r="A135" s="1"/>
      <c r="B135" s="62"/>
      <c r="C135" s="62"/>
      <c r="D135" s="16" t="s">
        <v>69</v>
      </c>
      <c r="E135" s="17">
        <f>2*2.291</f>
        <v>4.5819999999999999</v>
      </c>
      <c r="F135" s="1"/>
      <c r="G135" s="22"/>
      <c r="H135" s="19"/>
      <c r="I135" s="19"/>
      <c r="J135" s="20"/>
    </row>
    <row r="136" spans="1:10" x14ac:dyDescent="0.25">
      <c r="A136" s="1"/>
      <c r="B136" s="62"/>
      <c r="C136" s="62"/>
      <c r="D136" s="16" t="s">
        <v>96</v>
      </c>
      <c r="E136" s="17">
        <v>17.443200000000001</v>
      </c>
      <c r="F136" s="1"/>
      <c r="G136" s="22"/>
      <c r="H136" s="19"/>
      <c r="I136" s="19"/>
      <c r="J136" s="20"/>
    </row>
    <row r="137" spans="1:10" x14ac:dyDescent="0.25">
      <c r="A137" s="1"/>
      <c r="B137" s="62"/>
      <c r="C137" s="62"/>
      <c r="D137" s="16"/>
      <c r="E137" s="17"/>
      <c r="F137" s="1"/>
      <c r="G137" s="22"/>
      <c r="H137" s="19"/>
      <c r="I137" s="19"/>
      <c r="J137" s="20"/>
    </row>
    <row r="138" spans="1:10" x14ac:dyDescent="0.25">
      <c r="A138" s="1"/>
      <c r="B138" s="62"/>
      <c r="C138" s="62"/>
      <c r="D138" s="53" t="s">
        <v>102</v>
      </c>
      <c r="E138" s="54">
        <f>SUM(E139:E141)</f>
        <v>65.980099999999993</v>
      </c>
      <c r="F138" s="1"/>
      <c r="G138" s="22"/>
      <c r="H138" s="19"/>
      <c r="I138" s="19"/>
      <c r="J138" s="20"/>
    </row>
    <row r="139" spans="1:10" x14ac:dyDescent="0.25">
      <c r="A139" s="1"/>
      <c r="B139" s="62"/>
      <c r="C139" s="62"/>
      <c r="D139" s="16" t="s">
        <v>105</v>
      </c>
      <c r="E139" s="17">
        <v>46.367199999999997</v>
      </c>
      <c r="F139" s="1"/>
      <c r="G139" s="22"/>
      <c r="H139" s="19"/>
      <c r="I139" s="19"/>
      <c r="J139" s="20"/>
    </row>
    <row r="140" spans="1:10" x14ac:dyDescent="0.25">
      <c r="A140" s="1"/>
      <c r="B140" s="62"/>
      <c r="C140" s="62"/>
      <c r="D140" s="16" t="s">
        <v>69</v>
      </c>
      <c r="E140" s="17">
        <f>2*2.291</f>
        <v>4.5819999999999999</v>
      </c>
      <c r="F140" s="1"/>
      <c r="G140" s="22"/>
      <c r="H140" s="19"/>
      <c r="I140" s="19"/>
      <c r="J140" s="20"/>
    </row>
    <row r="141" spans="1:10" x14ac:dyDescent="0.25">
      <c r="A141" s="1"/>
      <c r="B141" s="62"/>
      <c r="C141" s="62"/>
      <c r="D141" s="16" t="s">
        <v>106</v>
      </c>
      <c r="E141" s="17">
        <f>8.9963+6.0346</f>
        <v>15.030899999999999</v>
      </c>
      <c r="F141" s="1"/>
      <c r="G141" s="22"/>
      <c r="H141" s="19"/>
      <c r="I141" s="19"/>
      <c r="J141" s="20"/>
    </row>
    <row r="142" spans="1:10" x14ac:dyDescent="0.25">
      <c r="A142" s="1"/>
      <c r="B142" s="62"/>
      <c r="C142" s="62"/>
      <c r="D142" s="16"/>
      <c r="E142" s="17"/>
      <c r="F142" s="1"/>
      <c r="G142" s="22"/>
      <c r="H142" s="19"/>
      <c r="I142" s="19"/>
      <c r="J142" s="20"/>
    </row>
    <row r="143" spans="1:10" x14ac:dyDescent="0.25">
      <c r="A143" s="1"/>
      <c r="B143" s="62"/>
      <c r="C143" s="62"/>
      <c r="D143" s="53" t="s">
        <v>112</v>
      </c>
      <c r="E143" s="54">
        <f>SUM(E144:E146)</f>
        <v>68.876499999999993</v>
      </c>
      <c r="F143" s="1"/>
      <c r="G143" s="22"/>
      <c r="H143" s="19"/>
      <c r="I143" s="19"/>
      <c r="J143" s="20"/>
    </row>
    <row r="144" spans="1:10" x14ac:dyDescent="0.25">
      <c r="A144" s="1"/>
      <c r="B144" s="62"/>
      <c r="C144" s="62"/>
      <c r="D144" s="16" t="s">
        <v>105</v>
      </c>
      <c r="E144" s="17">
        <v>46.778399999999998</v>
      </c>
      <c r="F144" s="1"/>
      <c r="G144" s="22"/>
      <c r="H144" s="19"/>
      <c r="I144" s="19"/>
      <c r="J144" s="20"/>
    </row>
    <row r="145" spans="1:10" x14ac:dyDescent="0.25">
      <c r="A145" s="1"/>
      <c r="B145" s="62"/>
      <c r="C145" s="62"/>
      <c r="D145" s="16" t="s">
        <v>69</v>
      </c>
      <c r="E145" s="17">
        <f>2*2.291</f>
        <v>4.5819999999999999</v>
      </c>
      <c r="F145" s="1"/>
      <c r="G145" s="22"/>
      <c r="H145" s="19"/>
      <c r="I145" s="19"/>
      <c r="J145" s="20"/>
    </row>
    <row r="146" spans="1:10" x14ac:dyDescent="0.25">
      <c r="A146" s="1"/>
      <c r="B146" s="62"/>
      <c r="C146" s="62"/>
      <c r="D146" s="16" t="s">
        <v>113</v>
      </c>
      <c r="E146" s="17">
        <v>17.516100000000002</v>
      </c>
      <c r="F146" s="1"/>
      <c r="G146" s="22"/>
      <c r="H146" s="19"/>
      <c r="I146" s="19"/>
      <c r="J146" s="20"/>
    </row>
    <row r="147" spans="1:10" x14ac:dyDescent="0.25">
      <c r="A147" s="1"/>
      <c r="B147" s="62"/>
      <c r="C147" s="62"/>
      <c r="D147" s="16"/>
      <c r="E147" s="17"/>
      <c r="F147" s="1"/>
      <c r="G147" s="22"/>
      <c r="H147" s="24"/>
      <c r="I147" s="19"/>
      <c r="J147" s="7"/>
    </row>
    <row r="148" spans="1:10" x14ac:dyDescent="0.25">
      <c r="A148" s="1" t="s">
        <v>50</v>
      </c>
      <c r="B148" s="62" t="s">
        <v>51</v>
      </c>
      <c r="C148" s="62"/>
      <c r="D148" s="16" t="s">
        <v>52</v>
      </c>
      <c r="E148" s="17">
        <f>SUM(E150:E156)</f>
        <v>15</v>
      </c>
      <c r="F148" s="1" t="s">
        <v>53</v>
      </c>
      <c r="G148" s="22">
        <v>1290.1600000000001</v>
      </c>
      <c r="H148" s="24">
        <f>G148*H$5</f>
        <v>1593.7346480000001</v>
      </c>
      <c r="I148" s="19">
        <f>H148*E148</f>
        <v>23906.01972</v>
      </c>
      <c r="J148" s="7"/>
    </row>
    <row r="149" spans="1:10" x14ac:dyDescent="0.25">
      <c r="A149" s="1"/>
      <c r="B149" s="62"/>
      <c r="C149" s="62"/>
      <c r="D149" s="16" t="s">
        <v>75</v>
      </c>
      <c r="E149" s="17">
        <v>1</v>
      </c>
      <c r="F149" s="1"/>
      <c r="G149" s="22"/>
      <c r="H149" s="24"/>
      <c r="I149" s="19"/>
      <c r="J149" s="7"/>
    </row>
    <row r="150" spans="1:10" x14ac:dyDescent="0.25">
      <c r="A150" s="22"/>
      <c r="B150" s="62"/>
      <c r="C150" s="62"/>
      <c r="D150" s="16" t="s">
        <v>76</v>
      </c>
      <c r="E150" s="17">
        <v>3</v>
      </c>
      <c r="F150" s="22"/>
      <c r="G150" s="22"/>
      <c r="H150" s="24"/>
      <c r="I150" s="24"/>
      <c r="J150" s="20"/>
    </row>
    <row r="151" spans="1:10" x14ac:dyDescent="0.25">
      <c r="A151" s="22"/>
      <c r="B151" s="62"/>
      <c r="C151" s="62"/>
      <c r="D151" s="16" t="s">
        <v>83</v>
      </c>
      <c r="E151" s="17">
        <v>2</v>
      </c>
      <c r="F151" s="22"/>
      <c r="G151" s="22"/>
      <c r="H151" s="24"/>
      <c r="I151" s="24"/>
      <c r="J151" s="20"/>
    </row>
    <row r="152" spans="1:10" x14ac:dyDescent="0.25">
      <c r="A152" s="22"/>
      <c r="B152" s="62"/>
      <c r="C152" s="62"/>
      <c r="D152" s="16" t="s">
        <v>109</v>
      </c>
      <c r="E152" s="17">
        <v>1</v>
      </c>
      <c r="F152" s="22"/>
      <c r="G152" s="22"/>
      <c r="H152" s="24"/>
      <c r="I152" s="24"/>
      <c r="J152" s="20"/>
    </row>
    <row r="153" spans="1:10" x14ac:dyDescent="0.25">
      <c r="A153" s="22"/>
      <c r="B153" s="62"/>
      <c r="C153" s="62"/>
      <c r="D153" s="16" t="s">
        <v>94</v>
      </c>
      <c r="E153" s="17">
        <v>2</v>
      </c>
      <c r="F153" s="22"/>
      <c r="G153" s="22"/>
      <c r="H153" s="24"/>
      <c r="I153" s="24"/>
      <c r="J153" s="20"/>
    </row>
    <row r="154" spans="1:10" x14ac:dyDescent="0.25">
      <c r="A154" s="22"/>
      <c r="B154" s="62"/>
      <c r="C154" s="62"/>
      <c r="D154" s="16" t="s">
        <v>88</v>
      </c>
      <c r="E154" s="17">
        <v>3</v>
      </c>
      <c r="F154" s="22"/>
      <c r="G154" s="22"/>
      <c r="H154" s="24"/>
      <c r="I154" s="24"/>
      <c r="J154" s="20"/>
    </row>
    <row r="155" spans="1:10" x14ac:dyDescent="0.25">
      <c r="A155" s="1"/>
      <c r="B155" s="62"/>
      <c r="C155" s="62"/>
      <c r="D155" s="16" t="s">
        <v>89</v>
      </c>
      <c r="E155" s="17">
        <v>3</v>
      </c>
      <c r="F155" s="1"/>
      <c r="G155" s="22"/>
      <c r="H155" s="24"/>
      <c r="I155" s="19"/>
      <c r="J155" s="7"/>
    </row>
    <row r="156" spans="1:10" x14ac:dyDescent="0.25">
      <c r="A156" s="1"/>
      <c r="B156" s="62"/>
      <c r="C156" s="62"/>
      <c r="D156" s="16" t="s">
        <v>112</v>
      </c>
      <c r="E156" s="17">
        <v>1</v>
      </c>
      <c r="F156" s="1"/>
      <c r="G156" s="22"/>
      <c r="H156" s="24"/>
      <c r="I156" s="19"/>
      <c r="J156" s="7"/>
    </row>
    <row r="157" spans="1:10" x14ac:dyDescent="0.25">
      <c r="A157" s="1"/>
      <c r="B157" s="62"/>
      <c r="C157" s="62"/>
      <c r="D157" s="16"/>
      <c r="E157" s="17"/>
      <c r="F157" s="1"/>
      <c r="G157" s="22"/>
      <c r="H157" s="24"/>
      <c r="I157" s="19"/>
      <c r="J157" s="7"/>
    </row>
    <row r="158" spans="1:10" ht="25.5" x14ac:dyDescent="0.25">
      <c r="A158" s="1" t="s">
        <v>54</v>
      </c>
      <c r="B158" s="62" t="s">
        <v>55</v>
      </c>
      <c r="C158" s="62"/>
      <c r="D158" s="23" t="s">
        <v>56</v>
      </c>
      <c r="E158" s="17">
        <f>E159+E164+E169+E174+E180+E185+E189+E194+E198</f>
        <v>12.310800000000002</v>
      </c>
      <c r="F158" s="1" t="s">
        <v>19</v>
      </c>
      <c r="G158" s="28">
        <v>1609.03</v>
      </c>
      <c r="H158" s="19">
        <f>G158*H$5</f>
        <v>1987.634759</v>
      </c>
      <c r="I158" s="19">
        <f>H158*E158</f>
        <v>24469.373991097204</v>
      </c>
      <c r="J158" s="7"/>
    </row>
    <row r="159" spans="1:10" x14ac:dyDescent="0.25">
      <c r="A159" s="1"/>
      <c r="B159" s="57"/>
      <c r="C159" s="58"/>
      <c r="D159" s="27" t="s">
        <v>75</v>
      </c>
      <c r="E159" s="13">
        <f>SUM(E160:E162)</f>
        <v>1.13775</v>
      </c>
      <c r="F159" s="1"/>
      <c r="G159" s="22"/>
      <c r="H159" s="19"/>
      <c r="I159" s="19"/>
      <c r="J159" s="20"/>
    </row>
    <row r="160" spans="1:10" x14ac:dyDescent="0.25">
      <c r="A160" s="1"/>
      <c r="B160" s="57"/>
      <c r="C160" s="58"/>
      <c r="D160" s="16" t="s">
        <v>67</v>
      </c>
      <c r="E160" s="17">
        <f>0.5*0.25*2</f>
        <v>0.25</v>
      </c>
      <c r="F160" s="1"/>
      <c r="G160" s="22"/>
      <c r="H160" s="24"/>
      <c r="I160" s="19"/>
      <c r="J160" s="7"/>
    </row>
    <row r="161" spans="1:10" x14ac:dyDescent="0.25">
      <c r="A161" s="1"/>
      <c r="B161" s="55"/>
      <c r="C161" s="56"/>
      <c r="D161" s="16" t="s">
        <v>68</v>
      </c>
      <c r="E161" s="17">
        <f>0.299</f>
        <v>0.29899999999999999</v>
      </c>
      <c r="F161" s="1"/>
      <c r="G161" s="22"/>
      <c r="H161" s="24"/>
      <c r="I161" s="19"/>
      <c r="J161" s="7"/>
    </row>
    <row r="162" spans="1:10" x14ac:dyDescent="0.25">
      <c r="A162" s="1"/>
      <c r="B162" s="57"/>
      <c r="C162" s="58"/>
      <c r="D162" s="16" t="s">
        <v>80</v>
      </c>
      <c r="E162" s="17">
        <f>0.19625*3</f>
        <v>0.58875</v>
      </c>
      <c r="F162" s="1"/>
      <c r="G162" s="22"/>
      <c r="H162" s="24"/>
      <c r="I162" s="19"/>
      <c r="J162" s="7"/>
    </row>
    <row r="163" spans="1:10" x14ac:dyDescent="0.25">
      <c r="A163" s="1"/>
      <c r="B163" s="57"/>
      <c r="C163" s="58"/>
      <c r="D163" s="16"/>
      <c r="E163" s="17"/>
      <c r="F163" s="1"/>
      <c r="G163" s="22"/>
      <c r="H163" s="24"/>
      <c r="I163" s="19"/>
      <c r="J163" s="7"/>
    </row>
    <row r="164" spans="1:10" x14ac:dyDescent="0.25">
      <c r="A164" s="1"/>
      <c r="B164" s="57"/>
      <c r="C164" s="58"/>
      <c r="D164" s="27" t="s">
        <v>76</v>
      </c>
      <c r="E164" s="13">
        <f>SUM(E165:E167)</f>
        <v>2.9890500000000002</v>
      </c>
      <c r="F164" s="1"/>
      <c r="G164" s="22"/>
      <c r="H164" s="24"/>
      <c r="I164" s="19"/>
      <c r="J164" s="7"/>
    </row>
    <row r="165" spans="1:10" x14ac:dyDescent="0.25">
      <c r="A165" s="1"/>
      <c r="B165" s="57"/>
      <c r="C165" s="58"/>
      <c r="D165" s="16" t="s">
        <v>68</v>
      </c>
      <c r="E165" s="17">
        <f>0.2988*6</f>
        <v>1.7928000000000002</v>
      </c>
      <c r="F165" s="1"/>
      <c r="G165" s="22"/>
      <c r="H165" s="24"/>
      <c r="I165" s="19"/>
      <c r="J165" s="7"/>
    </row>
    <row r="166" spans="1:10" x14ac:dyDescent="0.25">
      <c r="A166" s="1"/>
      <c r="B166" s="57"/>
      <c r="C166" s="58"/>
      <c r="D166" s="16" t="s">
        <v>67</v>
      </c>
      <c r="E166" s="17">
        <f>0.5*0.25*8</f>
        <v>1</v>
      </c>
      <c r="F166" s="1"/>
      <c r="G166" s="22"/>
      <c r="H166" s="24"/>
      <c r="I166" s="19"/>
      <c r="J166" s="7"/>
    </row>
    <row r="167" spans="1:10" x14ac:dyDescent="0.25">
      <c r="A167" s="1"/>
      <c r="B167" s="57"/>
      <c r="C167" s="58"/>
      <c r="D167" s="16" t="s">
        <v>80</v>
      </c>
      <c r="E167" s="17">
        <f>0.19625*1</f>
        <v>0.19625000000000001</v>
      </c>
      <c r="F167" s="1"/>
      <c r="G167" s="22"/>
      <c r="H167" s="24"/>
      <c r="I167" s="19"/>
      <c r="J167" s="7"/>
    </row>
    <row r="168" spans="1:10" x14ac:dyDescent="0.25">
      <c r="A168" s="1"/>
      <c r="B168" s="55"/>
      <c r="C168" s="56"/>
      <c r="D168" s="16"/>
      <c r="E168" s="17"/>
      <c r="F168" s="1"/>
      <c r="G168" s="22"/>
      <c r="H168" s="24"/>
      <c r="I168" s="19"/>
      <c r="J168" s="7"/>
    </row>
    <row r="169" spans="1:10" x14ac:dyDescent="0.25">
      <c r="A169" s="1"/>
      <c r="B169" s="57"/>
      <c r="C169" s="58"/>
      <c r="D169" s="53" t="s">
        <v>83</v>
      </c>
      <c r="E169" s="13">
        <f>SUM(E170:E172)</f>
        <v>0.97599999999999998</v>
      </c>
      <c r="F169" s="1"/>
      <c r="G169" s="22"/>
      <c r="H169" s="19"/>
      <c r="I169" s="19"/>
      <c r="J169" s="20"/>
    </row>
    <row r="170" spans="1:10" x14ac:dyDescent="0.25">
      <c r="A170" s="1"/>
      <c r="B170" s="57"/>
      <c r="C170" s="58"/>
      <c r="D170" s="16" t="s">
        <v>67</v>
      </c>
      <c r="E170" s="17">
        <f>0.25*0.5*3</f>
        <v>0.375</v>
      </c>
      <c r="F170" s="1"/>
      <c r="G170" s="22"/>
      <c r="H170" s="24"/>
      <c r="I170" s="19"/>
      <c r="J170" s="7"/>
    </row>
    <row r="171" spans="1:10" x14ac:dyDescent="0.25">
      <c r="A171" s="1"/>
      <c r="B171" s="57"/>
      <c r="C171" s="58"/>
      <c r="D171" s="16" t="s">
        <v>97</v>
      </c>
      <c r="E171" s="17">
        <f>0.45*0.45*2</f>
        <v>0.40500000000000003</v>
      </c>
      <c r="F171" s="1"/>
      <c r="G171" s="22"/>
      <c r="H171" s="24"/>
      <c r="I171" s="19"/>
      <c r="J171" s="7"/>
    </row>
    <row r="172" spans="1:10" x14ac:dyDescent="0.25">
      <c r="A172" s="1"/>
      <c r="B172" s="57"/>
      <c r="C172" s="58"/>
      <c r="D172" s="16" t="s">
        <v>80</v>
      </c>
      <c r="E172" s="17">
        <f>0.196</f>
        <v>0.19600000000000001</v>
      </c>
      <c r="F172" s="1"/>
      <c r="G172" s="22"/>
      <c r="H172" s="24"/>
      <c r="I172" s="19"/>
      <c r="J172" s="7"/>
    </row>
    <row r="173" spans="1:10" x14ac:dyDescent="0.25">
      <c r="A173" s="1"/>
      <c r="B173" s="62"/>
      <c r="C173" s="62"/>
      <c r="D173" s="53"/>
      <c r="E173" s="54"/>
      <c r="F173" s="1"/>
      <c r="G173" s="22"/>
      <c r="H173" s="19"/>
      <c r="I173" s="19"/>
      <c r="J173" s="20"/>
    </row>
    <row r="174" spans="1:10" x14ac:dyDescent="0.25">
      <c r="A174" s="1"/>
      <c r="B174" s="62"/>
      <c r="C174" s="62"/>
      <c r="D174" s="53" t="s">
        <v>84</v>
      </c>
      <c r="E174" s="54">
        <f>SUM(E175:E178)</f>
        <v>1.748</v>
      </c>
      <c r="F174" s="1"/>
      <c r="G174" s="22"/>
      <c r="H174" s="19"/>
      <c r="I174" s="19"/>
      <c r="J174" s="20"/>
    </row>
    <row r="175" spans="1:10" x14ac:dyDescent="0.25">
      <c r="A175" s="1"/>
      <c r="B175" s="55"/>
      <c r="C175" s="56"/>
      <c r="D175" s="16" t="s">
        <v>67</v>
      </c>
      <c r="E175" s="17">
        <f>0.5*0.25*2</f>
        <v>0.25</v>
      </c>
      <c r="F175" s="1"/>
      <c r="G175" s="22"/>
      <c r="H175" s="24"/>
      <c r="I175" s="19"/>
      <c r="J175" s="7"/>
    </row>
    <row r="176" spans="1:10" x14ac:dyDescent="0.25">
      <c r="A176" s="1"/>
      <c r="B176" s="55"/>
      <c r="C176" s="56"/>
      <c r="D176" s="16" t="s">
        <v>68</v>
      </c>
      <c r="E176" s="17">
        <f>0.299*3</f>
        <v>0.89700000000000002</v>
      </c>
      <c r="F176" s="1"/>
      <c r="G176" s="22"/>
      <c r="H176" s="24"/>
      <c r="I176" s="19"/>
      <c r="J176" s="7"/>
    </row>
    <row r="177" spans="1:10" x14ac:dyDescent="0.25">
      <c r="A177" s="1"/>
      <c r="B177" s="55"/>
      <c r="C177" s="56"/>
      <c r="D177" s="16" t="s">
        <v>97</v>
      </c>
      <c r="E177" s="17">
        <f>0.45*0.45*2</f>
        <v>0.40500000000000003</v>
      </c>
      <c r="F177" s="1"/>
      <c r="G177" s="22"/>
      <c r="H177" s="24"/>
      <c r="I177" s="19"/>
      <c r="J177" s="7"/>
    </row>
    <row r="178" spans="1:10" x14ac:dyDescent="0.25">
      <c r="A178" s="1"/>
      <c r="B178" s="55"/>
      <c r="C178" s="56"/>
      <c r="D178" s="16" t="s">
        <v>80</v>
      </c>
      <c r="E178" s="17">
        <v>0.19600000000000001</v>
      </c>
      <c r="F178" s="1"/>
      <c r="G178" s="22"/>
      <c r="H178" s="24"/>
      <c r="I178" s="19"/>
      <c r="J178" s="7"/>
    </row>
    <row r="179" spans="1:10" x14ac:dyDescent="0.25">
      <c r="A179" s="1"/>
      <c r="B179" s="55"/>
      <c r="C179" s="56"/>
      <c r="D179" s="16"/>
      <c r="E179" s="17"/>
      <c r="F179" s="1"/>
      <c r="G179" s="22"/>
      <c r="H179" s="24"/>
      <c r="I179" s="19"/>
      <c r="J179" s="7"/>
    </row>
    <row r="180" spans="1:10" x14ac:dyDescent="0.25">
      <c r="A180" s="1"/>
      <c r="B180" s="55"/>
      <c r="C180" s="56"/>
      <c r="D180" s="53" t="s">
        <v>94</v>
      </c>
      <c r="E180" s="54">
        <f>SUM(E181:E183)</f>
        <v>1.133</v>
      </c>
      <c r="F180" s="1"/>
      <c r="G180" s="22"/>
      <c r="H180" s="24"/>
      <c r="I180" s="19"/>
      <c r="J180" s="7"/>
    </row>
    <row r="181" spans="1:10" x14ac:dyDescent="0.25">
      <c r="A181" s="1"/>
      <c r="B181" s="55"/>
      <c r="C181" s="56"/>
      <c r="D181" s="16" t="s">
        <v>97</v>
      </c>
      <c r="E181" s="17">
        <f>0.45*0.45*2</f>
        <v>0.40500000000000003</v>
      </c>
      <c r="F181" s="1"/>
      <c r="G181" s="22"/>
      <c r="H181" s="24"/>
      <c r="I181" s="19"/>
      <c r="J181" s="7"/>
    </row>
    <row r="182" spans="1:10" x14ac:dyDescent="0.25">
      <c r="A182" s="1"/>
      <c r="B182" s="55"/>
      <c r="C182" s="56"/>
      <c r="D182" s="16" t="s">
        <v>67</v>
      </c>
      <c r="E182" s="17">
        <f>0.25*0.52</f>
        <v>0.13</v>
      </c>
      <c r="F182" s="1"/>
      <c r="G182" s="22"/>
      <c r="H182" s="24"/>
      <c r="I182" s="19"/>
      <c r="J182" s="7"/>
    </row>
    <row r="183" spans="1:10" x14ac:dyDescent="0.25">
      <c r="A183" s="1"/>
      <c r="B183" s="55"/>
      <c r="C183" s="56"/>
      <c r="D183" s="16" t="s">
        <v>68</v>
      </c>
      <c r="E183" s="17">
        <f>0.299*2</f>
        <v>0.59799999999999998</v>
      </c>
      <c r="F183" s="1"/>
      <c r="G183" s="22"/>
      <c r="H183" s="24"/>
      <c r="I183" s="19"/>
      <c r="J183" s="7"/>
    </row>
    <row r="184" spans="1:10" x14ac:dyDescent="0.25">
      <c r="A184" s="1"/>
      <c r="B184" s="55"/>
      <c r="C184" s="56"/>
      <c r="D184" s="16"/>
      <c r="E184" s="17"/>
      <c r="F184" s="1"/>
      <c r="G184" s="22"/>
      <c r="H184" s="24"/>
      <c r="I184" s="19"/>
      <c r="J184" s="7"/>
    </row>
    <row r="185" spans="1:10" x14ac:dyDescent="0.25">
      <c r="A185" s="1"/>
      <c r="B185" s="55"/>
      <c r="C185" s="56"/>
      <c r="D185" s="53" t="s">
        <v>88</v>
      </c>
      <c r="E185" s="54">
        <f>SUM(E186:E187)</f>
        <v>0.84799999999999998</v>
      </c>
      <c r="F185" s="1"/>
      <c r="G185" s="22"/>
      <c r="H185" s="24"/>
      <c r="I185" s="19"/>
      <c r="J185" s="7"/>
    </row>
    <row r="186" spans="1:10" x14ac:dyDescent="0.25">
      <c r="A186" s="1"/>
      <c r="B186" s="55"/>
      <c r="C186" s="56"/>
      <c r="D186" s="16" t="s">
        <v>67</v>
      </c>
      <c r="E186" s="17">
        <f>0.5*0.25*2</f>
        <v>0.25</v>
      </c>
      <c r="F186" s="1"/>
      <c r="G186" s="22"/>
      <c r="H186" s="24"/>
      <c r="I186" s="19"/>
      <c r="J186" s="7"/>
    </row>
    <row r="187" spans="1:10" x14ac:dyDescent="0.25">
      <c r="A187" s="1"/>
      <c r="B187" s="55"/>
      <c r="C187" s="56"/>
      <c r="D187" s="16" t="s">
        <v>68</v>
      </c>
      <c r="E187" s="17">
        <f>0.299*2</f>
        <v>0.59799999999999998</v>
      </c>
      <c r="F187" s="1"/>
      <c r="G187" s="22"/>
      <c r="H187" s="24"/>
      <c r="I187" s="19"/>
      <c r="J187" s="7"/>
    </row>
    <row r="188" spans="1:10" x14ac:dyDescent="0.25">
      <c r="A188" s="1"/>
      <c r="B188" s="55"/>
      <c r="C188" s="56"/>
      <c r="D188" s="16"/>
      <c r="E188" s="17"/>
      <c r="F188" s="1"/>
      <c r="G188" s="22"/>
      <c r="H188" s="24"/>
      <c r="I188" s="19"/>
      <c r="J188" s="7"/>
    </row>
    <row r="189" spans="1:10" x14ac:dyDescent="0.25">
      <c r="A189" s="1"/>
      <c r="B189" s="55"/>
      <c r="C189" s="56"/>
      <c r="D189" s="53" t="s">
        <v>89</v>
      </c>
      <c r="E189" s="54">
        <f>SUM(E190:E192)</f>
        <v>1.3780000000000001</v>
      </c>
      <c r="F189" s="1"/>
      <c r="G189" s="22"/>
      <c r="H189" s="24"/>
      <c r="I189" s="19"/>
      <c r="J189" s="7"/>
    </row>
    <row r="190" spans="1:10" x14ac:dyDescent="0.25">
      <c r="A190" s="1"/>
      <c r="B190" s="55"/>
      <c r="C190" s="56"/>
      <c r="D190" s="16" t="s">
        <v>67</v>
      </c>
      <c r="E190" s="17">
        <f>0.5*0.25*3</f>
        <v>0.375</v>
      </c>
      <c r="F190" s="1"/>
      <c r="G190" s="22"/>
      <c r="H190" s="24"/>
      <c r="I190" s="19"/>
      <c r="J190" s="7"/>
    </row>
    <row r="191" spans="1:10" x14ac:dyDescent="0.25">
      <c r="A191" s="1"/>
      <c r="B191" s="57"/>
      <c r="C191" s="58"/>
      <c r="D191" s="16" t="s">
        <v>68</v>
      </c>
      <c r="E191" s="17">
        <f>0.299*2</f>
        <v>0.59799999999999998</v>
      </c>
      <c r="F191" s="1"/>
      <c r="G191" s="22"/>
      <c r="H191" s="24"/>
      <c r="I191" s="19"/>
      <c r="J191" s="7"/>
    </row>
    <row r="192" spans="1:10" x14ac:dyDescent="0.25">
      <c r="A192" s="1"/>
      <c r="B192" s="57"/>
      <c r="C192" s="58"/>
      <c r="D192" s="16" t="s">
        <v>98</v>
      </c>
      <c r="E192" s="17">
        <f>0.45*0.45*2</f>
        <v>0.40500000000000003</v>
      </c>
      <c r="F192" s="1"/>
      <c r="G192" s="22"/>
      <c r="H192" s="24"/>
      <c r="I192" s="19"/>
      <c r="J192" s="7"/>
    </row>
    <row r="193" spans="1:10" x14ac:dyDescent="0.25">
      <c r="A193" s="1"/>
      <c r="B193" s="55"/>
      <c r="C193" s="56"/>
      <c r="D193" s="16"/>
      <c r="E193" s="17"/>
      <c r="F193" s="1"/>
      <c r="G193" s="22"/>
      <c r="H193" s="24"/>
      <c r="I193" s="19"/>
      <c r="J193" s="7"/>
    </row>
    <row r="194" spans="1:10" x14ac:dyDescent="0.25">
      <c r="A194" s="1"/>
      <c r="B194" s="55"/>
      <c r="C194" s="56"/>
      <c r="D194" s="53" t="s">
        <v>102</v>
      </c>
      <c r="E194" s="54">
        <f>SUM(E195:E196)</f>
        <v>0.84799999999999998</v>
      </c>
      <c r="F194" s="1"/>
      <c r="G194" s="22"/>
      <c r="H194" s="24"/>
      <c r="I194" s="19"/>
      <c r="J194" s="7"/>
    </row>
    <row r="195" spans="1:10" x14ac:dyDescent="0.25">
      <c r="A195" s="1"/>
      <c r="B195" s="55"/>
      <c r="C195" s="56"/>
      <c r="D195" s="16" t="s">
        <v>67</v>
      </c>
      <c r="E195" s="17">
        <f>0.5*0.25*2</f>
        <v>0.25</v>
      </c>
      <c r="F195" s="1"/>
      <c r="G195" s="22"/>
      <c r="H195" s="24"/>
      <c r="I195" s="19"/>
      <c r="J195" s="7"/>
    </row>
    <row r="196" spans="1:10" x14ac:dyDescent="0.25">
      <c r="A196" s="1"/>
      <c r="B196" s="55"/>
      <c r="C196" s="56"/>
      <c r="D196" s="16" t="s">
        <v>68</v>
      </c>
      <c r="E196" s="17">
        <f>0.299*2</f>
        <v>0.59799999999999998</v>
      </c>
      <c r="F196" s="1"/>
      <c r="G196" s="22"/>
      <c r="H196" s="24"/>
      <c r="I196" s="19"/>
      <c r="J196" s="7"/>
    </row>
    <row r="197" spans="1:10" x14ac:dyDescent="0.25">
      <c r="A197" s="1"/>
      <c r="B197" s="55"/>
      <c r="C197" s="56"/>
      <c r="D197" s="16"/>
      <c r="E197" s="17"/>
      <c r="F197" s="1"/>
      <c r="G197" s="22"/>
      <c r="H197" s="24"/>
      <c r="I197" s="19"/>
      <c r="J197" s="7"/>
    </row>
    <row r="198" spans="1:10" x14ac:dyDescent="0.25">
      <c r="A198" s="1"/>
      <c r="B198" s="55"/>
      <c r="C198" s="56"/>
      <c r="D198" s="53" t="s">
        <v>112</v>
      </c>
      <c r="E198" s="54">
        <f>SUM(E199:E201)</f>
        <v>1.2530000000000001</v>
      </c>
      <c r="F198" s="1"/>
      <c r="G198" s="22"/>
      <c r="H198" s="24"/>
      <c r="I198" s="19"/>
      <c r="J198" s="7"/>
    </row>
    <row r="199" spans="1:10" x14ac:dyDescent="0.25">
      <c r="A199" s="1"/>
      <c r="B199" s="55"/>
      <c r="C199" s="56"/>
      <c r="D199" s="16" t="s">
        <v>67</v>
      </c>
      <c r="E199" s="17">
        <f>0.5*0.25*2</f>
        <v>0.25</v>
      </c>
      <c r="F199" s="1"/>
      <c r="G199" s="22"/>
      <c r="H199" s="24"/>
      <c r="I199" s="19"/>
      <c r="J199" s="7"/>
    </row>
    <row r="200" spans="1:10" x14ac:dyDescent="0.25">
      <c r="A200" s="1"/>
      <c r="B200" s="55"/>
      <c r="C200" s="56"/>
      <c r="D200" s="16" t="s">
        <v>97</v>
      </c>
      <c r="E200" s="17">
        <f>0.45*0.45*2</f>
        <v>0.40500000000000003</v>
      </c>
      <c r="F200" s="1"/>
      <c r="G200" s="22"/>
      <c r="H200" s="24"/>
      <c r="I200" s="19"/>
      <c r="J200" s="7"/>
    </row>
    <row r="201" spans="1:10" x14ac:dyDescent="0.25">
      <c r="A201" s="1"/>
      <c r="B201" s="55"/>
      <c r="C201" s="56"/>
      <c r="D201" s="16" t="s">
        <v>68</v>
      </c>
      <c r="E201" s="17">
        <f>0.299*2</f>
        <v>0.59799999999999998</v>
      </c>
      <c r="F201" s="1"/>
      <c r="G201" s="22"/>
      <c r="H201" s="24"/>
      <c r="I201" s="19"/>
      <c r="J201" s="7"/>
    </row>
    <row r="202" spans="1:10" x14ac:dyDescent="0.25">
      <c r="A202" s="59" t="s">
        <v>30</v>
      </c>
      <c r="B202" s="60"/>
      <c r="C202" s="60"/>
      <c r="D202" s="60"/>
      <c r="E202" s="60"/>
      <c r="F202" s="60"/>
      <c r="G202" s="60"/>
      <c r="H202" s="61"/>
      <c r="I202" s="25">
        <f>I158+I96+I148</f>
        <v>72437.966604702597</v>
      </c>
      <c r="J202" s="7"/>
    </row>
    <row r="203" spans="1:10" x14ac:dyDescent="0.25">
      <c r="A203" s="2">
        <v>6</v>
      </c>
      <c r="B203" s="63"/>
      <c r="C203" s="63"/>
      <c r="D203" s="2" t="s">
        <v>99</v>
      </c>
      <c r="E203" s="17"/>
      <c r="F203" s="1"/>
      <c r="G203" s="19"/>
      <c r="H203" s="19"/>
      <c r="I203" s="25"/>
      <c r="J203" s="7"/>
    </row>
    <row r="204" spans="1:10" x14ac:dyDescent="0.25">
      <c r="A204" s="1" t="s">
        <v>104</v>
      </c>
      <c r="B204" s="62" t="s">
        <v>100</v>
      </c>
      <c r="C204" s="62"/>
      <c r="D204" s="23" t="s">
        <v>101</v>
      </c>
      <c r="E204" s="17">
        <f>SUM(E205:E213)</f>
        <v>12157.155899999998</v>
      </c>
      <c r="F204" s="1" t="s">
        <v>19</v>
      </c>
      <c r="G204" s="28">
        <v>0.2</v>
      </c>
      <c r="H204" s="19">
        <f>G204*H$5</f>
        <v>0.24706000000000003</v>
      </c>
      <c r="I204" s="19">
        <f>H204*E204</f>
        <v>3003.5469366539996</v>
      </c>
      <c r="J204" s="7"/>
    </row>
    <row r="205" spans="1:10" x14ac:dyDescent="0.25">
      <c r="A205" s="1"/>
      <c r="B205" s="57"/>
      <c r="C205" s="58"/>
      <c r="D205" s="23" t="s">
        <v>75</v>
      </c>
      <c r="E205" s="17">
        <f>E45</f>
        <v>1212.2055</v>
      </c>
      <c r="F205" s="1"/>
      <c r="G205" s="22"/>
      <c r="H205" s="24"/>
      <c r="I205" s="19"/>
      <c r="J205" s="7"/>
    </row>
    <row r="206" spans="1:10" x14ac:dyDescent="0.25">
      <c r="A206" s="1"/>
      <c r="B206" s="57"/>
      <c r="C206" s="58"/>
      <c r="D206" s="16" t="s">
        <v>76</v>
      </c>
      <c r="E206" s="17">
        <f t="shared" ref="E206:E213" si="2">E46</f>
        <v>1821.2813000000001</v>
      </c>
      <c r="F206" s="1"/>
      <c r="G206" s="22"/>
      <c r="H206" s="24"/>
      <c r="I206" s="19"/>
      <c r="J206" s="7"/>
    </row>
    <row r="207" spans="1:10" x14ac:dyDescent="0.25">
      <c r="A207" s="1"/>
      <c r="B207" s="57"/>
      <c r="C207" s="58"/>
      <c r="D207" s="16" t="s">
        <v>83</v>
      </c>
      <c r="E207" s="17">
        <f t="shared" si="2"/>
        <v>2428.87</v>
      </c>
      <c r="F207" s="1"/>
      <c r="G207" s="22"/>
      <c r="H207" s="24"/>
      <c r="I207" s="19"/>
      <c r="J207" s="7"/>
    </row>
    <row r="208" spans="1:10" x14ac:dyDescent="0.25">
      <c r="A208" s="1"/>
      <c r="B208" s="57"/>
      <c r="C208" s="58"/>
      <c r="D208" s="16" t="s">
        <v>84</v>
      </c>
      <c r="E208" s="17">
        <f t="shared" si="2"/>
        <v>683.69029999999998</v>
      </c>
      <c r="F208" s="1"/>
      <c r="G208" s="22"/>
      <c r="H208" s="24"/>
      <c r="I208" s="19"/>
      <c r="J208" s="7"/>
    </row>
    <row r="209" spans="1:10" x14ac:dyDescent="0.25">
      <c r="A209" s="1"/>
      <c r="B209" s="57"/>
      <c r="C209" s="58"/>
      <c r="D209" s="16" t="s">
        <v>87</v>
      </c>
      <c r="E209" s="17">
        <f t="shared" si="2"/>
        <v>1623.0858000000001</v>
      </c>
      <c r="F209" s="1"/>
      <c r="G209" s="22"/>
      <c r="H209" s="24"/>
      <c r="I209" s="19"/>
      <c r="J209" s="7"/>
    </row>
    <row r="210" spans="1:10" x14ac:dyDescent="0.25">
      <c r="A210" s="1"/>
      <c r="B210" s="57"/>
      <c r="C210" s="58"/>
      <c r="D210" s="16" t="s">
        <v>88</v>
      </c>
      <c r="E210" s="17">
        <f t="shared" si="2"/>
        <v>1370.1503</v>
      </c>
      <c r="F210" s="1"/>
      <c r="G210" s="22"/>
      <c r="H210" s="24"/>
      <c r="I210" s="19"/>
      <c r="J210" s="7"/>
    </row>
    <row r="211" spans="1:10" x14ac:dyDescent="0.25">
      <c r="A211" s="1"/>
      <c r="B211" s="57"/>
      <c r="C211" s="58"/>
      <c r="D211" s="16" t="s">
        <v>89</v>
      </c>
      <c r="E211" s="17">
        <f t="shared" si="2"/>
        <v>1012.0538</v>
      </c>
      <c r="F211" s="1"/>
      <c r="G211" s="22"/>
      <c r="H211" s="24"/>
      <c r="I211" s="19"/>
      <c r="J211" s="7"/>
    </row>
    <row r="212" spans="1:10" x14ac:dyDescent="0.25">
      <c r="A212" s="1"/>
      <c r="B212" s="57"/>
      <c r="C212" s="58"/>
      <c r="D212" s="16" t="s">
        <v>102</v>
      </c>
      <c r="E212" s="17">
        <f t="shared" si="2"/>
        <v>1088.47</v>
      </c>
      <c r="F212" s="1"/>
      <c r="G212" s="22"/>
      <c r="H212" s="24"/>
      <c r="I212" s="19"/>
      <c r="J212" s="7"/>
    </row>
    <row r="213" spans="1:10" x14ac:dyDescent="0.25">
      <c r="A213" s="1"/>
      <c r="B213" s="57"/>
      <c r="C213" s="58"/>
      <c r="D213" s="16" t="s">
        <v>112</v>
      </c>
      <c r="E213" s="17">
        <f t="shared" si="2"/>
        <v>917.34889999999996</v>
      </c>
      <c r="F213" s="1"/>
      <c r="G213" s="22"/>
      <c r="H213" s="24"/>
      <c r="I213" s="19"/>
      <c r="J213" s="7"/>
    </row>
    <row r="214" spans="1:10" x14ac:dyDescent="0.25">
      <c r="A214" s="1"/>
      <c r="B214" s="57"/>
      <c r="C214" s="58"/>
      <c r="D214" s="16"/>
      <c r="E214" s="17"/>
      <c r="F214" s="1"/>
      <c r="G214" s="22"/>
      <c r="H214" s="24"/>
      <c r="I214" s="19"/>
      <c r="J214" s="7"/>
    </row>
    <row r="215" spans="1:10" x14ac:dyDescent="0.25">
      <c r="A215" s="1"/>
      <c r="B215" s="57"/>
      <c r="C215" s="58"/>
      <c r="D215" s="16"/>
      <c r="E215" s="17"/>
      <c r="F215" s="1"/>
      <c r="G215" s="22"/>
      <c r="H215" s="24"/>
      <c r="I215" s="19"/>
      <c r="J215" s="7"/>
    </row>
    <row r="216" spans="1:10" x14ac:dyDescent="0.25">
      <c r="A216" s="59" t="s">
        <v>30</v>
      </c>
      <c r="B216" s="60"/>
      <c r="C216" s="60"/>
      <c r="D216" s="60"/>
      <c r="E216" s="60"/>
      <c r="F216" s="60"/>
      <c r="G216" s="60"/>
      <c r="H216" s="61"/>
      <c r="I216" s="25">
        <f>I204</f>
        <v>3003.5469366539996</v>
      </c>
      <c r="J216" s="7"/>
    </row>
    <row r="217" spans="1:10" x14ac:dyDescent="0.25">
      <c r="A217" s="63" t="s">
        <v>57</v>
      </c>
      <c r="B217" s="63"/>
      <c r="C217" s="63"/>
      <c r="D217" s="63"/>
      <c r="E217" s="63"/>
      <c r="F217" s="63"/>
      <c r="G217" s="25"/>
      <c r="H217" s="25"/>
      <c r="I217" s="25">
        <f>I42+I65+I83+I94+I216+I202</f>
        <v>1120800.5923082959</v>
      </c>
      <c r="J217" s="7"/>
    </row>
    <row r="218" spans="1:10" x14ac:dyDescent="0.25">
      <c r="A218" s="29"/>
      <c r="B218" s="30"/>
      <c r="C218" s="30"/>
      <c r="D218" s="30"/>
      <c r="E218" s="31"/>
      <c r="F218" s="30"/>
      <c r="G218" s="30"/>
      <c r="H218" s="30"/>
      <c r="I218" s="32"/>
      <c r="J218" s="7"/>
    </row>
    <row r="219" spans="1:10" x14ac:dyDescent="0.25">
      <c r="A219" s="72" t="s">
        <v>110</v>
      </c>
      <c r="B219" s="72"/>
      <c r="C219" s="72"/>
      <c r="D219" s="72"/>
      <c r="E219" s="72"/>
      <c r="F219" s="72"/>
      <c r="G219" s="72"/>
      <c r="H219" s="72"/>
      <c r="I219" s="72"/>
      <c r="J219" s="7"/>
    </row>
    <row r="220" spans="1:10" x14ac:dyDescent="0.25">
      <c r="A220" s="30" t="s">
        <v>81</v>
      </c>
      <c r="B220" s="30"/>
      <c r="C220" s="30"/>
      <c r="D220" s="30"/>
      <c r="E220" s="31"/>
      <c r="F220" s="30"/>
      <c r="G220" s="30"/>
      <c r="H220" s="30"/>
      <c r="I220" s="32"/>
      <c r="J220" s="7"/>
    </row>
    <row r="221" spans="1:10" x14ac:dyDescent="0.25">
      <c r="A221" s="7"/>
      <c r="B221" s="7"/>
      <c r="C221" s="7"/>
      <c r="D221" s="33"/>
      <c r="E221" s="34"/>
      <c r="F221" s="7"/>
      <c r="G221" s="7"/>
      <c r="H221" s="7"/>
      <c r="I221" s="35"/>
      <c r="J221" s="7"/>
    </row>
    <row r="222" spans="1:10" x14ac:dyDescent="0.25">
      <c r="A222" s="7"/>
      <c r="B222" s="7"/>
      <c r="C222" s="7"/>
      <c r="D222" s="33"/>
      <c r="E222" s="34"/>
      <c r="F222" s="7"/>
      <c r="G222" s="7"/>
      <c r="H222" s="7"/>
      <c r="I222" s="35"/>
      <c r="J222" s="7"/>
    </row>
    <row r="223" spans="1:10" x14ac:dyDescent="0.25">
      <c r="A223" s="7"/>
      <c r="B223" s="7"/>
      <c r="C223" s="7"/>
      <c r="E223" s="34"/>
      <c r="F223" s="7"/>
      <c r="G223" s="7"/>
      <c r="H223" s="7"/>
      <c r="I223" s="35"/>
      <c r="J223" s="7"/>
    </row>
    <row r="224" spans="1:10" x14ac:dyDescent="0.25">
      <c r="A224" s="7"/>
      <c r="B224" s="7"/>
      <c r="C224" s="7"/>
      <c r="D224" s="7"/>
      <c r="E224" s="34"/>
      <c r="F224" s="7"/>
      <c r="G224" s="7"/>
      <c r="H224" s="7"/>
      <c r="I224" s="35"/>
      <c r="J224" s="7"/>
    </row>
    <row r="225" spans="1:10" x14ac:dyDescent="0.25">
      <c r="A225" s="7"/>
      <c r="B225" s="7"/>
      <c r="C225" s="7"/>
      <c r="D225" s="7"/>
      <c r="E225" s="34"/>
      <c r="F225" s="7"/>
      <c r="G225" s="7"/>
      <c r="H225" s="7"/>
      <c r="I225" s="35"/>
      <c r="J225" s="7"/>
    </row>
    <row r="226" spans="1:10" x14ac:dyDescent="0.25">
      <c r="A226" s="7"/>
      <c r="B226" s="7"/>
      <c r="C226" s="7"/>
      <c r="D226" s="7"/>
      <c r="E226" s="34"/>
      <c r="F226" s="7"/>
      <c r="G226" s="7"/>
      <c r="H226" s="7"/>
      <c r="I226" s="35"/>
      <c r="J226" s="7"/>
    </row>
    <row r="227" spans="1:10" x14ac:dyDescent="0.25">
      <c r="A227" s="7"/>
      <c r="B227" s="7"/>
      <c r="C227" s="7"/>
      <c r="D227" s="7"/>
      <c r="E227" s="34"/>
      <c r="F227" s="7"/>
      <c r="G227" s="7"/>
      <c r="H227" s="7"/>
      <c r="I227" s="35"/>
      <c r="J227" s="7"/>
    </row>
    <row r="228" spans="1:10" x14ac:dyDescent="0.25">
      <c r="A228" s="7"/>
      <c r="B228" s="7"/>
      <c r="C228" s="7"/>
      <c r="D228" s="7"/>
      <c r="E228" s="34"/>
      <c r="F228" s="7"/>
      <c r="G228" s="7"/>
      <c r="H228" s="7"/>
      <c r="I228" s="35"/>
      <c r="J228" s="7"/>
    </row>
    <row r="229" spans="1:10" x14ac:dyDescent="0.25">
      <c r="A229" s="7"/>
      <c r="B229" s="7"/>
      <c r="C229" s="7"/>
      <c r="D229" s="7"/>
      <c r="E229" s="34"/>
      <c r="F229" s="7"/>
      <c r="G229" s="7"/>
      <c r="H229" s="7"/>
      <c r="I229" s="35"/>
      <c r="J229" s="7"/>
    </row>
    <row r="230" spans="1:10" x14ac:dyDescent="0.25">
      <c r="A230" s="7"/>
      <c r="B230" s="7"/>
      <c r="C230" s="7"/>
      <c r="D230" s="7"/>
      <c r="E230" s="34"/>
      <c r="F230" s="7"/>
      <c r="G230" s="7"/>
      <c r="H230" s="7"/>
      <c r="I230" s="35"/>
      <c r="J230" s="7"/>
    </row>
    <row r="231" spans="1:10" x14ac:dyDescent="0.25">
      <c r="A231" s="7"/>
      <c r="B231" s="7"/>
      <c r="C231" s="7"/>
      <c r="D231" s="7"/>
      <c r="E231" s="34"/>
      <c r="F231" s="7"/>
      <c r="G231" s="7"/>
      <c r="H231" s="7"/>
      <c r="I231" s="35"/>
      <c r="J231" s="7"/>
    </row>
    <row r="232" spans="1:10" x14ac:dyDescent="0.25">
      <c r="A232" s="7"/>
      <c r="B232" s="7"/>
      <c r="C232" s="7"/>
      <c r="D232" s="7"/>
      <c r="E232" s="34"/>
      <c r="F232" s="7"/>
      <c r="G232" s="7"/>
      <c r="H232" s="7"/>
      <c r="I232" s="35"/>
      <c r="J232" s="7"/>
    </row>
    <row r="233" spans="1:10" x14ac:dyDescent="0.25">
      <c r="A233" s="7"/>
      <c r="B233" s="7"/>
      <c r="C233" s="7"/>
      <c r="D233" s="7"/>
      <c r="E233" s="34"/>
      <c r="F233" s="7"/>
      <c r="G233" s="7"/>
      <c r="H233" s="7"/>
      <c r="I233" s="35"/>
      <c r="J233" s="7"/>
    </row>
    <row r="234" spans="1:10" x14ac:dyDescent="0.25">
      <c r="A234" s="7"/>
      <c r="B234" s="7"/>
      <c r="C234" s="7"/>
      <c r="D234" s="7"/>
      <c r="E234" s="34"/>
      <c r="F234" s="7"/>
      <c r="G234" s="7"/>
      <c r="H234" s="7"/>
      <c r="I234" s="35"/>
      <c r="J234" s="7"/>
    </row>
    <row r="235" spans="1:10" x14ac:dyDescent="0.25">
      <c r="A235" s="7"/>
      <c r="B235" s="7"/>
      <c r="C235" s="7"/>
      <c r="D235" s="7"/>
      <c r="E235" s="34"/>
      <c r="F235" s="7"/>
      <c r="G235" s="7"/>
      <c r="H235" s="7"/>
      <c r="I235" s="35"/>
      <c r="J235" s="7"/>
    </row>
    <row r="236" spans="1:10" x14ac:dyDescent="0.25">
      <c r="A236" s="7"/>
      <c r="B236" s="7"/>
      <c r="C236" s="7"/>
      <c r="D236" s="7"/>
      <c r="E236" s="34"/>
      <c r="F236" s="7"/>
      <c r="G236" s="7"/>
      <c r="H236" s="7"/>
      <c r="I236" s="35"/>
      <c r="J236" s="7"/>
    </row>
    <row r="237" spans="1:10" x14ac:dyDescent="0.25">
      <c r="A237" s="7"/>
      <c r="B237" s="7"/>
      <c r="C237" s="7"/>
      <c r="D237" s="7"/>
      <c r="E237" s="34"/>
      <c r="F237" s="7"/>
      <c r="G237" s="7"/>
      <c r="H237" s="7"/>
      <c r="I237" s="35"/>
      <c r="J237" s="7"/>
    </row>
    <row r="238" spans="1:10" x14ac:dyDescent="0.25">
      <c r="A238" s="7"/>
      <c r="B238" s="7"/>
      <c r="C238" s="7"/>
      <c r="D238" s="7"/>
      <c r="E238" s="34"/>
      <c r="F238" s="7"/>
      <c r="G238" s="7"/>
      <c r="H238" s="7"/>
      <c r="I238" s="35"/>
      <c r="J238" s="7"/>
    </row>
    <row r="239" spans="1:10" x14ac:dyDescent="0.25">
      <c r="A239" s="7"/>
      <c r="B239" s="7"/>
      <c r="C239" s="7"/>
      <c r="D239" s="7"/>
      <c r="E239" s="34"/>
      <c r="F239" s="7"/>
      <c r="G239" s="7"/>
      <c r="H239" s="7"/>
      <c r="I239" s="35"/>
      <c r="J239" s="7"/>
    </row>
    <row r="240" spans="1:10" x14ac:dyDescent="0.25">
      <c r="A240" s="7"/>
      <c r="B240" s="7"/>
      <c r="C240" s="7"/>
      <c r="D240" s="7"/>
      <c r="E240" s="34"/>
      <c r="F240" s="7"/>
      <c r="G240" s="7"/>
      <c r="H240" s="7"/>
      <c r="I240" s="35"/>
      <c r="J240" s="7"/>
    </row>
    <row r="241" spans="1:10" x14ac:dyDescent="0.25">
      <c r="A241" s="7"/>
      <c r="B241" s="7"/>
      <c r="C241" s="7"/>
      <c r="D241" s="7"/>
      <c r="E241" s="34"/>
      <c r="F241" s="7"/>
      <c r="G241" s="7"/>
      <c r="H241" s="7"/>
      <c r="I241" s="35"/>
      <c r="J241" s="7"/>
    </row>
    <row r="242" spans="1:10" x14ac:dyDescent="0.25">
      <c r="A242" s="7"/>
      <c r="B242" s="7"/>
      <c r="C242" s="7"/>
      <c r="D242" s="7"/>
      <c r="E242" s="34"/>
      <c r="F242" s="7"/>
      <c r="G242" s="7"/>
      <c r="H242" s="7"/>
      <c r="I242" s="35"/>
      <c r="J242" s="7"/>
    </row>
    <row r="243" spans="1:10" x14ac:dyDescent="0.25">
      <c r="A243" s="7"/>
      <c r="B243" s="7"/>
      <c r="C243" s="7"/>
      <c r="D243" s="7"/>
      <c r="E243" s="34"/>
      <c r="F243" s="7"/>
      <c r="G243" s="7"/>
      <c r="H243" s="7"/>
      <c r="I243" s="35"/>
      <c r="J243" s="7"/>
    </row>
    <row r="244" spans="1:10" x14ac:dyDescent="0.25">
      <c r="A244" s="7"/>
      <c r="B244" s="7"/>
      <c r="C244" s="7"/>
      <c r="D244" s="7"/>
      <c r="E244" s="34"/>
      <c r="F244" s="7"/>
      <c r="G244" s="7"/>
      <c r="H244" s="7"/>
      <c r="I244" s="35"/>
      <c r="J244" s="7"/>
    </row>
    <row r="245" spans="1:10" x14ac:dyDescent="0.25">
      <c r="A245" s="7"/>
      <c r="B245" s="7"/>
      <c r="C245" s="7"/>
      <c r="D245" s="7"/>
      <c r="E245" s="34"/>
      <c r="F245" s="7"/>
      <c r="G245" s="7"/>
      <c r="H245" s="7"/>
      <c r="I245" s="35"/>
      <c r="J245" s="7"/>
    </row>
    <row r="246" spans="1:10" x14ac:dyDescent="0.25">
      <c r="A246" s="7"/>
      <c r="B246" s="7"/>
      <c r="C246" s="7"/>
      <c r="D246" s="7"/>
      <c r="E246" s="34"/>
      <c r="F246" s="7"/>
      <c r="G246" s="7"/>
      <c r="H246" s="7"/>
      <c r="I246" s="35"/>
      <c r="J246" s="7"/>
    </row>
    <row r="247" spans="1:10" x14ac:dyDescent="0.25">
      <c r="A247" s="7"/>
      <c r="B247" s="7"/>
      <c r="C247" s="7"/>
      <c r="D247" s="7"/>
      <c r="E247" s="34"/>
      <c r="F247" s="7"/>
      <c r="G247" s="7"/>
      <c r="H247" s="7"/>
      <c r="I247" s="35"/>
      <c r="J247" s="7"/>
    </row>
    <row r="248" spans="1:10" x14ac:dyDescent="0.25">
      <c r="A248" s="7"/>
      <c r="B248" s="7"/>
      <c r="C248" s="7"/>
      <c r="D248" s="7"/>
      <c r="E248" s="34"/>
      <c r="F248" s="7"/>
      <c r="G248" s="7"/>
      <c r="H248" s="7"/>
      <c r="I248" s="35"/>
      <c r="J248" s="7"/>
    </row>
    <row r="249" spans="1:10" x14ac:dyDescent="0.25">
      <c r="A249" s="7"/>
      <c r="B249" s="7"/>
      <c r="C249" s="7"/>
      <c r="D249" s="7"/>
      <c r="E249" s="34"/>
      <c r="F249" s="7"/>
      <c r="G249" s="7"/>
      <c r="H249" s="7"/>
      <c r="I249" s="35"/>
      <c r="J249" s="7"/>
    </row>
    <row r="250" spans="1:10" x14ac:dyDescent="0.25">
      <c r="A250" s="7"/>
      <c r="B250" s="7"/>
      <c r="C250" s="7"/>
      <c r="D250" s="7"/>
      <c r="E250" s="34"/>
      <c r="F250" s="7"/>
      <c r="G250" s="7"/>
      <c r="H250" s="7"/>
      <c r="I250" s="35"/>
      <c r="J250" s="7"/>
    </row>
    <row r="251" spans="1:10" x14ac:dyDescent="0.25">
      <c r="A251" s="7"/>
      <c r="B251" s="7"/>
      <c r="C251" s="7"/>
      <c r="D251" s="7"/>
      <c r="E251" s="34"/>
      <c r="F251" s="7"/>
      <c r="G251" s="7"/>
      <c r="H251" s="7"/>
      <c r="I251" s="35"/>
      <c r="J251" s="7"/>
    </row>
    <row r="252" spans="1:10" x14ac:dyDescent="0.25">
      <c r="A252" s="7"/>
      <c r="B252" s="7"/>
      <c r="C252" s="7"/>
      <c r="D252" s="7"/>
      <c r="E252" s="34"/>
      <c r="F252" s="7"/>
      <c r="G252" s="7"/>
      <c r="H252" s="7"/>
      <c r="I252" s="35"/>
      <c r="J252" s="7"/>
    </row>
    <row r="253" spans="1:10" x14ac:dyDescent="0.25">
      <c r="A253" s="7"/>
      <c r="B253" s="7"/>
      <c r="C253" s="7"/>
      <c r="D253" s="7"/>
      <c r="E253" s="34"/>
      <c r="F253" s="7"/>
      <c r="G253" s="7"/>
      <c r="H253" s="7"/>
      <c r="I253" s="35"/>
      <c r="J253" s="7"/>
    </row>
    <row r="254" spans="1:10" x14ac:dyDescent="0.25">
      <c r="A254" s="7"/>
      <c r="B254" s="7"/>
      <c r="C254" s="7"/>
      <c r="D254" s="7"/>
      <c r="E254" s="34"/>
      <c r="F254" s="7"/>
      <c r="G254" s="7"/>
      <c r="H254" s="7"/>
      <c r="I254" s="35"/>
      <c r="J254" s="7"/>
    </row>
    <row r="255" spans="1:10" x14ac:dyDescent="0.25">
      <c r="A255" s="7"/>
      <c r="B255" s="7"/>
      <c r="C255" s="7"/>
      <c r="D255" s="7"/>
      <c r="E255" s="34"/>
      <c r="F255" s="7"/>
      <c r="G255" s="7"/>
      <c r="H255" s="7"/>
      <c r="I255" s="35"/>
      <c r="J255" s="7"/>
    </row>
    <row r="256" spans="1:10" x14ac:dyDescent="0.25">
      <c r="A256" s="7"/>
      <c r="B256" s="7"/>
      <c r="C256" s="7"/>
      <c r="D256" s="7"/>
      <c r="E256" s="34"/>
      <c r="F256" s="7"/>
      <c r="G256" s="7"/>
      <c r="H256" s="7"/>
      <c r="I256" s="35"/>
      <c r="J256" s="7"/>
    </row>
    <row r="257" spans="1:10" x14ac:dyDescent="0.25">
      <c r="A257" s="7"/>
      <c r="B257" s="7"/>
      <c r="C257" s="7"/>
      <c r="D257" s="7"/>
      <c r="E257" s="34"/>
      <c r="F257" s="7"/>
      <c r="G257" s="7"/>
      <c r="H257" s="7"/>
      <c r="I257" s="35"/>
      <c r="J257" s="7"/>
    </row>
    <row r="258" spans="1:10" x14ac:dyDescent="0.25">
      <c r="A258" s="7"/>
      <c r="B258" s="7"/>
      <c r="C258" s="7"/>
      <c r="D258" s="7"/>
      <c r="E258" s="34"/>
      <c r="F258" s="7"/>
      <c r="G258" s="7"/>
      <c r="H258" s="7"/>
      <c r="I258" s="35"/>
      <c r="J258" s="7"/>
    </row>
    <row r="259" spans="1:10" x14ac:dyDescent="0.25">
      <c r="A259" s="7"/>
      <c r="B259" s="7"/>
      <c r="C259" s="7"/>
      <c r="D259" s="7"/>
      <c r="E259" s="34"/>
      <c r="F259" s="7"/>
      <c r="G259" s="7"/>
      <c r="H259" s="7"/>
      <c r="I259" s="35"/>
      <c r="J259" s="7"/>
    </row>
    <row r="260" spans="1:10" x14ac:dyDescent="0.25">
      <c r="A260" s="7"/>
      <c r="B260" s="7"/>
      <c r="C260" s="7"/>
      <c r="D260" s="7"/>
      <c r="E260" s="34"/>
      <c r="F260" s="7"/>
      <c r="G260" s="7"/>
      <c r="H260" s="7"/>
      <c r="I260" s="35"/>
      <c r="J260" s="7"/>
    </row>
    <row r="261" spans="1:10" x14ac:dyDescent="0.25">
      <c r="A261" s="7"/>
      <c r="B261" s="7"/>
      <c r="C261" s="7"/>
      <c r="D261" s="7"/>
      <c r="E261" s="34"/>
      <c r="F261" s="7"/>
      <c r="G261" s="7"/>
      <c r="H261" s="7"/>
      <c r="I261" s="35"/>
      <c r="J261" s="7"/>
    </row>
    <row r="262" spans="1:10" x14ac:dyDescent="0.25">
      <c r="A262" s="7"/>
      <c r="B262" s="7"/>
      <c r="C262" s="7"/>
      <c r="D262" s="7"/>
      <c r="E262" s="34"/>
      <c r="F262" s="7"/>
      <c r="G262" s="7"/>
      <c r="H262" s="7"/>
      <c r="I262" s="35"/>
      <c r="J262" s="7"/>
    </row>
    <row r="263" spans="1:10" x14ac:dyDescent="0.25">
      <c r="A263" s="7"/>
      <c r="B263" s="7"/>
      <c r="C263" s="7"/>
      <c r="D263" s="7"/>
      <c r="E263" s="34"/>
      <c r="F263" s="7"/>
      <c r="G263" s="7"/>
      <c r="H263" s="7"/>
      <c r="I263" s="35"/>
      <c r="J263" s="7"/>
    </row>
    <row r="264" spans="1:10" x14ac:dyDescent="0.25">
      <c r="A264" s="7"/>
      <c r="B264" s="7"/>
      <c r="C264" s="7"/>
      <c r="D264" s="7"/>
      <c r="E264" s="34"/>
      <c r="F264" s="7"/>
      <c r="G264" s="7"/>
      <c r="H264" s="7"/>
      <c r="I264" s="35"/>
      <c r="J264" s="7"/>
    </row>
    <row r="265" spans="1:10" x14ac:dyDescent="0.25">
      <c r="A265" s="7"/>
      <c r="B265" s="7"/>
      <c r="C265" s="7"/>
      <c r="D265" s="7"/>
      <c r="E265" s="34"/>
      <c r="F265" s="7"/>
      <c r="G265" s="7"/>
      <c r="H265" s="7"/>
      <c r="I265" s="35"/>
      <c r="J265" s="7"/>
    </row>
    <row r="266" spans="1:10" x14ac:dyDescent="0.25">
      <c r="A266" s="7"/>
      <c r="B266" s="7"/>
      <c r="C266" s="7"/>
      <c r="D266" s="7"/>
      <c r="E266" s="34"/>
      <c r="F266" s="7"/>
      <c r="G266" s="7"/>
      <c r="H266" s="7"/>
      <c r="I266" s="35"/>
      <c r="J266" s="7"/>
    </row>
    <row r="267" spans="1:10" x14ac:dyDescent="0.25">
      <c r="A267" s="7"/>
      <c r="B267" s="7"/>
      <c r="C267" s="7"/>
      <c r="D267" s="7"/>
      <c r="E267" s="34"/>
      <c r="F267" s="7"/>
      <c r="G267" s="7"/>
      <c r="H267" s="7"/>
      <c r="I267" s="35"/>
      <c r="J267" s="7"/>
    </row>
    <row r="268" spans="1:10" x14ac:dyDescent="0.25">
      <c r="A268" s="7"/>
      <c r="B268" s="7"/>
      <c r="C268" s="7"/>
      <c r="D268" s="7"/>
      <c r="E268" s="34"/>
      <c r="F268" s="7"/>
      <c r="G268" s="7"/>
      <c r="H268" s="7"/>
      <c r="I268" s="35"/>
      <c r="J268" s="7"/>
    </row>
    <row r="269" spans="1:10" x14ac:dyDescent="0.25">
      <c r="A269" s="7"/>
      <c r="B269" s="7"/>
      <c r="C269" s="7"/>
      <c r="D269" s="7"/>
      <c r="E269" s="34"/>
      <c r="F269" s="7"/>
      <c r="G269" s="7"/>
      <c r="H269" s="7"/>
      <c r="I269" s="35"/>
      <c r="J269" s="7"/>
    </row>
    <row r="270" spans="1:10" x14ac:dyDescent="0.25">
      <c r="A270" s="7"/>
      <c r="B270" s="7"/>
      <c r="C270" s="7"/>
      <c r="D270" s="7"/>
      <c r="E270" s="34"/>
      <c r="F270" s="7"/>
      <c r="G270" s="7"/>
      <c r="H270" s="7"/>
      <c r="I270" s="35"/>
      <c r="J270" s="7"/>
    </row>
    <row r="271" spans="1:10" x14ac:dyDescent="0.25">
      <c r="A271" s="7"/>
      <c r="B271" s="7"/>
      <c r="C271" s="7"/>
      <c r="D271" s="7"/>
      <c r="E271" s="34"/>
      <c r="F271" s="7"/>
      <c r="G271" s="7"/>
      <c r="H271" s="7"/>
      <c r="I271" s="35"/>
      <c r="J271" s="7"/>
    </row>
    <row r="272" spans="1:10" x14ac:dyDescent="0.25">
      <c r="A272" s="7"/>
      <c r="B272" s="7"/>
      <c r="C272" s="7"/>
      <c r="D272" s="7"/>
      <c r="E272" s="34"/>
      <c r="F272" s="7"/>
      <c r="G272" s="7"/>
      <c r="H272" s="7"/>
      <c r="I272" s="35"/>
      <c r="J272" s="7"/>
    </row>
    <row r="273" spans="1:10" x14ac:dyDescent="0.25">
      <c r="A273" s="7"/>
      <c r="B273" s="7"/>
      <c r="C273" s="7"/>
      <c r="D273" s="7"/>
      <c r="E273" s="34"/>
      <c r="F273" s="7"/>
      <c r="G273" s="7"/>
      <c r="H273" s="7"/>
      <c r="I273" s="35"/>
      <c r="J273" s="7"/>
    </row>
    <row r="274" spans="1:10" x14ac:dyDescent="0.25">
      <c r="A274" s="7"/>
      <c r="B274" s="7"/>
      <c r="C274" s="7"/>
      <c r="D274" s="7"/>
      <c r="E274" s="34"/>
      <c r="F274" s="7"/>
      <c r="G274" s="7"/>
      <c r="H274" s="7"/>
      <c r="I274" s="35"/>
      <c r="J274" s="7"/>
    </row>
    <row r="275" spans="1:10" x14ac:dyDescent="0.25">
      <c r="A275" s="7"/>
      <c r="B275" s="7"/>
      <c r="C275" s="7"/>
      <c r="D275" s="7"/>
      <c r="E275" s="34"/>
      <c r="F275" s="7"/>
      <c r="G275" s="7"/>
      <c r="H275" s="7"/>
      <c r="I275" s="35"/>
      <c r="J275" s="7"/>
    </row>
    <row r="276" spans="1:10" x14ac:dyDescent="0.25">
      <c r="A276" s="7"/>
      <c r="B276" s="7"/>
      <c r="C276" s="7"/>
      <c r="D276" s="7"/>
      <c r="E276" s="34"/>
      <c r="F276" s="7"/>
      <c r="G276" s="7"/>
      <c r="H276" s="7"/>
      <c r="I276" s="35"/>
      <c r="J276" s="7"/>
    </row>
    <row r="277" spans="1:10" x14ac:dyDescent="0.25">
      <c r="A277" s="7"/>
      <c r="B277" s="7"/>
      <c r="C277" s="7"/>
      <c r="D277" s="7"/>
      <c r="E277" s="34"/>
      <c r="F277" s="7"/>
      <c r="G277" s="7"/>
      <c r="H277" s="7"/>
      <c r="I277" s="35"/>
      <c r="J277" s="7"/>
    </row>
    <row r="278" spans="1:10" x14ac:dyDescent="0.25">
      <c r="A278" s="7"/>
      <c r="B278" s="7"/>
      <c r="C278" s="7"/>
      <c r="D278" s="7"/>
      <c r="E278" s="34"/>
      <c r="F278" s="7"/>
      <c r="G278" s="7"/>
      <c r="H278" s="7"/>
      <c r="I278" s="35"/>
      <c r="J278" s="7"/>
    </row>
    <row r="279" spans="1:10" x14ac:dyDescent="0.25">
      <c r="A279" s="7"/>
      <c r="B279" s="7"/>
      <c r="C279" s="7"/>
      <c r="D279" s="7"/>
      <c r="E279" s="34"/>
      <c r="F279" s="7"/>
      <c r="G279" s="7"/>
      <c r="H279" s="7"/>
      <c r="I279" s="35"/>
      <c r="J279" s="7"/>
    </row>
    <row r="280" spans="1:10" x14ac:dyDescent="0.25">
      <c r="A280" s="7"/>
      <c r="B280" s="7"/>
      <c r="C280" s="7"/>
      <c r="D280" s="7"/>
      <c r="E280" s="34"/>
      <c r="F280" s="7"/>
      <c r="G280" s="7"/>
      <c r="H280" s="7"/>
      <c r="I280" s="35"/>
      <c r="J280" s="7"/>
    </row>
    <row r="281" spans="1:10" x14ac:dyDescent="0.25">
      <c r="A281" s="7"/>
      <c r="B281" s="7"/>
      <c r="C281" s="7"/>
      <c r="D281" s="7"/>
      <c r="E281" s="34"/>
      <c r="F281" s="7"/>
      <c r="G281" s="7"/>
      <c r="H281" s="7"/>
      <c r="I281" s="35"/>
      <c r="J281" s="7"/>
    </row>
    <row r="282" spans="1:10" x14ac:dyDescent="0.25">
      <c r="A282" s="7"/>
      <c r="B282" s="7"/>
      <c r="C282" s="7"/>
      <c r="D282" s="7"/>
      <c r="E282" s="34"/>
      <c r="F282" s="7"/>
      <c r="G282" s="7"/>
      <c r="H282" s="7"/>
      <c r="I282" s="35"/>
      <c r="J282" s="7"/>
    </row>
    <row r="283" spans="1:10" x14ac:dyDescent="0.25">
      <c r="A283" s="7"/>
      <c r="B283" s="7"/>
      <c r="C283" s="7"/>
      <c r="D283" s="7"/>
      <c r="E283" s="34"/>
      <c r="F283" s="7"/>
      <c r="G283" s="7"/>
      <c r="H283" s="7"/>
      <c r="I283" s="35"/>
      <c r="J283" s="7"/>
    </row>
    <row r="284" spans="1:10" x14ac:dyDescent="0.25">
      <c r="A284" s="7"/>
      <c r="B284" s="7"/>
      <c r="C284" s="7"/>
      <c r="D284" s="7"/>
      <c r="E284" s="34"/>
      <c r="F284" s="7"/>
      <c r="G284" s="7"/>
      <c r="H284" s="7"/>
      <c r="I284" s="35"/>
      <c r="J284" s="7"/>
    </row>
    <row r="285" spans="1:10" x14ac:dyDescent="0.25">
      <c r="A285" s="7"/>
      <c r="B285" s="7"/>
      <c r="C285" s="7"/>
      <c r="D285" s="7"/>
      <c r="E285" s="34"/>
      <c r="F285" s="7"/>
      <c r="G285" s="7"/>
      <c r="H285" s="7"/>
      <c r="I285" s="35"/>
      <c r="J285" s="7"/>
    </row>
    <row r="286" spans="1:10" x14ac:dyDescent="0.25">
      <c r="A286" s="7"/>
      <c r="B286" s="7"/>
      <c r="C286" s="7"/>
      <c r="D286" s="7"/>
      <c r="E286" s="34"/>
      <c r="F286" s="7"/>
      <c r="G286" s="7"/>
      <c r="H286" s="7"/>
      <c r="I286" s="35"/>
      <c r="J286" s="7"/>
    </row>
    <row r="287" spans="1:10" x14ac:dyDescent="0.25">
      <c r="A287" s="7"/>
      <c r="B287" s="7"/>
      <c r="C287" s="7"/>
      <c r="D287" s="7"/>
      <c r="E287" s="34"/>
      <c r="F287" s="7"/>
      <c r="G287" s="7"/>
      <c r="H287" s="7"/>
      <c r="I287" s="35"/>
      <c r="J287" s="7"/>
    </row>
    <row r="288" spans="1:10" x14ac:dyDescent="0.25">
      <c r="A288" s="7"/>
      <c r="B288" s="7"/>
      <c r="C288" s="7"/>
      <c r="D288" s="7"/>
      <c r="E288" s="34"/>
      <c r="F288" s="7"/>
      <c r="G288" s="7"/>
      <c r="H288" s="7"/>
      <c r="I288" s="35"/>
      <c r="J288" s="7"/>
    </row>
    <row r="289" spans="1:10" x14ac:dyDescent="0.25">
      <c r="A289" s="7"/>
      <c r="B289" s="7"/>
      <c r="C289" s="7"/>
      <c r="D289" s="7"/>
      <c r="E289" s="34"/>
      <c r="F289" s="7"/>
      <c r="G289" s="7"/>
      <c r="H289" s="7"/>
      <c r="I289" s="35"/>
      <c r="J289" s="7"/>
    </row>
    <row r="290" spans="1:10" x14ac:dyDescent="0.25">
      <c r="A290" s="7"/>
      <c r="B290" s="7"/>
      <c r="C290" s="7"/>
      <c r="D290" s="7"/>
      <c r="E290" s="34"/>
      <c r="F290" s="7"/>
      <c r="G290" s="7"/>
      <c r="H290" s="7"/>
      <c r="I290" s="35"/>
      <c r="J290" s="7"/>
    </row>
    <row r="291" spans="1:10" x14ac:dyDescent="0.25">
      <c r="A291" s="7"/>
      <c r="B291" s="7"/>
      <c r="C291" s="7"/>
      <c r="D291" s="7"/>
      <c r="E291" s="34"/>
      <c r="F291" s="7"/>
      <c r="G291" s="7"/>
      <c r="H291" s="7"/>
      <c r="I291" s="35"/>
      <c r="J291" s="7"/>
    </row>
    <row r="292" spans="1:10" x14ac:dyDescent="0.25">
      <c r="A292" s="7"/>
      <c r="B292" s="7"/>
      <c r="C292" s="7"/>
      <c r="D292" s="7"/>
      <c r="E292" s="34"/>
      <c r="F292" s="7"/>
      <c r="G292" s="7"/>
      <c r="H292" s="7"/>
      <c r="I292" s="35"/>
      <c r="J292" s="7"/>
    </row>
    <row r="293" spans="1:10" x14ac:dyDescent="0.25">
      <c r="A293" s="7"/>
      <c r="B293" s="7"/>
      <c r="C293" s="7"/>
      <c r="D293" s="7"/>
      <c r="E293" s="34"/>
      <c r="F293" s="7"/>
      <c r="G293" s="7"/>
      <c r="H293" s="7"/>
      <c r="I293" s="35"/>
      <c r="J293" s="7"/>
    </row>
    <row r="294" spans="1:10" x14ac:dyDescent="0.25">
      <c r="A294" s="7"/>
      <c r="B294" s="7"/>
      <c r="C294" s="7"/>
      <c r="D294" s="7"/>
      <c r="E294" s="34"/>
      <c r="F294" s="7"/>
      <c r="G294" s="7"/>
      <c r="H294" s="7"/>
      <c r="I294" s="35"/>
      <c r="J294" s="7"/>
    </row>
    <row r="295" spans="1:10" x14ac:dyDescent="0.25">
      <c r="A295" s="7"/>
      <c r="B295" s="7"/>
      <c r="C295" s="7"/>
      <c r="D295" s="7"/>
      <c r="E295" s="34"/>
      <c r="F295" s="7"/>
      <c r="G295" s="7"/>
      <c r="H295" s="7"/>
      <c r="I295" s="35"/>
      <c r="J295" s="7"/>
    </row>
    <row r="296" spans="1:10" x14ac:dyDescent="0.25">
      <c r="A296" s="7"/>
      <c r="B296" s="7"/>
      <c r="C296" s="7"/>
      <c r="D296" s="7"/>
      <c r="E296" s="34"/>
      <c r="F296" s="7"/>
      <c r="G296" s="7"/>
      <c r="H296" s="7"/>
      <c r="I296" s="35"/>
      <c r="J296" s="7"/>
    </row>
    <row r="297" spans="1:10" x14ac:dyDescent="0.25">
      <c r="A297" s="7"/>
      <c r="B297" s="7"/>
      <c r="C297" s="7"/>
      <c r="D297" s="7"/>
      <c r="E297" s="34"/>
      <c r="F297" s="7"/>
      <c r="G297" s="7"/>
      <c r="H297" s="7"/>
      <c r="I297" s="35"/>
      <c r="J297" s="7"/>
    </row>
    <row r="298" spans="1:10" x14ac:dyDescent="0.25">
      <c r="A298" s="7"/>
      <c r="B298" s="7"/>
      <c r="C298" s="7"/>
      <c r="D298" s="7"/>
      <c r="E298" s="34"/>
      <c r="F298" s="7"/>
      <c r="G298" s="7"/>
      <c r="H298" s="7"/>
      <c r="I298" s="35"/>
      <c r="J298" s="7"/>
    </row>
    <row r="299" spans="1:10" x14ac:dyDescent="0.25">
      <c r="A299" s="7"/>
      <c r="B299" s="7"/>
      <c r="C299" s="7"/>
      <c r="D299" s="7"/>
      <c r="E299" s="34"/>
      <c r="F299" s="7"/>
      <c r="G299" s="7"/>
      <c r="H299" s="7"/>
      <c r="I299" s="35"/>
      <c r="J299" s="7"/>
    </row>
    <row r="300" spans="1:10" x14ac:dyDescent="0.25">
      <c r="A300" s="7"/>
      <c r="B300" s="7"/>
      <c r="C300" s="7"/>
      <c r="D300" s="7"/>
      <c r="E300" s="34"/>
      <c r="F300" s="7"/>
      <c r="G300" s="7"/>
      <c r="H300" s="7"/>
      <c r="I300" s="35"/>
      <c r="J300" s="7"/>
    </row>
    <row r="301" spans="1:10" x14ac:dyDescent="0.25">
      <c r="A301" s="7"/>
      <c r="B301" s="7"/>
      <c r="C301" s="7"/>
      <c r="D301" s="7"/>
      <c r="E301" s="34"/>
      <c r="F301" s="7"/>
      <c r="G301" s="7"/>
      <c r="H301" s="7"/>
      <c r="I301" s="35"/>
      <c r="J301" s="7"/>
    </row>
    <row r="302" spans="1:10" x14ac:dyDescent="0.25">
      <c r="A302" s="7"/>
      <c r="B302" s="7"/>
      <c r="C302" s="7"/>
      <c r="D302" s="7"/>
      <c r="E302" s="34"/>
      <c r="F302" s="7"/>
      <c r="G302" s="7"/>
      <c r="H302" s="7"/>
      <c r="I302" s="35"/>
      <c r="J302" s="7"/>
    </row>
    <row r="303" spans="1:10" x14ac:dyDescent="0.25">
      <c r="A303" s="7"/>
      <c r="B303" s="7"/>
      <c r="C303" s="7"/>
      <c r="D303" s="7"/>
      <c r="E303" s="34"/>
      <c r="F303" s="7"/>
      <c r="G303" s="7"/>
      <c r="H303" s="7"/>
      <c r="I303" s="35"/>
      <c r="J303" s="7"/>
    </row>
    <row r="304" spans="1:10" x14ac:dyDescent="0.25">
      <c r="A304" s="7"/>
      <c r="B304" s="7"/>
      <c r="C304" s="7"/>
      <c r="D304" s="7"/>
      <c r="E304" s="34"/>
      <c r="F304" s="7"/>
      <c r="G304" s="7"/>
      <c r="H304" s="7"/>
      <c r="I304" s="35"/>
      <c r="J304" s="7"/>
    </row>
    <row r="305" spans="1:10" x14ac:dyDescent="0.25">
      <c r="A305" s="7"/>
      <c r="B305" s="7"/>
      <c r="C305" s="7"/>
      <c r="D305" s="7"/>
      <c r="E305" s="34"/>
      <c r="F305" s="7"/>
      <c r="G305" s="7"/>
      <c r="H305" s="7"/>
      <c r="I305" s="35"/>
      <c r="J305" s="7"/>
    </row>
    <row r="306" spans="1:10" x14ac:dyDescent="0.25">
      <c r="A306" s="7"/>
      <c r="B306" s="7"/>
      <c r="C306" s="7"/>
      <c r="D306" s="7"/>
      <c r="E306" s="34"/>
      <c r="F306" s="7"/>
      <c r="G306" s="7"/>
      <c r="H306" s="7"/>
      <c r="I306" s="35"/>
      <c r="J306" s="7"/>
    </row>
    <row r="307" spans="1:10" x14ac:dyDescent="0.25">
      <c r="A307" s="7"/>
      <c r="B307" s="7"/>
      <c r="C307" s="7"/>
      <c r="D307" s="7"/>
      <c r="E307" s="34"/>
      <c r="F307" s="7"/>
      <c r="G307" s="7"/>
      <c r="H307" s="7"/>
      <c r="I307" s="35"/>
      <c r="J307" s="7"/>
    </row>
    <row r="308" spans="1:10" x14ac:dyDescent="0.25">
      <c r="A308" s="7"/>
      <c r="B308" s="7"/>
      <c r="C308" s="7"/>
      <c r="D308" s="7"/>
      <c r="E308" s="34"/>
      <c r="F308" s="7"/>
      <c r="G308" s="7"/>
      <c r="H308" s="7"/>
      <c r="I308" s="35"/>
      <c r="J308" s="7"/>
    </row>
    <row r="309" spans="1:10" x14ac:dyDescent="0.25">
      <c r="A309" s="7"/>
      <c r="B309" s="7"/>
      <c r="C309" s="7"/>
      <c r="D309" s="7"/>
      <c r="E309" s="34"/>
      <c r="F309" s="7"/>
      <c r="G309" s="7"/>
      <c r="H309" s="7"/>
      <c r="I309" s="35"/>
      <c r="J309" s="7"/>
    </row>
    <row r="310" spans="1:10" x14ac:dyDescent="0.25">
      <c r="A310" s="7"/>
      <c r="B310" s="7"/>
      <c r="C310" s="7"/>
      <c r="D310" s="7"/>
      <c r="E310" s="34"/>
      <c r="F310" s="7"/>
      <c r="G310" s="7"/>
      <c r="H310" s="7"/>
      <c r="I310" s="35"/>
      <c r="J310" s="7"/>
    </row>
    <row r="311" spans="1:10" x14ac:dyDescent="0.25">
      <c r="A311" s="7"/>
      <c r="B311" s="7"/>
      <c r="C311" s="7"/>
      <c r="D311" s="7"/>
      <c r="E311" s="34"/>
      <c r="F311" s="7"/>
      <c r="G311" s="7"/>
      <c r="H311" s="7"/>
      <c r="I311" s="35"/>
      <c r="J311" s="7"/>
    </row>
    <row r="312" spans="1:10" x14ac:dyDescent="0.25">
      <c r="A312" s="7"/>
      <c r="B312" s="7"/>
      <c r="C312" s="7"/>
      <c r="D312" s="7"/>
      <c r="E312" s="34"/>
      <c r="F312" s="7"/>
      <c r="G312" s="7"/>
      <c r="H312" s="7"/>
      <c r="I312" s="35"/>
      <c r="J312" s="7"/>
    </row>
    <row r="313" spans="1:10" x14ac:dyDescent="0.25">
      <c r="A313" s="7"/>
      <c r="B313" s="7"/>
      <c r="C313" s="7"/>
      <c r="D313" s="7"/>
      <c r="E313" s="34"/>
      <c r="F313" s="7"/>
      <c r="G313" s="7"/>
      <c r="H313" s="7"/>
      <c r="I313" s="35"/>
      <c r="J313" s="7"/>
    </row>
    <row r="314" spans="1:10" x14ac:dyDescent="0.25">
      <c r="A314" s="7"/>
      <c r="B314" s="7"/>
      <c r="C314" s="7"/>
      <c r="D314" s="7"/>
      <c r="E314" s="34"/>
      <c r="F314" s="7"/>
      <c r="G314" s="7"/>
      <c r="H314" s="7"/>
      <c r="I314" s="35"/>
      <c r="J314" s="7"/>
    </row>
  </sheetData>
  <mergeCells count="194">
    <mergeCell ref="B156:C156"/>
    <mergeCell ref="B140:C140"/>
    <mergeCell ref="B141:C141"/>
    <mergeCell ref="B93:C93"/>
    <mergeCell ref="A219:I219"/>
    <mergeCell ref="B46:C46"/>
    <mergeCell ref="B57:C57"/>
    <mergeCell ref="B59:C59"/>
    <mergeCell ref="B87:C87"/>
    <mergeCell ref="B88:C88"/>
    <mergeCell ref="B91:C91"/>
    <mergeCell ref="A217:F217"/>
    <mergeCell ref="B54:C54"/>
    <mergeCell ref="B104:C104"/>
    <mergeCell ref="A94:H94"/>
    <mergeCell ref="B95:C95"/>
    <mergeCell ref="B96:C96"/>
    <mergeCell ref="B82:C82"/>
    <mergeCell ref="A216:H216"/>
    <mergeCell ref="B162:C162"/>
    <mergeCell ref="B151:C151"/>
    <mergeCell ref="B152:C152"/>
    <mergeCell ref="B142:C142"/>
    <mergeCell ref="B143:C143"/>
    <mergeCell ref="B144:C144"/>
    <mergeCell ref="B145:C145"/>
    <mergeCell ref="B146:C146"/>
    <mergeCell ref="B99:C99"/>
    <mergeCell ref="B102:C102"/>
    <mergeCell ref="B103:C103"/>
    <mergeCell ref="B150:C150"/>
    <mergeCell ref="B147:C147"/>
    <mergeCell ref="B148:C148"/>
    <mergeCell ref="B105:C105"/>
    <mergeCell ref="A1:I1"/>
    <mergeCell ref="A2:B2"/>
    <mergeCell ref="A3:B3"/>
    <mergeCell ref="C3:I3"/>
    <mergeCell ref="A4:B4"/>
    <mergeCell ref="C4:I4"/>
    <mergeCell ref="A83:H83"/>
    <mergeCell ref="B84:C84"/>
    <mergeCell ref="A5:B5"/>
    <mergeCell ref="C5:D5"/>
    <mergeCell ref="E5:G5"/>
    <mergeCell ref="B11:C11"/>
    <mergeCell ref="B22:C22"/>
    <mergeCell ref="B6:C6"/>
    <mergeCell ref="B7:C7"/>
    <mergeCell ref="B23:C23"/>
    <mergeCell ref="B113:C113"/>
    <mergeCell ref="B79:C79"/>
    <mergeCell ref="B47:C47"/>
    <mergeCell ref="B8:C8"/>
    <mergeCell ref="B9:C9"/>
    <mergeCell ref="B10:C10"/>
    <mergeCell ref="B36:C36"/>
    <mergeCell ref="A42:H42"/>
    <mergeCell ref="B43:C43"/>
    <mergeCell ref="B44:C44"/>
    <mergeCell ref="B12:C12"/>
    <mergeCell ref="B13:C13"/>
    <mergeCell ref="B34:C34"/>
    <mergeCell ref="B24:C24"/>
    <mergeCell ref="B31:C31"/>
    <mergeCell ref="B32:C32"/>
    <mergeCell ref="B20:C20"/>
    <mergeCell ref="B18:C18"/>
    <mergeCell ref="B40:C40"/>
    <mergeCell ref="B53:C53"/>
    <mergeCell ref="B64:C64"/>
    <mergeCell ref="B19:C19"/>
    <mergeCell ref="B41:C41"/>
    <mergeCell ref="B30:C30"/>
    <mergeCell ref="B100:C100"/>
    <mergeCell ref="B191:C191"/>
    <mergeCell ref="B154:C154"/>
    <mergeCell ref="B164:C164"/>
    <mergeCell ref="B165:C165"/>
    <mergeCell ref="B166:C166"/>
    <mergeCell ref="B167:C167"/>
    <mergeCell ref="B155:C155"/>
    <mergeCell ref="B158:C158"/>
    <mergeCell ref="B159:C159"/>
    <mergeCell ref="B160:C160"/>
    <mergeCell ref="B169:C169"/>
    <mergeCell ref="B170:C170"/>
    <mergeCell ref="B171:C171"/>
    <mergeCell ref="B172:C172"/>
    <mergeCell ref="B173:C173"/>
    <mergeCell ref="B174:C174"/>
    <mergeCell ref="B120:C120"/>
    <mergeCell ref="B115:C115"/>
    <mergeCell ref="B116:C116"/>
    <mergeCell ref="B117:C117"/>
    <mergeCell ref="B137:C137"/>
    <mergeCell ref="B138:C138"/>
    <mergeCell ref="B163:C163"/>
    <mergeCell ref="B139:C139"/>
    <mergeCell ref="B86:C86"/>
    <mergeCell ref="B97:C97"/>
    <mergeCell ref="B98:C98"/>
    <mergeCell ref="B14:C14"/>
    <mergeCell ref="B25:C25"/>
    <mergeCell ref="B35:C35"/>
    <mergeCell ref="B48:C48"/>
    <mergeCell ref="B58:C58"/>
    <mergeCell ref="B21:C21"/>
    <mergeCell ref="B80:C80"/>
    <mergeCell ref="B68:C68"/>
    <mergeCell ref="B85:C85"/>
    <mergeCell ref="B45:C45"/>
    <mergeCell ref="B55:C55"/>
    <mergeCell ref="A65:H65"/>
    <mergeCell ref="B66:C66"/>
    <mergeCell ref="B67:C67"/>
    <mergeCell ref="B72:C72"/>
    <mergeCell ref="B73:C73"/>
    <mergeCell ref="B77:C77"/>
    <mergeCell ref="B89:C89"/>
    <mergeCell ref="B90:C90"/>
    <mergeCell ref="B49:C49"/>
    <mergeCell ref="B50:C50"/>
    <mergeCell ref="B51:C51"/>
    <mergeCell ref="B60:C60"/>
    <mergeCell ref="B61:C61"/>
    <mergeCell ref="B62:C62"/>
    <mergeCell ref="B71:C71"/>
    <mergeCell ref="B74:C74"/>
    <mergeCell ref="B81:C81"/>
    <mergeCell ref="B15:C15"/>
    <mergeCell ref="B16:C16"/>
    <mergeCell ref="B17:C17"/>
    <mergeCell ref="B26:C26"/>
    <mergeCell ref="B27:C27"/>
    <mergeCell ref="B28:C28"/>
    <mergeCell ref="B37:C37"/>
    <mergeCell ref="B38:C38"/>
    <mergeCell ref="B39:C39"/>
    <mergeCell ref="B29:C29"/>
    <mergeCell ref="B70:C70"/>
    <mergeCell ref="B76:C76"/>
    <mergeCell ref="B78:C78"/>
    <mergeCell ref="B75:C75"/>
    <mergeCell ref="B33:C33"/>
    <mergeCell ref="B56:C56"/>
    <mergeCell ref="B132:C132"/>
    <mergeCell ref="B133:C133"/>
    <mergeCell ref="B134:C134"/>
    <mergeCell ref="B135:C135"/>
    <mergeCell ref="B136:C136"/>
    <mergeCell ref="B101:C101"/>
    <mergeCell ref="B121:C121"/>
    <mergeCell ref="B122:C122"/>
    <mergeCell ref="B123:C123"/>
    <mergeCell ref="B124:C124"/>
    <mergeCell ref="B125:C125"/>
    <mergeCell ref="B126:C126"/>
    <mergeCell ref="B127:C127"/>
    <mergeCell ref="B128:C128"/>
    <mergeCell ref="B118:C118"/>
    <mergeCell ref="B119:C119"/>
    <mergeCell ref="B109:C109"/>
    <mergeCell ref="B110:C110"/>
    <mergeCell ref="B111:C111"/>
    <mergeCell ref="B114:C114"/>
    <mergeCell ref="B106:C106"/>
    <mergeCell ref="B107:C107"/>
    <mergeCell ref="B108:C108"/>
    <mergeCell ref="B112:C112"/>
    <mergeCell ref="B212:C212"/>
    <mergeCell ref="B213:C213"/>
    <mergeCell ref="B214:C214"/>
    <mergeCell ref="B215:C215"/>
    <mergeCell ref="A202:H202"/>
    <mergeCell ref="B52:C52"/>
    <mergeCell ref="B63:C63"/>
    <mergeCell ref="B92:C92"/>
    <mergeCell ref="B203:C203"/>
    <mergeCell ref="B204:C204"/>
    <mergeCell ref="B205:C205"/>
    <mergeCell ref="B206:C206"/>
    <mergeCell ref="B207:C207"/>
    <mergeCell ref="B208:C208"/>
    <mergeCell ref="B209:C209"/>
    <mergeCell ref="B210:C210"/>
    <mergeCell ref="B211:C211"/>
    <mergeCell ref="B149:C149"/>
    <mergeCell ref="B153:C153"/>
    <mergeCell ref="B157:C157"/>
    <mergeCell ref="B192:C192"/>
    <mergeCell ref="B129:C129"/>
    <mergeCell ref="B130:C130"/>
    <mergeCell ref="B131:C131"/>
  </mergeCells>
  <pageMargins left="0.7" right="0.7" top="0.75" bottom="0.75" header="0.3" footer="0.3"/>
  <pageSetup paperSize="9" scale="69" orientation="landscape" horizontalDpi="300" verticalDpi="300" r:id="rId1"/>
  <rowBreaks count="4" manualBreakCount="4">
    <brk id="42" max="8" man="1"/>
    <brk id="83" max="8" man="1"/>
    <brk id="127" max="8" man="1"/>
    <brk id="173"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8"/>
  <sheetViews>
    <sheetView view="pageBreakPreview" zoomScale="110" zoomScaleNormal="100" zoomScalePageLayoutView="110" workbookViewId="0">
      <selection activeCell="B3" sqref="B3:J3"/>
    </sheetView>
  </sheetViews>
  <sheetFormatPr defaultColWidth="9.5703125" defaultRowHeight="15" x14ac:dyDescent="0.25"/>
  <cols>
    <col min="1" max="1" width="15.42578125" customWidth="1"/>
    <col min="2" max="2" width="48.42578125" customWidth="1"/>
    <col min="3" max="3" width="14.7109375" customWidth="1"/>
    <col min="5" max="5" width="14.7109375" customWidth="1"/>
    <col min="7" max="7" width="14.140625" bestFit="1" customWidth="1"/>
    <col min="9" max="9" width="15.7109375" customWidth="1"/>
  </cols>
  <sheetData>
    <row r="1" spans="1:10" ht="60" customHeight="1" x14ac:dyDescent="0.25">
      <c r="A1" t="str">
        <f>'Planilha orçamentária'!A3:B3</f>
        <v>OBJETO:</v>
      </c>
      <c r="B1" s="73" t="s">
        <v>58</v>
      </c>
      <c r="C1" s="73"/>
      <c r="D1" s="73"/>
      <c r="E1" s="73"/>
      <c r="F1" s="73"/>
      <c r="G1" s="73"/>
      <c r="H1" s="73"/>
      <c r="I1" s="73"/>
      <c r="J1" s="73"/>
    </row>
    <row r="2" spans="1:10" x14ac:dyDescent="0.25">
      <c r="A2" t="str">
        <f>'Planilha orçamentária'!A4:B4</f>
        <v>REFERÊNCIA:</v>
      </c>
      <c r="B2" t="s">
        <v>115</v>
      </c>
    </row>
    <row r="3" spans="1:10" ht="33.75" customHeight="1" x14ac:dyDescent="0.25">
      <c r="A3" t="s">
        <v>59</v>
      </c>
      <c r="B3" s="74" t="s">
        <v>111</v>
      </c>
      <c r="C3" s="74"/>
      <c r="D3" s="74"/>
      <c r="E3" s="74"/>
      <c r="F3" s="74"/>
      <c r="G3" s="74"/>
      <c r="H3" s="74"/>
      <c r="I3" s="74"/>
      <c r="J3" s="74"/>
    </row>
    <row r="6" spans="1:10" x14ac:dyDescent="0.25">
      <c r="A6" s="75" t="s">
        <v>60</v>
      </c>
      <c r="B6" s="75"/>
      <c r="C6" s="75"/>
      <c r="D6" s="75"/>
      <c r="E6" s="75"/>
      <c r="F6" s="75"/>
      <c r="G6" s="75"/>
      <c r="H6" s="75"/>
      <c r="I6" s="75"/>
      <c r="J6" s="75"/>
    </row>
    <row r="7" spans="1:10" x14ac:dyDescent="0.25">
      <c r="A7" s="75"/>
      <c r="B7" s="75"/>
      <c r="C7" s="75"/>
      <c r="D7" s="75"/>
      <c r="E7" s="75"/>
      <c r="F7" s="75"/>
      <c r="G7" s="75"/>
      <c r="H7" s="75"/>
      <c r="I7" s="75"/>
      <c r="J7" s="75"/>
    </row>
    <row r="10" spans="1:10" x14ac:dyDescent="0.25">
      <c r="A10" s="36" t="s">
        <v>61</v>
      </c>
      <c r="B10" s="37" t="s">
        <v>62</v>
      </c>
      <c r="C10" s="38" t="s">
        <v>116</v>
      </c>
      <c r="D10" s="38" t="s">
        <v>63</v>
      </c>
      <c r="E10" s="38" t="s">
        <v>117</v>
      </c>
      <c r="F10" s="38" t="s">
        <v>63</v>
      </c>
      <c r="G10" s="38" t="s">
        <v>118</v>
      </c>
      <c r="H10" s="39" t="s">
        <v>63</v>
      </c>
      <c r="I10" s="36" t="s">
        <v>64</v>
      </c>
      <c r="J10" s="39" t="s">
        <v>63</v>
      </c>
    </row>
    <row r="11" spans="1:10" x14ac:dyDescent="0.25">
      <c r="A11" s="40">
        <v>1</v>
      </c>
      <c r="B11" s="41" t="str">
        <f>'Planilha orçamentária'!D7</f>
        <v>Serviços Preliminares</v>
      </c>
      <c r="C11" s="42">
        <f>D11*I11</f>
        <v>97866.356433760448</v>
      </c>
      <c r="D11" s="43">
        <v>0.4</v>
      </c>
      <c r="E11" s="42">
        <f>F11*I11</f>
        <v>97866.356433760448</v>
      </c>
      <c r="F11" s="43">
        <v>0.4</v>
      </c>
      <c r="G11" s="42">
        <f>H11*I11</f>
        <v>48933.178216880224</v>
      </c>
      <c r="H11" s="44">
        <v>0.2</v>
      </c>
      <c r="I11" s="45">
        <f>'Planilha orçamentária'!I42</f>
        <v>244665.89108440111</v>
      </c>
      <c r="J11" s="44">
        <f>I11/I$17</f>
        <v>0.21829564756074063</v>
      </c>
    </row>
    <row r="12" spans="1:10" x14ac:dyDescent="0.25">
      <c r="A12" s="40">
        <v>2</v>
      </c>
      <c r="B12" s="41" t="str">
        <f>'Planilha orçamentária'!D43</f>
        <v>Capa asfáltica</v>
      </c>
      <c r="C12" s="42">
        <f>D12*I12</f>
        <v>313759.52364368684</v>
      </c>
      <c r="D12" s="43">
        <v>0.4</v>
      </c>
      <c r="E12" s="42">
        <f>F12*I12</f>
        <v>313759.52364368684</v>
      </c>
      <c r="F12" s="43">
        <v>0.4</v>
      </c>
      <c r="G12" s="42">
        <f>H12*I12</f>
        <v>156879.76182184342</v>
      </c>
      <c r="H12" s="44">
        <v>0.2</v>
      </c>
      <c r="I12" s="45">
        <f>'Planilha orçamentária'!I65</f>
        <v>784398.80910921702</v>
      </c>
      <c r="J12" s="44">
        <f t="shared" ref="J12:J16" si="0">I12/I$17</f>
        <v>0.69985581243648587</v>
      </c>
    </row>
    <row r="13" spans="1:10" x14ac:dyDescent="0.25">
      <c r="A13" s="40">
        <v>3</v>
      </c>
      <c r="B13" s="41" t="str">
        <f>'Planilha orçamentária'!D66</f>
        <v>Sarjetão</v>
      </c>
      <c r="C13" s="42">
        <f>D13*I13</f>
        <v>0</v>
      </c>
      <c r="D13" s="43">
        <v>0</v>
      </c>
      <c r="E13" s="42">
        <f>F13*I13</f>
        <v>0</v>
      </c>
      <c r="F13" s="43">
        <v>0</v>
      </c>
      <c r="G13" s="42">
        <f>H13*I13</f>
        <v>12027.405313321204</v>
      </c>
      <c r="H13" s="44">
        <v>1</v>
      </c>
      <c r="I13" s="45">
        <f>'Planilha orçamentária'!I83</f>
        <v>12027.405313321204</v>
      </c>
      <c r="J13" s="44">
        <f t="shared" si="0"/>
        <v>1.0731084008932121E-2</v>
      </c>
    </row>
    <row r="14" spans="1:10" x14ac:dyDescent="0.25">
      <c r="A14" s="40">
        <v>4</v>
      </c>
      <c r="B14" s="41" t="str">
        <f>'Planilha orçamentária'!D84</f>
        <v>Levantamento de Poço de Visita</v>
      </c>
      <c r="C14" s="42">
        <f>D14*I14</f>
        <v>0</v>
      </c>
      <c r="D14" s="43">
        <v>0</v>
      </c>
      <c r="E14" s="42">
        <f>F14*I14</f>
        <v>0</v>
      </c>
      <c r="F14" s="43">
        <v>0</v>
      </c>
      <c r="G14" s="42">
        <f>H14*I14</f>
        <v>4266.9732600000007</v>
      </c>
      <c r="H14" s="44">
        <v>1</v>
      </c>
      <c r="I14" s="45">
        <f>'Planilha orçamentária'!I94</f>
        <v>4266.9732600000007</v>
      </c>
      <c r="J14" s="44">
        <f t="shared" si="0"/>
        <v>3.8070762000688655E-3</v>
      </c>
    </row>
    <row r="15" spans="1:10" x14ac:dyDescent="0.25">
      <c r="A15" s="40">
        <v>5</v>
      </c>
      <c r="B15" s="46" t="str">
        <f>'Planilha orçamentária'!D95</f>
        <v xml:space="preserve">Sinalização </v>
      </c>
      <c r="C15" s="42">
        <f>D15*I15</f>
        <v>0</v>
      </c>
      <c r="D15" s="43">
        <v>0</v>
      </c>
      <c r="E15" s="42">
        <f>F15*I15</f>
        <v>0</v>
      </c>
      <c r="F15" s="43">
        <v>0</v>
      </c>
      <c r="G15" s="42">
        <f>H15*I15</f>
        <v>72437.966604702597</v>
      </c>
      <c r="H15" s="44">
        <v>1</v>
      </c>
      <c r="I15" s="45">
        <f>'Planilha orçamentária'!I202</f>
        <v>72437.966604702597</v>
      </c>
      <c r="J15" s="44">
        <f t="shared" si="0"/>
        <v>6.4630557033803979E-2</v>
      </c>
    </row>
    <row r="16" spans="1:10" x14ac:dyDescent="0.25">
      <c r="A16" s="40">
        <v>6</v>
      </c>
      <c r="B16" s="46" t="str">
        <f>'Planilha orçamentária'!D203</f>
        <v>Serviços Complementares</v>
      </c>
      <c r="C16" s="42">
        <f>D16*I16</f>
        <v>0</v>
      </c>
      <c r="D16" s="43">
        <v>0</v>
      </c>
      <c r="E16" s="42">
        <f>F16*I16</f>
        <v>0</v>
      </c>
      <c r="F16" s="43">
        <v>0</v>
      </c>
      <c r="G16" s="42">
        <f>H16*I16</f>
        <v>3003.5469366539996</v>
      </c>
      <c r="H16" s="44">
        <v>1</v>
      </c>
      <c r="I16" s="45">
        <f>'Planilha orçamentária'!I216</f>
        <v>3003.5469366539996</v>
      </c>
      <c r="J16" s="44">
        <f t="shared" si="0"/>
        <v>2.679822759968547E-3</v>
      </c>
    </row>
    <row r="17" spans="1:10" ht="15.75" thickBot="1" x14ac:dyDescent="0.3">
      <c r="A17" s="76" t="s">
        <v>65</v>
      </c>
      <c r="B17" s="76"/>
      <c r="C17" s="47">
        <f>SUM(C11:C16)</f>
        <v>411625.88007744728</v>
      </c>
      <c r="D17" s="48">
        <f>C17/I17</f>
        <v>0.36726058399889061</v>
      </c>
      <c r="E17" s="47">
        <f t="shared" ref="E17" si="1">SUM(E11:E16)</f>
        <v>411625.88007744728</v>
      </c>
      <c r="F17" s="48">
        <f>E17/I17</f>
        <v>0.36726058399889061</v>
      </c>
      <c r="G17" s="47">
        <f t="shared" ref="G17" si="2">SUM(G11:G16)</f>
        <v>297548.83215340145</v>
      </c>
      <c r="H17" s="49">
        <f>G17/I17</f>
        <v>0.26547883200221883</v>
      </c>
      <c r="I17" s="77">
        <f>SUM(I11:I16)</f>
        <v>1120800.5923082959</v>
      </c>
      <c r="J17" s="78">
        <f>SUM(J11:J16)</f>
        <v>0.99999999999999989</v>
      </c>
    </row>
    <row r="18" spans="1:10" ht="15.75" thickBot="1" x14ac:dyDescent="0.3">
      <c r="A18" s="76"/>
      <c r="B18" s="76"/>
      <c r="C18" s="50">
        <f>C17</f>
        <v>411625.88007744728</v>
      </c>
      <c r="D18" s="51">
        <f>D17</f>
        <v>0.36726058399889061</v>
      </c>
      <c r="E18" s="50">
        <f>E17+C18</f>
        <v>823251.76015489455</v>
      </c>
      <c r="F18" s="51">
        <f>F17+D18</f>
        <v>0.73452116799778122</v>
      </c>
      <c r="G18" s="50">
        <f>E18+G17</f>
        <v>1120800.5923082959</v>
      </c>
      <c r="H18" s="52">
        <f>F18+H17</f>
        <v>1</v>
      </c>
      <c r="I18" s="77"/>
      <c r="J18" s="78"/>
    </row>
  </sheetData>
  <mergeCells count="6">
    <mergeCell ref="B1:J1"/>
    <mergeCell ref="B3:J3"/>
    <mergeCell ref="A6:J7"/>
    <mergeCell ref="A17:B18"/>
    <mergeCell ref="I17:I18"/>
    <mergeCell ref="J17:J18"/>
  </mergeCells>
  <printOptions horizontalCentered="1" verticalCentered="1"/>
  <pageMargins left="0.51180555555555596" right="0.51180555555555596" top="1.2645833333333301" bottom="0.78749999999999998" header="0.511811023622047" footer="0.511811023622047"/>
  <pageSetup paperSize="9" scale="84"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1268</TotalTime>
  <Application>Microsoft Excel</Application>
  <DocSecurity>0</DocSecurity>
  <ScaleCrop>false</ScaleCrop>
  <HeadingPairs>
    <vt:vector size="4" baseType="variant">
      <vt:variant>
        <vt:lpstr>Planilhas</vt:lpstr>
      </vt:variant>
      <vt:variant>
        <vt:i4>2</vt:i4>
      </vt:variant>
      <vt:variant>
        <vt:lpstr>Intervalos Nomeados</vt:lpstr>
      </vt:variant>
      <vt:variant>
        <vt:i4>5</vt:i4>
      </vt:variant>
    </vt:vector>
  </HeadingPairs>
  <TitlesOfParts>
    <vt:vector size="7" baseType="lpstr">
      <vt:lpstr>Planilha orçamentária</vt:lpstr>
      <vt:lpstr>Cronograma</vt:lpstr>
      <vt:lpstr>Cronograma!Area_de_impressao</vt:lpstr>
      <vt:lpstr>'Planilha orçamentária'!Area_de_impressao</vt:lpstr>
      <vt:lpstr>'Planilha orçamentária'!Print_Area_0</vt:lpstr>
      <vt:lpstr>'Planilha orçamentária'!Print_Area_0_0</vt:lpstr>
      <vt:lpstr>'Planilha orçamentária'!Print_Area_0_0_0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dc:description/>
  <cp:lastModifiedBy>Prefeitura de Boituva</cp:lastModifiedBy>
  <cp:revision>210</cp:revision>
  <cp:lastPrinted>2023-12-11T14:15:32Z</cp:lastPrinted>
  <dcterms:created xsi:type="dcterms:W3CDTF">2021-03-29T12:10:12Z</dcterms:created>
  <dcterms:modified xsi:type="dcterms:W3CDTF">2023-12-11T14:16:59Z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