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icitaca\Licitações 2024\PREGÃO ELETRÔNICO\PP 04 2024 - PA 2288 2024 - REVITALIZÇÃO DAS CALÇADAS DA RUA CORONEL EUGÊNIO MOTTA COM A REGULARIZAÇÃO DO CALÇAMENTO\"/>
    </mc:Choice>
  </mc:AlternateContent>
  <xr:revisionPtr revIDLastSave="0" documentId="8_{67975358-992A-474C-BFE6-C9CB911BF7EC}" xr6:coauthVersionLast="47" xr6:coauthVersionMax="47" xr10:uidLastSave="{00000000-0000-0000-0000-000000000000}"/>
  <bookViews>
    <workbookView xWindow="-120" yWindow="-120" windowWidth="29040" windowHeight="15720" activeTab="4" xr2:uid="{E9CFC7EB-A2D8-4905-AAF3-5A6D9338BBCD}"/>
  </bookViews>
  <sheets>
    <sheet name="ORÇAMENTO" sheetId="1" r:id="rId1"/>
    <sheet name="MEMÓRIA" sheetId="6" r:id="rId2"/>
    <sheet name="BDI  - SEM Deson" sheetId="2" r:id="rId3"/>
    <sheet name="BDI  - COM Deson " sheetId="4" r:id="rId4"/>
    <sheet name="CRONOGRAMA " sheetId="5" r:id="rId5"/>
  </sheets>
  <definedNames>
    <definedName name="_xlnm.Print_Area" localSheetId="4">'CRONOGRAMA '!$A$1:$Q$41</definedName>
    <definedName name="_xlnm.Print_Area" localSheetId="0">ORÇAMENTO!$A$1:$L$56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5" l="1"/>
  <c r="L22" i="5"/>
  <c r="N26" i="5"/>
  <c r="L26" i="5"/>
  <c r="J25" i="5"/>
  <c r="N29" i="5"/>
  <c r="L29" i="5"/>
  <c r="N27" i="5"/>
  <c r="L27" i="5"/>
  <c r="J28" i="5"/>
  <c r="H28" i="5"/>
  <c r="H24" i="5"/>
  <c r="P24" i="5" s="1"/>
  <c r="E25" i="1"/>
  <c r="B32" i="5"/>
  <c r="D13" i="1"/>
  <c r="D17" i="6"/>
  <c r="E17" i="6"/>
  <c r="F17" i="6"/>
  <c r="C17" i="6"/>
  <c r="B43" i="6"/>
  <c r="C43" i="6"/>
  <c r="B44" i="6"/>
  <c r="C44" i="6"/>
  <c r="F44" i="6"/>
  <c r="F43" i="6"/>
  <c r="D44" i="6"/>
  <c r="D43" i="6"/>
  <c r="D42" i="6"/>
  <c r="F38" i="6"/>
  <c r="F39" i="6"/>
  <c r="F40" i="6"/>
  <c r="F41" i="6"/>
  <c r="F37" i="6"/>
  <c r="B37" i="6"/>
  <c r="C37" i="6"/>
  <c r="B38" i="6"/>
  <c r="C38" i="6"/>
  <c r="B39" i="6"/>
  <c r="C39" i="6"/>
  <c r="B40" i="6"/>
  <c r="C40" i="6"/>
  <c r="B41" i="6"/>
  <c r="C41" i="6"/>
  <c r="D38" i="6"/>
  <c r="D39" i="6"/>
  <c r="D40" i="6"/>
  <c r="D41" i="6"/>
  <c r="D37" i="6"/>
  <c r="D36" i="6"/>
  <c r="F35" i="6"/>
  <c r="F33" i="6"/>
  <c r="B35" i="6"/>
  <c r="C35" i="6"/>
  <c r="D35" i="6"/>
  <c r="D34" i="6"/>
  <c r="B33" i="6"/>
  <c r="C33" i="6"/>
  <c r="D33" i="6"/>
  <c r="D32" i="6"/>
  <c r="E31" i="6"/>
  <c r="E31" i="1" s="1"/>
  <c r="E30" i="6"/>
  <c r="E30" i="1" s="1"/>
  <c r="E29" i="6"/>
  <c r="E29" i="1" s="1"/>
  <c r="E28" i="6"/>
  <c r="E28" i="1" s="1"/>
  <c r="F28" i="6"/>
  <c r="F29" i="6"/>
  <c r="F30" i="6"/>
  <c r="F31" i="6"/>
  <c r="A28" i="6"/>
  <c r="A29" i="6"/>
  <c r="A30" i="6"/>
  <c r="A31" i="6"/>
  <c r="B28" i="6"/>
  <c r="C28" i="6"/>
  <c r="D28" i="6"/>
  <c r="B29" i="6"/>
  <c r="C29" i="6"/>
  <c r="D29" i="6"/>
  <c r="B30" i="6"/>
  <c r="C30" i="6"/>
  <c r="D30" i="6"/>
  <c r="B31" i="6"/>
  <c r="C31" i="6"/>
  <c r="D31" i="6"/>
  <c r="D26" i="6"/>
  <c r="D23" i="6"/>
  <c r="D22" i="6"/>
  <c r="D18" i="6"/>
  <c r="C9" i="5"/>
  <c r="C10" i="5"/>
  <c r="C11" i="5"/>
  <c r="C12" i="5"/>
  <c r="C8" i="5"/>
  <c r="B29" i="5"/>
  <c r="B28" i="5"/>
  <c r="B27" i="5"/>
  <c r="B26" i="5"/>
  <c r="B25" i="5"/>
  <c r="B24" i="5"/>
  <c r="B23" i="5"/>
  <c r="B22" i="5"/>
  <c r="B21" i="5"/>
  <c r="B20" i="5"/>
  <c r="E37" i="6"/>
  <c r="E27" i="6"/>
  <c r="E27" i="1" s="1"/>
  <c r="E24" i="6"/>
  <c r="E25" i="6" s="1"/>
  <c r="E39" i="1"/>
  <c r="F27" i="6"/>
  <c r="D27" i="6"/>
  <c r="C27" i="6"/>
  <c r="F25" i="6"/>
  <c r="A25" i="6"/>
  <c r="B25" i="6"/>
  <c r="C25" i="6"/>
  <c r="D25" i="6"/>
  <c r="F24" i="6"/>
  <c r="D24" i="6"/>
  <c r="C24" i="6"/>
  <c r="F21" i="6"/>
  <c r="F20" i="6"/>
  <c r="C21" i="6"/>
  <c r="D21" i="6"/>
  <c r="D20" i="6"/>
  <c r="C20" i="6"/>
  <c r="N30" i="5" l="1"/>
  <c r="O30" i="5" s="1"/>
  <c r="L30" i="5"/>
  <c r="M30" i="5" s="1"/>
  <c r="Q30" i="5" s="1"/>
  <c r="E24" i="1"/>
  <c r="E21" i="1"/>
  <c r="E42" i="1"/>
  <c r="A21" i="6"/>
  <c r="B21" i="6"/>
  <c r="A22" i="6"/>
  <c r="B22" i="6"/>
  <c r="E44" i="6"/>
  <c r="E43" i="6"/>
  <c r="A44" i="6"/>
  <c r="A43" i="6"/>
  <c r="B42" i="6"/>
  <c r="A42" i="6"/>
  <c r="E41" i="6"/>
  <c r="E40" i="6"/>
  <c r="E38" i="6"/>
  <c r="E33" i="6"/>
  <c r="E33" i="1" s="1"/>
  <c r="E13" i="6"/>
  <c r="E35" i="6" s="1"/>
  <c r="E35" i="1" s="1"/>
  <c r="A40" i="6"/>
  <c r="A41" i="6"/>
  <c r="E40" i="1" l="1"/>
  <c r="E38" i="1"/>
  <c r="E43" i="1"/>
  <c r="E41" i="1"/>
  <c r="E44" i="1"/>
  <c r="E20" i="6"/>
  <c r="E20" i="1" s="1"/>
  <c r="C12" i="6"/>
  <c r="C11" i="6"/>
  <c r="C10" i="6"/>
  <c r="C9" i="6"/>
  <c r="C8" i="6"/>
  <c r="C7" i="6"/>
  <c r="C6" i="6"/>
  <c r="C5" i="6"/>
  <c r="C4" i="6"/>
  <c r="C3" i="6"/>
  <c r="C2" i="6"/>
  <c r="C14" i="6" l="1"/>
  <c r="C13" i="6"/>
  <c r="B13" i="6"/>
  <c r="A19" i="6"/>
  <c r="B19" i="6"/>
  <c r="A20" i="6"/>
  <c r="B20" i="6"/>
  <c r="A23" i="6"/>
  <c r="B23" i="6"/>
  <c r="A24" i="6"/>
  <c r="B24" i="6"/>
  <c r="A26" i="6"/>
  <c r="B26" i="6"/>
  <c r="C26" i="6"/>
  <c r="E26" i="6"/>
  <c r="F26" i="6"/>
  <c r="A27" i="6"/>
  <c r="B27" i="6"/>
  <c r="A32" i="6"/>
  <c r="B32" i="6"/>
  <c r="A33" i="6"/>
  <c r="A34" i="6"/>
  <c r="B34" i="6"/>
  <c r="A35" i="6"/>
  <c r="A36" i="6"/>
  <c r="B36" i="6"/>
  <c r="A37" i="6"/>
  <c r="A38" i="6"/>
  <c r="A39" i="6"/>
  <c r="B18" i="6"/>
  <c r="A18" i="6"/>
  <c r="B17" i="6"/>
  <c r="A17" i="6"/>
  <c r="B9" i="4" l="1"/>
  <c r="B14" i="4" s="1"/>
  <c r="K14" i="1" l="1"/>
  <c r="B9" i="2"/>
  <c r="B14" i="2" s="1"/>
  <c r="K35" i="1" l="1"/>
  <c r="L35" i="1" s="1"/>
  <c r="K20" i="1"/>
  <c r="L20" i="1" s="1"/>
  <c r="K33" i="1"/>
  <c r="L33" i="1" s="1"/>
  <c r="L32" i="1" s="1"/>
  <c r="K27" i="1"/>
  <c r="L27" i="1" s="1"/>
  <c r="K28" i="1"/>
  <c r="L28" i="1" s="1"/>
  <c r="K44" i="1"/>
  <c r="L44" i="1" s="1"/>
  <c r="K29" i="1"/>
  <c r="L29" i="1" s="1"/>
  <c r="K31" i="1"/>
  <c r="L31" i="1" s="1"/>
  <c r="K43" i="1"/>
  <c r="L43" i="1" s="1"/>
  <c r="L42" i="1" s="1"/>
  <c r="K30" i="1"/>
  <c r="L30" i="1" s="1"/>
  <c r="K37" i="1"/>
  <c r="L37" i="1" s="1"/>
  <c r="K38" i="1"/>
  <c r="L38" i="1" s="1"/>
  <c r="K39" i="1"/>
  <c r="L39" i="1" s="1"/>
  <c r="K25" i="1"/>
  <c r="L25" i="1" s="1"/>
  <c r="K40" i="1"/>
  <c r="L40" i="1" s="1"/>
  <c r="K24" i="1"/>
  <c r="L24" i="1" s="1"/>
  <c r="K41" i="1"/>
  <c r="L41" i="1" s="1"/>
  <c r="K21" i="1"/>
  <c r="L21" i="1" s="1"/>
  <c r="L23" i="1" l="1"/>
  <c r="L19" i="1"/>
  <c r="L18" i="1" s="1"/>
  <c r="L26" i="1"/>
  <c r="H43" i="1"/>
  <c r="I43" i="1" s="1"/>
  <c r="H28" i="1"/>
  <c r="I28" i="1" s="1"/>
  <c r="H25" i="1"/>
  <c r="I25" i="1" s="1"/>
  <c r="H40" i="1"/>
  <c r="I40" i="1" s="1"/>
  <c r="H24" i="1"/>
  <c r="I24" i="1" s="1"/>
  <c r="H27" i="1"/>
  <c r="I27" i="1" s="1"/>
  <c r="H29" i="1"/>
  <c r="I29" i="1" s="1"/>
  <c r="H39" i="1"/>
  <c r="I39" i="1" s="1"/>
  <c r="H33" i="1"/>
  <c r="I33" i="1" s="1"/>
  <c r="H31" i="1"/>
  <c r="I31" i="1" s="1"/>
  <c r="H21" i="1"/>
  <c r="I21" i="1" s="1"/>
  <c r="H41" i="1"/>
  <c r="I41" i="1" s="1"/>
  <c r="H38" i="1"/>
  <c r="I38" i="1" s="1"/>
  <c r="H20" i="1"/>
  <c r="I20" i="1" s="1"/>
  <c r="C21" i="5" s="1"/>
  <c r="D21" i="5" s="1"/>
  <c r="P21" i="5" s="1"/>
  <c r="H30" i="1"/>
  <c r="I30" i="1" s="1"/>
  <c r="H35" i="1"/>
  <c r="H44" i="1"/>
  <c r="I44" i="1" s="1"/>
  <c r="H37" i="1"/>
  <c r="I37" i="1" s="1"/>
  <c r="L36" i="1"/>
  <c r="I42" i="1" l="1"/>
  <c r="C29" i="5" s="1"/>
  <c r="I19" i="1"/>
  <c r="I18" i="1" s="1"/>
  <c r="C22" i="5"/>
  <c r="I23" i="1"/>
  <c r="C24" i="5" s="1"/>
  <c r="I26" i="1"/>
  <c r="C25" i="5" s="1"/>
  <c r="H25" i="5" s="1"/>
  <c r="P25" i="5" s="1"/>
  <c r="I36" i="1"/>
  <c r="C28" i="5" s="1"/>
  <c r="L34" i="1"/>
  <c r="L22" i="1" s="1"/>
  <c r="L46" i="1" s="1"/>
  <c r="I35" i="1"/>
  <c r="I34" i="1" s="1"/>
  <c r="C27" i="5" s="1"/>
  <c r="I32" i="1"/>
  <c r="C26" i="5" s="1"/>
  <c r="P26" i="5" l="1"/>
  <c r="F28" i="5"/>
  <c r="P28" i="5" s="1"/>
  <c r="H22" i="5"/>
  <c r="J22" i="5"/>
  <c r="P22" i="5"/>
  <c r="F24" i="5"/>
  <c r="I22" i="1"/>
  <c r="I46" i="1" s="1"/>
  <c r="P27" i="5" l="1"/>
  <c r="J29" i="5"/>
  <c r="J30" i="5" s="1"/>
  <c r="H29" i="5"/>
  <c r="H30" i="5" s="1"/>
  <c r="F29" i="5"/>
  <c r="C30" i="5"/>
  <c r="F30" i="5" l="1"/>
  <c r="P29" i="5"/>
  <c r="I30" i="5"/>
  <c r="G30" i="5"/>
  <c r="Q28" i="5"/>
  <c r="Q22" i="5"/>
  <c r="Q25" i="5"/>
  <c r="Q21" i="5"/>
  <c r="Q24" i="5"/>
  <c r="Q27" i="5"/>
  <c r="Q26" i="5"/>
  <c r="D30" i="5"/>
  <c r="E30" i="5" s="1"/>
  <c r="K30" i="5"/>
  <c r="P30" i="5" l="1"/>
  <c r="Q29" i="5"/>
</calcChain>
</file>

<file path=xl/sharedStrings.xml><?xml version="1.0" encoding="utf-8"?>
<sst xmlns="http://schemas.openxmlformats.org/spreadsheetml/2006/main" count="235" uniqueCount="160">
  <si>
    <t xml:space="preserve">PLANILHA ORÇAMENTÁRIA </t>
  </si>
  <si>
    <t xml:space="preserve">OBRA: </t>
  </si>
  <si>
    <t>LOCAL:</t>
  </si>
  <si>
    <t xml:space="preserve">FONTE DE PESQUISA: </t>
  </si>
  <si>
    <t xml:space="preserve">BDI ADOTADO: </t>
  </si>
  <si>
    <t xml:space="preserve">REGIME DE EXECUÇÃO: </t>
  </si>
  <si>
    <t>EMPREITADA GLOBAL</t>
  </si>
  <si>
    <t>Nº</t>
  </si>
  <si>
    <t>QUANTIDADE</t>
  </si>
  <si>
    <t xml:space="preserve">DESCRIÇÃO </t>
  </si>
  <si>
    <t>UNIDADE</t>
  </si>
  <si>
    <t>VALOR TOTAL</t>
  </si>
  <si>
    <t xml:space="preserve">SERVIÇOS PRELIMINARES </t>
  </si>
  <si>
    <t>m²</t>
  </si>
  <si>
    <t>m³</t>
  </si>
  <si>
    <t>2.1</t>
  </si>
  <si>
    <t>TOTAL</t>
  </si>
  <si>
    <t>CÁLCULO DO BDI (TCU 2622/2013)</t>
  </si>
  <si>
    <t>CONSTRUÇÃO E REFORMA DE EDIFICAÇÕES</t>
  </si>
  <si>
    <t>INCIDÊNCIAS ACEITAS</t>
  </si>
  <si>
    <t>ITENS COMPONENTES DO BDI</t>
  </si>
  <si>
    <t>INCIDÊNCIA ADOTADA [1]</t>
  </si>
  <si>
    <t>Min.</t>
  </si>
  <si>
    <t>Méd.</t>
  </si>
  <si>
    <t>Máx.</t>
  </si>
  <si>
    <t xml:space="preserve">ADMINISTRAÇÃO CENTRAL </t>
  </si>
  <si>
    <t>LUCRO</t>
  </si>
  <si>
    <t>DESPESAS FINANCEIRAS</t>
  </si>
  <si>
    <t>SEGUROS E GARANTIAS</t>
  </si>
  <si>
    <t>RISCOS</t>
  </si>
  <si>
    <t>TRIBUTOS</t>
  </si>
  <si>
    <t>Conforme Legislação</t>
  </si>
  <si>
    <t>PIS</t>
  </si>
  <si>
    <t>COFINS</t>
  </si>
  <si>
    <t>ISS</t>
  </si>
  <si>
    <t>Conforme legislação municipal</t>
  </si>
  <si>
    <t>[2] Desoneração (2%)</t>
  </si>
  <si>
    <t>0% OU 2%</t>
  </si>
  <si>
    <t>[2] BDI ADOTADO</t>
  </si>
  <si>
    <t>[1] Preencher células em amarelo</t>
  </si>
  <si>
    <r>
      <t xml:space="preserve">[2] Obras orçadas </t>
    </r>
    <r>
      <rPr>
        <b/>
        <sz val="9"/>
        <color indexed="23"/>
        <rFont val="Arial"/>
        <family val="2"/>
      </rPr>
      <t>SEM</t>
    </r>
    <r>
      <rPr>
        <sz val="9"/>
        <color indexed="23"/>
        <rFont val="Arial"/>
        <family val="2"/>
      </rPr>
      <t xml:space="preserve"> desoneração deverão adotar indíce 0,00% neste item e intervalo de BDI adotado conforme LIMITES do quadro ao lado</t>
    </r>
  </si>
  <si>
    <t>m</t>
  </si>
  <si>
    <t>2.2</t>
  </si>
  <si>
    <t>un.</t>
  </si>
  <si>
    <t>CRONOGRAMA FÍSICO-FINANCEIRO</t>
  </si>
  <si>
    <t xml:space="preserve">ITEM </t>
  </si>
  <si>
    <t>DESCRIÇÃO</t>
  </si>
  <si>
    <t>%</t>
  </si>
  <si>
    <t>Valor Total do Item</t>
  </si>
  <si>
    <t xml:space="preserve">COM DESONERAÇÃO </t>
  </si>
  <si>
    <t xml:space="preserve">SEM DESONERAÇÃO </t>
  </si>
  <si>
    <t>1.1</t>
  </si>
  <si>
    <t>M²</t>
  </si>
  <si>
    <t>2.1.1</t>
  </si>
  <si>
    <t>M³</t>
  </si>
  <si>
    <t>2.2.1</t>
  </si>
  <si>
    <t>2.2.2</t>
  </si>
  <si>
    <t>2.2.3</t>
  </si>
  <si>
    <t>2.2.4</t>
  </si>
  <si>
    <t>05.07.040</t>
  </si>
  <si>
    <t>Remoção de entulho separado de obra com caçamba metálica ‐ terra,
alvenaria, concreto, argamassa, madeira, papel, plástico ou metal</t>
  </si>
  <si>
    <t>2.2.5</t>
  </si>
  <si>
    <t>2.3</t>
  </si>
  <si>
    <t>2.3.1</t>
  </si>
  <si>
    <t xml:space="preserve">RUA CORONEL EUGENIO MOTTA </t>
  </si>
  <si>
    <t xml:space="preserve">Demolição das calçadas existentes </t>
  </si>
  <si>
    <t>RECONSTRUÇÃO DAS CALÇADAS</t>
  </si>
  <si>
    <t xml:space="preserve">Contrapiso de concreto </t>
  </si>
  <si>
    <t>PLACA EM MICROCONCRETO DE ALTO DESEMPENHO - 60 X 30 X 2,5 CM</t>
  </si>
  <si>
    <t>CPU - 01</t>
  </si>
  <si>
    <t>comp</t>
  </si>
  <si>
    <t>2.4</t>
  </si>
  <si>
    <t>2.4.1</t>
  </si>
  <si>
    <t>2.5</t>
  </si>
  <si>
    <t xml:space="preserve">Drenagens </t>
  </si>
  <si>
    <t xml:space="preserve">Placa no modelo da Prefeitura = 1,5 (altura) x 3 (comprimento) </t>
  </si>
  <si>
    <t xml:space="preserve">observações 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</si>
  <si>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</si>
  <si>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</si>
  <si>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</si>
  <si>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</si>
  <si>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</si>
  <si>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</si>
  <si>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</si>
  <si>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</si>
  <si>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</si>
  <si>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Área 10</t>
  </si>
  <si>
    <t>Área 11</t>
  </si>
  <si>
    <t>Soma</t>
  </si>
  <si>
    <t>CAIXA ENTERRADA HIDRÁULICA RETANGULAR, EM CONCRETO PRÉ-MOLDADO, DIMENSÕES INTERNAS: 0,6X0,6X0,5 M. AF_12/2020</t>
  </si>
  <si>
    <t>Comp (m)</t>
  </si>
  <si>
    <t>área (m² )</t>
  </si>
  <si>
    <t xml:space="preserve">(Comp 1 = 116,73m)+(Comp 2= 129,55m)+(comp 3 = 72,94m)+ (comp 4 = 207,13m) + (comp 5 = 189m)+(comp 6 = 30,93m)+ (comp 7 = 102,68m)+(comp 8 = 131,69m)+(comp9 = 130,77m) +(comp 10=208,02m)+(comp 11= 191,81m) </t>
  </si>
  <si>
    <t>2.5.1</t>
  </si>
  <si>
    <t>2.5.2</t>
  </si>
  <si>
    <t>2.5.3</t>
  </si>
  <si>
    <t>2.5.4</t>
  </si>
  <si>
    <t>2.1.2</t>
  </si>
  <si>
    <t xml:space="preserve">Estimativa de 1,2 m por grelha para reconstrução </t>
  </si>
  <si>
    <t>2.5.5</t>
  </si>
  <si>
    <t xml:space="preserve">área Piso tátil </t>
  </si>
  <si>
    <t>Soma das áreas das calçadas - Soma das áreas do piso podotátil 
3371,91 - 374,23 = 2997,68</t>
  </si>
  <si>
    <t>Estimativa de 120m de tubo por quarteirão 
4 quarteirões com 2 lados de calçadas 
120*4*2 = 960m</t>
  </si>
  <si>
    <t>(Área 1 = 281,19m²) + (Área 2 = 324,64m² )+( Área 3 = 168,42m²) + (Área 4 = 445,35m² )+ (Área 5= 389,37m²) +( Área 6 = 76,75m²) +( Área 7 = 244,01m²) + (Área 8 = 283,47m²) + (Área 9 = 265,82m²) + (Área 10 = 420,69m²) + (Área 11 = 472,20m²)</t>
  </si>
  <si>
    <r>
      <t xml:space="preserve">Piso Podotátil de 25cm:
(Área 1 = 29,71m²) + (Área 2 = 33,23m² )+( Área 3 = 15,54m²) + (Área 4 = 51,82m² )+ (Área 5= 45,66m²) +( Área 6 = 6,58m²) +( Área 7 = 25,10m²) + (Área 8 =33,83m²) + (Área 9 = 33,86m²) + (Área 10 = 52,70m²) + (Área 11 = 46,20m²)
 </t>
    </r>
    <r>
      <rPr>
        <b/>
        <sz val="11"/>
        <color theme="1"/>
        <rFont val="Calibri"/>
        <family val="2"/>
        <scheme val="minor"/>
      </rPr>
      <t xml:space="preserve">SOMA DAS ÁREAS DO PODOTÁTIL = 374,23m²
</t>
    </r>
  </si>
  <si>
    <t>12 unidades conforme projeto  - medida 810x270mm</t>
  </si>
  <si>
    <t xml:space="preserve">Estimativa de 1,2 m menos o comprimento da grelha 0,81m = 0,39 x 12 unid = 1,56m </t>
  </si>
  <si>
    <t xml:space="preserve">soma com exclusão da área 5 e 11 </t>
  </si>
  <si>
    <t xml:space="preserve">Piso Podotátil de concreto </t>
  </si>
  <si>
    <t>2.6</t>
  </si>
  <si>
    <t xml:space="preserve">Remoção / Recolocação das tampas existentes </t>
  </si>
  <si>
    <t>2.6.1</t>
  </si>
  <si>
    <t>h</t>
  </si>
  <si>
    <t>2.6.2</t>
  </si>
  <si>
    <t>Considerado 2h para a remoção e recolocação das tampas existentes
Estimativa de 20 tampas ao longo das calçadas</t>
  </si>
  <si>
    <t>1.2</t>
  </si>
  <si>
    <t>Locação de container tipo depósito ‐ área mínima de 13,80 m²</t>
  </si>
  <si>
    <t>02.02.150</t>
  </si>
  <si>
    <t>unimes</t>
  </si>
  <si>
    <t xml:space="preserve">Considerado 4 mês de obra para locação do container </t>
  </si>
  <si>
    <t xml:space="preserve">1º MÊS </t>
  </si>
  <si>
    <t xml:space="preserve">2º MÊS </t>
  </si>
  <si>
    <t xml:space="preserve">3º MÊS </t>
  </si>
  <si>
    <t xml:space="preserve">4º MÊS </t>
  </si>
  <si>
    <t xml:space="preserve">REVITALIZAÇÃO DAS CALÇADAS DA EUGENIO MOTTA </t>
  </si>
  <si>
    <t>VALOR UNITÁRIO</t>
  </si>
  <si>
    <t>FORNECIMENTO E INSTALAÇÃO DE PLACA DE OBRA COM CHAPA GALVANIZADA E ESTRUTURA DE MADEIRA. AF_03/2022_PS</t>
  </si>
  <si>
    <t>DEMOLIÇÃO DE PISO DE CONCRETO SIMPLES, DE FORMA MECANIZADA COM MARTELETE, SEM REAPROVEITAMENTO. AF_09/2023</t>
  </si>
  <si>
    <t>REATERRO MANUAL DE VALAS, COM COMPACTADOR DE SOLOS DE PERCUSSÃO. AF_08 /2023</t>
  </si>
  <si>
    <t>LASTRO COM MATERIAL GRANULAR, APLICAÇÃO EM BLOCOS DE COROAMENTO, ESPESSURA DE *5 CM*. AF_01/2024</t>
  </si>
  <si>
    <t>PISO PODOTÁTIL DE ALERTA OU DIRECIONAL, DE CONCRETO, ASSENTADO SOBRE ARGAMASSA. AF_05/2023</t>
  </si>
  <si>
    <t>TUBO PVC, SÉRIE R, ÁGUA PLUVIAL, DN 150 MM, FORNECIDO E INSTALADO EM CONDUTORES VERTICAIS DE ÁGUAS PLUVIAIS. AF_06/2022</t>
  </si>
  <si>
    <t>CAIXA COM GRELHA RETANGULAR DE FERRO FUNDIDO, EM ALVENARIA COM TIJOLOS CERÂMICOS MACIÇOS, DIMENSÕES INTERNAS: 0,30 X 1,00 X 0,5 M. AF_08/202</t>
  </si>
  <si>
    <t>PEDREIRO (HORISTA)</t>
  </si>
  <si>
    <t>AUXILIAR DE PEDREIRO (HORISTA)</t>
  </si>
  <si>
    <t>GUIA (MEIO-FIO) CONCRETO, MOLDADA IN LOCO EM TRECHO RETO COM EXTRUSORA, 15 CM BASE X 30 CM ALTURA. AF_01/2024</t>
  </si>
  <si>
    <t>EXECUÇÃO DE SARJETA DE CONCRETO USINADO, MOLDADA IN LOCO EM TRECHO RETO, 45 CM BASE X 15 CM ALTURA. AF_01/2024</t>
  </si>
  <si>
    <t xml:space="preserve">
SOMA DOS COMPRIMENTOS = 1511,25m
LARGURA DA CALÇADA= 2,5m
Demolição de piso com h = 10cm 
1511,25 X 2,5 X 0,1 = 377,81m³
</t>
  </si>
  <si>
    <t>Demolição + empolamento de 30% 
377,81 x 1,30 = 491,16m³</t>
  </si>
  <si>
    <t xml:space="preserve">
SOMA DOS COMPRIMENTOS = 1511,25m
LARGURA DA calçada = 2,5m
Lastro com 5 cm 
1511,25 x 2,5 x 0,05 = 188,91m³
</t>
  </si>
  <si>
    <t>ESCAVAÇÃO HORIZONTAL, INCLUINDO CARGA, DESCARGA E TRANSPORTE EM SOLO DE 1A CATEGORIA COM TRATOR DE ESTEIRAS (170HP/LÂMINA: 5,20M3) E CAMINHÃO BASCULANTE DE 10M3, DMT ATÉ 200M. AF_07/2020</t>
  </si>
  <si>
    <t>REGULARIZAÇÃO E COMPACTAÇÃO DE SUBLEITO DE SOLO PREDOMINANTEMENTE ARGILOSO. AF_11/2019</t>
  </si>
  <si>
    <t xml:space="preserve">SOMA DOS COMPRIMENTOS = 1511,25
LARGURA da calçada = 2,50m
Profundidade = 0,4m 
1511,25X 2,5 X 0,40 = 1511,25m³
</t>
  </si>
  <si>
    <t>SOMA DOS COMPRIMENTOS = 1511,25
LARGURA DA CALÇADA =2,5M
 1511,25 X 2,5  = 3778,12M²</t>
  </si>
  <si>
    <t>(Soma da área da vala x altura ) - (diametro do tubo x comprimento) 
(1130,44x0,6x0,4) - (0,17 x960) = 108,11m³</t>
  </si>
  <si>
    <t>EXECUÇÃO DE PASSEIO (CALÇADA) OU PISO DE CONCRETO COM CONCRETO MOLDADO IN LOCO, USINADO C20, ACABAMENTO CONVENCIONAL, NÃO ARMADO. AF_08/2022</t>
  </si>
  <si>
    <t>Concreto da calçada nova com 8 cm de espessura 
1511,25 x 2,5 x 0,08 = 302,25m³</t>
  </si>
  <si>
    <t>VALOR UNITÁRIO COM BDI</t>
  </si>
  <si>
    <t xml:space="preserve">BDI </t>
  </si>
  <si>
    <t>sinapi 12/03/2024</t>
  </si>
  <si>
    <t>CDHU 192</t>
  </si>
  <si>
    <t xml:space="preserve">VALOR TOTAL </t>
  </si>
  <si>
    <t xml:space="preserve">SINAPI - 12/03/2024  -  CDHU 192 - NÃO DESONERADO </t>
  </si>
  <si>
    <t xml:space="preserve">Piso Microconcreto </t>
  </si>
  <si>
    <t xml:space="preserve">Estimativa de 3 caixas de inspeção por quarteirão 
4 quarteirões com 2 lados de calçadas 
3*4*2 = 24 unid
</t>
  </si>
  <si>
    <t xml:space="preserve">CODIGO </t>
  </si>
  <si>
    <t>BASE</t>
  </si>
  <si>
    <t>BOITUVA, 15 DE MARÇO DE 2024</t>
  </si>
  <si>
    <t xml:space="preserve">5º MÊS </t>
  </si>
  <si>
    <t xml:space="preserve">6º MÊS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</si>
</sst>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Sim&quot;;&quot;Sim&quot;;&quot;Não&quot;"/>
    <numFmt numFmtId="165" formatCode="_-&quot;R$ &quot;* #,##0.00_-;&quot;-R$ &quot;* #,##0.00_-;_-&quot;R$ &quot;* \-??_-;_-@_-"/>
    <numFmt numFmtId="166" formatCode="_(&quot;R$ &quot;* #,##0.00_);_(&quot;R$ &quot;* \(#,##0.00\);_(&quot;R$ &quot;* \-??_);_(@_)"/>
    <numFmt numFmtId="167" formatCode="_-* #,##0.00_-;\-* #,##0.00_-;_-* \-??_-;_-@_-"/>
    <numFmt numFmtId="168" formatCode="_(* #,##0.00_);_(* \(#,##0.00\);_(* \-??_);_(@_)"/>
    <numFmt numFmtId="169" formatCode="&quot;R$ &quot;#,##0;&quot;-R$ &quot;#,##0"/>
    <numFmt numFmtId="170" formatCode="&quot;R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23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23"/>
      <name val="Arial"/>
      <family val="2"/>
    </font>
    <font>
      <b/>
      <sz val="9"/>
      <color indexed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9.85"/>
      <color indexed="8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5"/>
      <color indexed="56"/>
      <name val="Calibri"/>
      <family val="2"/>
    </font>
    <font>
      <sz val="10"/>
      <color indexed="8"/>
      <name val="Tahoma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23" fillId="0" borderId="0"/>
    <xf numFmtId="0" fontId="17" fillId="0" borderId="0" applyNumberFormat="0" applyFill="0" applyBorder="0" applyProtection="0">
      <alignment vertical="center"/>
    </xf>
    <xf numFmtId="164" fontId="16" fillId="0" borderId="0" applyFill="0" applyBorder="0" applyAlignment="0" applyProtection="0"/>
    <xf numFmtId="165" fontId="16" fillId="0" borderId="0" applyFill="0" applyBorder="0" applyAlignment="0" applyProtection="0"/>
    <xf numFmtId="166" fontId="16" fillId="0" borderId="0" applyFill="0" applyBorder="0" applyAlignment="0" applyProtection="0"/>
    <xf numFmtId="0" fontId="18" fillId="0" borderId="0"/>
    <xf numFmtId="0" fontId="18" fillId="0" borderId="0"/>
    <xf numFmtId="0" fontId="16" fillId="0" borderId="0"/>
    <xf numFmtId="0" fontId="19" fillId="0" borderId="0"/>
    <xf numFmtId="0" fontId="18" fillId="0" borderId="0"/>
    <xf numFmtId="0" fontId="16" fillId="0" borderId="0"/>
    <xf numFmtId="0" fontId="24" fillId="0" borderId="0"/>
    <xf numFmtId="0" fontId="20" fillId="0" borderId="0"/>
    <xf numFmtId="0" fontId="20" fillId="0" borderId="0"/>
    <xf numFmtId="0" fontId="21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8" fillId="0" borderId="0"/>
    <xf numFmtId="0" fontId="1" fillId="0" borderId="0"/>
    <xf numFmtId="9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ill="0" applyBorder="0" applyAlignment="0" applyProtection="0"/>
    <xf numFmtId="167" fontId="16" fillId="0" borderId="0" applyFill="0" applyBorder="0" applyAlignment="0" applyProtection="0"/>
    <xf numFmtId="168" fontId="16" fillId="0" borderId="0" applyFill="0" applyBorder="0" applyAlignment="0" applyProtection="0"/>
    <xf numFmtId="168" fontId="16" fillId="0" borderId="0" applyFill="0" applyBorder="0" applyAlignment="0" applyProtection="0"/>
    <xf numFmtId="169" fontId="19" fillId="0" borderId="0" applyFill="0" applyBorder="0" applyAlignment="0" applyProtection="0"/>
    <xf numFmtId="0" fontId="22" fillId="0" borderId="20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4" fontId="3" fillId="3" borderId="1" xfId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10" fontId="11" fillId="5" borderId="9" xfId="0" applyNumberFormat="1" applyFont="1" applyFill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10" fontId="10" fillId="5" borderId="9" xfId="0" applyNumberFormat="1" applyFont="1" applyFill="1" applyBorder="1" applyAlignment="1">
      <alignment horizontal="center" vertical="center"/>
    </xf>
    <xf numFmtId="10" fontId="13" fillId="5" borderId="9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10" fontId="8" fillId="0" borderId="18" xfId="0" applyNumberFormat="1" applyFont="1" applyBorder="1" applyAlignment="1">
      <alignment horizontal="center" vertical="center"/>
    </xf>
    <xf numFmtId="10" fontId="12" fillId="0" borderId="8" xfId="0" applyNumberFormat="1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10" fontId="8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4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24"/>
    <xf numFmtId="0" fontId="1" fillId="0" borderId="21" xfId="24" applyBorder="1" applyAlignment="1">
      <alignment horizontal="center"/>
    </xf>
    <xf numFmtId="0" fontId="1" fillId="0" borderId="7" xfId="24" applyBorder="1" applyAlignment="1">
      <alignment horizontal="center"/>
    </xf>
    <xf numFmtId="0" fontId="1" fillId="0" borderId="8" xfId="24" applyBorder="1" applyAlignment="1">
      <alignment horizontal="center"/>
    </xf>
    <xf numFmtId="170" fontId="1" fillId="0" borderId="1" xfId="24" applyNumberFormat="1" applyBorder="1" applyAlignment="1">
      <alignment horizontal="center"/>
    </xf>
    <xf numFmtId="10" fontId="1" fillId="0" borderId="1" xfId="24" applyNumberFormat="1" applyBorder="1" applyAlignment="1">
      <alignment horizontal="center"/>
    </xf>
    <xf numFmtId="10" fontId="1" fillId="0" borderId="9" xfId="24" applyNumberFormat="1" applyBorder="1" applyAlignment="1">
      <alignment horizontal="center"/>
    </xf>
    <xf numFmtId="0" fontId="1" fillId="0" borderId="22" xfId="24" applyBorder="1" applyAlignment="1">
      <alignment horizontal="center"/>
    </xf>
    <xf numFmtId="170" fontId="1" fillId="0" borderId="23" xfId="24" applyNumberFormat="1" applyBorder="1" applyAlignment="1">
      <alignment horizontal="center"/>
    </xf>
    <xf numFmtId="170" fontId="3" fillId="0" borderId="24" xfId="24" applyNumberFormat="1" applyFont="1" applyBorder="1" applyAlignment="1">
      <alignment horizontal="center"/>
    </xf>
    <xf numFmtId="10" fontId="3" fillId="0" borderId="24" xfId="24" applyNumberFormat="1" applyFont="1" applyBorder="1" applyAlignment="1">
      <alignment horizontal="center"/>
    </xf>
    <xf numFmtId="10" fontId="3" fillId="0" borderId="25" xfId="24" applyNumberFormat="1" applyFont="1" applyBorder="1" applyAlignment="1">
      <alignment horizontal="center"/>
    </xf>
    <xf numFmtId="170" fontId="3" fillId="0" borderId="26" xfId="24" applyNumberFormat="1" applyFont="1" applyBorder="1" applyAlignment="1">
      <alignment horizontal="center"/>
    </xf>
    <xf numFmtId="10" fontId="1" fillId="0" borderId="1" xfId="24" applyNumberFormat="1" applyBorder="1"/>
    <xf numFmtId="0" fontId="1" fillId="0" borderId="6" xfId="24" applyBorder="1" applyAlignment="1">
      <alignment horizontal="center"/>
    </xf>
    <xf numFmtId="0" fontId="1" fillId="0" borderId="21" xfId="24" applyBorder="1"/>
    <xf numFmtId="44" fontId="1" fillId="0" borderId="1" xfId="24" applyNumberFormat="1" applyBorder="1"/>
    <xf numFmtId="44" fontId="3" fillId="0" borderId="26" xfId="24" applyNumberFormat="1" applyFont="1" applyBorder="1" applyAlignment="1">
      <alignment horizontal="center"/>
    </xf>
    <xf numFmtId="44" fontId="2" fillId="2" borderId="28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4" fontId="0" fillId="0" borderId="8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4" fontId="0" fillId="0" borderId="8" xfId="34" applyFont="1" applyBorder="1" applyAlignment="1">
      <alignment horizontal="center" vertical="center"/>
    </xf>
    <xf numFmtId="44" fontId="3" fillId="3" borderId="9" xfId="1" applyFont="1" applyFill="1" applyBorder="1" applyAlignment="1">
      <alignment horizontal="center" vertical="center"/>
    </xf>
    <xf numFmtId="44" fontId="3" fillId="3" borderId="8" xfId="1" applyFont="1" applyFill="1" applyBorder="1" applyAlignment="1">
      <alignment horizontal="center" vertical="center"/>
    </xf>
    <xf numFmtId="44" fontId="2" fillId="2" borderId="34" xfId="1" applyFont="1" applyFill="1" applyBorder="1" applyAlignment="1">
      <alignment horizontal="center" vertical="center" wrapText="1"/>
    </xf>
    <xf numFmtId="44" fontId="2" fillId="2" borderId="33" xfId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44" fontId="0" fillId="0" borderId="1" xfId="34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7" borderId="8" xfId="24" applyFill="1" applyBorder="1" applyAlignment="1">
      <alignment horizontal="center"/>
    </xf>
    <xf numFmtId="10" fontId="1" fillId="7" borderId="1" xfId="24" applyNumberFormat="1" applyFill="1" applyBorder="1"/>
    <xf numFmtId="44" fontId="1" fillId="7" borderId="1" xfId="24" applyNumberFormat="1" applyFill="1" applyBorder="1"/>
    <xf numFmtId="170" fontId="1" fillId="7" borderId="1" xfId="24" applyNumberFormat="1" applyFill="1" applyBorder="1" applyAlignment="1">
      <alignment horizontal="center"/>
    </xf>
    <xf numFmtId="10" fontId="1" fillId="7" borderId="1" xfId="24" applyNumberFormat="1" applyFill="1" applyBorder="1" applyAlignment="1">
      <alignment horizontal="center"/>
    </xf>
    <xf numFmtId="10" fontId="1" fillId="7" borderId="9" xfId="24" applyNumberFormat="1" applyFill="1" applyBorder="1" applyAlignment="1">
      <alignment horizontal="center"/>
    </xf>
    <xf numFmtId="170" fontId="1" fillId="7" borderId="23" xfId="24" applyNumberFormat="1" applyFill="1" applyBorder="1" applyAlignment="1">
      <alignment horizontal="center"/>
    </xf>
    <xf numFmtId="170" fontId="1" fillId="3" borderId="1" xfId="24" applyNumberFormat="1" applyFill="1" applyBorder="1" applyAlignment="1">
      <alignment horizontal="center"/>
    </xf>
    <xf numFmtId="10" fontId="1" fillId="3" borderId="1" xfId="24" applyNumberFormat="1" applyFill="1" applyBorder="1" applyAlignment="1">
      <alignment horizontal="center"/>
    </xf>
    <xf numFmtId="10" fontId="1" fillId="3" borderId="9" xfId="24" applyNumberForma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44" fontId="2" fillId="2" borderId="35" xfId="1" applyFont="1" applyFill="1" applyBorder="1" applyAlignment="1">
      <alignment horizontal="center" vertical="center" wrapText="1"/>
    </xf>
    <xf numFmtId="44" fontId="3" fillId="3" borderId="19" xfId="1" applyFont="1" applyFill="1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37" xfId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0" fontId="0" fillId="0" borderId="0" xfId="2" applyNumberFormat="1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44" fontId="0" fillId="0" borderId="27" xfId="1" applyFont="1" applyBorder="1" applyAlignment="1">
      <alignment horizontal="center" vertical="center"/>
    </xf>
    <xf numFmtId="44" fontId="0" fillId="0" borderId="3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0" fillId="0" borderId="29" xfId="1" applyFont="1" applyBorder="1" applyAlignment="1">
      <alignment horizontal="center" vertical="center"/>
    </xf>
    <xf numFmtId="44" fontId="0" fillId="0" borderId="30" xfId="1" applyFont="1" applyBorder="1" applyAlignment="1">
      <alignment horizontal="center" vertical="center"/>
    </xf>
    <xf numFmtId="44" fontId="0" fillId="0" borderId="31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0" fontId="1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12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7" xfId="24" applyFont="1" applyBorder="1" applyAlignment="1">
      <alignment horizontal="center"/>
    </xf>
    <xf numFmtId="0" fontId="3" fillId="0" borderId="26" xfId="24" applyFont="1" applyBorder="1" applyAlignment="1">
      <alignment horizontal="center"/>
    </xf>
    <xf numFmtId="0" fontId="25" fillId="0" borderId="0" xfId="24" applyFont="1" applyAlignment="1">
      <alignment horizontal="center" vertical="center"/>
    </xf>
  </cellXfs>
  <cellStyles count="36">
    <cellStyle name="Excel Built-in Normal" xfId="4" xr:uid="{14BDAD00-0C74-4C49-96E4-9E2A17F99182}"/>
    <cellStyle name="Moeda" xfId="1" builtinId="4"/>
    <cellStyle name="Moeda 2" xfId="5" xr:uid="{DCBEE73A-D334-4366-BB8B-7D24488EE6FC}"/>
    <cellStyle name="Moeda 2 2" xfId="6" xr:uid="{192DDFB8-3468-4D2F-BF36-2B11E53AFDFA}"/>
    <cellStyle name="Moeda 2 3" xfId="7" xr:uid="{4AC508CD-E7CA-496C-B25F-F9D2F4AFFE39}"/>
    <cellStyle name="Moeda 3" xfId="8" xr:uid="{83E904A1-AEE3-45D8-BE8F-BC29B8A57462}"/>
    <cellStyle name="Moeda 4" xfId="34" xr:uid="{0117DB0C-E1D6-443D-9877-981E3C552422}"/>
    <cellStyle name="Normal" xfId="0" builtinId="0"/>
    <cellStyle name="Normal 2" xfId="9" xr:uid="{3E3E035D-9F43-4892-BC78-3C1A0F271C1B}"/>
    <cellStyle name="Normal 2 2" xfId="10" xr:uid="{98AC88EA-B5A3-489A-944F-FB739D641455}"/>
    <cellStyle name="Normal 2 2 2" xfId="11" xr:uid="{17432279-91F6-4C88-BB44-3A31B95B40EC}"/>
    <cellStyle name="Normal 2 2 2 2" xfId="12" xr:uid="{1815FD48-6573-4454-BA2F-76B779C1B260}"/>
    <cellStyle name="Normal 2 2 3" xfId="13" xr:uid="{985D9311-BA22-4323-916F-81E96DC0F138}"/>
    <cellStyle name="Normal 2 3" xfId="14" xr:uid="{D071880C-F4C1-4293-A8F5-B6DDC9AEF58F}"/>
    <cellStyle name="Normal 2 4" xfId="15" xr:uid="{FA2C5969-7A47-44D6-BF14-5F5FE9ABE3CA}"/>
    <cellStyle name="Normal 3" xfId="16" xr:uid="{7BDBD99E-7B34-483C-B57E-BCA6CA8F1703}"/>
    <cellStyle name="Normal 3 2" xfId="17" xr:uid="{9446206D-7970-4065-B602-A84289F6AAB5}"/>
    <cellStyle name="Normal 4" xfId="18" xr:uid="{7453BAD1-2C88-48A2-A588-8ACF2F2A2EA6}"/>
    <cellStyle name="Normal 4 2" xfId="19" xr:uid="{9600BC09-A052-486B-8B28-FBA273D94DA9}"/>
    <cellStyle name="Normal 5" xfId="20" xr:uid="{F6D8B453-6263-447C-BD6D-9621B84AA3A6}"/>
    <cellStyle name="Normal 5 2" xfId="21" xr:uid="{41363CB6-FF4B-49E3-8D07-354119083A65}"/>
    <cellStyle name="Normal 6" xfId="22" xr:uid="{95CC4C6B-FF25-4358-8E72-E1217E004CEB}"/>
    <cellStyle name="Normal 7" xfId="23" xr:uid="{150DCD5C-BA50-4348-B2DF-6F7FAC590673}"/>
    <cellStyle name="Normal 8" xfId="24" xr:uid="{C74A0897-6E66-407E-B3AB-D2EAE90C2EA6}"/>
    <cellStyle name="Normal 9" xfId="3" xr:uid="{96C2CAE8-FF02-4BCB-BCE9-214797AC6022}"/>
    <cellStyle name="Porcentagem" xfId="2" builtinId="5"/>
    <cellStyle name="Porcentagem 2" xfId="25" xr:uid="{9B822FA2-D55F-454C-8930-409D0293F3C7}"/>
    <cellStyle name="Porcentagem 2 2" xfId="26" xr:uid="{24DF8D3F-756E-48A8-91CD-BAF90736D2EF}"/>
    <cellStyle name="Porcentagem 3" xfId="27" xr:uid="{D39E25EA-76A6-4898-87E5-4EFCE2B951EB}"/>
    <cellStyle name="Porcentagem 4" xfId="28" xr:uid="{33B18B43-F202-4438-8E00-6FA03F332EAF}"/>
    <cellStyle name="Separador de milhares 2" xfId="29" xr:uid="{CF5CDB1E-E0A8-49C6-96B4-36322EABAE12}"/>
    <cellStyle name="Separador de milhares 2 2" xfId="30" xr:uid="{1780EC83-CA60-4DD0-BA7E-EBC9DECF5DF2}"/>
    <cellStyle name="Separador de milhares 3" xfId="31" xr:uid="{28A48CB0-F941-48F9-B0FF-E56BD5B25015}"/>
    <cellStyle name="Separador de milhares 4" xfId="32" xr:uid="{41CACFB0-F368-4809-9B80-BEA2E7326F0B}"/>
    <cellStyle name="Título 1 1" xfId="33" xr:uid="{12AE664C-BAE9-4503-AF45-6048DE440E9E}"/>
    <cellStyle name="Vírgula 2" xfId="35" xr:uid="{4DE9A5E8-1DD3-4EA2-B575-1E8196620F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773207</xdr:colOff>
      <xdr:row>49</xdr:row>
      <xdr:rowOff>291352</xdr:rowOff>
    </xdr:from>
    <xdr:to>
      <xdr:col>3</xdr:col>
      <xdr:colOff>3316382</xdr:colOff>
      <xdr:row>54</xdr:row>
      <xdr:rowOff>163605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23995F7-39A6-47C0-BBBA-1B0B5DEC102F}"/>
            </a:ext>
          </a:extLst>
        </xdr:cNvPr>
        <xdr:cNvSpPr txBox="1"/>
      </xdr:nvSpPr>
      <xdr:spPr>
        <a:xfrm>
          <a:off x="2935942" y="16483852"/>
          <a:ext cx="2543175" cy="1104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Iolanda Moretti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Engenheira Civil 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CREA 5070661692	</a:t>
          </a:r>
        </a:p>
        <a:p>
          <a:endParaRPr lang="pt-BR" sz="1100"/>
        </a:p>
      </xdr:txBody>
    </xdr:sp>
    <xdr:clientData/>
  </xdr:twoCellAnchor>
  <xdr:twoCellAnchor>
    <xdr:from>
      <xdr:col>3</xdr:col>
      <xdr:colOff>3849782</xdr:colOff>
      <xdr:row>50</xdr:row>
      <xdr:rowOff>6162</xdr:rowOff>
    </xdr:from>
    <xdr:to>
      <xdr:col>6</xdr:col>
      <xdr:colOff>207310</xdr:colOff>
      <xdr:row>54</xdr:row>
      <xdr:rowOff>192180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0B5DDAE-CD58-449C-BC8E-B6B9B226241E}"/>
            </a:ext>
          </a:extLst>
        </xdr:cNvPr>
        <xdr:cNvSpPr txBox="1"/>
      </xdr:nvSpPr>
      <xdr:spPr>
        <a:xfrm>
          <a:off x="6012517" y="16512427"/>
          <a:ext cx="2543175" cy="1104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Rafael Goés Biscaro 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Secretário de obras </a:t>
          </a:r>
        </a:p>
        <a:p>
          <a:endParaRPr lang="pt-BR" sz="1100"/>
        </a:p>
      </xdr:txBody>
    </xdr:sp>
    <xdr:clientData/>
  </xdr:twoCellAnchor>
  <xdr:twoCellAnchor>
    <xdr:from>
      <xdr:col>3</xdr:col>
      <xdr:colOff>425823</xdr:colOff>
      <xdr:row>0</xdr:row>
      <xdr:rowOff>56029</xdr:rowOff>
    </xdr:from>
    <xdr:to>
      <xdr:col>6</xdr:col>
      <xdr:colOff>310403</xdr:colOff>
      <xdr:row>6</xdr:row>
      <xdr:rowOff>107016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77EE42E-40AF-474A-A88A-F6063CF96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8558" y="56029"/>
          <a:ext cx="6070227" cy="1261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2143125</xdr:colOff>
      <xdr:row>32</xdr:row>
      <xdr:rowOff>47625</xdr:rowOff>
    </xdr:from>
    <xdr:to>
      <xdr:col>3</xdr:col>
      <xdr:colOff>1257300</xdr:colOff>
      <xdr:row>38</xdr:row>
      <xdr:rowOff>9525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22199A3-2F91-4C36-9A17-DE9F32FAA3A2}"/>
            </a:ext>
          </a:extLst>
        </xdr:cNvPr>
        <xdr:cNvSpPr txBox="1"/>
      </xdr:nvSpPr>
      <xdr:spPr>
        <a:xfrm>
          <a:off x="2752725" y="4648200"/>
          <a:ext cx="2543175" cy="1104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Iolanda Moretti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Engenheira Civil 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CREA 5070661692	</a:t>
          </a:r>
        </a:p>
        <a:p>
          <a:endParaRPr lang="pt-BR" sz="1100"/>
        </a:p>
      </xdr:txBody>
    </xdr:sp>
    <xdr:clientData/>
  </xdr:twoCellAnchor>
  <xdr:twoCellAnchor>
    <xdr:from>
      <xdr:col>4</xdr:col>
      <xdr:colOff>409575</xdr:colOff>
      <xdr:row>32</xdr:row>
      <xdr:rowOff>76200</xdr:rowOff>
    </xdr:from>
    <xdr:to>
      <xdr:col>7</xdr:col>
      <xdr:colOff>352425</xdr:colOff>
      <xdr:row>38</xdr:row>
      <xdr:rowOff>38100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96D5AB23-AEC5-489A-92DE-45139A8E5677}"/>
            </a:ext>
          </a:extLst>
        </xdr:cNvPr>
        <xdr:cNvSpPr txBox="1"/>
      </xdr:nvSpPr>
      <xdr:spPr>
        <a:xfrm>
          <a:off x="5829300" y="4676775"/>
          <a:ext cx="2543175" cy="1104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Rafael Goés Biscaro </a:t>
          </a:r>
        </a:p>
        <a:p>
          <a:r>
            <a:rPr lang="pt-B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Secretário de obras </a:t>
          </a:r>
        </a:p>
        <a:p>
          <a:endParaRPr lang="pt-BR" sz="1100"/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5</xdr:col>
      <xdr:colOff>421902</xdr:colOff>
      <xdr:row>6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FEE40D-417E-4E30-B14D-34CA9270A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6070227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F1D5-DC9D-44BD-9017-200C7CB301BC}">
  <sheetPr>
    <pageSetUpPr fitToPage="1"/>
  </sheetPr>
  <dimension ref="A8:M54"/>
  <sheetViews>
    <sheetView zoomScale="85" zoomScaleNormal="85" workbookViewId="0">
      <selection activeCell="R18" sqref="R18"/>
    </sheetView>
  </sheetViews>
  <sheetFormatPr defaultRowHeight="15.75" x14ac:dyDescent="0.25"/>
  <cols>
    <col min="1" max="1" width="7.140625" style="1" customWidth="1"/>
    <col min="2" max="2" width="11.42578125" style="1" customWidth="1"/>
    <col min="3" max="3" width="13.85546875" style="1" customWidth="1"/>
    <col min="4" max="4" width="64.7109375" style="1" customWidth="1"/>
    <col min="5" max="5" width="15.28515625" style="61" customWidth="1"/>
    <col min="6" max="6" width="12.7109375" style="1" customWidth="1"/>
    <col min="7" max="8" width="12.85546875" style="2" customWidth="1"/>
    <col min="9" max="9" width="16" style="2" bestFit="1" customWidth="1"/>
    <col min="10" max="11" width="12.85546875" style="2" hidden="1" customWidth="1"/>
    <col min="12" max="12" width="16" style="2" hidden="1" customWidth="1"/>
    <col min="13" max="13" width="24.28515625" style="1" customWidth="1"/>
    <col min="14" max="16384" width="9.140625" style="1"/>
  </cols>
  <sheetData>
    <row r="8" spans="1:12" ht="18.75" x14ac:dyDescent="0.25">
      <c r="A8" s="106" t="s">
        <v>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10" spans="1:12" x14ac:dyDescent="0.25">
      <c r="A10" s="109" t="s">
        <v>1</v>
      </c>
      <c r="B10" s="109"/>
      <c r="C10" s="2"/>
      <c r="D10" s="4" t="s">
        <v>124</v>
      </c>
    </row>
    <row r="11" spans="1:12" x14ac:dyDescent="0.25">
      <c r="A11" s="109" t="s">
        <v>2</v>
      </c>
      <c r="B11" s="109"/>
      <c r="C11" s="2"/>
      <c r="D11" s="4" t="s">
        <v>64</v>
      </c>
    </row>
    <row r="12" spans="1:12" x14ac:dyDescent="0.25">
      <c r="A12" s="109" t="s">
        <v>3</v>
      </c>
      <c r="B12" s="109"/>
      <c r="C12" s="2"/>
      <c r="D12" s="4" t="s">
        <v>152</v>
      </c>
    </row>
    <row r="13" spans="1:12" x14ac:dyDescent="0.25">
      <c r="A13" s="109" t="s">
        <v>4</v>
      </c>
      <c r="B13" s="109"/>
      <c r="C13" s="2"/>
      <c r="D13" s="38">
        <f>'BDI  - SEM Deson'!B14</f>
        <v>0.22474058685057496</v>
      </c>
      <c r="E13" s="63"/>
    </row>
    <row r="14" spans="1:12" ht="16.5" thickBot="1" x14ac:dyDescent="0.3">
      <c r="A14" s="109" t="s">
        <v>5</v>
      </c>
      <c r="B14" s="109"/>
      <c r="C14" s="2"/>
      <c r="D14" s="4" t="s">
        <v>6</v>
      </c>
      <c r="G14" s="2" t="s">
        <v>148</v>
      </c>
      <c r="H14" s="101">
        <v>0.22470000000000001</v>
      </c>
      <c r="J14" s="2" t="s">
        <v>148</v>
      </c>
      <c r="K14" s="101">
        <f>'BDI  - COM Deson '!B14</f>
        <v>0.25215503759149449</v>
      </c>
    </row>
    <row r="15" spans="1:12" x14ac:dyDescent="0.25">
      <c r="G15" s="111" t="s">
        <v>50</v>
      </c>
      <c r="H15" s="112"/>
      <c r="I15" s="113"/>
      <c r="J15" s="112" t="s">
        <v>49</v>
      </c>
      <c r="K15" s="112"/>
      <c r="L15" s="113"/>
    </row>
    <row r="16" spans="1:12" ht="16.5" thickBot="1" x14ac:dyDescent="0.3">
      <c r="G16" s="114"/>
      <c r="H16" s="115"/>
      <c r="I16" s="116"/>
      <c r="J16" s="115"/>
      <c r="K16" s="115"/>
      <c r="L16" s="116"/>
    </row>
    <row r="17" spans="1:13" ht="45" x14ac:dyDescent="0.25">
      <c r="A17" s="8" t="s">
        <v>7</v>
      </c>
      <c r="B17" s="8" t="s">
        <v>156</v>
      </c>
      <c r="C17" s="9" t="s">
        <v>155</v>
      </c>
      <c r="D17" s="8" t="s">
        <v>9</v>
      </c>
      <c r="E17" s="62" t="s">
        <v>8</v>
      </c>
      <c r="F17" s="79" t="s">
        <v>10</v>
      </c>
      <c r="G17" s="77" t="s">
        <v>125</v>
      </c>
      <c r="H17" s="98" t="s">
        <v>147</v>
      </c>
      <c r="I17" s="76" t="s">
        <v>11</v>
      </c>
      <c r="J17" s="59" t="s">
        <v>125</v>
      </c>
      <c r="K17" s="98" t="s">
        <v>147</v>
      </c>
      <c r="L17" s="76" t="s">
        <v>11</v>
      </c>
    </row>
    <row r="18" spans="1:13" s="3" customFormat="1" ht="20.100000000000001" customHeight="1" x14ac:dyDescent="0.25">
      <c r="A18" s="10">
        <v>1</v>
      </c>
      <c r="B18" s="10"/>
      <c r="C18" s="10"/>
      <c r="D18" s="11" t="s">
        <v>12</v>
      </c>
      <c r="E18" s="64"/>
      <c r="F18" s="78"/>
      <c r="G18" s="75"/>
      <c r="H18" s="99"/>
      <c r="I18" s="74">
        <f>I19</f>
        <v>6002.2179589999996</v>
      </c>
      <c r="J18" s="12"/>
      <c r="K18" s="99"/>
      <c r="L18" s="74">
        <f>L19</f>
        <v>6052.0033785398427</v>
      </c>
    </row>
    <row r="19" spans="1:13" s="3" customFormat="1" ht="20.100000000000001" customHeight="1" x14ac:dyDescent="0.25">
      <c r="A19" s="10"/>
      <c r="B19" s="10"/>
      <c r="C19" s="10"/>
      <c r="D19" s="11"/>
      <c r="E19" s="64"/>
      <c r="F19" s="78"/>
      <c r="G19" s="75"/>
      <c r="H19" s="99"/>
      <c r="I19" s="74">
        <f>SUM(I20:I21)</f>
        <v>6002.2179589999996</v>
      </c>
      <c r="J19" s="12"/>
      <c r="K19" s="99"/>
      <c r="L19" s="74">
        <f>SUM(L20:L21)</f>
        <v>6052.0033785398427</v>
      </c>
    </row>
    <row r="20" spans="1:13" ht="35.25" customHeight="1" x14ac:dyDescent="0.25">
      <c r="A20" s="5" t="s">
        <v>51</v>
      </c>
      <c r="B20" s="102" t="s">
        <v>149</v>
      </c>
      <c r="C20" s="5">
        <v>103689</v>
      </c>
      <c r="D20" s="31" t="s">
        <v>126</v>
      </c>
      <c r="E20" s="65">
        <f>MEMÓRIA!E20</f>
        <v>4.5</v>
      </c>
      <c r="F20" s="35" t="s">
        <v>52</v>
      </c>
      <c r="G20" s="70">
        <v>320.18</v>
      </c>
      <c r="H20" s="100">
        <f>G20*(1+$H$14)</f>
        <v>392.12444599999998</v>
      </c>
      <c r="I20" s="71">
        <f>E20*H20</f>
        <v>1764.5600069999998</v>
      </c>
      <c r="J20" s="6">
        <v>315.02</v>
      </c>
      <c r="K20" s="100">
        <f>J20*(1+$K$14)</f>
        <v>394.45387994207255</v>
      </c>
      <c r="L20" s="71">
        <f>E20*K20</f>
        <v>1775.0424597393264</v>
      </c>
      <c r="M20" s="72"/>
    </row>
    <row r="21" spans="1:13" ht="35.25" customHeight="1" x14ac:dyDescent="0.25">
      <c r="A21" s="5" t="s">
        <v>115</v>
      </c>
      <c r="B21" s="5" t="s">
        <v>150</v>
      </c>
      <c r="C21" s="5" t="s">
        <v>117</v>
      </c>
      <c r="D21" s="31" t="s">
        <v>116</v>
      </c>
      <c r="E21" s="65">
        <f>MEMÓRIA!E21</f>
        <v>4</v>
      </c>
      <c r="F21" s="35" t="s">
        <v>118</v>
      </c>
      <c r="G21" s="70">
        <v>865.04</v>
      </c>
      <c r="H21" s="100">
        <f>G21*(1+$H$14)</f>
        <v>1059.4144879999999</v>
      </c>
      <c r="I21" s="71">
        <f>E21*H21</f>
        <v>4237.6579519999996</v>
      </c>
      <c r="J21" s="70">
        <v>853.92</v>
      </c>
      <c r="K21" s="100">
        <f>J21*(1+$K$14)</f>
        <v>1069.240229700129</v>
      </c>
      <c r="L21" s="71">
        <f>E21*K21</f>
        <v>4276.9609188005161</v>
      </c>
      <c r="M21" s="72"/>
    </row>
    <row r="22" spans="1:13" s="3" customFormat="1" ht="35.25" customHeight="1" x14ac:dyDescent="0.25">
      <c r="A22" s="10">
        <v>2</v>
      </c>
      <c r="B22" s="10"/>
      <c r="C22" s="10"/>
      <c r="D22" s="11" t="s">
        <v>66</v>
      </c>
      <c r="E22" s="64"/>
      <c r="F22" s="78"/>
      <c r="G22" s="75"/>
      <c r="H22" s="99"/>
      <c r="I22" s="74">
        <f>I23+I26+I32+I34+I36+I42</f>
        <v>1427943.6138387299</v>
      </c>
      <c r="J22" s="12"/>
      <c r="K22" s="99"/>
      <c r="L22" s="74">
        <f>L23+L26+L32+L34+L36+L42</f>
        <v>1429637.9872881942</v>
      </c>
    </row>
    <row r="23" spans="1:13" s="3" customFormat="1" ht="35.25" customHeight="1" x14ac:dyDescent="0.25">
      <c r="A23" s="10" t="s">
        <v>15</v>
      </c>
      <c r="B23" s="10"/>
      <c r="C23" s="10"/>
      <c r="D23" s="11" t="s">
        <v>65</v>
      </c>
      <c r="E23" s="64"/>
      <c r="F23" s="78"/>
      <c r="G23" s="75"/>
      <c r="H23" s="99"/>
      <c r="I23" s="74">
        <f>SUM(I24:I25)</f>
        <v>119627.45109244999</v>
      </c>
      <c r="J23" s="12"/>
      <c r="K23" s="99"/>
      <c r="L23" s="74">
        <f>SUM(L24:L25)</f>
        <v>117908.65746701442</v>
      </c>
    </row>
    <row r="24" spans="1:13" ht="35.25" customHeight="1" x14ac:dyDescent="0.25">
      <c r="A24" s="5" t="s">
        <v>53</v>
      </c>
      <c r="B24" s="102" t="s">
        <v>149</v>
      </c>
      <c r="C24" s="5">
        <v>104790</v>
      </c>
      <c r="D24" s="7" t="s">
        <v>127</v>
      </c>
      <c r="E24" s="65">
        <f>ROUND(MEMÓRIA!E24,2)</f>
        <v>377.81</v>
      </c>
      <c r="F24" s="35" t="s">
        <v>14</v>
      </c>
      <c r="G24" s="70">
        <v>120.79</v>
      </c>
      <c r="H24" s="100">
        <f>G24*(1+$H$14)</f>
        <v>147.931513</v>
      </c>
      <c r="I24" s="71">
        <f>E24*H24</f>
        <v>55890.004926529997</v>
      </c>
      <c r="J24" s="6">
        <v>113.62</v>
      </c>
      <c r="K24" s="100">
        <f>J24*(1+$K$14)</f>
        <v>142.26985537114561</v>
      </c>
      <c r="L24" s="71">
        <f>E24*K24</f>
        <v>53750.974057772524</v>
      </c>
      <c r="M24" s="39"/>
    </row>
    <row r="25" spans="1:13" ht="35.25" customHeight="1" x14ac:dyDescent="0.25">
      <c r="A25" s="5" t="s">
        <v>97</v>
      </c>
      <c r="B25" s="5" t="s">
        <v>150</v>
      </c>
      <c r="C25" s="5" t="s">
        <v>59</v>
      </c>
      <c r="D25" s="7" t="s">
        <v>60</v>
      </c>
      <c r="E25" s="65">
        <f>ROUND(MEMÓRIA!E25,2)</f>
        <v>491.16</v>
      </c>
      <c r="F25" s="35" t="s">
        <v>14</v>
      </c>
      <c r="G25" s="70">
        <v>105.96</v>
      </c>
      <c r="H25" s="100">
        <f>G25*(1+$H$14)</f>
        <v>129.76921199999998</v>
      </c>
      <c r="I25" s="71">
        <f>E25*H25</f>
        <v>63737.446165919995</v>
      </c>
      <c r="J25" s="70">
        <v>104.32</v>
      </c>
      <c r="K25" s="100">
        <f>J25*(1+$K$14)</f>
        <v>130.6248135215447</v>
      </c>
      <c r="L25" s="71">
        <f>E25*K25</f>
        <v>64157.683409241894</v>
      </c>
      <c r="M25" s="39"/>
    </row>
    <row r="26" spans="1:13" s="3" customFormat="1" ht="35.25" customHeight="1" x14ac:dyDescent="0.25">
      <c r="A26" s="10" t="s">
        <v>42</v>
      </c>
      <c r="B26" s="10"/>
      <c r="C26" s="10"/>
      <c r="D26" s="11" t="s">
        <v>67</v>
      </c>
      <c r="E26" s="64"/>
      <c r="F26" s="78"/>
      <c r="G26" s="75"/>
      <c r="H26" s="99"/>
      <c r="I26" s="74">
        <f>SUM(I27:I31)</f>
        <v>335043.44824663003</v>
      </c>
      <c r="J26" s="12"/>
      <c r="K26" s="99"/>
      <c r="L26" s="74">
        <f>SUM(L27:L31)</f>
        <v>334532.81389282853</v>
      </c>
    </row>
    <row r="27" spans="1:13" ht="47.25" customHeight="1" x14ac:dyDescent="0.25">
      <c r="A27" s="5" t="s">
        <v>55</v>
      </c>
      <c r="B27" s="102" t="s">
        <v>149</v>
      </c>
      <c r="C27" s="5">
        <v>101136</v>
      </c>
      <c r="D27" s="97" t="s">
        <v>140</v>
      </c>
      <c r="E27" s="65">
        <f>ROUND(MEMÓRIA!E27,2)</f>
        <v>1511.25</v>
      </c>
      <c r="F27" s="35" t="s">
        <v>54</v>
      </c>
      <c r="G27" s="70">
        <v>13.95</v>
      </c>
      <c r="H27" s="100">
        <f>G27*(1+$H$14)</f>
        <v>17.084564999999998</v>
      </c>
      <c r="I27" s="71">
        <f>E27*H27</f>
        <v>25819.048856249996</v>
      </c>
      <c r="J27" s="6">
        <v>13.63</v>
      </c>
      <c r="K27" s="100">
        <f>J27*(1+$K$14)</f>
        <v>17.066873162372072</v>
      </c>
      <c r="L27" s="71">
        <f>E27*K27</f>
        <v>25792.312066634793</v>
      </c>
      <c r="M27" s="39"/>
    </row>
    <row r="28" spans="1:13" ht="35.25" customHeight="1" x14ac:dyDescent="0.25">
      <c r="A28" s="5" t="s">
        <v>56</v>
      </c>
      <c r="B28" s="102" t="s">
        <v>149</v>
      </c>
      <c r="C28" s="5">
        <v>93382</v>
      </c>
      <c r="D28" s="7" t="s">
        <v>128</v>
      </c>
      <c r="E28" s="65">
        <f>ROUND(MEMÓRIA!E28,2)</f>
        <v>108.11</v>
      </c>
      <c r="F28" s="35" t="s">
        <v>54</v>
      </c>
      <c r="G28" s="70">
        <v>31.53</v>
      </c>
      <c r="H28" s="100">
        <f t="shared" ref="H28:H44" si="0">G28*(1+$H$14)</f>
        <v>38.614790999999997</v>
      </c>
      <c r="I28" s="71">
        <f t="shared" ref="I28:I30" si="1">E28*H28</f>
        <v>4174.6450550099999</v>
      </c>
      <c r="J28" s="6">
        <v>28.71</v>
      </c>
      <c r="K28" s="100">
        <f t="shared" ref="K28:K41" si="2">J28*(1+$K$14)</f>
        <v>35.949371129251809</v>
      </c>
      <c r="L28" s="71">
        <f t="shared" ref="L28:L31" si="3">E28*K28</f>
        <v>3886.4865127834132</v>
      </c>
      <c r="M28" s="39"/>
    </row>
    <row r="29" spans="1:13" ht="35.25" customHeight="1" x14ac:dyDescent="0.25">
      <c r="A29" s="5" t="s">
        <v>57</v>
      </c>
      <c r="B29" s="102" t="s">
        <v>149</v>
      </c>
      <c r="C29" s="5">
        <v>100576</v>
      </c>
      <c r="D29" s="7" t="s">
        <v>141</v>
      </c>
      <c r="E29" s="65">
        <f>ROUND(MEMÓRIA!E29,2)</f>
        <v>3778.13</v>
      </c>
      <c r="F29" s="35" t="s">
        <v>13</v>
      </c>
      <c r="G29" s="70">
        <v>2.66</v>
      </c>
      <c r="H29" s="100">
        <f t="shared" si="0"/>
        <v>3.2577020000000001</v>
      </c>
      <c r="I29" s="71">
        <f t="shared" si="1"/>
        <v>12308.02165726</v>
      </c>
      <c r="J29" s="6">
        <v>2.5499999999999998</v>
      </c>
      <c r="K29" s="100">
        <f t="shared" si="2"/>
        <v>3.1929953458583107</v>
      </c>
      <c r="L29" s="71">
        <f t="shared" si="3"/>
        <v>12063.551506047659</v>
      </c>
      <c r="M29" s="39"/>
    </row>
    <row r="30" spans="1:13" ht="35.25" customHeight="1" x14ac:dyDescent="0.25">
      <c r="A30" s="5" t="s">
        <v>58</v>
      </c>
      <c r="B30" s="102" t="s">
        <v>149</v>
      </c>
      <c r="C30" s="5">
        <v>96621</v>
      </c>
      <c r="D30" s="7" t="s">
        <v>129</v>
      </c>
      <c r="E30" s="65">
        <f>ROUND(MEMÓRIA!E30,2)</f>
        <v>188.91</v>
      </c>
      <c r="F30" s="35" t="s">
        <v>54</v>
      </c>
      <c r="G30" s="70">
        <v>199.18</v>
      </c>
      <c r="H30" s="100">
        <f t="shared" si="0"/>
        <v>243.93574599999999</v>
      </c>
      <c r="I30" s="71">
        <f t="shared" si="1"/>
        <v>46081.901776859995</v>
      </c>
      <c r="J30" s="6">
        <v>188.89</v>
      </c>
      <c r="K30" s="100">
        <f t="shared" si="2"/>
        <v>236.51956505065738</v>
      </c>
      <c r="L30" s="71">
        <f t="shared" si="3"/>
        <v>44680.911033719683</v>
      </c>
      <c r="M30" s="39"/>
    </row>
    <row r="31" spans="1:13" ht="46.5" customHeight="1" x14ac:dyDescent="0.25">
      <c r="A31" s="5" t="s">
        <v>61</v>
      </c>
      <c r="B31" s="102" t="s">
        <v>149</v>
      </c>
      <c r="C31" s="5">
        <v>94991</v>
      </c>
      <c r="D31" s="7" t="s">
        <v>145</v>
      </c>
      <c r="E31" s="65">
        <f>ROUND(MEMÓRIA!E31,2)</f>
        <v>302.25</v>
      </c>
      <c r="F31" s="35" t="s">
        <v>54</v>
      </c>
      <c r="G31" s="70">
        <v>666.35</v>
      </c>
      <c r="H31" s="100">
        <f t="shared" si="0"/>
        <v>816.078845</v>
      </c>
      <c r="I31" s="71">
        <f>E31*H31</f>
        <v>246659.83090125001</v>
      </c>
      <c r="J31" s="6">
        <v>655.57</v>
      </c>
      <c r="K31" s="100">
        <f t="shared" si="2"/>
        <v>820.87527799385612</v>
      </c>
      <c r="L31" s="71">
        <f t="shared" si="3"/>
        <v>248109.55277364302</v>
      </c>
    </row>
    <row r="32" spans="1:13" s="3" customFormat="1" ht="35.25" customHeight="1" x14ac:dyDescent="0.25">
      <c r="A32" s="10" t="s">
        <v>62</v>
      </c>
      <c r="B32" s="10"/>
      <c r="C32" s="10"/>
      <c r="D32" s="11" t="s">
        <v>153</v>
      </c>
      <c r="E32" s="64"/>
      <c r="F32" s="78"/>
      <c r="G32" s="75"/>
      <c r="H32" s="99"/>
      <c r="I32" s="74">
        <f>SUM(I33:I33)</f>
        <v>770340.2121816799</v>
      </c>
      <c r="J32" s="12"/>
      <c r="K32" s="99"/>
      <c r="L32" s="74">
        <f>SUM(L33:L33)</f>
        <v>774472.05813329667</v>
      </c>
    </row>
    <row r="33" spans="1:13" ht="35.25" customHeight="1" x14ac:dyDescent="0.25">
      <c r="A33" s="35" t="s">
        <v>63</v>
      </c>
      <c r="B33" s="35" t="s">
        <v>70</v>
      </c>
      <c r="C33" s="35" t="s">
        <v>69</v>
      </c>
      <c r="D33" s="31" t="s">
        <v>68</v>
      </c>
      <c r="E33" s="65">
        <f>ROUND(MEMÓRIA!E33,2)</f>
        <v>2997.68</v>
      </c>
      <c r="F33" s="35" t="s">
        <v>52</v>
      </c>
      <c r="G33" s="70">
        <v>209.83</v>
      </c>
      <c r="H33" s="100">
        <f t="shared" si="0"/>
        <v>256.97880099999998</v>
      </c>
      <c r="I33" s="71">
        <f>E33*H33</f>
        <v>770340.2121816799</v>
      </c>
      <c r="J33" s="6">
        <v>206.33</v>
      </c>
      <c r="K33" s="100">
        <f t="shared" si="2"/>
        <v>258.35714890625309</v>
      </c>
      <c r="L33" s="71">
        <f>E33*K33</f>
        <v>774472.05813329667</v>
      </c>
      <c r="M33" s="37"/>
    </row>
    <row r="34" spans="1:13" s="3" customFormat="1" ht="35.25" customHeight="1" x14ac:dyDescent="0.25">
      <c r="A34" s="10" t="s">
        <v>71</v>
      </c>
      <c r="B34" s="10"/>
      <c r="C34" s="10"/>
      <c r="D34" s="11" t="s">
        <v>108</v>
      </c>
      <c r="E34" s="64"/>
      <c r="F34" s="78"/>
      <c r="G34" s="75"/>
      <c r="H34" s="99"/>
      <c r="I34" s="74">
        <f>SUM(I35)</f>
        <v>82832.079801129992</v>
      </c>
      <c r="J34" s="12"/>
      <c r="K34" s="99"/>
      <c r="L34" s="74">
        <f>SUM(L35)</f>
        <v>82050.80584859816</v>
      </c>
    </row>
    <row r="35" spans="1:13" ht="35.25" customHeight="1" x14ac:dyDescent="0.25">
      <c r="A35" s="35" t="s">
        <v>72</v>
      </c>
      <c r="B35" s="102" t="s">
        <v>149</v>
      </c>
      <c r="C35" s="5">
        <v>104658</v>
      </c>
      <c r="D35" s="31" t="s">
        <v>130</v>
      </c>
      <c r="E35" s="65">
        <f>ROUND(MEMÓRIA!E35,2)</f>
        <v>374.23</v>
      </c>
      <c r="F35" s="35" t="s">
        <v>13</v>
      </c>
      <c r="G35" s="70">
        <v>180.73</v>
      </c>
      <c r="H35" s="100">
        <f t="shared" si="0"/>
        <v>221.34003099999998</v>
      </c>
      <c r="I35" s="71">
        <f>E35*H35</f>
        <v>82832.079801129992</v>
      </c>
      <c r="J35" s="6">
        <v>175.1</v>
      </c>
      <c r="K35" s="100">
        <f t="shared" si="2"/>
        <v>219.25234708227069</v>
      </c>
      <c r="L35" s="71">
        <f>E35*K35</f>
        <v>82050.80584859816</v>
      </c>
      <c r="M35" s="37"/>
    </row>
    <row r="36" spans="1:13" s="3" customFormat="1" ht="35.25" customHeight="1" x14ac:dyDescent="0.25">
      <c r="A36" s="10" t="s">
        <v>73</v>
      </c>
      <c r="B36" s="10"/>
      <c r="C36" s="10"/>
      <c r="D36" s="11" t="s">
        <v>74</v>
      </c>
      <c r="E36" s="64"/>
      <c r="F36" s="78"/>
      <c r="G36" s="75"/>
      <c r="H36" s="99"/>
      <c r="I36" s="74">
        <f>SUM(I37:I41)</f>
        <v>117890.08395683997</v>
      </c>
      <c r="J36" s="12"/>
      <c r="K36" s="99"/>
      <c r="L36" s="74">
        <f>SUM(L37:L41)</f>
        <v>118725.79956997919</v>
      </c>
    </row>
    <row r="37" spans="1:13" ht="35.25" customHeight="1" x14ac:dyDescent="0.25">
      <c r="A37" s="35" t="s">
        <v>93</v>
      </c>
      <c r="B37" s="102" t="s">
        <v>149</v>
      </c>
      <c r="C37" s="81">
        <v>97897</v>
      </c>
      <c r="D37" s="36" t="s">
        <v>89</v>
      </c>
      <c r="E37" s="65">
        <v>24</v>
      </c>
      <c r="F37" s="35" t="s">
        <v>43</v>
      </c>
      <c r="G37" s="73">
        <v>470.84</v>
      </c>
      <c r="H37" s="100">
        <f t="shared" si="0"/>
        <v>576.63774799999987</v>
      </c>
      <c r="I37" s="71">
        <f>E37*H37</f>
        <v>13839.305951999997</v>
      </c>
      <c r="J37" s="80">
        <v>469.19</v>
      </c>
      <c r="K37" s="100">
        <f>J37*(1+$K$14)</f>
        <v>587.49862208755326</v>
      </c>
      <c r="L37" s="71">
        <f>E37*K37</f>
        <v>14099.966930101278</v>
      </c>
      <c r="M37" s="110"/>
    </row>
    <row r="38" spans="1:13" ht="35.25" customHeight="1" x14ac:dyDescent="0.25">
      <c r="A38" s="35" t="s">
        <v>94</v>
      </c>
      <c r="B38" s="102" t="s">
        <v>149</v>
      </c>
      <c r="C38" s="5">
        <v>89580</v>
      </c>
      <c r="D38" s="36" t="s">
        <v>131</v>
      </c>
      <c r="E38" s="65">
        <f>ROUND(MEMÓRIA!E38,2)</f>
        <v>960</v>
      </c>
      <c r="F38" s="35" t="s">
        <v>41</v>
      </c>
      <c r="G38" s="70">
        <v>73.489999999999995</v>
      </c>
      <c r="H38" s="100">
        <f t="shared" si="0"/>
        <v>90.003202999999985</v>
      </c>
      <c r="I38" s="71">
        <f t="shared" ref="I38:I41" si="4">E38*H38</f>
        <v>86403.074879999986</v>
      </c>
      <c r="J38" s="6">
        <v>72.58</v>
      </c>
      <c r="K38" s="100">
        <f t="shared" si="2"/>
        <v>90.881412628390663</v>
      </c>
      <c r="L38" s="71">
        <f t="shared" ref="L38:L41" si="5">E38*K38</f>
        <v>87246.15612325503</v>
      </c>
      <c r="M38" s="110"/>
    </row>
    <row r="39" spans="1:13" ht="35.25" customHeight="1" x14ac:dyDescent="0.25">
      <c r="A39" s="35" t="s">
        <v>95</v>
      </c>
      <c r="B39" s="102" t="s">
        <v>149</v>
      </c>
      <c r="C39" s="81">
        <v>103007</v>
      </c>
      <c r="D39" s="36" t="s">
        <v>132</v>
      </c>
      <c r="E39" s="65">
        <f>ROUND(MEMÓRIA!E39,2)</f>
        <v>12</v>
      </c>
      <c r="F39" s="35" t="s">
        <v>43</v>
      </c>
      <c r="G39" s="73">
        <v>1121.3699999999999</v>
      </c>
      <c r="H39" s="100">
        <f t="shared" si="0"/>
        <v>1373.3418389999997</v>
      </c>
      <c r="I39" s="71">
        <f t="shared" si="4"/>
        <v>16480.102067999997</v>
      </c>
      <c r="J39" s="80">
        <v>1080.55</v>
      </c>
      <c r="K39" s="100">
        <f t="shared" si="2"/>
        <v>1353.0161258694893</v>
      </c>
      <c r="L39" s="71">
        <f t="shared" si="5"/>
        <v>16236.193510433872</v>
      </c>
      <c r="M39" s="34"/>
    </row>
    <row r="40" spans="1:13" ht="35.25" customHeight="1" x14ac:dyDescent="0.25">
      <c r="A40" s="5" t="s">
        <v>96</v>
      </c>
      <c r="B40" s="102" t="s">
        <v>149</v>
      </c>
      <c r="C40" s="5">
        <v>94265</v>
      </c>
      <c r="D40" s="31" t="s">
        <v>135</v>
      </c>
      <c r="E40" s="65">
        <f>ROUND(MEMÓRIA!E40,2)</f>
        <v>14.4</v>
      </c>
      <c r="F40" s="35" t="s">
        <v>41</v>
      </c>
      <c r="G40" s="70">
        <v>47.75</v>
      </c>
      <c r="H40" s="100">
        <f t="shared" si="0"/>
        <v>58.479424999999992</v>
      </c>
      <c r="I40" s="71">
        <f t="shared" si="4"/>
        <v>842.10371999999995</v>
      </c>
      <c r="J40" s="6">
        <v>45.51</v>
      </c>
      <c r="K40" s="100">
        <f t="shared" si="2"/>
        <v>56.985575760788912</v>
      </c>
      <c r="L40" s="71">
        <f t="shared" si="5"/>
        <v>820.59229095536034</v>
      </c>
      <c r="M40" s="34"/>
    </row>
    <row r="41" spans="1:13" ht="35.25" customHeight="1" x14ac:dyDescent="0.25">
      <c r="A41" s="5" t="s">
        <v>99</v>
      </c>
      <c r="B41" s="102" t="s">
        <v>149</v>
      </c>
      <c r="C41" s="5">
        <v>94283</v>
      </c>
      <c r="D41" s="31" t="s">
        <v>136</v>
      </c>
      <c r="E41" s="65">
        <f>ROUND(MEMÓRIA!E41,2)</f>
        <v>4.68</v>
      </c>
      <c r="F41" s="35" t="s">
        <v>41</v>
      </c>
      <c r="G41" s="70">
        <v>56.79</v>
      </c>
      <c r="H41" s="100">
        <f t="shared" si="0"/>
        <v>69.550712999999988</v>
      </c>
      <c r="I41" s="71">
        <f t="shared" si="4"/>
        <v>325.49733683999995</v>
      </c>
      <c r="J41" s="6">
        <v>55.1</v>
      </c>
      <c r="K41" s="100">
        <f t="shared" si="2"/>
        <v>68.993742571291349</v>
      </c>
      <c r="L41" s="71">
        <f t="shared" si="5"/>
        <v>322.8907152336435</v>
      </c>
      <c r="M41" s="34"/>
    </row>
    <row r="42" spans="1:13" s="3" customFormat="1" ht="35.25" customHeight="1" x14ac:dyDescent="0.25">
      <c r="A42" s="10" t="s">
        <v>109</v>
      </c>
      <c r="B42" s="10"/>
      <c r="C42" s="10"/>
      <c r="D42" s="11" t="s">
        <v>110</v>
      </c>
      <c r="E42" s="64">
        <f>MEMÓRIA!Q43</f>
        <v>0</v>
      </c>
      <c r="F42" s="78"/>
      <c r="G42" s="75"/>
      <c r="H42" s="99"/>
      <c r="I42" s="74">
        <f>SUM(I43:I44)</f>
        <v>2210.3385599999997</v>
      </c>
      <c r="J42" s="12"/>
      <c r="K42" s="99"/>
      <c r="L42" s="74">
        <f>SUM(L43:L44)</f>
        <v>1947.8523764773288</v>
      </c>
    </row>
    <row r="43" spans="1:13" ht="35.25" customHeight="1" x14ac:dyDescent="0.25">
      <c r="A43" s="35" t="s">
        <v>111</v>
      </c>
      <c r="B43" s="102" t="s">
        <v>149</v>
      </c>
      <c r="C43" s="5">
        <v>4750</v>
      </c>
      <c r="D43" s="36" t="s">
        <v>133</v>
      </c>
      <c r="E43" s="65">
        <f>ROUND(MEMÓRIA!E43,2)</f>
        <v>40</v>
      </c>
      <c r="F43" s="35" t="s">
        <v>112</v>
      </c>
      <c r="G43" s="73">
        <v>23.55</v>
      </c>
      <c r="H43" s="100">
        <f t="shared" si="0"/>
        <v>28.841684999999998</v>
      </c>
      <c r="I43" s="71">
        <f>E43*H43</f>
        <v>1153.6673999999998</v>
      </c>
      <c r="J43" s="80">
        <v>20.3</v>
      </c>
      <c r="K43" s="100">
        <f>J43*(1+$K$14)</f>
        <v>25.418747263107338</v>
      </c>
      <c r="L43" s="71">
        <f>E43*K43</f>
        <v>1016.7498905242935</v>
      </c>
      <c r="M43" s="34"/>
    </row>
    <row r="44" spans="1:13" ht="35.25" customHeight="1" x14ac:dyDescent="0.25">
      <c r="A44" s="5" t="s">
        <v>113</v>
      </c>
      <c r="B44" s="102" t="s">
        <v>149</v>
      </c>
      <c r="C44" s="5">
        <v>6127</v>
      </c>
      <c r="D44" s="7" t="s">
        <v>134</v>
      </c>
      <c r="E44" s="65">
        <f>ROUND(MEMÓRIA!E44,2)</f>
        <v>40</v>
      </c>
      <c r="F44" s="35" t="s">
        <v>112</v>
      </c>
      <c r="G44" s="73">
        <v>21.57</v>
      </c>
      <c r="H44" s="100">
        <f t="shared" si="0"/>
        <v>26.416778999999998</v>
      </c>
      <c r="I44" s="71">
        <f>E44*H44</f>
        <v>1056.6711599999999</v>
      </c>
      <c r="J44" s="80">
        <v>18.59</v>
      </c>
      <c r="K44" s="100">
        <f>J44*(1+$K$14)</f>
        <v>23.277562148825883</v>
      </c>
      <c r="L44" s="71">
        <f>E44*K44</f>
        <v>931.10248595303528</v>
      </c>
      <c r="M44" s="34"/>
    </row>
    <row r="45" spans="1:13" ht="20.25" customHeight="1" thickBot="1" x14ac:dyDescent="0.3">
      <c r="D45" s="32"/>
      <c r="E45" s="66"/>
      <c r="G45" s="13"/>
      <c r="H45" s="33"/>
      <c r="I45" s="14"/>
      <c r="J45" s="33"/>
      <c r="K45" s="33"/>
      <c r="L45" s="14"/>
      <c r="M45" s="34"/>
    </row>
    <row r="46" spans="1:13" ht="20.25" customHeight="1" thickBot="1" x14ac:dyDescent="0.3">
      <c r="D46" s="40"/>
      <c r="E46" s="66"/>
      <c r="G46" s="107" t="s">
        <v>151</v>
      </c>
      <c r="H46" s="108"/>
      <c r="I46" s="103">
        <f>I19+I22</f>
        <v>1433945.8317977299</v>
      </c>
      <c r="J46" s="107" t="s">
        <v>151</v>
      </c>
      <c r="K46" s="108"/>
      <c r="L46" s="103">
        <f>L19+L22</f>
        <v>1435689.9906667341</v>
      </c>
      <c r="M46" s="34"/>
    </row>
    <row r="47" spans="1:13" x14ac:dyDescent="0.25">
      <c r="D47" s="4"/>
    </row>
    <row r="48" spans="1:13" ht="24.95" customHeight="1" x14ac:dyDescent="0.25">
      <c r="C48" s="15"/>
      <c r="D48" s="15" t="s">
        <v>157</v>
      </c>
      <c r="F48" s="15"/>
    </row>
    <row r="49" spans="3:6" ht="24.95" customHeight="1" x14ac:dyDescent="0.25">
      <c r="C49" s="15"/>
      <c r="D49" s="15"/>
      <c r="F49" s="15"/>
    </row>
    <row r="50" spans="3:6" ht="24.95" customHeight="1" x14ac:dyDescent="0.25">
      <c r="C50" s="15"/>
      <c r="D50" s="15"/>
      <c r="F50" s="15"/>
    </row>
    <row r="51" spans="3:6" ht="24.95" customHeight="1" x14ac:dyDescent="0.25">
      <c r="C51" s="15"/>
      <c r="D51" s="15"/>
      <c r="F51" s="15"/>
    </row>
    <row r="52" spans="3:6" x14ac:dyDescent="0.25">
      <c r="D52" s="4"/>
    </row>
    <row r="53" spans="3:6" x14ac:dyDescent="0.25">
      <c r="D53" s="4"/>
    </row>
    <row r="54" spans="3:6" x14ac:dyDescent="0.25">
      <c r="D54" s="4"/>
    </row>
  </sheetData>
  <mergeCells count="11">
    <mergeCell ref="A8:L8"/>
    <mergeCell ref="G46:H46"/>
    <mergeCell ref="J46:K46"/>
    <mergeCell ref="A14:B14"/>
    <mergeCell ref="M37:M38"/>
    <mergeCell ref="A10:B10"/>
    <mergeCell ref="A11:B11"/>
    <mergeCell ref="A12:B12"/>
    <mergeCell ref="A13:B13"/>
    <mergeCell ref="G15:I16"/>
    <mergeCell ref="J15:L16"/>
  </mergeCells>
  <phoneticPr fontId="4" type="noConversion"/>
  <pageMargins left="0.511811024" right="0.511811024" top="0.78740157499999996" bottom="0.78740157499999996" header="0.31496062000000002" footer="0.31496062000000002"/>
  <pageSetup paperSize="9" scale="5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010F-7B30-4FFE-A7BA-E7C9C9A834CE}">
  <dimension ref="A1:J44"/>
  <sheetViews>
    <sheetView workbookViewId="0">
      <selection activeCell="D19" sqref="D19"/>
    </sheetView>
  </sheetViews>
  <sheetFormatPr defaultRowHeight="20.100000000000001" customHeight="1" x14ac:dyDescent="0.25"/>
  <cols>
    <col min="1" max="1" width="9.42578125" style="60" customWidth="1"/>
    <col min="2" max="2" width="10.140625" style="60" customWidth="1"/>
    <col min="3" max="3" width="15.5703125" style="60" customWidth="1"/>
    <col min="4" max="4" width="98.42578125" style="92" customWidth="1"/>
    <col min="5" max="5" width="13" style="60" customWidth="1"/>
    <col min="6" max="6" width="13.140625" style="60" customWidth="1"/>
    <col min="7" max="7" width="75.85546875" style="4" customWidth="1"/>
    <col min="8" max="9" width="9.140625" style="60"/>
    <col min="10" max="10" width="47.28515625" style="60" customWidth="1"/>
    <col min="11" max="16384" width="9.140625" style="60"/>
  </cols>
  <sheetData>
    <row r="1" spans="1:5" ht="20.100000000000001" customHeight="1" x14ac:dyDescent="0.25">
      <c r="B1" s="60" t="s">
        <v>91</v>
      </c>
      <c r="C1" s="60" t="s">
        <v>90</v>
      </c>
      <c r="E1" s="60" t="s">
        <v>100</v>
      </c>
    </row>
    <row r="2" spans="1:5" ht="20.100000000000001" customHeight="1" x14ac:dyDescent="0.25">
      <c r="A2" s="32" t="s">
        <v>77</v>
      </c>
      <c r="B2" s="32">
        <v>281.19</v>
      </c>
      <c r="C2" s="60">
        <f>104.08+12.65</f>
        <v>116.73</v>
      </c>
      <c r="D2" s="92" t="s">
        <v>92</v>
      </c>
      <c r="E2" s="60">
        <v>29.71</v>
      </c>
    </row>
    <row r="3" spans="1:5" ht="20.100000000000001" customHeight="1" x14ac:dyDescent="0.25">
      <c r="A3" s="32" t="s">
        <v>78</v>
      </c>
      <c r="B3" s="32">
        <v>324.64</v>
      </c>
      <c r="C3" s="60">
        <f>12.09+109.17+8.29</f>
        <v>129.55000000000001</v>
      </c>
      <c r="E3" s="60">
        <v>33.229999999999997</v>
      </c>
    </row>
    <row r="4" spans="1:5" ht="20.100000000000001" customHeight="1" x14ac:dyDescent="0.25">
      <c r="A4" s="32" t="s">
        <v>79</v>
      </c>
      <c r="B4" s="32">
        <v>168.42</v>
      </c>
      <c r="C4" s="60">
        <f>5.06+67.88</f>
        <v>72.94</v>
      </c>
      <c r="D4" s="92" t="s">
        <v>103</v>
      </c>
      <c r="E4" s="60">
        <v>15.54</v>
      </c>
    </row>
    <row r="5" spans="1:5" ht="20.100000000000001" customHeight="1" x14ac:dyDescent="0.25">
      <c r="A5" s="32" t="s">
        <v>80</v>
      </c>
      <c r="B5" s="32">
        <v>445.35</v>
      </c>
      <c r="C5" s="60">
        <f>14.45+185.42+7.26</f>
        <v>207.12999999999997</v>
      </c>
      <c r="E5" s="60">
        <v>51.82</v>
      </c>
    </row>
    <row r="6" spans="1:5" ht="20.100000000000001" customHeight="1" x14ac:dyDescent="0.25">
      <c r="A6" s="32" t="s">
        <v>81</v>
      </c>
      <c r="B6" s="32">
        <v>389.37</v>
      </c>
      <c r="C6" s="60">
        <f>7.07+177.04+4.89</f>
        <v>188.99999999999997</v>
      </c>
      <c r="E6" s="60">
        <v>45.66</v>
      </c>
    </row>
    <row r="7" spans="1:5" ht="20.100000000000001" customHeight="1" x14ac:dyDescent="0.25">
      <c r="A7" s="32" t="s">
        <v>82</v>
      </c>
      <c r="B7" s="32">
        <v>76.75</v>
      </c>
      <c r="C7" s="60">
        <f>23.8+7.13</f>
        <v>30.93</v>
      </c>
      <c r="E7" s="60">
        <v>6.58</v>
      </c>
    </row>
    <row r="8" spans="1:5" ht="20.100000000000001" customHeight="1" x14ac:dyDescent="0.25">
      <c r="A8" s="32" t="s">
        <v>83</v>
      </c>
      <c r="B8" s="32">
        <v>244.01</v>
      </c>
      <c r="C8" s="60">
        <f>6.81+83.78+12.09</f>
        <v>102.68</v>
      </c>
      <c r="E8" s="60">
        <v>25.1</v>
      </c>
    </row>
    <row r="9" spans="1:5" ht="20.100000000000001" customHeight="1" x14ac:dyDescent="0.25">
      <c r="A9" s="32" t="s">
        <v>84</v>
      </c>
      <c r="B9" s="32">
        <v>283.47000000000003</v>
      </c>
      <c r="C9" s="60">
        <f>12.22+110.85+8.62</f>
        <v>131.69</v>
      </c>
      <c r="E9" s="60">
        <v>33.83</v>
      </c>
    </row>
    <row r="10" spans="1:5" ht="20.100000000000001" customHeight="1" x14ac:dyDescent="0.25">
      <c r="A10" s="32" t="s">
        <v>85</v>
      </c>
      <c r="B10" s="32">
        <v>265.82</v>
      </c>
      <c r="C10" s="60">
        <f>8.44+110.31+12.02</f>
        <v>130.77000000000001</v>
      </c>
      <c r="E10" s="60">
        <v>33.86</v>
      </c>
    </row>
    <row r="11" spans="1:5" ht="20.100000000000001" customHeight="1" x14ac:dyDescent="0.25">
      <c r="A11" s="32" t="s">
        <v>86</v>
      </c>
      <c r="B11" s="32">
        <v>420.69</v>
      </c>
      <c r="C11" s="60">
        <f>12.07+190.21+5.74</f>
        <v>208.02</v>
      </c>
      <c r="E11" s="60">
        <v>52.7</v>
      </c>
    </row>
    <row r="12" spans="1:5" ht="20.100000000000001" customHeight="1" x14ac:dyDescent="0.25">
      <c r="A12" s="32" t="s">
        <v>87</v>
      </c>
      <c r="B12" s="32">
        <v>472.2</v>
      </c>
      <c r="C12" s="60">
        <f>5.37+174.73+11.71</f>
        <v>191.81</v>
      </c>
      <c r="E12" s="60">
        <v>46.2</v>
      </c>
    </row>
    <row r="13" spans="1:5" ht="20.100000000000001" customHeight="1" x14ac:dyDescent="0.25">
      <c r="A13" s="67" t="s">
        <v>88</v>
      </c>
      <c r="B13" s="67">
        <f>SUM(B2:B12)</f>
        <v>3371.91</v>
      </c>
      <c r="C13" s="67">
        <f>SUM(C2:C12)</f>
        <v>1511.25</v>
      </c>
      <c r="E13" s="67">
        <f>SUM(E2:E12)</f>
        <v>374.22999999999996</v>
      </c>
    </row>
    <row r="14" spans="1:5" ht="20.100000000000001" customHeight="1" x14ac:dyDescent="0.25">
      <c r="C14" s="60">
        <f>C2+C3+C4+C5+C7+C8+C9+C10+C11</f>
        <v>1130.44</v>
      </c>
      <c r="D14" s="92" t="s">
        <v>107</v>
      </c>
    </row>
    <row r="17" spans="1:10" ht="20.100000000000001" customHeight="1" x14ac:dyDescent="0.25">
      <c r="A17" s="8" t="str">
        <f>ORÇAMENTO!A17</f>
        <v>Nº</v>
      </c>
      <c r="B17" s="8" t="str">
        <f>ORÇAMENTO!B17</f>
        <v>BASE</v>
      </c>
      <c r="C17" s="8" t="str">
        <f>ORÇAMENTO!C17</f>
        <v xml:space="preserve">CODIGO </v>
      </c>
      <c r="D17" s="8" t="str">
        <f>ORÇAMENTO!D17</f>
        <v xml:space="preserve">DESCRIÇÃO </v>
      </c>
      <c r="E17" s="8" t="str">
        <f>ORÇAMENTO!E17</f>
        <v>QUANTIDADE</v>
      </c>
      <c r="F17" s="8" t="str">
        <f>ORÇAMENTO!F17</f>
        <v>UNIDADE</v>
      </c>
      <c r="G17" s="69" t="s">
        <v>76</v>
      </c>
    </row>
    <row r="18" spans="1:10" ht="20.100000000000001" customHeight="1" x14ac:dyDescent="0.25">
      <c r="A18" s="10">
        <f>ORÇAMENTO!A18</f>
        <v>1</v>
      </c>
      <c r="B18" s="10">
        <f>ORÇAMENTO!B18</f>
        <v>0</v>
      </c>
      <c r="C18" s="10"/>
      <c r="D18" s="93" t="str">
        <f>ORÇAMENTO!D18</f>
        <v xml:space="preserve">SERVIÇOS PRELIMINARES </v>
      </c>
      <c r="E18" s="10"/>
      <c r="F18" s="10"/>
    </row>
    <row r="19" spans="1:10" ht="20.100000000000001" customHeight="1" x14ac:dyDescent="0.25">
      <c r="A19" s="10">
        <f>ORÇAMENTO!A19</f>
        <v>0</v>
      </c>
      <c r="B19" s="10">
        <f>ORÇAMENTO!B19</f>
        <v>0</v>
      </c>
      <c r="C19" s="10"/>
      <c r="D19" s="93"/>
      <c r="E19" s="10"/>
      <c r="F19" s="10"/>
    </row>
    <row r="20" spans="1:10" ht="20.100000000000001" customHeight="1" x14ac:dyDescent="0.25">
      <c r="A20" s="68" t="str">
        <f>ORÇAMENTO!A20</f>
        <v>1.1</v>
      </c>
      <c r="B20" s="68" t="str">
        <f>ORÇAMENTO!B20</f>
        <v>sinapi 12/03/2024</v>
      </c>
      <c r="C20" s="68">
        <f>ORÇAMENTO!C20</f>
        <v>103689</v>
      </c>
      <c r="D20" s="94" t="str">
        <f>ORÇAMENTO!D20</f>
        <v>FORNECIMENTO E INSTALAÇÃO DE PLACA DE OBRA COM CHAPA GALVANIZADA E ESTRUTURA DE MADEIRA. AF_03/2022_PS</v>
      </c>
      <c r="E20" s="68">
        <f>ROUND(1.5*3,2)</f>
        <v>4.5</v>
      </c>
      <c r="F20" s="68" t="str">
        <f>ORÇAMENTO!F20</f>
        <v>M²</v>
      </c>
      <c r="G20" s="4" t="s">
        <v>75</v>
      </c>
    </row>
    <row r="21" spans="1:10" ht="20.100000000000001" customHeight="1" x14ac:dyDescent="0.25">
      <c r="A21" s="68" t="str">
        <f>ORÇAMENTO!A21</f>
        <v>1.2</v>
      </c>
      <c r="B21" s="68" t="str">
        <f>ORÇAMENTO!B21</f>
        <v>CDHU 192</v>
      </c>
      <c r="C21" s="68" t="str">
        <f>ORÇAMENTO!C21</f>
        <v>02.02.150</v>
      </c>
      <c r="D21" s="94" t="str">
        <f>ORÇAMENTO!D21</f>
        <v>Locação de container tipo depósito ‐ área mínima de 13,80 m²</v>
      </c>
      <c r="E21" s="68">
        <v>4</v>
      </c>
      <c r="F21" s="68" t="str">
        <f>ORÇAMENTO!F21</f>
        <v>unimes</v>
      </c>
      <c r="G21" s="4" t="s">
        <v>119</v>
      </c>
    </row>
    <row r="22" spans="1:10" ht="20.100000000000001" customHeight="1" x14ac:dyDescent="0.25">
      <c r="A22" s="10">
        <f>ORÇAMENTO!A22</f>
        <v>2</v>
      </c>
      <c r="B22" s="10">
        <f>ORÇAMENTO!B22</f>
        <v>0</v>
      </c>
      <c r="C22" s="10"/>
      <c r="D22" s="93" t="str">
        <f>ORÇAMENTO!D22</f>
        <v>RECONSTRUÇÃO DAS CALÇADAS</v>
      </c>
      <c r="E22" s="10"/>
      <c r="F22" s="10"/>
    </row>
    <row r="23" spans="1:10" ht="20.100000000000001" customHeight="1" x14ac:dyDescent="0.25">
      <c r="A23" s="10" t="str">
        <f>ORÇAMENTO!A23</f>
        <v>2.1</v>
      </c>
      <c r="B23" s="10">
        <f>ORÇAMENTO!B23</f>
        <v>0</v>
      </c>
      <c r="C23" s="10"/>
      <c r="D23" s="93" t="str">
        <f>ORÇAMENTO!D23</f>
        <v xml:space="preserve">Demolição das calçadas existentes </v>
      </c>
      <c r="E23" s="10"/>
      <c r="F23" s="10"/>
    </row>
    <row r="24" spans="1:10" ht="104.25" customHeight="1" x14ac:dyDescent="0.25">
      <c r="A24" s="68" t="str">
        <f>ORÇAMENTO!A24</f>
        <v>2.1.1</v>
      </c>
      <c r="B24" s="68" t="str">
        <f>ORÇAMENTO!B24</f>
        <v>sinapi 12/03/2024</v>
      </c>
      <c r="C24" s="68">
        <f>ORÇAMENTO!C24</f>
        <v>104790</v>
      </c>
      <c r="D24" s="94" t="str">
        <f>ORÇAMENTO!D24</f>
        <v>DEMOLIÇÃO DE PISO DE CONCRETO SIMPLES, DE FORMA MECANIZADA COM MARTELETE, SEM REAPROVEITAMENTO. AF_09/2023</v>
      </c>
      <c r="E24" s="68">
        <f>1511.25*2.5*0.1</f>
        <v>377.8125</v>
      </c>
      <c r="F24" s="68" t="str">
        <f>ORÇAMENTO!F24</f>
        <v>m³</v>
      </c>
      <c r="G24" s="32" t="s">
        <v>137</v>
      </c>
    </row>
    <row r="25" spans="1:10" ht="28.5" customHeight="1" x14ac:dyDescent="0.25">
      <c r="A25" s="68" t="str">
        <f>ORÇAMENTO!A25</f>
        <v>2.1.2</v>
      </c>
      <c r="B25" s="68" t="str">
        <f>ORÇAMENTO!B25</f>
        <v>CDHU 192</v>
      </c>
      <c r="C25" s="68" t="str">
        <f>ORÇAMENTO!C25</f>
        <v>05.07.040</v>
      </c>
      <c r="D25" s="94" t="str">
        <f>ORÇAMENTO!D25</f>
        <v>Remoção de entulho separado de obra com caçamba metálica ‐ terra,
alvenaria, concreto, argamassa, madeira, papel, plástico ou metal</v>
      </c>
      <c r="E25" s="68">
        <f>ROUND(E24*1.3,2)</f>
        <v>491.16</v>
      </c>
      <c r="F25" s="68" t="str">
        <f>ORÇAMENTO!F25</f>
        <v>m³</v>
      </c>
      <c r="G25" s="32" t="s">
        <v>138</v>
      </c>
    </row>
    <row r="26" spans="1:10" ht="20.100000000000001" customHeight="1" x14ac:dyDescent="0.25">
      <c r="A26" s="10" t="str">
        <f>ORÇAMENTO!A26</f>
        <v>2.2</v>
      </c>
      <c r="B26" s="10">
        <f>ORÇAMENTO!B26</f>
        <v>0</v>
      </c>
      <c r="C26" s="10" t="e">
        <f>ORÇAMENTO!#REF!</f>
        <v>#REF!</v>
      </c>
      <c r="D26" s="93" t="str">
        <f>ORÇAMENTO!D26</f>
        <v xml:space="preserve">Contrapiso de concreto </v>
      </c>
      <c r="E26" s="10" t="e">
        <f>ORÇAMENTO!#REF!</f>
        <v>#REF!</v>
      </c>
      <c r="F26" s="10" t="e">
        <f>ORÇAMENTO!#REF!</f>
        <v>#REF!</v>
      </c>
    </row>
    <row r="27" spans="1:10" ht="95.25" customHeight="1" x14ac:dyDescent="0.25">
      <c r="A27" s="68" t="str">
        <f>ORÇAMENTO!A27</f>
        <v>2.2.1</v>
      </c>
      <c r="B27" s="68" t="str">
        <f>ORÇAMENTO!B27</f>
        <v>sinapi 12/03/2024</v>
      </c>
      <c r="C27" s="68">
        <f>ORÇAMENTO!C27</f>
        <v>101136</v>
      </c>
      <c r="D27" s="95" t="str">
        <f>ORÇAMENTO!D27</f>
        <v>ESCAVAÇÃO HORIZONTAL, INCLUINDO CARGA, DESCARGA E TRANSPORTE EM SOLO DE 1A CATEGORIA COM TRATOR DE ESTEIRAS (170HP/LÂMINA: 5,20M3) E CAMINHÃO BASCULANTE DE 10M3, DMT ATÉ 200M. AF_07/2020</v>
      </c>
      <c r="E27" s="68">
        <f>1511.25*2.5*0.4</f>
        <v>1511.25</v>
      </c>
      <c r="F27" s="68" t="str">
        <f>ORÇAMENTO!F27</f>
        <v>M³</v>
      </c>
      <c r="G27" s="32" t="s">
        <v>142</v>
      </c>
    </row>
    <row r="28" spans="1:10" ht="95.25" customHeight="1" x14ac:dyDescent="0.25">
      <c r="A28" s="68" t="str">
        <f>ORÇAMENTO!A28</f>
        <v>2.2.2</v>
      </c>
      <c r="B28" s="68" t="str">
        <f>ORÇAMENTO!B28</f>
        <v>sinapi 12/03/2024</v>
      </c>
      <c r="C28" s="68">
        <f>ORÇAMENTO!C28</f>
        <v>93382</v>
      </c>
      <c r="D28" s="95" t="str">
        <f>ORÇAMENTO!D28</f>
        <v>REATERRO MANUAL DE VALAS, COM COMPACTADOR DE SOLOS DE PERCUSSÃO. AF_08 /2023</v>
      </c>
      <c r="E28" s="104">
        <f>(1130.44*0.6*0.4)-(0.17*960)</f>
        <v>108.10560000000001</v>
      </c>
      <c r="F28" s="68" t="str">
        <f>ORÇAMENTO!F28</f>
        <v>M³</v>
      </c>
      <c r="G28" s="32" t="s">
        <v>144</v>
      </c>
    </row>
    <row r="29" spans="1:10" ht="95.25" customHeight="1" x14ac:dyDescent="0.25">
      <c r="A29" s="68" t="str">
        <f>ORÇAMENTO!A29</f>
        <v>2.2.3</v>
      </c>
      <c r="B29" s="68" t="str">
        <f>ORÇAMENTO!B29</f>
        <v>sinapi 12/03/2024</v>
      </c>
      <c r="C29" s="68">
        <f>ORÇAMENTO!C29</f>
        <v>100576</v>
      </c>
      <c r="D29" s="95" t="str">
        <f>ORÇAMENTO!D29</f>
        <v>REGULARIZAÇÃO E COMPACTAÇÃO DE SUBLEITO DE SOLO PREDOMINANTEMENTE ARGILOSO. AF_11/2019</v>
      </c>
      <c r="E29" s="104">
        <f>1511.25*2.5</f>
        <v>3778.125</v>
      </c>
      <c r="F29" s="68" t="str">
        <f>ORÇAMENTO!F29</f>
        <v>m²</v>
      </c>
      <c r="G29" s="32" t="s">
        <v>143</v>
      </c>
      <c r="J29" s="32"/>
    </row>
    <row r="30" spans="1:10" ht="95.25" customHeight="1" x14ac:dyDescent="0.25">
      <c r="A30" s="68" t="str">
        <f>ORÇAMENTO!A30</f>
        <v>2.2.4</v>
      </c>
      <c r="B30" s="68" t="str">
        <f>ORÇAMENTO!B30</f>
        <v>sinapi 12/03/2024</v>
      </c>
      <c r="C30" s="68">
        <f>ORÇAMENTO!C30</f>
        <v>96621</v>
      </c>
      <c r="D30" s="95" t="str">
        <f>ORÇAMENTO!D30</f>
        <v>LASTRO COM MATERIAL GRANULAR, APLICAÇÃO EM BLOCOS DE COROAMENTO, ESPESSURA DE *5 CM*. AF_01/2024</v>
      </c>
      <c r="E30" s="68">
        <f>1511.25*2.5*0.05</f>
        <v>188.90625</v>
      </c>
      <c r="F30" s="68" t="str">
        <f>ORÇAMENTO!F30</f>
        <v>M³</v>
      </c>
      <c r="G30" s="32" t="s">
        <v>139</v>
      </c>
    </row>
    <row r="31" spans="1:10" ht="73.5" customHeight="1" x14ac:dyDescent="0.25">
      <c r="A31" s="68" t="str">
        <f>ORÇAMENTO!A31</f>
        <v>2.2.5</v>
      </c>
      <c r="B31" s="68" t="str">
        <f>ORÇAMENTO!B31</f>
        <v>sinapi 12/03/2024</v>
      </c>
      <c r="C31" s="68">
        <f>ORÇAMENTO!C31</f>
        <v>94991</v>
      </c>
      <c r="D31" s="95" t="str">
        <f>ORÇAMENTO!D31</f>
        <v>EXECUÇÃO DE PASSEIO (CALÇADA) OU PISO DE CONCRETO COM CONCRETO MOLDADO IN LOCO, USINADO C20, ACABAMENTO CONVENCIONAL, NÃO ARMADO. AF_08/2022</v>
      </c>
      <c r="E31" s="68">
        <f>ROUND(1511.25*2.5*0.08,2)</f>
        <v>302.25</v>
      </c>
      <c r="F31" s="68" t="str">
        <f>ORÇAMENTO!F31</f>
        <v>M³</v>
      </c>
      <c r="G31" s="32" t="s">
        <v>146</v>
      </c>
    </row>
    <row r="32" spans="1:10" ht="20.100000000000001" customHeight="1" x14ac:dyDescent="0.25">
      <c r="A32" s="10" t="str">
        <f>ORÇAMENTO!A32</f>
        <v>2.3</v>
      </c>
      <c r="B32" s="10">
        <f>ORÇAMENTO!B32</f>
        <v>0</v>
      </c>
      <c r="C32" s="10"/>
      <c r="D32" s="93" t="str">
        <f>ORÇAMENTO!D32</f>
        <v xml:space="preserve">Piso Microconcreto </v>
      </c>
      <c r="E32" s="10"/>
      <c r="F32" s="10"/>
    </row>
    <row r="33" spans="1:7" ht="35.25" customHeight="1" x14ac:dyDescent="0.25">
      <c r="A33" s="68" t="str">
        <f>ORÇAMENTO!A33</f>
        <v>2.3.1</v>
      </c>
      <c r="B33" s="95" t="str">
        <f>ORÇAMENTO!B33</f>
        <v>comp</v>
      </c>
      <c r="C33" s="95" t="str">
        <f>ORÇAMENTO!C33</f>
        <v>CPU - 01</v>
      </c>
      <c r="D33" s="95" t="str">
        <f>ORÇAMENTO!D33</f>
        <v>PLACA EM MICROCONCRETO DE ALTO DESEMPENHO - 60 X 30 X 2,5 CM</v>
      </c>
      <c r="E33" s="68">
        <f>ROUND(3371.91-374.23,2)</f>
        <v>2997.68</v>
      </c>
      <c r="F33" s="68" t="str">
        <f>ORÇAMENTO!F33</f>
        <v>M²</v>
      </c>
      <c r="G33" s="32" t="s">
        <v>101</v>
      </c>
    </row>
    <row r="34" spans="1:7" ht="20.100000000000001" customHeight="1" x14ac:dyDescent="0.25">
      <c r="A34" s="10" t="str">
        <f>ORÇAMENTO!A34</f>
        <v>2.4</v>
      </c>
      <c r="B34" s="10">
        <f>ORÇAMENTO!B34</f>
        <v>0</v>
      </c>
      <c r="C34" s="10"/>
      <c r="D34" s="93" t="str">
        <f>ORÇAMENTO!D34</f>
        <v xml:space="preserve">Piso Podotátil de concreto </v>
      </c>
      <c r="E34" s="10"/>
      <c r="F34" s="10"/>
    </row>
    <row r="35" spans="1:7" ht="144.75" customHeight="1" x14ac:dyDescent="0.25">
      <c r="A35" s="68" t="str">
        <f>ORÇAMENTO!A35</f>
        <v>2.4.1</v>
      </c>
      <c r="B35" s="95" t="str">
        <f>ORÇAMENTO!B35</f>
        <v>sinapi 12/03/2024</v>
      </c>
      <c r="C35" s="95">
        <f>ORÇAMENTO!C35</f>
        <v>104658</v>
      </c>
      <c r="D35" s="95" t="str">
        <f>ORÇAMENTO!D35</f>
        <v>PISO PODOTÁTIL DE ALERTA OU DIRECIONAL, DE CONCRETO, ASSENTADO SOBRE ARGAMASSA. AF_05/2023</v>
      </c>
      <c r="E35" s="68">
        <f>E13</f>
        <v>374.22999999999996</v>
      </c>
      <c r="F35" s="68" t="str">
        <f>ORÇAMENTO!F35</f>
        <v>m²</v>
      </c>
      <c r="G35" s="32" t="s">
        <v>104</v>
      </c>
    </row>
    <row r="36" spans="1:7" ht="20.100000000000001" customHeight="1" x14ac:dyDescent="0.25">
      <c r="A36" s="10" t="str">
        <f>ORÇAMENTO!A36</f>
        <v>2.5</v>
      </c>
      <c r="B36" s="10">
        <f>ORÇAMENTO!B36</f>
        <v>0</v>
      </c>
      <c r="C36" s="10"/>
      <c r="D36" s="93" t="str">
        <f>ORÇAMENTO!D36</f>
        <v xml:space="preserve">Drenagens </v>
      </c>
      <c r="E36" s="10"/>
      <c r="F36" s="10"/>
    </row>
    <row r="37" spans="1:7" ht="82.5" customHeight="1" x14ac:dyDescent="0.25">
      <c r="A37" s="68" t="str">
        <f>ORÇAMENTO!A37</f>
        <v>2.5.1</v>
      </c>
      <c r="B37" s="95" t="str">
        <f>ORÇAMENTO!B37</f>
        <v>sinapi 12/03/2024</v>
      </c>
      <c r="C37" s="95">
        <f>ORÇAMENTO!C37</f>
        <v>97897</v>
      </c>
      <c r="D37" s="95" t="str">
        <f>ORÇAMENTO!D37</f>
        <v>CAIXA ENTERRADA HIDRÁULICA RETANGULAR, EM CONCRETO PRÉ-MOLDADO, DIMENSÕES INTERNAS: 0,6X0,6X0,5 M. AF_12/2020</v>
      </c>
      <c r="E37" s="68">
        <f>(3*4*2)</f>
        <v>24</v>
      </c>
      <c r="F37" s="68" t="str">
        <f>ORÇAMENTO!F37</f>
        <v>un.</v>
      </c>
      <c r="G37" s="32" t="s">
        <v>154</v>
      </c>
    </row>
    <row r="38" spans="1:7" ht="52.5" customHeight="1" x14ac:dyDescent="0.25">
      <c r="A38" s="68" t="str">
        <f>ORÇAMENTO!A38</f>
        <v>2.5.2</v>
      </c>
      <c r="B38" s="95" t="str">
        <f>ORÇAMENTO!B38</f>
        <v>sinapi 12/03/2024</v>
      </c>
      <c r="C38" s="95">
        <f>ORÇAMENTO!C38</f>
        <v>89580</v>
      </c>
      <c r="D38" s="95" t="str">
        <f>ORÇAMENTO!D38</f>
        <v>TUBO PVC, SÉRIE R, ÁGUA PLUVIAL, DN 150 MM, FORNECIDO E INSTALADO EM CONDUTORES VERTICAIS DE ÁGUAS PLUVIAIS. AF_06/2022</v>
      </c>
      <c r="E38" s="68">
        <f>120*4*2</f>
        <v>960</v>
      </c>
      <c r="F38" s="68" t="str">
        <f>ORÇAMENTO!F38</f>
        <v>m</v>
      </c>
      <c r="G38" s="32" t="s">
        <v>102</v>
      </c>
    </row>
    <row r="39" spans="1:7" ht="20.100000000000001" customHeight="1" x14ac:dyDescent="0.25">
      <c r="A39" s="68" t="str">
        <f>ORÇAMENTO!A39</f>
        <v>2.5.3</v>
      </c>
      <c r="B39" s="95" t="str">
        <f>ORÇAMENTO!B39</f>
        <v>sinapi 12/03/2024</v>
      </c>
      <c r="C39" s="95">
        <f>ORÇAMENTO!C39</f>
        <v>103007</v>
      </c>
      <c r="D39" s="95" t="str">
        <f>ORÇAMENTO!D39</f>
        <v>CAIXA COM GRELHA RETANGULAR DE FERRO FUNDIDO, EM ALVENARIA COM TIJOLOS CERÂMICOS MACIÇOS, DIMENSÕES INTERNAS: 0,30 X 1,00 X 0,5 M. AF_08/202</v>
      </c>
      <c r="E39" s="68">
        <v>12</v>
      </c>
      <c r="F39" s="68" t="str">
        <f>ORÇAMENTO!F39</f>
        <v>un.</v>
      </c>
      <c r="G39" s="4" t="s">
        <v>105</v>
      </c>
    </row>
    <row r="40" spans="1:7" ht="20.100000000000001" customHeight="1" x14ac:dyDescent="0.25">
      <c r="A40" s="68" t="str">
        <f>ORÇAMENTO!A40</f>
        <v>2.5.4</v>
      </c>
      <c r="B40" s="95" t="str">
        <f>ORÇAMENTO!B40</f>
        <v>sinapi 12/03/2024</v>
      </c>
      <c r="C40" s="95">
        <f>ORÇAMENTO!C40</f>
        <v>94265</v>
      </c>
      <c r="D40" s="95" t="str">
        <f>ORÇAMENTO!D40</f>
        <v>GUIA (MEIO-FIO) CONCRETO, MOLDADA IN LOCO EM TRECHO RETO COM EXTRUSORA, 15 CM BASE X 30 CM ALTURA. AF_01/2024</v>
      </c>
      <c r="E40" s="68">
        <f>1.2*12</f>
        <v>14.399999999999999</v>
      </c>
      <c r="F40" s="68" t="str">
        <f>ORÇAMENTO!F40</f>
        <v>m</v>
      </c>
      <c r="G40" s="4" t="s">
        <v>98</v>
      </c>
    </row>
    <row r="41" spans="1:7" ht="25.5" customHeight="1" x14ac:dyDescent="0.25">
      <c r="A41" s="68" t="str">
        <f>ORÇAMENTO!A41</f>
        <v>2.5.5</v>
      </c>
      <c r="B41" s="95" t="str">
        <f>ORÇAMENTO!B41</f>
        <v>sinapi 12/03/2024</v>
      </c>
      <c r="C41" s="95">
        <f>ORÇAMENTO!C41</f>
        <v>94283</v>
      </c>
      <c r="D41" s="95" t="str">
        <f>ORÇAMENTO!D41</f>
        <v>EXECUÇÃO DE SARJETA DE CONCRETO USINADO, MOLDADA IN LOCO EM TRECHO RETO, 45 CM BASE X 15 CM ALTURA. AF_01/2024</v>
      </c>
      <c r="E41" s="68">
        <f>0.39*12</f>
        <v>4.68</v>
      </c>
      <c r="F41" s="68" t="str">
        <f>ORÇAMENTO!F41</f>
        <v>m</v>
      </c>
      <c r="G41" s="4" t="s">
        <v>106</v>
      </c>
    </row>
    <row r="42" spans="1:7" ht="20.100000000000001" customHeight="1" x14ac:dyDescent="0.25">
      <c r="A42" s="10" t="str">
        <f>ORÇAMENTO!A42</f>
        <v>2.6</v>
      </c>
      <c r="B42" s="10">
        <f>ORÇAMENTO!B42</f>
        <v>0</v>
      </c>
      <c r="C42" s="10"/>
      <c r="D42" s="96" t="str">
        <f>ORÇAMENTO!D42</f>
        <v xml:space="preserve">Remoção / Recolocação das tampas existentes </v>
      </c>
      <c r="E42" s="10"/>
      <c r="F42" s="10"/>
    </row>
    <row r="43" spans="1:7" ht="37.5" customHeight="1" x14ac:dyDescent="0.25">
      <c r="A43" s="68" t="str">
        <f>ORÇAMENTO!A43</f>
        <v>2.6.1</v>
      </c>
      <c r="B43" s="94" t="str">
        <f>ORÇAMENTO!B43</f>
        <v>sinapi 12/03/2024</v>
      </c>
      <c r="C43" s="94">
        <f>ORÇAMENTO!C43</f>
        <v>4750</v>
      </c>
      <c r="D43" s="94" t="str">
        <f>ORÇAMENTO!D43</f>
        <v>PEDREIRO (HORISTA)</v>
      </c>
      <c r="E43" s="68">
        <f>20*2</f>
        <v>40</v>
      </c>
      <c r="F43" s="68" t="str">
        <f>ORÇAMENTO!F43</f>
        <v>h</v>
      </c>
      <c r="G43" s="32" t="s">
        <v>114</v>
      </c>
    </row>
    <row r="44" spans="1:7" ht="38.25" customHeight="1" x14ac:dyDescent="0.25">
      <c r="A44" s="68" t="str">
        <f>ORÇAMENTO!A44</f>
        <v>2.6.2</v>
      </c>
      <c r="B44" s="94" t="str">
        <f>ORÇAMENTO!B44</f>
        <v>sinapi 12/03/2024</v>
      </c>
      <c r="C44" s="94">
        <f>ORÇAMENTO!C44</f>
        <v>6127</v>
      </c>
      <c r="D44" s="94" t="str">
        <f>ORÇAMENTO!D44</f>
        <v>AUXILIAR DE PEDREIRO (HORISTA)</v>
      </c>
      <c r="E44" s="68">
        <f>20*2</f>
        <v>40</v>
      </c>
      <c r="F44" s="68" t="str">
        <f>ORÇAMENTO!F44</f>
        <v>h</v>
      </c>
      <c r="G44" s="32" t="s">
        <v>114</v>
      </c>
    </row>
  </sheetData>
  <phoneticPr fontId="4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EC0A-FE6F-42B8-AEC4-37F0BD431EE7}">
  <dimension ref="A1:E18"/>
  <sheetViews>
    <sheetView workbookViewId="0">
      <selection activeCell="F25" sqref="F25"/>
    </sheetView>
  </sheetViews>
  <sheetFormatPr defaultRowHeight="15" x14ac:dyDescent="0.25"/>
  <cols>
    <col min="1" max="1" width="27.42578125" customWidth="1"/>
  </cols>
  <sheetData>
    <row r="1" spans="1:5" ht="15.75" x14ac:dyDescent="0.25">
      <c r="A1" s="119" t="s">
        <v>17</v>
      </c>
      <c r="B1" s="119"/>
      <c r="C1" s="119"/>
      <c r="D1" s="119"/>
      <c r="E1" s="119"/>
    </row>
    <row r="2" spans="1:5" ht="15.75" thickBot="1" x14ac:dyDescent="0.3">
      <c r="A2" s="120" t="s">
        <v>18</v>
      </c>
      <c r="B2" s="120"/>
      <c r="C2" s="121" t="s">
        <v>19</v>
      </c>
      <c r="D2" s="121"/>
      <c r="E2" s="121"/>
    </row>
    <row r="3" spans="1:5" ht="48" x14ac:dyDescent="0.25">
      <c r="A3" s="16" t="s">
        <v>20</v>
      </c>
      <c r="B3" s="17" t="s">
        <v>21</v>
      </c>
      <c r="C3" s="18" t="s">
        <v>22</v>
      </c>
      <c r="D3" s="18" t="s">
        <v>23</v>
      </c>
      <c r="E3" s="18" t="s">
        <v>24</v>
      </c>
    </row>
    <row r="4" spans="1:5" x14ac:dyDescent="0.25">
      <c r="A4" s="19" t="s">
        <v>25</v>
      </c>
      <c r="B4" s="20">
        <v>0.03</v>
      </c>
      <c r="C4" s="21">
        <v>0.03</v>
      </c>
      <c r="D4" s="21">
        <v>0.04</v>
      </c>
      <c r="E4" s="21">
        <v>5.5E-2</v>
      </c>
    </row>
    <row r="5" spans="1:5" x14ac:dyDescent="0.25">
      <c r="A5" s="19" t="s">
        <v>26</v>
      </c>
      <c r="B5" s="20">
        <v>6.1600000000000002E-2</v>
      </c>
      <c r="C5" s="21">
        <v>6.1600000000000002E-2</v>
      </c>
      <c r="D5" s="21">
        <v>7.3999999999999996E-2</v>
      </c>
      <c r="E5" s="21">
        <v>8.9599999999999999E-2</v>
      </c>
    </row>
    <row r="6" spans="1:5" x14ac:dyDescent="0.25">
      <c r="A6" s="19" t="s">
        <v>27</v>
      </c>
      <c r="B6" s="20">
        <v>5.8999999999999999E-3</v>
      </c>
      <c r="C6" s="21">
        <v>5.8999999999999999E-3</v>
      </c>
      <c r="D6" s="21">
        <v>1.23E-2</v>
      </c>
      <c r="E6" s="21">
        <v>1.3899999999999999E-2</v>
      </c>
    </row>
    <row r="7" spans="1:5" x14ac:dyDescent="0.25">
      <c r="A7" s="19" t="s">
        <v>28</v>
      </c>
      <c r="B7" s="20">
        <v>8.0000000000000002E-3</v>
      </c>
      <c r="C7" s="21">
        <v>8.0000000000000002E-3</v>
      </c>
      <c r="D7" s="21">
        <v>8.0000000000000002E-3</v>
      </c>
      <c r="E7" s="21">
        <v>0.01</v>
      </c>
    </row>
    <row r="8" spans="1:5" x14ac:dyDescent="0.25">
      <c r="A8" s="19" t="s">
        <v>29</v>
      </c>
      <c r="B8" s="20">
        <v>9.7000000000000003E-3</v>
      </c>
      <c r="C8" s="21">
        <v>9.7000000000000003E-3</v>
      </c>
      <c r="D8" s="21">
        <v>1.2699999999999999E-2</v>
      </c>
      <c r="E8" s="21">
        <v>1.2699999999999999E-2</v>
      </c>
    </row>
    <row r="9" spans="1:5" x14ac:dyDescent="0.25">
      <c r="A9" s="19" t="s">
        <v>30</v>
      </c>
      <c r="B9" s="22">
        <f>B10+B11+B12+B13</f>
        <v>8.6499999999999994E-2</v>
      </c>
      <c r="C9" s="122" t="s">
        <v>31</v>
      </c>
      <c r="D9" s="123"/>
      <c r="E9" s="124"/>
    </row>
    <row r="10" spans="1:5" x14ac:dyDescent="0.25">
      <c r="A10" s="19" t="s">
        <v>32</v>
      </c>
      <c r="B10" s="23">
        <v>6.4999999999999997E-3</v>
      </c>
      <c r="C10" s="125"/>
      <c r="D10" s="109"/>
      <c r="E10" s="126"/>
    </row>
    <row r="11" spans="1:5" x14ac:dyDescent="0.25">
      <c r="A11" s="19" t="s">
        <v>33</v>
      </c>
      <c r="B11" s="23">
        <v>0.03</v>
      </c>
      <c r="C11" s="127"/>
      <c r="D11" s="128"/>
      <c r="E11" s="129"/>
    </row>
    <row r="12" spans="1:5" x14ac:dyDescent="0.25">
      <c r="A12" s="19" t="s">
        <v>34</v>
      </c>
      <c r="B12" s="23">
        <v>0.05</v>
      </c>
      <c r="C12" s="118" t="s">
        <v>35</v>
      </c>
      <c r="D12" s="118"/>
      <c r="E12" s="118"/>
    </row>
    <row r="13" spans="1:5" x14ac:dyDescent="0.25">
      <c r="A13" s="19" t="s">
        <v>36</v>
      </c>
      <c r="B13" s="24">
        <v>0</v>
      </c>
      <c r="C13" s="118" t="s">
        <v>37</v>
      </c>
      <c r="D13" s="118"/>
      <c r="E13" s="118"/>
    </row>
    <row r="14" spans="1:5" ht="15.75" thickBot="1" x14ac:dyDescent="0.3">
      <c r="A14" s="25" t="s">
        <v>38</v>
      </c>
      <c r="B14" s="26">
        <f>(((1+B4+B7+B8)*(1+B6)*(1+B5))/(1-B9))-1</f>
        <v>0.22474058685057496</v>
      </c>
      <c r="C14" s="27">
        <v>0.22950000000000001</v>
      </c>
      <c r="D14" s="21">
        <v>0.24790000000000001</v>
      </c>
      <c r="E14" s="21">
        <v>0.27800000000000002</v>
      </c>
    </row>
    <row r="15" spans="1:5" x14ac:dyDescent="0.25">
      <c r="A15" s="28" t="s">
        <v>39</v>
      </c>
      <c r="B15" s="29"/>
      <c r="C15" s="30"/>
      <c r="D15" s="30"/>
      <c r="E15" s="30"/>
    </row>
    <row r="16" spans="1:5" x14ac:dyDescent="0.25">
      <c r="A16" s="117" t="s">
        <v>40</v>
      </c>
      <c r="B16" s="117"/>
      <c r="C16" s="118">
        <v>0.2034</v>
      </c>
      <c r="D16" s="118">
        <v>0.22120000000000001</v>
      </c>
      <c r="E16" s="118">
        <v>0.25</v>
      </c>
    </row>
    <row r="17" spans="1:5" x14ac:dyDescent="0.25">
      <c r="A17" s="117"/>
      <c r="B17" s="117"/>
      <c r="C17" s="118"/>
      <c r="D17" s="118"/>
      <c r="E17" s="118"/>
    </row>
    <row r="18" spans="1:5" x14ac:dyDescent="0.25">
      <c r="A18" s="15"/>
      <c r="B18" s="1"/>
      <c r="C18" s="15"/>
      <c r="D18" s="15"/>
      <c r="E18" s="15"/>
    </row>
  </sheetData>
  <mergeCells count="10">
    <mergeCell ref="A16:B17"/>
    <mergeCell ref="C16:C17"/>
    <mergeCell ref="D16:D17"/>
    <mergeCell ref="E16:E17"/>
    <mergeCell ref="A1:E1"/>
    <mergeCell ref="A2:B2"/>
    <mergeCell ref="C2:E2"/>
    <mergeCell ref="C9:E11"/>
    <mergeCell ref="C12:E12"/>
    <mergeCell ref="C13:E1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2E6E-4C42-4620-A0BE-DD26DE0F78E1}">
  <dimension ref="A1:E18"/>
  <sheetViews>
    <sheetView topLeftCell="A25" workbookViewId="0">
      <selection activeCell="B14" sqref="B14"/>
    </sheetView>
  </sheetViews>
  <sheetFormatPr defaultRowHeight="15" x14ac:dyDescent="0.25"/>
  <cols>
    <col min="1" max="1" width="27.42578125" customWidth="1"/>
  </cols>
  <sheetData>
    <row r="1" spans="1:5" ht="15.75" x14ac:dyDescent="0.25">
      <c r="A1" s="119" t="s">
        <v>17</v>
      </c>
      <c r="B1" s="119"/>
      <c r="C1" s="119"/>
      <c r="D1" s="119"/>
      <c r="E1" s="119"/>
    </row>
    <row r="2" spans="1:5" ht="15.75" thickBot="1" x14ac:dyDescent="0.3">
      <c r="A2" s="120" t="s">
        <v>18</v>
      </c>
      <c r="B2" s="120"/>
      <c r="C2" s="121" t="s">
        <v>19</v>
      </c>
      <c r="D2" s="121"/>
      <c r="E2" s="121"/>
    </row>
    <row r="3" spans="1:5" ht="48" x14ac:dyDescent="0.25">
      <c r="A3" s="16" t="s">
        <v>20</v>
      </c>
      <c r="B3" s="17" t="s">
        <v>21</v>
      </c>
      <c r="C3" s="18" t="s">
        <v>22</v>
      </c>
      <c r="D3" s="18" t="s">
        <v>23</v>
      </c>
      <c r="E3" s="18" t="s">
        <v>24</v>
      </c>
    </row>
    <row r="4" spans="1:5" x14ac:dyDescent="0.25">
      <c r="A4" s="19" t="s">
        <v>25</v>
      </c>
      <c r="B4" s="20">
        <v>0.03</v>
      </c>
      <c r="C4" s="21">
        <v>0.03</v>
      </c>
      <c r="D4" s="21">
        <v>0.04</v>
      </c>
      <c r="E4" s="21">
        <v>5.5E-2</v>
      </c>
    </row>
    <row r="5" spans="1:5" x14ac:dyDescent="0.25">
      <c r="A5" s="19" t="s">
        <v>26</v>
      </c>
      <c r="B5" s="20">
        <v>6.1600000000000002E-2</v>
      </c>
      <c r="C5" s="21">
        <v>6.1600000000000002E-2</v>
      </c>
      <c r="D5" s="21">
        <v>7.3999999999999996E-2</v>
      </c>
      <c r="E5" s="21">
        <v>8.9599999999999999E-2</v>
      </c>
    </row>
    <row r="6" spans="1:5" x14ac:dyDescent="0.25">
      <c r="A6" s="19" t="s">
        <v>27</v>
      </c>
      <c r="B6" s="20">
        <v>5.8999999999999999E-3</v>
      </c>
      <c r="C6" s="21">
        <v>5.8999999999999999E-3</v>
      </c>
      <c r="D6" s="21">
        <v>1.23E-2</v>
      </c>
      <c r="E6" s="21">
        <v>1.3899999999999999E-2</v>
      </c>
    </row>
    <row r="7" spans="1:5" x14ac:dyDescent="0.25">
      <c r="A7" s="19" t="s">
        <v>28</v>
      </c>
      <c r="B7" s="20">
        <v>8.0000000000000002E-3</v>
      </c>
      <c r="C7" s="21">
        <v>8.0000000000000002E-3</v>
      </c>
      <c r="D7" s="21">
        <v>8.0000000000000002E-3</v>
      </c>
      <c r="E7" s="21">
        <v>0.01</v>
      </c>
    </row>
    <row r="8" spans="1:5" x14ac:dyDescent="0.25">
      <c r="A8" s="19" t="s">
        <v>29</v>
      </c>
      <c r="B8" s="20">
        <v>9.7000000000000003E-3</v>
      </c>
      <c r="C8" s="21">
        <v>9.7000000000000003E-3</v>
      </c>
      <c r="D8" s="21">
        <v>1.2699999999999999E-2</v>
      </c>
      <c r="E8" s="21">
        <v>1.2699999999999999E-2</v>
      </c>
    </row>
    <row r="9" spans="1:5" x14ac:dyDescent="0.25">
      <c r="A9" s="19" t="s">
        <v>30</v>
      </c>
      <c r="B9" s="22">
        <f>B10+B11+B12+B13</f>
        <v>0.1065</v>
      </c>
      <c r="C9" s="122" t="s">
        <v>31</v>
      </c>
      <c r="D9" s="123"/>
      <c r="E9" s="124"/>
    </row>
    <row r="10" spans="1:5" x14ac:dyDescent="0.25">
      <c r="A10" s="19" t="s">
        <v>32</v>
      </c>
      <c r="B10" s="23">
        <v>6.4999999999999997E-3</v>
      </c>
      <c r="C10" s="125"/>
      <c r="D10" s="109"/>
      <c r="E10" s="126"/>
    </row>
    <row r="11" spans="1:5" x14ac:dyDescent="0.25">
      <c r="A11" s="19" t="s">
        <v>33</v>
      </c>
      <c r="B11" s="23">
        <v>0.03</v>
      </c>
      <c r="C11" s="127"/>
      <c r="D11" s="128"/>
      <c r="E11" s="129"/>
    </row>
    <row r="12" spans="1:5" x14ac:dyDescent="0.25">
      <c r="A12" s="19" t="s">
        <v>34</v>
      </c>
      <c r="B12" s="23">
        <v>0.05</v>
      </c>
      <c r="C12" s="118" t="s">
        <v>35</v>
      </c>
      <c r="D12" s="118"/>
      <c r="E12" s="118"/>
    </row>
    <row r="13" spans="1:5" x14ac:dyDescent="0.25">
      <c r="A13" s="19" t="s">
        <v>36</v>
      </c>
      <c r="B13" s="24">
        <v>0.02</v>
      </c>
      <c r="C13" s="118" t="s">
        <v>37</v>
      </c>
      <c r="D13" s="118"/>
      <c r="E13" s="118"/>
    </row>
    <row r="14" spans="1:5" ht="15.75" thickBot="1" x14ac:dyDescent="0.3">
      <c r="A14" s="25" t="s">
        <v>38</v>
      </c>
      <c r="B14" s="26">
        <f>(((1+B4+B7+B8)*(1+B6)*(1+B5))/(1-B9))-1</f>
        <v>0.25215503759149449</v>
      </c>
      <c r="C14" s="27">
        <v>0.22950000000000001</v>
      </c>
      <c r="D14" s="21">
        <v>0.24790000000000001</v>
      </c>
      <c r="E14" s="21">
        <v>0.27800000000000002</v>
      </c>
    </row>
    <row r="15" spans="1:5" x14ac:dyDescent="0.25">
      <c r="A15" s="28" t="s">
        <v>39</v>
      </c>
      <c r="B15" s="29"/>
      <c r="C15" s="30"/>
      <c r="D15" s="30"/>
      <c r="E15" s="30"/>
    </row>
    <row r="16" spans="1:5" x14ac:dyDescent="0.25">
      <c r="A16" s="117" t="s">
        <v>40</v>
      </c>
      <c r="B16" s="117"/>
      <c r="C16" s="118">
        <v>0.2034</v>
      </c>
      <c r="D16" s="118">
        <v>0.22120000000000001</v>
      </c>
      <c r="E16" s="118">
        <v>0.25</v>
      </c>
    </row>
    <row r="17" spans="1:5" ht="33" customHeight="1" x14ac:dyDescent="0.25">
      <c r="A17" s="117"/>
      <c r="B17" s="117"/>
      <c r="C17" s="118"/>
      <c r="D17" s="118"/>
      <c r="E17" s="118"/>
    </row>
    <row r="18" spans="1:5" x14ac:dyDescent="0.25">
      <c r="A18" s="15"/>
      <c r="B18" s="1"/>
      <c r="C18" s="15"/>
      <c r="D18" s="15"/>
      <c r="E18" s="15"/>
    </row>
  </sheetData>
  <mergeCells count="10">
    <mergeCell ref="A16:B17"/>
    <mergeCell ref="C16:C17"/>
    <mergeCell ref="D16:D17"/>
    <mergeCell ref="E16:E17"/>
    <mergeCell ref="A1:E1"/>
    <mergeCell ref="A2:B2"/>
    <mergeCell ref="C2:E2"/>
    <mergeCell ref="C9:E11"/>
    <mergeCell ref="C12:E12"/>
    <mergeCell ref="C13:E1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7B51-520D-4585-9607-21F4EF9CD05D}">
  <sheetPr>
    <pageSetUpPr fitToPage="1"/>
  </sheetPr>
  <dimension ref="A8:Q32"/>
  <sheetViews>
    <sheetView tabSelected="1" topLeftCell="B1" workbookViewId="0">
      <selection activeCell="J32" sqref="J32"/>
    </sheetView>
  </sheetViews>
  <sheetFormatPr defaultRowHeight="15" x14ac:dyDescent="0.25"/>
  <cols>
    <col min="2" max="2" width="33.85546875" customWidth="1"/>
    <col min="3" max="3" width="17.5703125" customWidth="1"/>
    <col min="4" max="4" width="20.7109375" customWidth="1"/>
    <col min="6" max="6" width="20.7109375" customWidth="1"/>
    <col min="8" max="8" width="20.7109375" customWidth="1"/>
    <col min="10" max="10" width="20.7109375" customWidth="1"/>
    <col min="11" max="11" width="11.140625" customWidth="1"/>
    <col min="12" max="12" width="20.7109375" customWidth="1"/>
    <col min="13" max="13" width="12.5703125" customWidth="1"/>
    <col min="14" max="14" width="20.7109375" customWidth="1"/>
    <col min="15" max="15" width="10.140625" customWidth="1"/>
    <col min="16" max="16" width="21" customWidth="1"/>
  </cols>
  <sheetData>
    <row r="8" spans="1:17" x14ac:dyDescent="0.25">
      <c r="A8" s="15" t="s">
        <v>1</v>
      </c>
      <c r="B8" s="15"/>
      <c r="C8" s="4" t="str">
        <f>ORÇAMENTO!D10</f>
        <v xml:space="preserve">REVITALIZAÇÃO DAS CALÇADAS DA EUGENIO MOTTA </v>
      </c>
      <c r="D8" s="4"/>
    </row>
    <row r="9" spans="1:17" x14ac:dyDescent="0.25">
      <c r="A9" s="15" t="s">
        <v>2</v>
      </c>
      <c r="B9" s="15"/>
      <c r="C9" s="4" t="str">
        <f>ORÇAMENTO!D11</f>
        <v xml:space="preserve">RUA CORONEL EUGENIO MOTTA </v>
      </c>
      <c r="D9" s="4"/>
    </row>
    <row r="10" spans="1:17" x14ac:dyDescent="0.25">
      <c r="A10" s="15" t="s">
        <v>3</v>
      </c>
      <c r="B10" s="15"/>
      <c r="C10" s="4" t="str">
        <f>ORÇAMENTO!D12</f>
        <v xml:space="preserve">SINAPI - 12/03/2024  -  CDHU 192 - NÃO DESONERADO </v>
      </c>
      <c r="D10" s="4"/>
    </row>
    <row r="11" spans="1:17" x14ac:dyDescent="0.25">
      <c r="A11" s="15" t="s">
        <v>4</v>
      </c>
      <c r="B11" s="15"/>
      <c r="C11" s="105">
        <f>ORÇAMENTO!D13</f>
        <v>0.22474058685057496</v>
      </c>
      <c r="D11" s="38"/>
    </row>
    <row r="12" spans="1:17" x14ac:dyDescent="0.25">
      <c r="A12" s="15" t="s">
        <v>5</v>
      </c>
      <c r="B12" s="15"/>
      <c r="C12" s="4" t="str">
        <f>ORÇAMENTO!D14</f>
        <v>EMPREITADA GLOBAL</v>
      </c>
      <c r="D12" s="4"/>
    </row>
    <row r="15" spans="1:17" x14ac:dyDescent="0.25">
      <c r="A15" s="132" t="s">
        <v>44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</row>
    <row r="16" spans="1:17" x14ac:dyDescent="0.2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</row>
    <row r="18" spans="1:17" ht="15.75" thickBot="1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x14ac:dyDescent="0.25">
      <c r="A19" s="55" t="s">
        <v>45</v>
      </c>
      <c r="B19" s="56" t="s">
        <v>46</v>
      </c>
      <c r="C19" s="56" t="s">
        <v>48</v>
      </c>
      <c r="D19" s="42" t="s">
        <v>120</v>
      </c>
      <c r="E19" s="42" t="s">
        <v>47</v>
      </c>
      <c r="F19" s="42" t="s">
        <v>121</v>
      </c>
      <c r="G19" s="42" t="s">
        <v>47</v>
      </c>
      <c r="H19" s="42" t="s">
        <v>122</v>
      </c>
      <c r="I19" s="43" t="s">
        <v>47</v>
      </c>
      <c r="J19" s="42" t="s">
        <v>123</v>
      </c>
      <c r="K19" s="43" t="s">
        <v>47</v>
      </c>
      <c r="L19" s="42" t="s">
        <v>158</v>
      </c>
      <c r="M19" s="43" t="s">
        <v>47</v>
      </c>
      <c r="N19" s="42" t="s">
        <v>159</v>
      </c>
      <c r="O19" s="43" t="s">
        <v>47</v>
      </c>
      <c r="P19" s="48" t="s">
        <v>16</v>
      </c>
      <c r="Q19" s="43" t="s">
        <v>47</v>
      </c>
    </row>
    <row r="20" spans="1:17" x14ac:dyDescent="0.25">
      <c r="A20" s="82">
        <v>1</v>
      </c>
      <c r="B20" s="83" t="str">
        <f>ORÇAMENTO!D18</f>
        <v xml:space="preserve">SERVIÇOS PRELIMINARES </v>
      </c>
      <c r="C20" s="84"/>
      <c r="D20" s="85"/>
      <c r="E20" s="86"/>
      <c r="F20" s="85"/>
      <c r="G20" s="86"/>
      <c r="H20" s="85"/>
      <c r="I20" s="87"/>
      <c r="J20" s="85"/>
      <c r="K20" s="87"/>
      <c r="L20" s="85"/>
      <c r="M20" s="87"/>
      <c r="N20" s="85"/>
      <c r="O20" s="87"/>
      <c r="P20" s="88"/>
      <c r="Q20" s="87"/>
    </row>
    <row r="21" spans="1:17" x14ac:dyDescent="0.25">
      <c r="A21" s="44" t="s">
        <v>51</v>
      </c>
      <c r="B21" s="54" t="str">
        <f>ORÇAMENTO!D20</f>
        <v>FORNECIMENTO E INSTALAÇÃO DE PLACA DE OBRA COM CHAPA GALVANIZADA E ESTRUTURA DE MADEIRA. AF_03/2022_PS</v>
      </c>
      <c r="C21" s="57">
        <f>ORÇAMENTO!I20</f>
        <v>1764.5600069999998</v>
      </c>
      <c r="D21" s="89">
        <f>E21*C21</f>
        <v>1764.5600069999998</v>
      </c>
      <c r="E21" s="90">
        <v>1</v>
      </c>
      <c r="F21" s="45"/>
      <c r="G21" s="46"/>
      <c r="H21" s="45"/>
      <c r="I21" s="47"/>
      <c r="J21" s="45"/>
      <c r="K21" s="47"/>
      <c r="L21" s="45"/>
      <c r="M21" s="47"/>
      <c r="N21" s="45"/>
      <c r="O21" s="47"/>
      <c r="P21" s="49">
        <f>SUM(D21)</f>
        <v>1764.5600069999998</v>
      </c>
      <c r="Q21" s="47">
        <f>P21/$C$30</f>
        <v>1.2305625274476237E-3</v>
      </c>
    </row>
    <row r="22" spans="1:17" x14ac:dyDescent="0.25">
      <c r="A22" s="44" t="s">
        <v>115</v>
      </c>
      <c r="B22" s="54" t="str">
        <f>ORÇAMENTO!D21</f>
        <v>Locação de container tipo depósito ‐ área mínima de 13,80 m²</v>
      </c>
      <c r="C22" s="57">
        <f>ORÇAMENTO!I21</f>
        <v>4237.6579519999996</v>
      </c>
      <c r="D22" s="45"/>
      <c r="E22" s="46"/>
      <c r="F22" s="45"/>
      <c r="G22" s="46"/>
      <c r="H22" s="89">
        <f>C22*I22</f>
        <v>1059.4144879999999</v>
      </c>
      <c r="I22" s="91">
        <v>0.25</v>
      </c>
      <c r="J22" s="89">
        <f>C22*K22</f>
        <v>1059.4144879999999</v>
      </c>
      <c r="K22" s="91">
        <v>0.25</v>
      </c>
      <c r="L22" s="89">
        <f>M22*C22</f>
        <v>1059.4144879999999</v>
      </c>
      <c r="M22" s="91">
        <v>0.25</v>
      </c>
      <c r="N22" s="89">
        <f>O22*C22</f>
        <v>1059.4144879999999</v>
      </c>
      <c r="O22" s="91">
        <v>0.25</v>
      </c>
      <c r="P22" s="49">
        <f>SUM(D22+F22+H22+J22+L22+N22)</f>
        <v>4237.6579519999996</v>
      </c>
      <c r="Q22" s="47">
        <f>P22/$C$30</f>
        <v>2.9552427002680222E-3</v>
      </c>
    </row>
    <row r="23" spans="1:17" x14ac:dyDescent="0.25">
      <c r="A23" s="82">
        <v>2</v>
      </c>
      <c r="B23" s="83" t="str">
        <f>ORÇAMENTO!D22</f>
        <v>RECONSTRUÇÃO DAS CALÇADAS</v>
      </c>
      <c r="C23" s="84"/>
      <c r="D23" s="85"/>
      <c r="E23" s="86"/>
      <c r="F23" s="85"/>
      <c r="G23" s="86"/>
      <c r="H23" s="85"/>
      <c r="I23" s="87"/>
      <c r="J23" s="85"/>
      <c r="K23" s="87"/>
      <c r="L23" s="85"/>
      <c r="M23" s="87"/>
      <c r="N23" s="85"/>
      <c r="O23" s="87"/>
      <c r="P23" s="88"/>
      <c r="Q23" s="87"/>
    </row>
    <row r="24" spans="1:17" x14ac:dyDescent="0.25">
      <c r="A24" s="44" t="s">
        <v>15</v>
      </c>
      <c r="B24" s="54" t="str">
        <f>ORÇAMENTO!D23</f>
        <v xml:space="preserve">Demolição das calçadas existentes </v>
      </c>
      <c r="C24" s="57">
        <f>ORÇAMENTO!I23</f>
        <v>119627.45109244999</v>
      </c>
      <c r="D24" s="45"/>
      <c r="E24" s="46"/>
      <c r="F24" s="89">
        <f>C24*G24</f>
        <v>59813.725546224996</v>
      </c>
      <c r="G24" s="90">
        <v>0.5</v>
      </c>
      <c r="H24" s="89">
        <f>C24*I24</f>
        <v>59813.725546224996</v>
      </c>
      <c r="I24" s="90">
        <v>0.5</v>
      </c>
      <c r="J24" s="45"/>
      <c r="K24" s="47"/>
      <c r="L24" s="45"/>
      <c r="M24" s="47"/>
      <c r="N24" s="45"/>
      <c r="O24" s="47"/>
      <c r="P24" s="49">
        <f>SUM(D24+F24+H24+J24+L24+N24)</f>
        <v>119627.45109244999</v>
      </c>
      <c r="Q24" s="47">
        <f>P24/$C$30</f>
        <v>8.3425362687845533E-2</v>
      </c>
    </row>
    <row r="25" spans="1:17" x14ac:dyDescent="0.25">
      <c r="A25" s="44" t="s">
        <v>42</v>
      </c>
      <c r="B25" s="54" t="str">
        <f>ORÇAMENTO!D26</f>
        <v xml:space="preserve">Contrapiso de concreto </v>
      </c>
      <c r="C25" s="57">
        <f>ORÇAMENTO!I26</f>
        <v>335043.44824663003</v>
      </c>
      <c r="D25" s="45"/>
      <c r="E25" s="46"/>
      <c r="F25" s="45"/>
      <c r="G25" s="46"/>
      <c r="H25" s="89">
        <f>I25*C25</f>
        <v>167521.72412331501</v>
      </c>
      <c r="I25" s="91">
        <v>0.5</v>
      </c>
      <c r="J25" s="89">
        <f>K25*C25</f>
        <v>167521.72412331501</v>
      </c>
      <c r="K25" s="91">
        <v>0.5</v>
      </c>
      <c r="L25" s="45"/>
      <c r="M25" s="47"/>
      <c r="N25" s="45"/>
      <c r="O25" s="47"/>
      <c r="P25" s="49">
        <f t="shared" ref="P25:P29" si="0">SUM(D25+F25+H25+J25+L25+N25)</f>
        <v>335043.44824663003</v>
      </c>
      <c r="Q25" s="47">
        <f>P25/$C$30</f>
        <v>0.23365139799359635</v>
      </c>
    </row>
    <row r="26" spans="1:17" x14ac:dyDescent="0.25">
      <c r="A26" s="44" t="s">
        <v>62</v>
      </c>
      <c r="B26" s="54" t="str">
        <f>ORÇAMENTO!D32</f>
        <v xml:space="preserve">Piso Microconcreto </v>
      </c>
      <c r="C26" s="57">
        <f>ORÇAMENTO!I32</f>
        <v>770340.2121816799</v>
      </c>
      <c r="D26" s="45"/>
      <c r="E26" s="46"/>
      <c r="F26" s="45"/>
      <c r="G26" s="46"/>
      <c r="H26" s="45"/>
      <c r="I26" s="47"/>
      <c r="J26" s="45"/>
      <c r="K26" s="47"/>
      <c r="L26" s="89">
        <f>M26*C26</f>
        <v>385170.10609083995</v>
      </c>
      <c r="M26" s="91">
        <v>0.5</v>
      </c>
      <c r="N26" s="89">
        <f>O26*C26</f>
        <v>385170.10609083995</v>
      </c>
      <c r="O26" s="91">
        <v>0.5</v>
      </c>
      <c r="P26" s="49">
        <f t="shared" si="0"/>
        <v>770340.2121816799</v>
      </c>
      <c r="Q26" s="47">
        <f t="shared" ref="Q26:Q29" si="1">P26/$C$30</f>
        <v>0.53721709363031411</v>
      </c>
    </row>
    <row r="27" spans="1:17" x14ac:dyDescent="0.25">
      <c r="A27" s="44" t="s">
        <v>71</v>
      </c>
      <c r="B27" s="54" t="str">
        <f>ORÇAMENTO!D34</f>
        <v xml:space="preserve">Piso Podotátil de concreto </v>
      </c>
      <c r="C27" s="57">
        <f>ORÇAMENTO!I34</f>
        <v>82832.079801129992</v>
      </c>
      <c r="D27" s="45"/>
      <c r="E27" s="46"/>
      <c r="F27" s="45"/>
      <c r="G27" s="46"/>
      <c r="H27" s="45"/>
      <c r="I27" s="47"/>
      <c r="J27" s="45"/>
      <c r="K27" s="47"/>
      <c r="L27" s="89">
        <f>M27*C27</f>
        <v>41416.039900564996</v>
      </c>
      <c r="M27" s="91">
        <v>0.5</v>
      </c>
      <c r="N27" s="89">
        <f>O27*C27</f>
        <v>41416.039900564996</v>
      </c>
      <c r="O27" s="91">
        <v>0.5</v>
      </c>
      <c r="P27" s="49">
        <f t="shared" si="0"/>
        <v>82832.079801129992</v>
      </c>
      <c r="Q27" s="47">
        <f t="shared" si="1"/>
        <v>5.7765138657492984E-2</v>
      </c>
    </row>
    <row r="28" spans="1:17" x14ac:dyDescent="0.25">
      <c r="A28" s="44" t="s">
        <v>73</v>
      </c>
      <c r="B28" s="54" t="str">
        <f>ORÇAMENTO!D36</f>
        <v xml:space="preserve">Drenagens </v>
      </c>
      <c r="C28" s="57">
        <f>ORÇAMENTO!I36</f>
        <v>117890.08395683997</v>
      </c>
      <c r="D28" s="45"/>
      <c r="E28" s="46"/>
      <c r="F28" s="89">
        <f>C28*G28</f>
        <v>35367.025187051986</v>
      </c>
      <c r="G28" s="90">
        <v>0.3</v>
      </c>
      <c r="H28" s="89">
        <f>C28*I28</f>
        <v>47156.033582735989</v>
      </c>
      <c r="I28" s="90">
        <v>0.4</v>
      </c>
      <c r="J28" s="89">
        <f>C28*K28</f>
        <v>35367.025187051986</v>
      </c>
      <c r="K28" s="90">
        <v>0.3</v>
      </c>
      <c r="L28" s="45"/>
      <c r="M28" s="46"/>
      <c r="N28" s="45"/>
      <c r="O28" s="46"/>
      <c r="P28" s="49">
        <f t="shared" si="0"/>
        <v>117890.08395683997</v>
      </c>
      <c r="Q28" s="47">
        <f t="shared" si="1"/>
        <v>8.2213763827495359E-2</v>
      </c>
    </row>
    <row r="29" spans="1:17" ht="15.75" thickBot="1" x14ac:dyDescent="0.3">
      <c r="A29" s="44" t="s">
        <v>109</v>
      </c>
      <c r="B29" s="54" t="str">
        <f>ORÇAMENTO!D42</f>
        <v xml:space="preserve">Remoção / Recolocação das tampas existentes </v>
      </c>
      <c r="C29" s="57">
        <f>ORÇAMENTO!I42</f>
        <v>2210.3385599999997</v>
      </c>
      <c r="D29" s="45"/>
      <c r="E29" s="46"/>
      <c r="F29" s="89">
        <f>C29*G29</f>
        <v>442.06771199999997</v>
      </c>
      <c r="G29" s="90">
        <v>0.2</v>
      </c>
      <c r="H29" s="89">
        <f>C29*I29</f>
        <v>442.06771199999997</v>
      </c>
      <c r="I29" s="91">
        <v>0.2</v>
      </c>
      <c r="J29" s="89">
        <f>C29*K29</f>
        <v>442.06771199999997</v>
      </c>
      <c r="K29" s="91">
        <v>0.2</v>
      </c>
      <c r="L29" s="89">
        <f>M29*C29</f>
        <v>442.06771199999997</v>
      </c>
      <c r="M29" s="91">
        <v>0.2</v>
      </c>
      <c r="N29" s="89">
        <f>O29*C29</f>
        <v>442.06771199999997</v>
      </c>
      <c r="O29" s="91">
        <v>0.2</v>
      </c>
      <c r="P29" s="49">
        <f t="shared" si="0"/>
        <v>2210.3385599999997</v>
      </c>
      <c r="Q29" s="47">
        <f t="shared" si="1"/>
        <v>1.5414379755397804E-3</v>
      </c>
    </row>
    <row r="30" spans="1:17" ht="15.75" thickBot="1" x14ac:dyDescent="0.3">
      <c r="A30" s="130" t="s">
        <v>16</v>
      </c>
      <c r="B30" s="131"/>
      <c r="C30" s="58">
        <f>SUM(C20:C29)</f>
        <v>1433945.8317977302</v>
      </c>
      <c r="D30" s="50">
        <f>SUM(D20:D29)</f>
        <v>1764.5600069999998</v>
      </c>
      <c r="E30" s="51">
        <f>D30/C30</f>
        <v>1.2305625274476237E-3</v>
      </c>
      <c r="F30" s="50">
        <f>SUM(F20:F29)</f>
        <v>95622.818445276978</v>
      </c>
      <c r="G30" s="51">
        <f>F30/C30</f>
        <v>6.6685098087279321E-2</v>
      </c>
      <c r="H30" s="50">
        <f>SUM(H20:H29)</f>
        <v>275992.965452276</v>
      </c>
      <c r="I30" s="52">
        <f>H30/C30</f>
        <v>0.19247098414189404</v>
      </c>
      <c r="J30" s="50">
        <f>SUM(J20:J29)</f>
        <v>204390.23151036701</v>
      </c>
      <c r="K30" s="52">
        <f>J30/C30</f>
        <v>0.14253692641522175</v>
      </c>
      <c r="L30" s="50">
        <f>SUM(L20:L29)</f>
        <v>428087.62819140492</v>
      </c>
      <c r="M30" s="52">
        <f>L30/C30</f>
        <v>0.29853821441407852</v>
      </c>
      <c r="N30" s="50">
        <f>SUM(N20:N29)</f>
        <v>428087.62819140492</v>
      </c>
      <c r="O30" s="52">
        <f>N30/C30</f>
        <v>0.29853821441407852</v>
      </c>
      <c r="P30" s="53">
        <f>SUM(P21:P29)</f>
        <v>1433945.8317977302</v>
      </c>
      <c r="Q30" s="52">
        <f>E30+G30+I30+K30+M30+O30</f>
        <v>0.99999999999999978</v>
      </c>
    </row>
    <row r="32" spans="1:17" x14ac:dyDescent="0.25">
      <c r="B32" t="str">
        <f>ORÇAMENTO!D48</f>
        <v>BOITUVA, 15 DE MARÇO DE 2024</v>
      </c>
    </row>
  </sheetData>
  <mergeCells count="2">
    <mergeCell ref="A30:B30"/>
    <mergeCell ref="A15:Q16"/>
  </mergeCells>
  <phoneticPr fontId="4" type="noConversion"/>
  <pageMargins left="0.511811024" right="0.511811024" top="0.78740157499999996" bottom="0.78740157499999996" header="0.31496062000000002" footer="0.31496062000000002"/>
  <pageSetup paperSize="9" scale="6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ORÇAMENTO</vt:lpstr>
      <vt:lpstr>MEMÓRIA</vt:lpstr>
      <vt:lpstr>BDI  - SEM Deson</vt:lpstr>
      <vt:lpstr>BDI  - COM Deson </vt:lpstr>
      <vt:lpstr>CRONOGRAMA </vt:lpstr>
      <vt:lpstr>'CRONOGRAMA 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2024-03-15T12:47:43Z</cp:lastPrinted>
  <dcterms:created xsi:type="dcterms:W3CDTF">2022-07-26T14:07:51Z</dcterms:created>
  <dcterms:modified xsi:type="dcterms:W3CDTF">2024-03-25T14:32:19Z</dcterms:modified>
</cp:coreProperties>
</file>