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icitaca\Licitações 2026\CONCORRENCIA\CC 05 2026 - PA 177 2026 - MANUTENÇÃO PREDIAL ESCOLAR\Croqui\"/>
    </mc:Choice>
  </mc:AlternateContent>
  <xr:revisionPtr revIDLastSave="0" documentId="8_{32C39B2B-7636-4884-B267-AF67E650EF5B}" xr6:coauthVersionLast="47" xr6:coauthVersionMax="47" xr10:uidLastSave="{00000000-0000-0000-0000-000000000000}"/>
  <bookViews>
    <workbookView xWindow="-120" yWindow="-120" windowWidth="29040" windowHeight="15720" xr2:uid="{49001A67-8130-4E43-9955-8136365C2403}"/>
  </bookViews>
  <sheets>
    <sheet name="PO EDUCAÇÃO 2026" sheetId="1" r:id="rId1"/>
    <sheet name="MC EDUCAÇÃO 2026" sheetId="2" r:id="rId2"/>
    <sheet name="CRONOGRAMA" sheetId="5" r:id="rId3"/>
  </sheets>
  <externalReferences>
    <externalReference r:id="rId4"/>
  </externalReferences>
  <definedNames>
    <definedName name="_xlnm.Print_Area" localSheetId="0">'PO EDUCAÇÃO 2026'!$A$1:$J$53</definedName>
    <definedName name="BDI.Opcao" hidden="1">[1]DADOS!$C$18</definedName>
    <definedName name="BDI.TipoObra" hidden="1">[1]BDI!$A$138:$A$146</definedName>
    <definedName name="DESONERACAO" hidden="1">IF(OR(Import.Desoneracao="DESONERADO",Import.Desoneracao="SIM"),"SIM","NÃO")</definedName>
    <definedName name="Import.Apelido" hidden="1">[1]DADOS!$C$16</definedName>
    <definedName name="Import.CR" hidden="1">[1]DADOS!$C$7</definedName>
    <definedName name="Import.DataBase" hidden="1">OFFSET([1]DADOS!$D$19,0,-1)</definedName>
    <definedName name="Import.DescLote" hidden="1">[1]DADOS!$C$17</definedName>
    <definedName name="Import.Desoneracao" hidden="1">OFFSET([1]DADOS!$D$18,0,-1)</definedName>
    <definedName name="Import.Proponente" hidden="1">[1]DADOS!$C$5</definedName>
    <definedName name="Import.TransfereGOV" hidden="1">[1]DADOS!$C$8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0" i="1" l="1"/>
  <c r="A13" i="5"/>
  <c r="A12" i="5"/>
  <c r="B10" i="5"/>
  <c r="B9" i="5"/>
  <c r="A9" i="5"/>
  <c r="A7" i="5"/>
  <c r="B23" i="5" s="1"/>
  <c r="A6" i="5"/>
  <c r="B22" i="5" s="1"/>
  <c r="A5" i="5"/>
  <c r="B21" i="5" s="1"/>
  <c r="A4" i="5"/>
  <c r="B20" i="5" s="1"/>
  <c r="A3" i="5"/>
  <c r="B19" i="5" s="1"/>
  <c r="A2" i="5"/>
  <c r="B18" i="5" s="1"/>
  <c r="C829" i="2"/>
  <c r="B824" i="2"/>
  <c r="E824" i="2" s="1"/>
  <c r="B823" i="2"/>
  <c r="E823" i="2" s="1"/>
  <c r="B822" i="2"/>
  <c r="E822" i="2" s="1"/>
  <c r="B818" i="2"/>
  <c r="C811" i="2"/>
  <c r="G806" i="2"/>
  <c r="G805" i="2"/>
  <c r="G804" i="2"/>
  <c r="E799" i="2"/>
  <c r="A795" i="2"/>
  <c r="E795" i="2" s="1"/>
  <c r="C790" i="2"/>
  <c r="D790" i="2" s="1"/>
  <c r="B786" i="2"/>
  <c r="A786" i="2"/>
  <c r="C782" i="2"/>
  <c r="E786" i="2" l="1"/>
  <c r="G807" i="2"/>
  <c r="G164" i="1" s="1"/>
  <c r="E825" i="2"/>
  <c r="I160" i="1" l="1"/>
  <c r="I161" i="1"/>
  <c r="I162" i="1"/>
  <c r="I163" i="1"/>
  <c r="I164" i="1"/>
  <c r="I165" i="1"/>
  <c r="I166" i="1"/>
  <c r="I167" i="1"/>
  <c r="I168" i="1"/>
  <c r="I169" i="1"/>
  <c r="I159" i="1"/>
  <c r="D169" i="1"/>
  <c r="I170" i="1" l="1"/>
  <c r="C23" i="5" s="1"/>
  <c r="H23" i="5" s="1"/>
  <c r="D776" i="2"/>
  <c r="D775" i="2"/>
  <c r="D777" i="2" s="1"/>
  <c r="B770" i="2"/>
  <c r="E770" i="2" s="1"/>
  <c r="B769" i="2"/>
  <c r="E769" i="2" s="1"/>
  <c r="E768" i="2"/>
  <c r="E767" i="2"/>
  <c r="E766" i="2"/>
  <c r="E765" i="2"/>
  <c r="E764" i="2"/>
  <c r="C759" i="2"/>
  <c r="E759" i="2" s="1"/>
  <c r="E758" i="2"/>
  <c r="C758" i="2"/>
  <c r="E757" i="2"/>
  <c r="C756" i="2"/>
  <c r="E756" i="2" s="1"/>
  <c r="C755" i="2"/>
  <c r="E755" i="2" s="1"/>
  <c r="E754" i="2"/>
  <c r="E749" i="2"/>
  <c r="B748" i="2"/>
  <c r="E748" i="2" s="1"/>
  <c r="B747" i="2"/>
  <c r="E747" i="2" s="1"/>
  <c r="E746" i="2"/>
  <c r="E745" i="2"/>
  <c r="C744" i="2"/>
  <c r="E744" i="2" s="1"/>
  <c r="C743" i="2"/>
  <c r="E743" i="2" s="1"/>
  <c r="C742" i="2"/>
  <c r="E742" i="2" s="1"/>
  <c r="C741" i="2"/>
  <c r="E741" i="2" s="1"/>
  <c r="B735" i="2"/>
  <c r="B734" i="2"/>
  <c r="B736" i="2" s="1"/>
  <c r="E725" i="2"/>
  <c r="E724" i="2"/>
  <c r="D719" i="2"/>
  <c r="D720" i="2" s="1"/>
  <c r="B714" i="2"/>
  <c r="D714" i="2" s="1"/>
  <c r="D715" i="2" s="1"/>
  <c r="D709" i="2"/>
  <c r="C704" i="2"/>
  <c r="E704" i="2" s="1"/>
  <c r="E703" i="2"/>
  <c r="C698" i="2"/>
  <c r="D698" i="2" s="1"/>
  <c r="D697" i="2"/>
  <c r="D692" i="2"/>
  <c r="B687" i="2"/>
  <c r="B685" i="2"/>
  <c r="B688" i="2" s="1"/>
  <c r="B681" i="2"/>
  <c r="C674" i="2"/>
  <c r="E674" i="2" s="1"/>
  <c r="E673" i="2"/>
  <c r="C672" i="2"/>
  <c r="E672" i="2" s="1"/>
  <c r="E671" i="2"/>
  <c r="D666" i="2"/>
  <c r="D661" i="2"/>
  <c r="D660" i="2"/>
  <c r="D655" i="2"/>
  <c r="D654" i="2"/>
  <c r="D649" i="2"/>
  <c r="B645" i="2"/>
  <c r="F636" i="2"/>
  <c r="C636" i="2"/>
  <c r="F635" i="2"/>
  <c r="C634" i="2"/>
  <c r="F634" i="2" s="1"/>
  <c r="F633" i="2"/>
  <c r="F632" i="2"/>
  <c r="D627" i="2"/>
  <c r="D622" i="2"/>
  <c r="D617" i="2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24" i="1"/>
  <c r="D156" i="1"/>
  <c r="D138" i="1"/>
  <c r="D137" i="1"/>
  <c r="D136" i="1"/>
  <c r="D131" i="1"/>
  <c r="D129" i="1"/>
  <c r="D128" i="1"/>
  <c r="E726" i="2" l="1"/>
  <c r="F637" i="2"/>
  <c r="D656" i="2"/>
  <c r="D662" i="2"/>
  <c r="E675" i="2"/>
  <c r="D699" i="2"/>
  <c r="E750" i="2"/>
  <c r="E705" i="2"/>
  <c r="F23" i="5"/>
  <c r="D23" i="5"/>
  <c r="I157" i="1"/>
  <c r="C22" i="5" s="1"/>
  <c r="F22" i="5" s="1"/>
  <c r="E760" i="2"/>
  <c r="E771" i="2"/>
  <c r="L23" i="5" l="1"/>
  <c r="D22" i="5"/>
  <c r="L22" i="5" s="1"/>
  <c r="G118" i="1"/>
  <c r="I118" i="1" s="1"/>
  <c r="G117" i="1"/>
  <c r="I117" i="1" s="1"/>
  <c r="G116" i="1"/>
  <c r="I116" i="1" s="1"/>
  <c r="G112" i="1"/>
  <c r="I112" i="1" s="1"/>
  <c r="G111" i="1"/>
  <c r="I111" i="1" s="1"/>
  <c r="G110" i="1"/>
  <c r="I110" i="1" s="1"/>
  <c r="D611" i="2"/>
  <c r="D610" i="2"/>
  <c r="D612" i="2" s="1"/>
  <c r="E604" i="2"/>
  <c r="E603" i="2"/>
  <c r="B595" i="2"/>
  <c r="B594" i="2"/>
  <c r="B596" i="2" s="1"/>
  <c r="B588" i="2"/>
  <c r="B587" i="2"/>
  <c r="B589" i="2" s="1"/>
  <c r="D580" i="2"/>
  <c r="D579" i="2"/>
  <c r="D581" i="2" s="1"/>
  <c r="G115" i="1" s="1"/>
  <c r="I115" i="1" s="1"/>
  <c r="B575" i="2"/>
  <c r="B568" i="2"/>
  <c r="D560" i="2"/>
  <c r="D559" i="2"/>
  <c r="D561" i="2" s="1"/>
  <c r="G114" i="1" s="1"/>
  <c r="I114" i="1" s="1"/>
  <c r="B553" i="2"/>
  <c r="B552" i="2"/>
  <c r="B546" i="2"/>
  <c r="B538" i="2"/>
  <c r="B531" i="2"/>
  <c r="B525" i="2"/>
  <c r="E517" i="2"/>
  <c r="E516" i="2"/>
  <c r="B515" i="2"/>
  <c r="E515" i="2" s="1"/>
  <c r="E518" i="2" s="1"/>
  <c r="G109" i="1" s="1"/>
  <c r="I109" i="1" s="1"/>
  <c r="F508" i="2"/>
  <c r="F507" i="2"/>
  <c r="F506" i="2"/>
  <c r="F509" i="2" s="1"/>
  <c r="G108" i="1" s="1"/>
  <c r="I108" i="1" s="1"/>
  <c r="B506" i="2"/>
  <c r="E500" i="2"/>
  <c r="E499" i="2"/>
  <c r="B498" i="2"/>
  <c r="E498" i="2" s="1"/>
  <c r="E501" i="2" s="1"/>
  <c r="G107" i="1" s="1"/>
  <c r="I107" i="1" s="1"/>
  <c r="A483" i="2"/>
  <c r="E483" i="2" s="1"/>
  <c r="E484" i="2" s="1"/>
  <c r="B492" i="2" s="1"/>
  <c r="E492" i="2" s="1"/>
  <c r="D477" i="2"/>
  <c r="D476" i="2"/>
  <c r="D470" i="2"/>
  <c r="D469" i="2"/>
  <c r="F464" i="2"/>
  <c r="F463" i="2"/>
  <c r="B462" i="2"/>
  <c r="F462" i="2" s="1"/>
  <c r="G105" i="1" l="1"/>
  <c r="I105" i="1" s="1"/>
  <c r="D471" i="2"/>
  <c r="D478" i="2"/>
  <c r="F465" i="2"/>
  <c r="B554" i="2"/>
  <c r="G113" i="1" s="1"/>
  <c r="I113" i="1" s="1"/>
  <c r="E605" i="2"/>
  <c r="B411" i="2"/>
  <c r="G98" i="1" s="1"/>
  <c r="I98" i="1" s="1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B421" i="2"/>
  <c r="G97" i="1" s="1"/>
  <c r="I97" i="1" s="1"/>
  <c r="D415" i="2"/>
  <c r="G96" i="1" s="1"/>
  <c r="I96" i="1" s="1"/>
  <c r="B405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99" i="1"/>
  <c r="B489" i="2" l="1"/>
  <c r="E489" i="2" s="1"/>
  <c r="E493" i="2" s="1"/>
  <c r="G106" i="1" s="1"/>
  <c r="I106" i="1" s="1"/>
  <c r="G102" i="1"/>
  <c r="I102" i="1" s="1"/>
  <c r="B491" i="2"/>
  <c r="E491" i="2" s="1"/>
  <c r="G119" i="1"/>
  <c r="I119" i="1" s="1"/>
  <c r="G104" i="1"/>
  <c r="I104" i="1" s="1"/>
  <c r="B490" i="2"/>
  <c r="E490" i="2" s="1"/>
  <c r="G103" i="1"/>
  <c r="I103" i="1" s="1"/>
  <c r="G121" i="1"/>
  <c r="I121" i="1" s="1"/>
  <c r="G95" i="1"/>
  <c r="I95" i="1" s="1"/>
  <c r="D456" i="2"/>
  <c r="G99" i="1" s="1"/>
  <c r="I99" i="1" s="1"/>
  <c r="D380" i="2"/>
  <c r="G92" i="1" s="1"/>
  <c r="I92" i="1" s="1"/>
  <c r="D359" i="2"/>
  <c r="G93" i="1" s="1"/>
  <c r="I93" i="1" s="1"/>
  <c r="D302" i="2"/>
  <c r="F338" i="2"/>
  <c r="G90" i="1" s="1"/>
  <c r="I90" i="1" s="1"/>
  <c r="D399" i="2"/>
  <c r="G94" i="1" s="1"/>
  <c r="I94" i="1" s="1"/>
  <c r="I122" i="1" l="1"/>
  <c r="C21" i="5" s="1"/>
  <c r="G91" i="1"/>
  <c r="I91" i="1" s="1"/>
  <c r="G89" i="1"/>
  <c r="I89" i="1" s="1"/>
  <c r="G86" i="1"/>
  <c r="I86" i="1" s="1"/>
  <c r="G74" i="1"/>
  <c r="I74" i="1" s="1"/>
  <c r="G71" i="1"/>
  <c r="I71" i="1" s="1"/>
  <c r="G65" i="1"/>
  <c r="I65" i="1" s="1"/>
  <c r="I72" i="1"/>
  <c r="I78" i="1"/>
  <c r="I79" i="1"/>
  <c r="I82" i="1"/>
  <c r="I83" i="1"/>
  <c r="E264" i="2"/>
  <c r="E263" i="2"/>
  <c r="E262" i="2"/>
  <c r="E261" i="2"/>
  <c r="C260" i="2"/>
  <c r="E260" i="2" s="1"/>
  <c r="C248" i="2"/>
  <c r="C247" i="2"/>
  <c r="C246" i="2"/>
  <c r="C245" i="2"/>
  <c r="C239" i="2"/>
  <c r="C238" i="2"/>
  <c r="C237" i="2"/>
  <c r="C236" i="2"/>
  <c r="D231" i="2"/>
  <c r="D230" i="2"/>
  <c r="D229" i="2"/>
  <c r="D224" i="2"/>
  <c r="D223" i="2"/>
  <c r="D222" i="2"/>
  <c r="D221" i="2"/>
  <c r="A207" i="2"/>
  <c r="C207" i="2" s="1"/>
  <c r="C208" i="2" s="1"/>
  <c r="G73" i="1" s="1"/>
  <c r="I73" i="1" s="1"/>
  <c r="C202" i="2"/>
  <c r="C203" i="2" s="1"/>
  <c r="G70" i="1" s="1"/>
  <c r="I70" i="1" s="1"/>
  <c r="B198" i="2"/>
  <c r="G69" i="1" s="1"/>
  <c r="I69" i="1" s="1"/>
  <c r="D192" i="2"/>
  <c r="G68" i="1" s="1"/>
  <c r="I68" i="1" s="1"/>
  <c r="D191" i="2"/>
  <c r="A187" i="2"/>
  <c r="C255" i="2" s="1"/>
  <c r="D255" i="2" s="1"/>
  <c r="E171" i="2"/>
  <c r="E170" i="2"/>
  <c r="G165" i="2"/>
  <c r="G164" i="2"/>
  <c r="G163" i="2"/>
  <c r="G158" i="2"/>
  <c r="G157" i="2"/>
  <c r="F151" i="2"/>
  <c r="F150" i="2"/>
  <c r="F144" i="2"/>
  <c r="G61" i="1" s="1"/>
  <c r="I61" i="1" s="1"/>
  <c r="B139" i="2"/>
  <c r="F139" i="2" s="1"/>
  <c r="B138" i="2"/>
  <c r="F138" i="2" s="1"/>
  <c r="F137" i="2"/>
  <c r="C131" i="2"/>
  <c r="G131" i="2" s="1"/>
  <c r="C130" i="2"/>
  <c r="G130" i="2" s="1"/>
  <c r="C129" i="2"/>
  <c r="G129" i="2" s="1"/>
  <c r="C124" i="2"/>
  <c r="D124" i="2" s="1"/>
  <c r="D125" i="2" s="1"/>
  <c r="G58" i="1" s="1"/>
  <c r="C119" i="2"/>
  <c r="B119" i="2"/>
  <c r="C114" i="2"/>
  <c r="D114" i="2" s="1"/>
  <c r="D115" i="2" s="1"/>
  <c r="G56" i="1" s="1"/>
  <c r="I56" i="1" s="1"/>
  <c r="B109" i="2"/>
  <c r="G55" i="1" s="1"/>
  <c r="I55" i="1" s="1"/>
  <c r="E104" i="2"/>
  <c r="E105" i="2" s="1"/>
  <c r="E99" i="2"/>
  <c r="E100" i="2" s="1"/>
  <c r="G53" i="1" s="1"/>
  <c r="I53" i="1" s="1"/>
  <c r="F21" i="5" l="1"/>
  <c r="D21" i="5"/>
  <c r="L21" i="5" s="1"/>
  <c r="I100" i="1"/>
  <c r="C20" i="5" s="1"/>
  <c r="G66" i="1"/>
  <c r="I66" i="1" s="1"/>
  <c r="G159" i="2"/>
  <c r="D193" i="2"/>
  <c r="G67" i="1"/>
  <c r="I67" i="1" s="1"/>
  <c r="E172" i="2"/>
  <c r="G64" i="1" s="1"/>
  <c r="I64" i="1" s="1"/>
  <c r="E265" i="2"/>
  <c r="G84" i="1" s="1"/>
  <c r="I84" i="1" s="1"/>
  <c r="D232" i="2"/>
  <c r="G77" i="1" s="1"/>
  <c r="I77" i="1" s="1"/>
  <c r="G132" i="2"/>
  <c r="G59" i="1" s="1"/>
  <c r="I59" i="1" s="1"/>
  <c r="G166" i="2"/>
  <c r="C254" i="2"/>
  <c r="D254" i="2" s="1"/>
  <c r="G54" i="1"/>
  <c r="I54" i="1" s="1"/>
  <c r="B215" i="2"/>
  <c r="E215" i="2" s="1"/>
  <c r="I58" i="1"/>
  <c r="F119" i="2"/>
  <c r="F120" i="2" s="1"/>
  <c r="G57" i="1" s="1"/>
  <c r="I57" i="1" s="1"/>
  <c r="C249" i="2"/>
  <c r="G81" i="1" s="1"/>
  <c r="I81" i="1" s="1"/>
  <c r="F140" i="2"/>
  <c r="G60" i="1" s="1"/>
  <c r="I60" i="1" s="1"/>
  <c r="D225" i="2"/>
  <c r="G76" i="1" s="1"/>
  <c r="I76" i="1" s="1"/>
  <c r="C240" i="2"/>
  <c r="G80" i="1" s="1"/>
  <c r="I80" i="1" s="1"/>
  <c r="C253" i="2"/>
  <c r="D253" i="2" s="1"/>
  <c r="B213" i="2"/>
  <c r="E213" i="2" s="1"/>
  <c r="F152" i="2"/>
  <c r="G62" i="1" s="1"/>
  <c r="I62" i="1" s="1"/>
  <c r="B214" i="2"/>
  <c r="E214" i="2" s="1"/>
  <c r="J20" i="5" l="1"/>
  <c r="J24" i="5" s="1"/>
  <c r="H20" i="5"/>
  <c r="D20" i="5"/>
  <c r="F20" i="5"/>
  <c r="G63" i="1"/>
  <c r="I63" i="1" s="1"/>
  <c r="D256" i="2"/>
  <c r="G85" i="1" s="1"/>
  <c r="I85" i="1" s="1"/>
  <c r="E216" i="2"/>
  <c r="G75" i="1" s="1"/>
  <c r="I75" i="1" s="1"/>
  <c r="L20" i="5" l="1"/>
  <c r="I87" i="1"/>
  <c r="B77" i="2"/>
  <c r="D77" i="2" s="1"/>
  <c r="B76" i="2"/>
  <c r="D76" i="2" s="1"/>
  <c r="D93" i="2"/>
  <c r="D92" i="2"/>
  <c r="B87" i="2"/>
  <c r="E87" i="2" s="1"/>
  <c r="B86" i="2"/>
  <c r="E86" i="2" s="1"/>
  <c r="B85" i="2"/>
  <c r="E85" i="2" s="1"/>
  <c r="B84" i="2"/>
  <c r="E84" i="2" s="1"/>
  <c r="B83" i="2"/>
  <c r="E83" i="2" s="1"/>
  <c r="B71" i="2"/>
  <c r="B70" i="2"/>
  <c r="D36" i="2"/>
  <c r="F36" i="2" s="1"/>
  <c r="C21" i="2"/>
  <c r="D21" i="2" s="1"/>
  <c r="G49" i="2"/>
  <c r="G50" i="2"/>
  <c r="G48" i="2"/>
  <c r="E31" i="2"/>
  <c r="A26" i="2"/>
  <c r="E26" i="2" s="1"/>
  <c r="B17" i="2"/>
  <c r="A17" i="2"/>
  <c r="D12" i="2"/>
  <c r="G38" i="1" s="1"/>
  <c r="C19" i="5" l="1"/>
  <c r="G40" i="1"/>
  <c r="I40" i="1" s="1"/>
  <c r="G43" i="1"/>
  <c r="I43" i="1" s="1"/>
  <c r="G41" i="1"/>
  <c r="I41" i="1" s="1"/>
  <c r="G42" i="1"/>
  <c r="I42" i="1" s="1"/>
  <c r="D78" i="2"/>
  <c r="E88" i="2"/>
  <c r="G51" i="2"/>
  <c r="B41" i="2"/>
  <c r="E17" i="2"/>
  <c r="G39" i="1" s="1"/>
  <c r="D6" i="2"/>
  <c r="D7" i="2"/>
  <c r="D94" i="2"/>
  <c r="B72" i="2"/>
  <c r="E65" i="2"/>
  <c r="E64" i="2"/>
  <c r="G58" i="2"/>
  <c r="G57" i="2"/>
  <c r="D5" i="2"/>
  <c r="D50" i="1"/>
  <c r="D49" i="1"/>
  <c r="J38" i="1"/>
  <c r="D19" i="5" l="1"/>
  <c r="H19" i="5"/>
  <c r="F19" i="5"/>
  <c r="G49" i="1"/>
  <c r="I49" i="1" s="1"/>
  <c r="G50" i="1"/>
  <c r="I50" i="1" s="1"/>
  <c r="G47" i="1"/>
  <c r="I47" i="1" s="1"/>
  <c r="G48" i="1"/>
  <c r="I48" i="1" s="1"/>
  <c r="I39" i="1"/>
  <c r="A41" i="2"/>
  <c r="E66" i="2"/>
  <c r="G46" i="1" s="1"/>
  <c r="D8" i="2"/>
  <c r="G37" i="1" s="1"/>
  <c r="G59" i="2"/>
  <c r="G45" i="1" s="1"/>
  <c r="I38" i="1"/>
  <c r="L19" i="5" l="1"/>
  <c r="H24" i="5"/>
  <c r="I37" i="1"/>
  <c r="C42" i="2"/>
  <c r="J45" i="1"/>
  <c r="I45" i="1"/>
  <c r="C41" i="2"/>
  <c r="J37" i="1"/>
  <c r="C43" i="2" l="1"/>
  <c r="J47" i="1"/>
  <c r="G44" i="1" l="1"/>
  <c r="I44" i="1" s="1"/>
  <c r="I46" i="1"/>
  <c r="J46" i="1"/>
  <c r="J50" i="1"/>
  <c r="J49" i="1"/>
  <c r="I51" i="1" l="1"/>
  <c r="C18" i="5" s="1"/>
  <c r="D18" i="5" l="1"/>
  <c r="F18" i="5"/>
  <c r="C24" i="5"/>
  <c r="I171" i="1"/>
  <c r="E22" i="5" l="1"/>
  <c r="I21" i="5"/>
  <c r="G23" i="5"/>
  <c r="G19" i="5"/>
  <c r="I18" i="5"/>
  <c r="K22" i="5"/>
  <c r="E19" i="5"/>
  <c r="I23" i="5"/>
  <c r="G22" i="5"/>
  <c r="E20" i="5"/>
  <c r="K19" i="5"/>
  <c r="K23" i="5"/>
  <c r="I20" i="5"/>
  <c r="E21" i="5"/>
  <c r="G20" i="5"/>
  <c r="I19" i="5"/>
  <c r="I22" i="5"/>
  <c r="K18" i="5"/>
  <c r="K20" i="5"/>
  <c r="K21" i="5"/>
  <c r="G21" i="5"/>
  <c r="E23" i="5"/>
  <c r="F24" i="5"/>
  <c r="G18" i="5"/>
  <c r="L18" i="5"/>
  <c r="L24" i="5" s="1"/>
  <c r="E18" i="5"/>
  <c r="D24" i="5"/>
  <c r="M21" i="5" l="1"/>
  <c r="M19" i="5"/>
  <c r="M23" i="5"/>
  <c r="M18" i="5"/>
  <c r="M20" i="5"/>
  <c r="M22" i="5"/>
  <c r="M24" i="5" l="1"/>
</calcChain>
</file>

<file path=xl/sharedStrings.xml><?xml version="1.0" encoding="utf-8"?>
<sst xmlns="http://schemas.openxmlformats.org/spreadsheetml/2006/main" count="1531" uniqueCount="542">
  <si>
    <t>Unidade:</t>
  </si>
  <si>
    <t>Endereço: Rua Rosa Marsola de Campos, 40 - Parque Residencial de Lorenzi – Boituva – São Paulo</t>
  </si>
  <si>
    <t>Base:</t>
  </si>
  <si>
    <t>BDI SEM DESONERAÇÃO</t>
  </si>
  <si>
    <t>BDI COM DESONERAÇÃO</t>
  </si>
  <si>
    <t>PLANILHA DE ORÇAMENTO</t>
  </si>
  <si>
    <t>ITEM</t>
  </si>
  <si>
    <t>BASE</t>
  </si>
  <si>
    <t>CÓDIGO</t>
  </si>
  <si>
    <t>DESCRIÇÃO</t>
  </si>
  <si>
    <t>UNIDADE</t>
  </si>
  <si>
    <t>QUANT</t>
  </si>
  <si>
    <t>R$ UNITARIO SEM DESONERAÇÃO</t>
  </si>
  <si>
    <t>R$ UNITÁRIO COM DESON ERAÇÃO</t>
  </si>
  <si>
    <t>TOTAL SEM DESONERAÇÃO</t>
  </si>
  <si>
    <t>TOTAL COM DESONERAÇÃO</t>
  </si>
  <si>
    <t>3.1</t>
  </si>
  <si>
    <t>SINAPI</t>
  </si>
  <si>
    <t>M²</t>
  </si>
  <si>
    <t>3.2</t>
  </si>
  <si>
    <t>M</t>
  </si>
  <si>
    <t>3.3</t>
  </si>
  <si>
    <t>3.4</t>
  </si>
  <si>
    <t>3.5</t>
  </si>
  <si>
    <t>3.6</t>
  </si>
  <si>
    <t>3.7</t>
  </si>
  <si>
    <t>CDHU</t>
  </si>
  <si>
    <t>33.11.050</t>
  </si>
  <si>
    <t>3.8</t>
  </si>
  <si>
    <t>55.01.020</t>
  </si>
  <si>
    <t>TOTAL</t>
  </si>
  <si>
    <t xml:space="preserve"> C.E.M.E.I. profª. "Sylcéia Vera Galvão Mouro"</t>
  </si>
  <si>
    <t>REMOÇÃO DE TOLDO EXISTENTE</t>
  </si>
  <si>
    <t>local</t>
  </si>
  <si>
    <t>largura</t>
  </si>
  <si>
    <t>comprimento</t>
  </si>
  <si>
    <t>total</t>
  </si>
  <si>
    <t>entrada</t>
  </si>
  <si>
    <t>broca</t>
  </si>
  <si>
    <t>profun</t>
  </si>
  <si>
    <t>quant</t>
  </si>
  <si>
    <t>lateral entrada</t>
  </si>
  <si>
    <t>TRAMA DE AÇO</t>
  </si>
  <si>
    <t>altura</t>
  </si>
  <si>
    <t>peso especif.</t>
  </si>
  <si>
    <t>TELHA TERMOACÚSTICO</t>
  </si>
  <si>
    <t>incl.</t>
  </si>
  <si>
    <t>CALHA/RUFO</t>
  </si>
  <si>
    <t>PINTURA NA ESTRUTURA</t>
  </si>
  <si>
    <t>LIMPEZA FINAL</t>
  </si>
  <si>
    <t>Localização:</t>
  </si>
  <si>
    <t>23°17'33"S 47°39'49"W</t>
  </si>
  <si>
    <t>C.E.M.E.I. profª. "Sylcéia Vera Galvão Mouro"</t>
  </si>
  <si>
    <t>CDHU - 200</t>
  </si>
  <si>
    <t>REMOÇÃO DE TRAMA METÁLICA PARA COBERTURA, DE FORMA MANUAL, SEM REAPROVEITAMENTO. AF_09/2023</t>
  </si>
  <si>
    <t>fundo</t>
  </si>
  <si>
    <t>quiosque/sala</t>
  </si>
  <si>
    <t>M³</t>
  </si>
  <si>
    <t>ESCAVAÇÃO</t>
  </si>
  <si>
    <t>FORMA</t>
  </si>
  <si>
    <t>ESCAVAÇÃO MANUAL PARA BLOCO DE COROAMENTO OU SAPATA (INCLUINDO ESCAVAÇÃO PARA COLOCAÇÃO DE FÔRMAS). AF_01/2024</t>
  </si>
  <si>
    <t>ARMAÇÃO DE BLOCO UTILIZANDO AÇO CA-50 DE 10 MM - MONTAGEM. AF_01/2024</t>
  </si>
  <si>
    <t>KG</t>
  </si>
  <si>
    <t>AÇO CA-50</t>
  </si>
  <si>
    <t>peso espec</t>
  </si>
  <si>
    <t>CONCRETO FCK = 40MPA, TRAÇO 1:1,4:1,8 (EM MASSA SECA DE CIMENTO/ AREIA MÉDIA/ SEIXO ROLADO) - PREPARO MECÂNICO COM BETONEIRA 600 L. AF_05/2021</t>
  </si>
  <si>
    <t>CONCRFETO FCK=40 MPA</t>
  </si>
  <si>
    <t>REATERRO MANUAL DE VALAS, COM COMPACTADOR DE SOLOS DE PERCUSSÃO. AF_08/2023</t>
  </si>
  <si>
    <t>REATERRO</t>
  </si>
  <si>
    <t>empolamento</t>
  </si>
  <si>
    <t>entulho</t>
  </si>
  <si>
    <t>escavação</t>
  </si>
  <si>
    <t>aterro</t>
  </si>
  <si>
    <t>ESTRUTURA</t>
  </si>
  <si>
    <t>COMPRIMENTO</t>
  </si>
  <si>
    <t>PESO</t>
  </si>
  <si>
    <t>LARGURA</t>
  </si>
  <si>
    <t>ALTURA</t>
  </si>
  <si>
    <t>PILAR FUNDO</t>
  </si>
  <si>
    <t>3.9</t>
  </si>
  <si>
    <t>3.11</t>
  </si>
  <si>
    <t>46.25.050</t>
  </si>
  <si>
    <t>Condutor em PVC 88mm, inclusive conexões - AP</t>
  </si>
  <si>
    <t>CONDUTOR DE ÁGUA</t>
  </si>
  <si>
    <t>estrutura</t>
  </si>
  <si>
    <t>C.E.I." AMANTINA ABUSSANRA THAME"</t>
  </si>
  <si>
    <t>ENDEREÇO: RUA BENEDITO SOLANO, 11 - PARQUE SÃO CAMILO - BOITUVA - S.PAULO</t>
  </si>
  <si>
    <t>C.E.I." AMANTINA ABUSSANRA THAME" - 23°16'44"S 47°40'41"W</t>
  </si>
  <si>
    <t>DEMOLIÇÃO DE ARGAMASSAS, DE FORMA MANUAL, SEM REAPROVEITAMENTO. AF_09/2023</t>
  </si>
  <si>
    <t>DEMOLIÇÃO DE ALVENARIA PARA QUALQUER TIPO DE BLOCO, DE FORMA MECANIZADA, SEM REAPROVEITAMENTO. AF_09/2023</t>
  </si>
  <si>
    <t>TUBO, PVC, SOLDÁVEL, DE 32MM, INSTALADO EM RAMAL OU SUB-RAMAL DE ÁGUA - FORNECIMENTO E INSTALAÇÃO. AF_06/2022</t>
  </si>
  <si>
    <t xml:space="preserve">CORTE E DOBRA DE AÇO CA-50, DIÂMETRO DE 8,0 MM. AF_06/2022 </t>
  </si>
  <si>
    <t>LASTRO COM MATERIAL GRANULAR, APLICAÇÃO EM BLOCOS DE COROAMENTO, ESPESSURA DE *5 CM*.
AF_01/2024</t>
  </si>
  <si>
    <t>LASTRO COM MATERIAL GRANULAR, APLICADO EM PISOS OU LAJES SOBRE SOLO, ESPESSURA DE *5 CM*. AF_01/2024</t>
  </si>
  <si>
    <t>CONCRETO FCK = 30MPA, TRAÇO 1:2,1:2,5 (EM MASSA SECA DE CIMENTO/ AREIA MÉDIA/ BRITA 1) - PREPARO MECÂNICO COM BETONEIRA 400 L. AF_05/2021</t>
  </si>
  <si>
    <t>REMOÇÃO CALHAS E RUFOS, DE FORMA MANUAL, SEM REAPROVEITAMENTO. AF_09/2023</t>
  </si>
  <si>
    <t>TUBO PVC, SÉRIE R, ÁGUA PLUVIAL, DN 75 MM, FORNECIDO E INSTALADO EM RAMAL DE ENCAMINHAMENTO. AF_06/2022</t>
  </si>
  <si>
    <t>TUBO PVC, SÉRIE R, ÁGUA PLUVIAL, DN 150 MM, FORNECIDO E INSTALADO EM RAMAL DE ENCAMINHAMENTO. AF_06/2022</t>
  </si>
  <si>
    <t>POÇO DE INSPEÇÃO CIRCULAR PARA DRENAGEM, EM CONCRETO PRÉ-MOLDADO, DIÂMETRO INTERNO = 0,60 M, PROFUNDIDADE = 0,90 M, EXCLUINDO TAMPÃO. AF_12/2020</t>
  </si>
  <si>
    <t>24.02.040</t>
  </si>
  <si>
    <t>Porta/portão tipo gradil sob medida</t>
  </si>
  <si>
    <t>DOBRADIÇA EM AÇO/FERRO, 3" X 21/2", E=1,9 A 2MM, SEN ANEL, CROMADO OU ZINCADO, TAMPA BOLA, COM PARAFUSOS. AF_10/2025</t>
  </si>
  <si>
    <t>FECHADURA DE EMBUTIR COM CILINDRO, EXTERNA, COMPLETA, ACABAMENTO PADRÃO MÉDIO, INCLUSO EXECUÇÃO DE FURO - FORNECIMENTO E INSTALAÇÃO. AF_10/2025</t>
  </si>
  <si>
    <t>ALVENARIA DE VEDAÇÃO DE BLOCOS VAZADOS DE CONCRETO APARENTE DE 19X19X39 CM (ESPESSURA 19 CM) E ARGAMASSA DE ASSENTAMENTO COM PREPARO EM BETONEIRA. AF_12/2021</t>
  </si>
  <si>
    <t>CINTA DE AMARRAÇÃO DE ALVENARIA MOLDADA IN LOCO COM UTILIZAÇÃO DE BLOCOS CANALETA, ESPESSURA DE *20* CM. AF_03/2024</t>
  </si>
  <si>
    <t>05.07.050</t>
  </si>
  <si>
    <t>Remoção de entulho de obra com caçamba metálica - material volumoso e misturado por alvenaria, terra, madeira, papel, plástico e metal</t>
  </si>
  <si>
    <t>PAREDE COM SISTEMA EM CHAPAS DE GESSO PARA DRYWALL, USO INTERNO, COM DUAS FACES DUPLAS E ESTRUTURA METÁLICA COM GUIAS DUPLAS PARA PAREDES COM ÁREA LÍQUIDA MENOR QUE 6 M2, COM VÃOS. AF_07/2023_PS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</si>
  <si>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</si>
  <si>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KIT DE PORTA-PRONTA DE MADEIRA EM ACABAMENTO MELAMÍNICO BRANCO, FOLHA LEVE OU MÉDIA, 90X210, EXCLUSIVE FECHADURA, FIXAÇÃO COM PREENCHIMENTO TOTAL DE ESPUMA EXPANSIVA - FORNECIMENTO E INSTALAÇÃO. AF_10/2025</t>
  </si>
  <si>
    <t>FECHADURA DE EMBUTIR SEM CILINDRO, PARA PORTAS INTERNAS, COMPLETA, ACABAMENTO PADRÃO MÉDIO, COM EXECUÇÃO DE FURO - FORNECIMENTO E INSTALAÇÃO. AF_10/2025</t>
  </si>
  <si>
    <t>ELETRODUTO FLEXÍVEL CORRUGADO, PEAD, DN 63 (2"), PARA REDE ENTERRADA DE DISTRIBUIÇÃO DE ENERGIA ELÉTRICA - FORNECIMENTO E INSTALAÇÃO. AF_12/2021</t>
  </si>
  <si>
    <t>TOMADA MÉDIA DE EMBUTIR (1 MÓDULO), 2P+T 10 A, INCLUINDO SUPORTE E PLACA - FORNECIMENTO E INSTALAÇÃO. AF_03/2023</t>
  </si>
  <si>
    <t>TOMADA MÉDIA DE EMBUTIR (2 MÓDULOS), 2P+T 20 A, INCLUINDO SUPORTE E PLACA - FORNECIMENTO E INSTALAÇÃO. AF_03/2023</t>
  </si>
  <si>
    <t>Limpeza final da obra</t>
  </si>
  <si>
    <t>DEMOLIÇÃO DE ARGAMASSA</t>
  </si>
  <si>
    <t>descrição</t>
  </si>
  <si>
    <t>piso de concreto</t>
  </si>
  <si>
    <t>DEMOLIÇÃO DE ALVENARIA</t>
  </si>
  <si>
    <t>muro</t>
  </si>
  <si>
    <t>ADEQUAÇÃO TUBULAÇÃO</t>
  </si>
  <si>
    <t>ESTACA/BROCA</t>
  </si>
  <si>
    <t>profund</t>
  </si>
  <si>
    <t>pilar</t>
  </si>
  <si>
    <t>tipo</t>
  </si>
  <si>
    <t>prof</t>
  </si>
  <si>
    <t>bloco</t>
  </si>
  <si>
    <t>FORMA BLOCO</t>
  </si>
  <si>
    <t>ferro</t>
  </si>
  <si>
    <t>quant estrut</t>
  </si>
  <si>
    <t>peso especif</t>
  </si>
  <si>
    <t>8mm</t>
  </si>
  <si>
    <t>LASTRO DE BRITA - viga/bloco</t>
  </si>
  <si>
    <t>viga</t>
  </si>
  <si>
    <t>LASTRO DE BRITA - piso</t>
  </si>
  <si>
    <t>piso</t>
  </si>
  <si>
    <t>CONCRETO</t>
  </si>
  <si>
    <t>BLOCO</t>
  </si>
  <si>
    <t>PISO</t>
  </si>
  <si>
    <t>PILAR DE AÇO</t>
  </si>
  <si>
    <t>tipo de aço</t>
  </si>
  <si>
    <t>espessura</t>
  </si>
  <si>
    <t>base</t>
  </si>
  <si>
    <t>pefil u</t>
  </si>
  <si>
    <t>VIGA METALICA</t>
  </si>
  <si>
    <t>caibro</t>
  </si>
  <si>
    <t>contravento</t>
  </si>
  <si>
    <t>TELHA METALICA</t>
  </si>
  <si>
    <t>incl</t>
  </si>
  <si>
    <t>nova cobertura</t>
  </si>
  <si>
    <t>cobertura existente</t>
  </si>
  <si>
    <t>CALHA</t>
  </si>
  <si>
    <t>frente</t>
  </si>
  <si>
    <t>escola</t>
  </si>
  <si>
    <t>secretaria</t>
  </si>
  <si>
    <t>ultima sala</t>
  </si>
  <si>
    <t>EMCAMINHAMENTO</t>
  </si>
  <si>
    <t>descida</t>
  </si>
  <si>
    <t>saida para guia</t>
  </si>
  <si>
    <t>CAIXA INSPEÇÃO</t>
  </si>
  <si>
    <t>caixa</t>
  </si>
  <si>
    <t>PORTÃO</t>
  </si>
  <si>
    <t>ALVENARIA</t>
  </si>
  <si>
    <t>REMOÇÃO DE ENTULHO</t>
  </si>
  <si>
    <t>material</t>
  </si>
  <si>
    <t>área</t>
  </si>
  <si>
    <t>argamassa</t>
  </si>
  <si>
    <t>alvenaria</t>
  </si>
  <si>
    <t>solo</t>
  </si>
  <si>
    <t>DRYWALL</t>
  </si>
  <si>
    <t>professores</t>
  </si>
  <si>
    <t>video</t>
  </si>
  <si>
    <t>janela</t>
  </si>
  <si>
    <t>ELETRODUTO</t>
  </si>
  <si>
    <t>tomadas</t>
  </si>
  <si>
    <t>iluminação</t>
  </si>
  <si>
    <t>CABO</t>
  </si>
  <si>
    <t>volume</t>
  </si>
  <si>
    <t>calha</t>
  </si>
  <si>
    <t>pintura</t>
  </si>
  <si>
    <t>drywall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</si>
  <si>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</si>
  <si>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</si>
  <si>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</si>
  <si>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</si>
  <si>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</si>
  <si>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</si>
  <si>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</si>
  <si>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</si>
  <si>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</si>
  <si>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</si>
  <si>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</si>
  <si>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</si>
  <si>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</si>
  <si>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</si>
  <si>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2.2</t>
  </si>
  <si>
    <t>2.1</t>
  </si>
  <si>
    <t>2.5</t>
  </si>
  <si>
    <t>2.3</t>
  </si>
  <si>
    <t>2.4</t>
  </si>
  <si>
    <t>2.6</t>
  </si>
  <si>
    <t>2.8</t>
  </si>
  <si>
    <t>2.9</t>
  </si>
  <si>
    <t>2.10</t>
  </si>
  <si>
    <t>2.11</t>
  </si>
  <si>
    <t>2.12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</si>
  <si>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</si>
  <si>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</si>
  <si>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</si>
  <si>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</si>
  <si>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</si>
  <si>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</si>
  <si>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</si>
  <si>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</si>
  <si>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</si>
  <si>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</si>
  <si>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</si>
  <si>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</si>
  <si>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</si>
  <si>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</si>
  <si>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</si>
  <si>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</si>
  <si>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</si>
  <si>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</si>
  <si>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</si>
  <si>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</si>
  <si>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</si>
  <si>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UNI</t>
  </si>
  <si>
    <t>SUBTOTAL</t>
  </si>
  <si>
    <t>C.E.I. profª. "Ana Cristina Favoretti da Silva"</t>
  </si>
  <si>
    <t>REMOÇÃO DE PISO DE MADEIRA (ASSOALHO E BARROTE), DE FORMA MANUAL, SEM REAPROVEITAMENTO. AF_09/2023</t>
  </si>
  <si>
    <t>EMASSAMENTO COM MASSA LÁTEX, APLICAÇÃO EM PAREDE, DUAS DEMÃOS, LIXAMENTO MANUAL. AF_04/2023</t>
  </si>
  <si>
    <t>RODAPÉ CERÂMICO DE 7CM DE ALTURA COM PLACAS TIPO ESMALTADA DE DIMENSÕES 80X80CM. AF_02/2023</t>
  </si>
  <si>
    <t>11.20.130</t>
  </si>
  <si>
    <t>Tratamento de fissuras estáveis (não ativas) em elementos de concreto</t>
  </si>
  <si>
    <t>RUFO EM CHAPA DE AÇO GALVANIZADO NÚMERO 24, CORTE DE 25 CM, INCLUSO TRANSPORTE VERTICAL.
AF_07/2019</t>
  </si>
  <si>
    <t>TRATAMENTO DE JUNTA DE DILATAÇÃO, COM TARUGO DE POLIETILENO E SELANTE PU, INCLUSO PREENCHIMENTO
COM ESPUMA EXPANSIVA PU. AF_09/2023</t>
  </si>
  <si>
    <t xml:space="preserve">ANA CRISTINA </t>
  </si>
  <si>
    <t>remoção piso</t>
  </si>
  <si>
    <t>berçário</t>
  </si>
  <si>
    <t>sala 01</t>
  </si>
  <si>
    <t>sala 02</t>
  </si>
  <si>
    <t>sala 03</t>
  </si>
  <si>
    <t>sala 04</t>
  </si>
  <si>
    <t>sala 05</t>
  </si>
  <si>
    <t>sala 06</t>
  </si>
  <si>
    <t>corredor</t>
  </si>
  <si>
    <t>pátio</t>
  </si>
  <si>
    <t>corredor 2</t>
  </si>
  <si>
    <t>direção</t>
  </si>
  <si>
    <t>corredor secretário</t>
  </si>
  <si>
    <t>hall sanitários</t>
  </si>
  <si>
    <t>remoção de entulho</t>
  </si>
  <si>
    <t>contrapiso</t>
  </si>
  <si>
    <t>emassamentO rodapé</t>
  </si>
  <si>
    <t>RODAPÉ</t>
  </si>
  <si>
    <t>reparo em trincas</t>
  </si>
  <si>
    <t>sanitário ampliação</t>
  </si>
  <si>
    <t>pintura em parede</t>
  </si>
  <si>
    <t>parede externa - trinca</t>
  </si>
  <si>
    <t>rufo</t>
  </si>
  <si>
    <t>área ampliada</t>
  </si>
  <si>
    <t>limpeza de obra</t>
  </si>
  <si>
    <t>5.5</t>
  </si>
  <si>
    <t>3.10</t>
  </si>
  <si>
    <t>TARUGO</t>
  </si>
  <si>
    <t>AMPLIAÇÃO TELHADO</t>
  </si>
  <si>
    <t>AMPLIAÇÃO INTERNO</t>
  </si>
  <si>
    <t>EMEF "ESMERALDA BERTOLLI LABRONICI"</t>
  </si>
  <si>
    <t>4.2</t>
  </si>
  <si>
    <t>4.3</t>
  </si>
  <si>
    <t>REMOÇÃO DE TRAMA DE MADEIRA PARA COBERTURA, DE FORMA MANUAL, SEM REAPROVEITAMENTO. AF_09/2023</t>
  </si>
  <si>
    <t>COMPACTAÇÃO MECÂNICA DE SOLO PARA EXECUÇÃO DE RADIER, PISO DE CONCRETO OU LAJE SOBRE SOLO, COM COMPACTADOR DE SOLOS A PERCUSSÃO. AF_09/2021</t>
  </si>
  <si>
    <t>POÇO DE INSPEÇÃO CIRCULAR PARA ESGOTO, EM ALVENARIA COM TIJOLOS CERÂMICOS MACIÇOS, DIÂMETRO INTERNO = 0,60 M, PROFUNDIDADE = 1,45 M, EXCLUINDO TAMPÃO. AF_12/2020_PA</t>
  </si>
  <si>
    <t>CAIXA DE GORDURA ESPECIAL (CAPACIDADE: 312 L - PARA ATÉ  146 PESSOAS SERVIDAS NO PICO), RETANGULAR, EM ALVENARIA COM BLOCOS DE CONCRETO, DIMENSÕES INTERNAS = 0,4X1,2 M, ALTURA INTERNA = 1 M. AF_12/2020</t>
  </si>
  <si>
    <t>POÇO DE INSPEÇÃO CIRCULAR PARA DRENAGEM, EM CONCRETO PRÉ-MOLDADO, DIÂMETRO INTERNO = 0,60 M, PROFUNDIDADE = 0,90 M, EXCLUINDO TAMPÃO. AF_12/2020_PA</t>
  </si>
  <si>
    <t>TAMPA PARA CAIXA TIPO R1, EM FERRO FUNDIDO, DIMENSÕES INTERNAS: 0,40 X 0,60 M - FORNECIMENTO E INSTALAÇÃO. AF_12/2020</t>
  </si>
  <si>
    <t>TRAMA DE MADEIRA COMPOSTA POR TERÇAS PARA TELHADOS DE ATÉ 2 ÁGUAS PARA TELHA ONDULADA DE FIBROCIMENTO, METÁLICA, PLÁSTICA OU TERMOACÚSTICA, INCLUSO TRANSPORTE VERTICAL. AF_07/2019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</si>
  <si>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</si>
  <si>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</si>
  <si>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</si>
  <si>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</si>
  <si>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</si>
  <si>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</si>
  <si>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</si>
  <si>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</si>
  <si>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</si>
  <si>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</si>
  <si>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</si>
  <si>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</si>
  <si>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</si>
  <si>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</si>
  <si>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</si>
  <si>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</si>
  <si>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</si>
  <si>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DEMOLIÇÃO DE CONCRETO</t>
  </si>
  <si>
    <t>LOCAL</t>
  </si>
  <si>
    <t>DIREITO</t>
  </si>
  <si>
    <t>ESQUERDO</t>
  </si>
  <si>
    <t>FUNDO CX INSPEÇÃO</t>
  </si>
  <si>
    <t>REMOÇÃO DE TELHA</t>
  </si>
  <si>
    <t>FRENTE</t>
  </si>
  <si>
    <t>FUNDO</t>
  </si>
  <si>
    <t>REMOÇÃO DE TELHAMENTO</t>
  </si>
  <si>
    <t>DEMOLIÇÃO DE ALVENARIA - CAIXA DE INSPEÇÃO</t>
  </si>
  <si>
    <t>PERIMETRO</t>
  </si>
  <si>
    <t>ESPESSURA</t>
  </si>
  <si>
    <t>MATERIAL</t>
  </si>
  <si>
    <t>ÁREA</t>
  </si>
  <si>
    <t>EMPOLAMENTO</t>
  </si>
  <si>
    <t>TELHAMENTO</t>
  </si>
  <si>
    <t>TELHA</t>
  </si>
  <si>
    <t>COMPACTAÇÃO DE SOLO</t>
  </si>
  <si>
    <t>QUANTIDADE</t>
  </si>
  <si>
    <t>LASTRO DE BRITA</t>
  </si>
  <si>
    <t>CALÇADA</t>
  </si>
  <si>
    <t>CAIXA DE INSPEÇÃO</t>
  </si>
  <si>
    <t>CAIXA DE GORDURA</t>
  </si>
  <si>
    <t>COZINHA</t>
  </si>
  <si>
    <t>CAIXA DE INSPEÇÃO - DRENAGEM</t>
  </si>
  <si>
    <t>TAMPA PARA CAIXA</t>
  </si>
  <si>
    <t>DRENAGEM</t>
  </si>
  <si>
    <t>TUBO PVC - 150MM - AGUA PLUVIAL</t>
  </si>
  <si>
    <t>TUBO PVC - 75MM - AGUA PLUVIAL</t>
  </si>
  <si>
    <t>JOELHO - 75MM - AGUA PLUVIAL</t>
  </si>
  <si>
    <t>LUVA - 75MM - AGUA PLUVIAL</t>
  </si>
  <si>
    <t>TUBO PVC - 150MM - ESGOTO</t>
  </si>
  <si>
    <t>TUBO PVC - 50MM - ESGOTO</t>
  </si>
  <si>
    <t>ESTRUTURA DE TELHAMENTO</t>
  </si>
  <si>
    <t>%</t>
  </si>
  <si>
    <t xml:space="preserve">E.M.E.F. profª. "Iris Castro Amadio" </t>
  </si>
  <si>
    <t>Unidades:</t>
  </si>
  <si>
    <t>Endereço: Rua Maria José de Oliveira Prestes, 435 – Bairro Parque Ecológico – Boituva S.P.</t>
  </si>
  <si>
    <t>23°17'26"S 47°39'18"W</t>
  </si>
  <si>
    <t xml:space="preserve">C.E.I." AMANTINA ABUSSANRA THAME" </t>
  </si>
  <si>
    <t xml:space="preserve"> 23°16'44"S 47°40'41"W</t>
  </si>
  <si>
    <t>ENDEREÇO: AVENIDA BRASIL, 05 - CENTRO - BOITUVA S.P.</t>
  </si>
  <si>
    <t xml:space="preserve">C.E.I. profª. "Ana Cristina Favoretti da Silva" </t>
  </si>
  <si>
    <t>23°16'44"S 47°40'24"W</t>
  </si>
  <si>
    <t>Endereço: Rua: Carmela Grando Batistela - Jardim Vitória – Boituva – São Paulo</t>
  </si>
  <si>
    <t>23°17'38"S 47°39'37"W</t>
  </si>
  <si>
    <t>C.E.I. "Josefina Franco Primo" - 23°17'12"S 47°40'08"W</t>
  </si>
  <si>
    <t>Endereço: Rua Seis de Setembro, 380 - Centro - Boituva S.P.</t>
  </si>
  <si>
    <t>23°17'12"S 47°40'08"W</t>
  </si>
  <si>
    <t>DEMOLIÇÃO DE REVESTIMENTO CERÂMICO, DE FORMA MECANIZADA COM MARTELETE, SEM REAPROVEITAMENTO.
AF_09/2023</t>
  </si>
  <si>
    <t>49.04.010</t>
  </si>
  <si>
    <t>32.07.226</t>
  </si>
  <si>
    <t xml:space="preserve">REMOÇÃO DE JANELAS, DE FORMA MANUAL, SEM REAPROVEITAMENTO. AF_09/2023 </t>
  </si>
  <si>
    <t>43.05.030</t>
  </si>
  <si>
    <t>TOMADA ALTA DE EMBUTIR (1 MÓDULO), 2P+T 20 A, INCLUINDO SUPORTE E PLACA - FORNECIMENTO E INSTALAÇÃO. AF_03/2023</t>
  </si>
  <si>
    <t>CABO DE COBRE FLEXÍVEL ISOLADO, 4 MM², ANTI-CHAMA 450/750 V, PARA CIRCUITOS TERMINAIS - FORNECIMENTO E INSTALAÇÃO. AF_03/2023</t>
  </si>
  <si>
    <t>INTERRUPTOR BIPOLAR (1 MÓDULO), 10A/250V, INCLUINDO SUPORTE E PLACA - FORNECIMENTO E INSTALAÇÃO. AF_03/2023</t>
  </si>
  <si>
    <t>ELETRODUTO FLEXÍVEL LISO, PEAD, DN 32 MM (1"), PARA CIRCUITOS TERMINAIS, INSTALADO EM PAREDE - FORNECIMENTO E INSTALAÇÃO. AF_03/2023</t>
  </si>
  <si>
    <t>24.03.200</t>
  </si>
  <si>
    <t>44.02.062</t>
  </si>
  <si>
    <t>25.01.110</t>
  </si>
  <si>
    <t>INSTALAÇÃO DE VIDRO LISO INCOLOR, E = 10 MM, EM ESQUADRIA DE ALUMÍNIO OU PVC, FIXADO COM BAGUETE. AF_01/2021_PS</t>
  </si>
  <si>
    <t>DEMOLIÇÃO DE ALVENARIA DE BLOCO FURADO, DE FORMA MANUAL, SEM REAPROVEITAMENTO. AF_09/2023</t>
  </si>
  <si>
    <t>REMOÇÃO DE PORTAS, DE FORMA MANUAL, SEM REAPROVEITAMENTO. AF_09/2023</t>
  </si>
  <si>
    <t>ALVENARIA DE VEDAÇÃO DE BLOCOS VAZADOS DE CONCRETO DE 14X19X39 CM (ESPESSURA 14 CM) E ARGAMASSA DE ASSENTAMENTO COM PREPARO EM BETONEIRA. AF_12/2021</t>
  </si>
  <si>
    <t>CHAPISCO APLICADO EM ALVENARIAS E ESTRUTURAS DE CONCRETO INTERNAS, COM COLHER DE PEDREIRO. ARGAMASSA TRAÇO 1:3 COM PREPARO EM BETONEIRA 400L. AF_10/2022</t>
  </si>
  <si>
    <t>EMBOÇO, EM ARGAMASSA TRAÇO 1:2:8, PREPARO MANUAL, APLICADO MANUALMENTE EM PAREDES INTERNAS DE AMBIENTES COM ÁREA MAIOR QUE 10M², E = 17,5MM, COM TALISCAS. AF_03/2024</t>
  </si>
  <si>
    <t>REVESTIMENTO CERÂMICO PARA PAREDES INTERNAS COM PLACAS TIPO ESMALTADA DE DIMENSÕES 20X20 CM APLICADAS NA ALTURA INTEIRA DAS PAREDES. AF_02/2023_PE</t>
  </si>
  <si>
    <t>EMASSAMENTO COM MASSA LÁTEX, APLICAÇÃO EM PAREDE, UMA DEMÃO, LIXAMENTO MANUAL. AF_04/2023</t>
  </si>
  <si>
    <t>EMASSAMENTO COM MASSA LÁTEX, APLICAÇÃO EM TETO, DUAS DEMÃOS, LIXAMENTO MANUAL. AF_04/2023</t>
  </si>
  <si>
    <t>FUNDO SELADOR ACRÍLICO, APLICAÇÃO MANUAL EM PAREDE, UMA DEMÃO. AF_04</t>
  </si>
  <si>
    <t>PORTA DE MADEIRA PARA VERNIZ, SEMI-OCA (LEVE OU MÉDIA), 70X210CM, ESPESSURA DE 3,5CM, INCLUSO DOBRADIÇAS - FORNECIMENTO E INSTALAÇÃO. AF_10/2025</t>
  </si>
  <si>
    <t>BATENTE PARA PORTA DE MADEIRA, PADRÃO MÉDIO - FORNECIMENTO E MONTAGEM. AF_10/2025</t>
  </si>
  <si>
    <t>ALIZAR DE 5X1,5CM PARA PORTA FIXADO COM PREGOS, PADRÃO POPULAR - FORNECIMENTO E INSTALAÇÃO. AF_10/2025</t>
  </si>
  <si>
    <t>RECOLOCAÇÃO DE FOLHAS DE PORTA DE MADEIRA LEVE OU MÉDIA DE 80CM DE LARGURA, CONSIDERANDO REAPROVEITAMENTO DO MATERIAL. AF_10/2025</t>
  </si>
  <si>
    <t>PINTURA VERNIZ (INCOLOR) ALQUÍDICO EM MADEIRA, USO INTERNO, 3 DEMÃOS. AF_01/2021</t>
  </si>
  <si>
    <t>UNI.</t>
  </si>
  <si>
    <t>UN.</t>
  </si>
  <si>
    <t>5.1</t>
  </si>
  <si>
    <t>5.2</t>
  </si>
  <si>
    <t>5.3</t>
  </si>
  <si>
    <t>5.4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</si>
  <si>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</si>
  <si>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</si>
  <si>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</si>
  <si>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</si>
  <si>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</si>
  <si>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</si>
  <si>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</si>
  <si>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</si>
  <si>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</si>
  <si>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</si>
  <si>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</si>
  <si>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</si>
  <si>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</si>
  <si>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</si>
  <si>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</si>
  <si>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</si>
  <si>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</si>
  <si>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</si>
  <si>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</si>
  <si>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</si>
  <si>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</si>
  <si>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</si>
  <si>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</si>
  <si>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</si>
  <si>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</si>
  <si>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</si>
  <si>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</si>
  <si>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</si>
  <si>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IRES DE CASTRO AMADIO</t>
  </si>
  <si>
    <t>REMOÇÃO DO PISO EXISTENTE</t>
  </si>
  <si>
    <t>cozinha</t>
  </si>
  <si>
    <t>CONTRAPISO</t>
  </si>
  <si>
    <t>PISO CERÂMICO</t>
  </si>
  <si>
    <t>ENTULHO</t>
  </si>
  <si>
    <t>cozinha - piso</t>
  </si>
  <si>
    <t>vão de porta</t>
  </si>
  <si>
    <t>remoção de passa prato</t>
  </si>
  <si>
    <t>remoção de exautor</t>
  </si>
  <si>
    <t>requadro porta corredor</t>
  </si>
  <si>
    <t>SELANTE</t>
  </si>
  <si>
    <t>pia cozinha</t>
  </si>
  <si>
    <t>TELA MOSQUETEIRA</t>
  </si>
  <si>
    <t>passa prato</t>
  </si>
  <si>
    <t>BANCADA</t>
  </si>
  <si>
    <t>apoio panelas</t>
  </si>
  <si>
    <t>REMOÇÃO DE JANELA</t>
  </si>
  <si>
    <t>exaustor</t>
  </si>
  <si>
    <t>PASSA PRATO</t>
  </si>
  <si>
    <t>TOMADAS</t>
  </si>
  <si>
    <t>cozinha - exautor</t>
  </si>
  <si>
    <t>cozinha - torneira</t>
  </si>
  <si>
    <t xml:space="preserve">CABO </t>
  </si>
  <si>
    <t>cozinha - tomada exaustor</t>
  </si>
  <si>
    <t>REMOÇÃO DE PORTA</t>
  </si>
  <si>
    <t>wc prof</t>
  </si>
  <si>
    <t>ALVENARIA DE VEDAÇÃO</t>
  </si>
  <si>
    <t>corredor prof</t>
  </si>
  <si>
    <t>CHAPISCO/EMBOÇO/REBOCO</t>
  </si>
  <si>
    <t>lados</t>
  </si>
  <si>
    <t>REVESTIMENTO CERÂMICO DE PAREDE</t>
  </si>
  <si>
    <t>EMASSAMENTO - parede</t>
  </si>
  <si>
    <t>EMASSAMENTO - teto</t>
  </si>
  <si>
    <t>SELADOR - PAREDE</t>
  </si>
  <si>
    <t>PORTA DE MADEIRA</t>
  </si>
  <si>
    <t>ALISAR</t>
  </si>
  <si>
    <t>sanitário</t>
  </si>
  <si>
    <t>EMASSAMENTO DE PAREDE</t>
  </si>
  <si>
    <t>porta wc prof</t>
  </si>
  <si>
    <t>porta corredor</t>
  </si>
  <si>
    <t>sala prof</t>
  </si>
  <si>
    <t>extero cozinha</t>
  </si>
  <si>
    <t xml:space="preserve">VERNIZ - PORTA </t>
  </si>
  <si>
    <t>sanitário - batente</t>
  </si>
  <si>
    <t>sanitário - alisar</t>
  </si>
  <si>
    <t>corredor - batente</t>
  </si>
  <si>
    <t>corredor - alisar</t>
  </si>
  <si>
    <t>ESMALTE</t>
  </si>
  <si>
    <t>pé da bancada</t>
  </si>
  <si>
    <t>bancada</t>
  </si>
  <si>
    <t>externo cozinha</t>
  </si>
  <si>
    <t>LIMPEZA DE OBRA</t>
  </si>
  <si>
    <t xml:space="preserve">C.E.I. "Josefina Franco Primo" </t>
  </si>
  <si>
    <t>C.E.I. "Josefina Franco Primo"</t>
  </si>
  <si>
    <t>Esmalte à base água em superfície metálica, inclusive preparo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</si>
  <si>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</si>
  <si>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</si>
  <si>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</si>
  <si>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</si>
  <si>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</si>
  <si>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</si>
  <si>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</si>
  <si>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</si>
  <si>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</si>
  <si>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</si>
  <si>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</si>
  <si>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TOTAL GERAL</t>
  </si>
  <si>
    <t xml:space="preserve">BROCA </t>
  </si>
  <si>
    <t>forma</t>
  </si>
  <si>
    <t>armação aço ca-50</t>
  </si>
  <si>
    <t>peso especi</t>
  </si>
  <si>
    <t>quant estr</t>
  </si>
  <si>
    <t>concreto</t>
  </si>
  <si>
    <t>estrutura de aço</t>
  </si>
  <si>
    <t xml:space="preserve">estrutura </t>
  </si>
  <si>
    <t>p. especif</t>
  </si>
  <si>
    <t>cobertura</t>
  </si>
  <si>
    <t>CALHA + RUFO</t>
  </si>
  <si>
    <t>esmalte</t>
  </si>
  <si>
    <t>perimetro</t>
  </si>
  <si>
    <t>limpeza</t>
  </si>
  <si>
    <t>UNIDADES EDUCACIONAIS</t>
  </si>
  <si>
    <t>UNIDADE EDUCACIONAL</t>
  </si>
  <si>
    <t>R$</t>
  </si>
  <si>
    <t>1º MÊS</t>
  </si>
  <si>
    <t>2º MÊS</t>
  </si>
  <si>
    <t>3º MÊS</t>
  </si>
  <si>
    <t>4º MÊS</t>
  </si>
  <si>
    <t>1.</t>
  </si>
  <si>
    <t>2.</t>
  </si>
  <si>
    <t>3.</t>
  </si>
  <si>
    <t>4.</t>
  </si>
  <si>
    <t>5.</t>
  </si>
  <si>
    <t>6.</t>
  </si>
  <si>
    <t>Elisa Harumi Nasu</t>
  </si>
  <si>
    <t>ENGENHEIRA CIVIL</t>
  </si>
  <si>
    <t>Ana Paula Palagi Bercht de Castro</t>
  </si>
  <si>
    <t>SECRETÁRIA DA EDUCAÇÃO</t>
  </si>
  <si>
    <t>(ASSINADO DIGITALMENTE)</t>
  </si>
  <si>
    <t>38.07.210</t>
  </si>
  <si>
    <r>
      <t>Vergalhão com rosca, porca e arruela de diâmetro 1/4´ (</t>
    </r>
    <r>
      <rPr>
        <b/>
        <sz val="11"/>
        <color theme="1"/>
        <rFont val="Calibri"/>
        <family val="2"/>
        <scheme val="minor"/>
      </rPr>
      <t>TIRANTE - LINHA DA VIDA</t>
    </r>
    <r>
      <rPr>
        <sz val="11"/>
        <color theme="1"/>
        <rFont val="Calibri"/>
        <family val="2"/>
        <scheme val="minor"/>
      </rPr>
      <t>)</t>
    </r>
  </si>
  <si>
    <t>12.01.021</t>
  </si>
  <si>
    <t>BROCA EM CONCRETO ARMADO DIÂMETRO DE 20 CM - COMPLETA</t>
  </si>
  <si>
    <t>SINAPI 01/2026</t>
  </si>
  <si>
    <t>FABRICAÇÃO, MONTAGEM E DESMONTAGEM DE FÔRMA PARA BLOCO DE COROAMENTO, EM MADEIRA SERRADA, E=25 MM, 2 UTILIZAÇÕES. AF_01/2024</t>
  </si>
  <si>
    <t>FDE</t>
  </si>
  <si>
    <t>07.03.135</t>
  </si>
  <si>
    <t>TELHA GALVALUME / ACO GALV SANDUICHE E=30MM (PIR) TRAPEZ H=40MM NAS DUAS FACES E= 0,50MM COM PINT FACES APARENTES</t>
  </si>
  <si>
    <t>08.12.017</t>
  </si>
  <si>
    <t>CALHA OU AGUA FURTADA EM CHAPA GALV. N 24 - CORTE 1,00M</t>
  </si>
  <si>
    <t>REMOÇÃO DE ENTULHO DE OBRA COM CAÇAMBA METÁLICA - MATERIAL VOLUMOSO E MISTURADO POR ALVENARIA, TERRA, MADEIRA, PAPEL, PLÁSTICO E METAL</t>
  </si>
  <si>
    <t>EXECUÇÃO DE PASSEIO (CALÇADA) OU PISO DE CONCRETO COM CONCRETO MOLDADO IN LOCO, FEITO EM OBRA, ACABAMENTO CONVENCIONAL, ESPESSURA 6 CM, ARMADO. AF_08/2022</t>
  </si>
  <si>
    <t>46.03.060</t>
  </si>
  <si>
    <t>TUBO DE PVC RÍGIDO PXB COM VIROLA E ANEL DE BORRACHA, LINHA ESGOTO SÉRIE REFORÇADA ´R´. DN= 150 MM, INCLUSIVE CONEXÕES</t>
  </si>
  <si>
    <t>TUBO DE PVC RÍGIDO PXB COM VIROLA E ANEL DE BORRACHA, LINHA ESGOTO SÉRIE REFORÇADA ´R´, DN= 75 MM, INCLUSIVE CONEXÕES</t>
  </si>
  <si>
    <t>46.03.040</t>
  </si>
  <si>
    <t>TUBO DE PVC RÍGIDO PXB COM VIROLA E ANEL DE BORRACHA, LINHA ESGOTO SÉRIE REFORÇADA ´R´, DN= 50 MM, INCLUSIVE CONEXÕES</t>
  </si>
  <si>
    <t>46.03.038</t>
  </si>
  <si>
    <t>Tubo de PVC rígido PxB com virola e anel de borracha, linha esgoto série reforçada ´R´, DN= 100 mm, inclusive conexões</t>
  </si>
  <si>
    <t>46.03.050</t>
  </si>
  <si>
    <t>CABO DE COBRE FLEXÍVEL ISOLADO, 6 MM², ANTI-CHAMA 0,6/1,0 KV, PARA CIRCUITOS TERMINAIS - FORNECIMENTO E INSTALAÇÃO. AF_03/2023</t>
  </si>
  <si>
    <t xml:space="preserve">CONTRAPISO EM ARGAMASSA PRONTA, PREPARO MANUAL, APLICADO EM ÁREAS SECAS SOBRE LAJE, ADERIDO, ACABAMENTO NÃO REFORÇADO, ESPESSURA 3CM. AF_07/2021
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</si>
  <si>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</si>
  <si>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</si>
  <si>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33.10.050</t>
  </si>
  <si>
    <t>Tinta acrílica em massa, inclusive preparo</t>
  </si>
  <si>
    <t>04.03.040</t>
  </si>
  <si>
    <t>Retirada de telhamento perfil e material qualquer, exceto barro</t>
  </si>
  <si>
    <t>DEMOLIÇÃO DE PISO DE CONCRETO SIMPLES, DE FORMA MANUAL, SEM REAPROVEITAMENTO. AF_09/2023</t>
  </si>
  <si>
    <t>FDE - 07/2025</t>
  </si>
  <si>
    <t>15.03.150</t>
  </si>
  <si>
    <t>Fornecimento e montagem de estrutura metálica em perfil metalon, sem pintura</t>
  </si>
  <si>
    <t>TELHA GALVALUME / ACO GALV SANDUICHE E=30MM (PUR) / (PIR) TRAPEZ H=40MM NAS DUAS FACES E= 0,50MM</t>
  </si>
  <si>
    <t>4.1</t>
  </si>
  <si>
    <t>2.7</t>
  </si>
  <si>
    <t>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</si>
</sst>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43A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wrapText="1"/>
    </xf>
    <xf numFmtId="2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/>
    <xf numFmtId="0" fontId="0" fillId="0" borderId="0" xfId="0" applyAlignment="1">
      <alignment horizontal="left" vertical="top"/>
    </xf>
    <xf numFmtId="0" fontId="1" fillId="0" borderId="0" xfId="0" applyFont="1"/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2" borderId="9" xfId="0" applyFont="1" applyFill="1" applyBorder="1"/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wrapText="1"/>
    </xf>
    <xf numFmtId="164" fontId="0" fillId="2" borderId="1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right" wrapText="1" inden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0" xfId="0" applyNumberFormat="1"/>
    <xf numFmtId="0" fontId="0" fillId="0" borderId="18" xfId="0" applyBorder="1" applyAlignment="1">
      <alignment horizontal="center"/>
    </xf>
    <xf numFmtId="164" fontId="0" fillId="0" borderId="9" xfId="0" applyNumberFormat="1" applyBorder="1"/>
    <xf numFmtId="10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0" fontId="0" fillId="0" borderId="20" xfId="0" applyNumberFormat="1" applyBorder="1"/>
    <xf numFmtId="164" fontId="0" fillId="0" borderId="9" xfId="0" applyNumberFormat="1" applyBorder="1" applyAlignment="1">
      <alignment horizontal="center"/>
    </xf>
    <xf numFmtId="164" fontId="0" fillId="0" borderId="18" xfId="0" applyNumberFormat="1" applyBorder="1"/>
    <xf numFmtId="164" fontId="0" fillId="0" borderId="20" xfId="0" applyNumberFormat="1" applyBorder="1"/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14" xfId="0" applyNumberFormat="1" applyBorder="1"/>
    <xf numFmtId="2" fontId="0" fillId="0" borderId="24" xfId="0" applyNumberFormat="1" applyBorder="1"/>
    <xf numFmtId="2" fontId="0" fillId="0" borderId="0" xfId="0" applyNumberFormat="1"/>
    <xf numFmtId="9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164" fontId="1" fillId="2" borderId="27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right" wrapText="1"/>
    </xf>
    <xf numFmtId="164" fontId="1" fillId="0" borderId="10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164" fontId="0" fillId="2" borderId="10" xfId="0" applyNumberFormat="1" applyFill="1" applyBorder="1" applyAlignment="1">
      <alignment horizontal="center"/>
    </xf>
    <xf numFmtId="10" fontId="0" fillId="0" borderId="0" xfId="2" applyNumberFormat="1" applyFont="1"/>
    <xf numFmtId="10" fontId="0" fillId="0" borderId="0" xfId="0" applyNumberFormat="1"/>
    <xf numFmtId="165" fontId="0" fillId="0" borderId="0" xfId="0" applyNumberFormat="1"/>
    <xf numFmtId="164" fontId="0" fillId="3" borderId="10" xfId="0" applyNumberForma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AppData\Local\Temp\948bbe6d-53b7-44b5-be82-c763744b7411_Planilha_Multipla_v3_16.zip.411\Planilha_Multipla_v3_16\Planilha_Multipla_v3_16.xlsm" TargetMode="External"/><Relationship Id="rId1" Type="http://schemas.openxmlformats.org/officeDocument/2006/relationships/externalLinkPath" Target="file:///C:\Users\user\AppData\Local\Temp\948bbe6d-53b7-44b5-be82-c763744b7411_Planilha_Multipla_v3_16.zip.411\Planilha_Multipla_v3_16\Planilha_Multipla_v3_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 refreshError="1"/>
      <sheetData sheetId="1" refreshError="1"/>
      <sheetData sheetId="2">
        <row r="18">
          <cell r="C18" t="str">
            <v>DESONERADO</v>
          </cell>
          <cell r="D18" t="str">
            <v/>
          </cell>
        </row>
        <row r="19">
          <cell r="D19" t="str">
            <v>◄</v>
          </cell>
        </row>
      </sheetData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74EBC-B805-432F-B174-906A69C43A97}">
  <dimension ref="A1:N367"/>
  <sheetViews>
    <sheetView tabSelected="1" zoomScale="115" zoomScaleNormal="115" workbookViewId="0">
      <selection activeCell="D46" sqref="D46"/>
    </sheetView>
  </sheetViews>
  <sheetFormatPr defaultRowHeight="15" x14ac:dyDescent="0.25"/>
  <cols>
    <col min="1" max="1" width="14.140625" customWidth="1"/>
    <col min="2" max="3" width="13.85546875" customWidth="1"/>
    <col min="4" max="4" width="103.28515625" customWidth="1"/>
    <col min="5" max="5" width="14.140625" style="1" customWidth="1"/>
    <col min="6" max="6" width="14.140625" style="2" customWidth="1"/>
    <col min="7" max="7" width="15.85546875" style="2" customWidth="1"/>
    <col min="8" max="8" width="14.140625" style="3" hidden="1" customWidth="1"/>
    <col min="9" max="9" width="25.85546875" style="3" customWidth="1"/>
    <col min="10" max="10" width="23.42578125" style="3" hidden="1" customWidth="1"/>
    <col min="11" max="11" width="21" bestFit="1" customWidth="1"/>
    <col min="12" max="12" width="16" bestFit="1" customWidth="1"/>
    <col min="13" max="13" width="15.140625" bestFit="1" customWidth="1"/>
  </cols>
  <sheetData>
    <row r="1" spans="1:2" x14ac:dyDescent="0.25">
      <c r="A1" t="s">
        <v>0</v>
      </c>
      <c r="B1" t="s">
        <v>52</v>
      </c>
    </row>
    <row r="2" spans="1:2" x14ac:dyDescent="0.25">
      <c r="B2" t="s">
        <v>1</v>
      </c>
    </row>
    <row r="3" spans="1:2" x14ac:dyDescent="0.25">
      <c r="A3" t="s">
        <v>50</v>
      </c>
      <c r="B3" t="s">
        <v>51</v>
      </c>
    </row>
    <row r="5" spans="1:2" x14ac:dyDescent="0.25">
      <c r="A5" t="s">
        <v>0</v>
      </c>
      <c r="B5" t="s">
        <v>334</v>
      </c>
    </row>
    <row r="6" spans="1:2" x14ac:dyDescent="0.25">
      <c r="B6" t="s">
        <v>86</v>
      </c>
    </row>
    <row r="7" spans="1:2" x14ac:dyDescent="0.25">
      <c r="A7" t="s">
        <v>50</v>
      </c>
      <c r="B7" t="s">
        <v>335</v>
      </c>
    </row>
    <row r="9" spans="1:2" x14ac:dyDescent="0.25">
      <c r="A9" t="s">
        <v>331</v>
      </c>
      <c r="B9" t="s">
        <v>337</v>
      </c>
    </row>
    <row r="10" spans="1:2" x14ac:dyDescent="0.25">
      <c r="B10" t="s">
        <v>332</v>
      </c>
    </row>
    <row r="11" spans="1:2" x14ac:dyDescent="0.25">
      <c r="A11" t="s">
        <v>50</v>
      </c>
      <c r="B11" t="s">
        <v>333</v>
      </c>
    </row>
    <row r="13" spans="1:2" x14ac:dyDescent="0.25">
      <c r="A13" t="s">
        <v>331</v>
      </c>
      <c r="B13" t="s">
        <v>268</v>
      </c>
    </row>
    <row r="14" spans="1:2" x14ac:dyDescent="0.25">
      <c r="B14" t="s">
        <v>336</v>
      </c>
    </row>
    <row r="15" spans="1:2" x14ac:dyDescent="0.25">
      <c r="A15" t="s">
        <v>50</v>
      </c>
      <c r="B15" t="s">
        <v>338</v>
      </c>
    </row>
    <row r="17" spans="1:10" x14ac:dyDescent="0.25">
      <c r="A17" t="s">
        <v>0</v>
      </c>
      <c r="B17" t="s">
        <v>330</v>
      </c>
    </row>
    <row r="18" spans="1:10" x14ac:dyDescent="0.25">
      <c r="B18" t="s">
        <v>339</v>
      </c>
    </row>
    <row r="19" spans="1:10" x14ac:dyDescent="0.25">
      <c r="A19" t="s">
        <v>50</v>
      </c>
      <c r="B19" t="s">
        <v>340</v>
      </c>
    </row>
    <row r="21" spans="1:10" x14ac:dyDescent="0.25">
      <c r="A21" t="s">
        <v>0</v>
      </c>
      <c r="B21" t="s">
        <v>341</v>
      </c>
    </row>
    <row r="22" spans="1:10" x14ac:dyDescent="0.25">
      <c r="B22" t="s">
        <v>342</v>
      </c>
    </row>
    <row r="23" spans="1:10" x14ac:dyDescent="0.25">
      <c r="A23" t="s">
        <v>50</v>
      </c>
      <c r="B23" t="s">
        <v>343</v>
      </c>
    </row>
    <row r="25" spans="1:10" x14ac:dyDescent="0.25">
      <c r="A25" t="s">
        <v>2</v>
      </c>
      <c r="B25" t="s">
        <v>509</v>
      </c>
    </row>
    <row r="26" spans="1:10" x14ac:dyDescent="0.25">
      <c r="B26" t="s">
        <v>53</v>
      </c>
    </row>
    <row r="27" spans="1:10" x14ac:dyDescent="0.25">
      <c r="B27" t="s">
        <v>535</v>
      </c>
    </row>
    <row r="29" spans="1:10" x14ac:dyDescent="0.25">
      <c r="A29" t="s">
        <v>3</v>
      </c>
      <c r="C29">
        <v>1.2246999999999999</v>
      </c>
    </row>
    <row r="30" spans="1:10" ht="15" hidden="1" customHeight="1" x14ac:dyDescent="0.25">
      <c r="A30" t="s">
        <v>4</v>
      </c>
      <c r="C30">
        <v>1.2882</v>
      </c>
    </row>
    <row r="32" spans="1:10" ht="28.5" x14ac:dyDescent="0.45">
      <c r="A32" s="64" t="s">
        <v>5</v>
      </c>
      <c r="B32" s="64"/>
      <c r="C32" s="64"/>
      <c r="D32" s="64"/>
      <c r="E32" s="64"/>
      <c r="F32" s="64"/>
      <c r="G32" s="64"/>
      <c r="H32" s="64"/>
      <c r="I32" s="64"/>
      <c r="J32" s="64"/>
    </row>
    <row r="33" spans="1:10" ht="15.75" thickBot="1" x14ac:dyDescent="0.3"/>
    <row r="34" spans="1:10" ht="15" customHeight="1" x14ac:dyDescent="0.25">
      <c r="A34" s="65" t="s">
        <v>6</v>
      </c>
      <c r="B34" s="67" t="s">
        <v>7</v>
      </c>
      <c r="C34" s="67" t="s">
        <v>8</v>
      </c>
      <c r="D34" s="67" t="s">
        <v>9</v>
      </c>
      <c r="E34" s="69" t="s">
        <v>10</v>
      </c>
      <c r="F34" s="71" t="s">
        <v>12</v>
      </c>
      <c r="G34" s="73" t="s">
        <v>11</v>
      </c>
      <c r="H34" s="75" t="s">
        <v>13</v>
      </c>
      <c r="I34" s="62" t="s">
        <v>14</v>
      </c>
      <c r="J34" s="62" t="s">
        <v>15</v>
      </c>
    </row>
    <row r="35" spans="1:10" x14ac:dyDescent="0.25">
      <c r="A35" s="66"/>
      <c r="B35" s="68"/>
      <c r="C35" s="68"/>
      <c r="D35" s="68"/>
      <c r="E35" s="70"/>
      <c r="F35" s="72"/>
      <c r="G35" s="74"/>
      <c r="H35" s="76"/>
      <c r="I35" s="63"/>
      <c r="J35" s="63"/>
    </row>
    <row r="36" spans="1:10" x14ac:dyDescent="0.25">
      <c r="A36" s="19" t="s">
        <v>31</v>
      </c>
      <c r="B36" s="20"/>
      <c r="C36" s="15"/>
      <c r="D36" s="21"/>
      <c r="E36" s="15"/>
      <c r="F36" s="16"/>
      <c r="G36" s="16"/>
      <c r="H36" s="22"/>
      <c r="I36" s="17"/>
      <c r="J36" s="8"/>
    </row>
    <row r="37" spans="1:10" x14ac:dyDescent="0.25">
      <c r="A37" s="4" t="s">
        <v>181</v>
      </c>
      <c r="B37" s="4" t="s">
        <v>17</v>
      </c>
      <c r="C37" s="4">
        <v>97655</v>
      </c>
      <c r="D37" s="5" t="s">
        <v>54</v>
      </c>
      <c r="E37" s="4" t="s">
        <v>18</v>
      </c>
      <c r="F37" s="7">
        <v>45.93</v>
      </c>
      <c r="G37" s="6">
        <f>'MC EDUCAÇÃO 2026'!D8</f>
        <v>25</v>
      </c>
      <c r="H37" s="7">
        <v>9.9</v>
      </c>
      <c r="I37" s="7">
        <f t="shared" ref="I37" si="0">G37*F37*C$29</f>
        <v>1406.2617749999999</v>
      </c>
      <c r="J37" s="8">
        <f t="shared" ref="J37:J45" si="1">H37*F37*C$30</f>
        <v>585.75355739999998</v>
      </c>
    </row>
    <row r="38" spans="1:10" x14ac:dyDescent="0.25">
      <c r="A38" s="4" t="s">
        <v>182</v>
      </c>
      <c r="B38" s="4" t="s">
        <v>26</v>
      </c>
      <c r="C38" s="4" t="s">
        <v>507</v>
      </c>
      <c r="D38" s="5" t="s">
        <v>508</v>
      </c>
      <c r="E38" s="4" t="s">
        <v>20</v>
      </c>
      <c r="F38" s="7">
        <v>71.88</v>
      </c>
      <c r="G38" s="6">
        <f>'MC EDUCAÇÃO 2026'!D12</f>
        <v>36</v>
      </c>
      <c r="H38" s="7">
        <v>63.61</v>
      </c>
      <c r="I38" s="7">
        <f>G38*F38*C$29</f>
        <v>3169.1316959999995</v>
      </c>
      <c r="J38" s="8">
        <f>H38*F38*C$30</f>
        <v>5890.0198557599997</v>
      </c>
    </row>
    <row r="39" spans="1:10" ht="30" x14ac:dyDescent="0.25">
      <c r="A39" s="4" t="s">
        <v>183</v>
      </c>
      <c r="B39" s="4" t="s">
        <v>17</v>
      </c>
      <c r="C39" s="4">
        <v>96522</v>
      </c>
      <c r="D39" s="5" t="s">
        <v>60</v>
      </c>
      <c r="E39" s="4" t="s">
        <v>57</v>
      </c>
      <c r="F39" s="7">
        <v>198.69</v>
      </c>
      <c r="G39" s="6">
        <f>'MC EDUCAÇÃO 2026'!E17</f>
        <v>1.4699999999999998</v>
      </c>
      <c r="H39" s="7"/>
      <c r="I39" s="7">
        <f t="shared" ref="I39:I45" si="2">G39*F39*C$29</f>
        <v>357.70339520999988</v>
      </c>
      <c r="J39" s="8"/>
    </row>
    <row r="40" spans="1:10" ht="30" x14ac:dyDescent="0.25">
      <c r="A40" s="4" t="s">
        <v>184</v>
      </c>
      <c r="B40" s="4" t="s">
        <v>17</v>
      </c>
      <c r="C40" s="4">
        <v>96531</v>
      </c>
      <c r="D40" s="5" t="s">
        <v>510</v>
      </c>
      <c r="E40" s="4" t="s">
        <v>18</v>
      </c>
      <c r="F40" s="7">
        <v>120.93</v>
      </c>
      <c r="G40" s="6">
        <f>'MC EDUCAÇÃO 2026'!D21</f>
        <v>6.6000000000000005</v>
      </c>
      <c r="H40" s="7"/>
      <c r="I40" s="7">
        <f t="shared" si="2"/>
        <v>977.47960860000012</v>
      </c>
      <c r="J40" s="8"/>
    </row>
    <row r="41" spans="1:10" x14ac:dyDescent="0.25">
      <c r="A41" s="4" t="s">
        <v>185</v>
      </c>
      <c r="B41" s="4" t="s">
        <v>17</v>
      </c>
      <c r="C41" s="4">
        <v>96546</v>
      </c>
      <c r="D41" s="5" t="s">
        <v>61</v>
      </c>
      <c r="E41" s="4" t="s">
        <v>62</v>
      </c>
      <c r="F41" s="7">
        <v>13.5</v>
      </c>
      <c r="G41" s="6">
        <f>'MC EDUCAÇÃO 2026'!E26</f>
        <v>43.091280000000005</v>
      </c>
      <c r="H41" s="7"/>
      <c r="I41" s="7">
        <f t="shared" si="2"/>
        <v>712.447523316</v>
      </c>
      <c r="J41" s="8"/>
    </row>
    <row r="42" spans="1:10" ht="30" x14ac:dyDescent="0.25">
      <c r="A42" s="4" t="s">
        <v>186</v>
      </c>
      <c r="B42" s="4" t="s">
        <v>17</v>
      </c>
      <c r="C42" s="4">
        <v>102484</v>
      </c>
      <c r="D42" s="5" t="s">
        <v>65</v>
      </c>
      <c r="E42" s="4" t="s">
        <v>57</v>
      </c>
      <c r="F42" s="7">
        <v>664.52</v>
      </c>
      <c r="G42" s="6">
        <f>'MC EDUCAÇÃO 2026'!E31</f>
        <v>0.75</v>
      </c>
      <c r="H42" s="7"/>
      <c r="I42" s="7">
        <f t="shared" si="2"/>
        <v>610.37823299999991</v>
      </c>
      <c r="J42" s="8"/>
    </row>
    <row r="43" spans="1:10" x14ac:dyDescent="0.25">
      <c r="A43" s="4" t="s">
        <v>187</v>
      </c>
      <c r="B43" s="4" t="s">
        <v>17</v>
      </c>
      <c r="C43" s="4">
        <v>93382</v>
      </c>
      <c r="D43" s="5" t="s">
        <v>67</v>
      </c>
      <c r="E43" s="4" t="s">
        <v>57</v>
      </c>
      <c r="F43" s="7">
        <v>35.700000000000003</v>
      </c>
      <c r="G43" s="6">
        <f>'MC EDUCAÇÃO 2026'!F36</f>
        <v>1.7160000000000004</v>
      </c>
      <c r="H43" s="7"/>
      <c r="I43" s="7">
        <f t="shared" si="2"/>
        <v>75.026591640000021</v>
      </c>
      <c r="J43" s="8"/>
    </row>
    <row r="44" spans="1:10" ht="30" x14ac:dyDescent="0.25">
      <c r="A44" s="4" t="s">
        <v>188</v>
      </c>
      <c r="B44" s="4" t="s">
        <v>26</v>
      </c>
      <c r="C44" s="4" t="s">
        <v>105</v>
      </c>
      <c r="D44" s="5" t="s">
        <v>516</v>
      </c>
      <c r="E44" s="4" t="s">
        <v>57</v>
      </c>
      <c r="F44" s="7">
        <v>131.82</v>
      </c>
      <c r="G44" s="6">
        <f>'MC EDUCAÇÃO 2026'!C43</f>
        <v>1.2629999999999986</v>
      </c>
      <c r="H44" s="7"/>
      <c r="I44" s="7">
        <f t="shared" si="2"/>
        <v>203.89866190199976</v>
      </c>
      <c r="J44" s="8"/>
    </row>
    <row r="45" spans="1:10" x14ac:dyDescent="0.25">
      <c r="A45" s="4" t="s">
        <v>189</v>
      </c>
      <c r="B45" s="4" t="s">
        <v>26</v>
      </c>
      <c r="C45" s="4" t="s">
        <v>536</v>
      </c>
      <c r="D45" s="5" t="s">
        <v>537</v>
      </c>
      <c r="E45" s="4" t="s">
        <v>62</v>
      </c>
      <c r="F45" s="7">
        <v>17.34</v>
      </c>
      <c r="G45" s="6">
        <f>'MC EDUCAÇÃO 2026'!G51+'MC EDUCAÇÃO 2026'!G59</f>
        <v>54.692905000000003</v>
      </c>
      <c r="H45" s="7">
        <v>1648.8</v>
      </c>
      <c r="I45" s="7">
        <f t="shared" si="2"/>
        <v>1161.4748290656901</v>
      </c>
      <c r="J45" s="8">
        <f t="shared" si="1"/>
        <v>36829.885334400002</v>
      </c>
    </row>
    <row r="46" spans="1:10" x14ac:dyDescent="0.25">
      <c r="A46" s="4" t="s">
        <v>190</v>
      </c>
      <c r="B46" s="4" t="s">
        <v>511</v>
      </c>
      <c r="C46" s="4" t="s">
        <v>512</v>
      </c>
      <c r="D46" s="5" t="s">
        <v>538</v>
      </c>
      <c r="E46" s="4" t="s">
        <v>18</v>
      </c>
      <c r="F46" s="7">
        <v>310.91000000000003</v>
      </c>
      <c r="G46" s="6">
        <f>'MC EDUCAÇÃO 2026'!E66</f>
        <v>223.4624</v>
      </c>
      <c r="H46" s="7">
        <v>210.8</v>
      </c>
      <c r="I46" s="7">
        <f>G46*F46*C$29</f>
        <v>85088.108101964797</v>
      </c>
      <c r="J46" s="8">
        <f>H46*F46*C$30</f>
        <v>84428.406429600014</v>
      </c>
    </row>
    <row r="47" spans="1:10" x14ac:dyDescent="0.25">
      <c r="A47" s="4" t="s">
        <v>191</v>
      </c>
      <c r="B47" s="4" t="s">
        <v>511</v>
      </c>
      <c r="C47" s="4" t="s">
        <v>514</v>
      </c>
      <c r="D47" s="5" t="s">
        <v>515</v>
      </c>
      <c r="E47" s="4" t="s">
        <v>20</v>
      </c>
      <c r="F47" s="7">
        <v>286.48</v>
      </c>
      <c r="G47" s="6">
        <f>'MC EDUCAÇÃO 2026'!B72</f>
        <v>45.8</v>
      </c>
      <c r="H47" s="7">
        <v>170.9</v>
      </c>
      <c r="I47" s="7">
        <f t="shared" ref="I47:I86" si="3">G47*F47*C$29</f>
        <v>16069.024164799997</v>
      </c>
      <c r="J47" s="8">
        <f>H47*F47*C$30</f>
        <v>63069.540302400012</v>
      </c>
    </row>
    <row r="48" spans="1:10" x14ac:dyDescent="0.25">
      <c r="A48" s="4" t="s">
        <v>192</v>
      </c>
      <c r="B48" s="4" t="s">
        <v>26</v>
      </c>
      <c r="C48" s="4" t="s">
        <v>81</v>
      </c>
      <c r="D48" s="5" t="s">
        <v>82</v>
      </c>
      <c r="E48" s="4" t="s">
        <v>20</v>
      </c>
      <c r="F48" s="7">
        <v>119.08</v>
      </c>
      <c r="G48" s="6">
        <f>'MC EDUCAÇÃO 2026'!D78</f>
        <v>18.12</v>
      </c>
      <c r="H48" s="7"/>
      <c r="I48" s="7">
        <f t="shared" si="3"/>
        <v>2642.5714411200001</v>
      </c>
      <c r="J48" s="8"/>
    </row>
    <row r="49" spans="1:10" x14ac:dyDescent="0.25">
      <c r="A49" s="4" t="s">
        <v>193</v>
      </c>
      <c r="B49" s="4" t="s">
        <v>26</v>
      </c>
      <c r="C49" s="4" t="s">
        <v>27</v>
      </c>
      <c r="D49" s="5" t="str">
        <f>UPPER("Esmalte à base água em superfície metálica, inclusive preparo")</f>
        <v>ESMALTE À BASE ÁGUA EM SUPERFÍCIE METÁLICA, INCLUSIVE PREPARO</v>
      </c>
      <c r="E49" s="4" t="s">
        <v>18</v>
      </c>
      <c r="F49" s="7">
        <v>52.33</v>
      </c>
      <c r="G49" s="6">
        <f>'MC EDUCAÇÃO 2026'!E88</f>
        <v>22.512000000000004</v>
      </c>
      <c r="H49" s="7">
        <v>48.54</v>
      </c>
      <c r="I49" s="7">
        <f t="shared" si="3"/>
        <v>1442.7614601120001</v>
      </c>
      <c r="J49" s="8">
        <f t="shared" ref="J49:J50" si="4">H49*F49*C$30</f>
        <v>3272.1545012399997</v>
      </c>
    </row>
    <row r="50" spans="1:10" x14ac:dyDescent="0.25">
      <c r="A50" s="4" t="s">
        <v>194</v>
      </c>
      <c r="B50" s="4" t="s">
        <v>26</v>
      </c>
      <c r="C50" s="4" t="s">
        <v>29</v>
      </c>
      <c r="D50" s="5" t="str">
        <f>UPPER("Limpeza final da obra")</f>
        <v>LIMPEZA FINAL DA OBRA</v>
      </c>
      <c r="E50" s="4" t="s">
        <v>18</v>
      </c>
      <c r="F50" s="7">
        <v>15.9</v>
      </c>
      <c r="G50" s="6">
        <f>'MC EDUCAÇÃO 2026'!D94</f>
        <v>199.52</v>
      </c>
      <c r="H50" s="7">
        <v>14.31</v>
      </c>
      <c r="I50" s="7">
        <f t="shared" si="3"/>
        <v>3885.1990896000002</v>
      </c>
      <c r="J50" s="8">
        <f t="shared" si="4"/>
        <v>293.10285780000004</v>
      </c>
    </row>
    <row r="51" spans="1:10" x14ac:dyDescent="0.25">
      <c r="A51" s="4"/>
      <c r="B51" s="4"/>
      <c r="C51" s="4"/>
      <c r="D51" s="52" t="s">
        <v>228</v>
      </c>
      <c r="E51" s="4"/>
      <c r="F51" s="7"/>
      <c r="G51" s="6"/>
      <c r="H51" s="7"/>
      <c r="I51" s="53">
        <f>SUM(I37:I50)</f>
        <v>117801.46657133049</v>
      </c>
    </row>
    <row r="52" spans="1:10" x14ac:dyDescent="0.25">
      <c r="A52" s="61" t="s">
        <v>85</v>
      </c>
      <c r="B52" s="61"/>
      <c r="C52" s="61"/>
      <c r="D52" s="61"/>
      <c r="E52" s="15"/>
      <c r="F52" s="55"/>
      <c r="G52" s="16"/>
      <c r="H52" s="55"/>
      <c r="I52" s="55"/>
    </row>
    <row r="53" spans="1:10" x14ac:dyDescent="0.25">
      <c r="A53" s="4" t="s">
        <v>196</v>
      </c>
      <c r="B53" s="4" t="s">
        <v>17</v>
      </c>
      <c r="C53" s="4">
        <v>97631</v>
      </c>
      <c r="D53" s="5" t="s">
        <v>88</v>
      </c>
      <c r="E53" s="4" t="s">
        <v>18</v>
      </c>
      <c r="F53" s="7">
        <v>16.18</v>
      </c>
      <c r="G53" s="6">
        <f>'MC EDUCAÇÃO 2026'!E100</f>
        <v>60</v>
      </c>
      <c r="H53" s="7"/>
      <c r="I53" s="7">
        <f t="shared" si="3"/>
        <v>1188.9387599999998</v>
      </c>
    </row>
    <row r="54" spans="1:10" ht="30" x14ac:dyDescent="0.25">
      <c r="A54" s="4" t="s">
        <v>195</v>
      </c>
      <c r="B54" s="4" t="s">
        <v>17</v>
      </c>
      <c r="C54" s="4">
        <v>97625</v>
      </c>
      <c r="D54" s="5" t="s">
        <v>89</v>
      </c>
      <c r="E54" s="4" t="s">
        <v>57</v>
      </c>
      <c r="F54" s="7">
        <v>54.11</v>
      </c>
      <c r="G54" s="6">
        <f>'MC EDUCAÇÃO 2026'!E105</f>
        <v>2.4000000000000004</v>
      </c>
      <c r="H54" s="7"/>
      <c r="I54" s="7">
        <f t="shared" si="3"/>
        <v>159.04444079999999</v>
      </c>
    </row>
    <row r="55" spans="1:10" ht="30" x14ac:dyDescent="0.25">
      <c r="A55" s="4" t="s">
        <v>198</v>
      </c>
      <c r="B55" s="4" t="s">
        <v>17</v>
      </c>
      <c r="C55" s="4">
        <v>89357</v>
      </c>
      <c r="D55" s="5" t="s">
        <v>90</v>
      </c>
      <c r="E55" s="4" t="s">
        <v>20</v>
      </c>
      <c r="F55" s="7">
        <v>44.67</v>
      </c>
      <c r="G55" s="6">
        <f>'MC EDUCAÇÃO 2026'!B109</f>
        <v>22</v>
      </c>
      <c r="H55" s="7"/>
      <c r="I55" s="7">
        <f t="shared" si="3"/>
        <v>1203.5616779999998</v>
      </c>
    </row>
    <row r="56" spans="1:10" x14ac:dyDescent="0.25">
      <c r="A56" s="4" t="s">
        <v>199</v>
      </c>
      <c r="B56" s="4" t="s">
        <v>26</v>
      </c>
      <c r="C56" s="4" t="s">
        <v>507</v>
      </c>
      <c r="D56" s="5" t="s">
        <v>508</v>
      </c>
      <c r="E56" s="4" t="s">
        <v>20</v>
      </c>
      <c r="F56" s="7">
        <v>71.88</v>
      </c>
      <c r="G56" s="6">
        <f>'MC EDUCAÇÃO 2026'!D115</f>
        <v>36</v>
      </c>
      <c r="H56" s="7"/>
      <c r="I56" s="7">
        <f t="shared" si="3"/>
        <v>3169.1316959999995</v>
      </c>
    </row>
    <row r="57" spans="1:10" s="1" customFormat="1" ht="30" x14ac:dyDescent="0.25">
      <c r="A57" s="4" t="s">
        <v>197</v>
      </c>
      <c r="B57" s="4" t="s">
        <v>17</v>
      </c>
      <c r="C57" s="4">
        <v>96522</v>
      </c>
      <c r="D57" s="5" t="s">
        <v>60</v>
      </c>
      <c r="E57" s="4" t="s">
        <v>57</v>
      </c>
      <c r="F57" s="7">
        <v>198.69</v>
      </c>
      <c r="G57" s="6">
        <f>'MC EDUCAÇÃO 2026'!F120</f>
        <v>2.4299999999999997</v>
      </c>
      <c r="H57" s="7"/>
      <c r="I57" s="7">
        <f t="shared" si="3"/>
        <v>591.30561248999982</v>
      </c>
      <c r="J57" s="3"/>
    </row>
    <row r="58" spans="1:10" s="1" customFormat="1" ht="30" x14ac:dyDescent="0.25">
      <c r="A58" s="4" t="s">
        <v>200</v>
      </c>
      <c r="B58" s="4" t="s">
        <v>17</v>
      </c>
      <c r="C58" s="4">
        <v>96531</v>
      </c>
      <c r="D58" s="5" t="s">
        <v>510</v>
      </c>
      <c r="E58" s="4" t="s">
        <v>18</v>
      </c>
      <c r="F58" s="7">
        <v>120.93</v>
      </c>
      <c r="G58" s="6">
        <f>'MC EDUCAÇÃO 2026'!D125</f>
        <v>6.6000000000000005</v>
      </c>
      <c r="H58" s="7"/>
      <c r="I58" s="7">
        <f t="shared" si="3"/>
        <v>977.47960860000012</v>
      </c>
      <c r="J58" s="3"/>
    </row>
    <row r="59" spans="1:10" s="1" customFormat="1" x14ac:dyDescent="0.25">
      <c r="A59" s="4" t="s">
        <v>540</v>
      </c>
      <c r="B59" s="4" t="s">
        <v>17</v>
      </c>
      <c r="C59" s="4">
        <v>92802</v>
      </c>
      <c r="D59" s="5" t="s">
        <v>91</v>
      </c>
      <c r="E59" s="4" t="s">
        <v>62</v>
      </c>
      <c r="F59" s="7">
        <v>7.98</v>
      </c>
      <c r="G59" s="6">
        <f>'MC EDUCAÇÃO 2026'!G132</f>
        <v>35.297200000000004</v>
      </c>
      <c r="H59" s="7"/>
      <c r="I59" s="7">
        <f t="shared" si="3"/>
        <v>344.96327710320003</v>
      </c>
      <c r="J59" s="3"/>
    </row>
    <row r="60" spans="1:10" s="1" customFormat="1" ht="30" x14ac:dyDescent="0.25">
      <c r="A60" s="4" t="s">
        <v>201</v>
      </c>
      <c r="B60" s="4" t="s">
        <v>17</v>
      </c>
      <c r="C60" s="4">
        <v>96621</v>
      </c>
      <c r="D60" s="5" t="s">
        <v>92</v>
      </c>
      <c r="E60" s="4" t="s">
        <v>57</v>
      </c>
      <c r="F60" s="7">
        <v>221.02</v>
      </c>
      <c r="G60" s="6">
        <f>'MC EDUCAÇÃO 2026'!F140</f>
        <v>1.3830000000000005</v>
      </c>
      <c r="H60" s="7"/>
      <c r="I60" s="7">
        <f t="shared" si="3"/>
        <v>374.35485730200008</v>
      </c>
      <c r="J60" s="3"/>
    </row>
    <row r="61" spans="1:10" s="1" customFormat="1" ht="30" x14ac:dyDescent="0.25">
      <c r="A61" s="4" t="s">
        <v>202</v>
      </c>
      <c r="B61" s="4" t="s">
        <v>17</v>
      </c>
      <c r="C61" s="4">
        <v>96622</v>
      </c>
      <c r="D61" s="5" t="s">
        <v>93</v>
      </c>
      <c r="E61" s="4" t="s">
        <v>57</v>
      </c>
      <c r="F61" s="7">
        <v>201.72</v>
      </c>
      <c r="G61" s="6">
        <f>'MC EDUCAÇÃO 2026'!F144</f>
        <v>3</v>
      </c>
      <c r="H61" s="7"/>
      <c r="I61" s="7">
        <f t="shared" si="3"/>
        <v>741.13945199999989</v>
      </c>
      <c r="J61" s="3"/>
    </row>
    <row r="62" spans="1:10" s="1" customFormat="1" ht="30" x14ac:dyDescent="0.25">
      <c r="A62" s="4" t="s">
        <v>203</v>
      </c>
      <c r="B62" s="4" t="s">
        <v>17</v>
      </c>
      <c r="C62" s="4">
        <v>94966</v>
      </c>
      <c r="D62" s="5" t="s">
        <v>94</v>
      </c>
      <c r="E62" s="4" t="s">
        <v>57</v>
      </c>
      <c r="F62" s="7">
        <v>489.21</v>
      </c>
      <c r="G62" s="6">
        <f>'MC EDUCAÇÃO 2026'!F152</f>
        <v>4.3920000000000003</v>
      </c>
      <c r="H62" s="7"/>
      <c r="I62" s="7">
        <f t="shared" si="3"/>
        <v>2631.4030589039999</v>
      </c>
      <c r="J62" s="3"/>
    </row>
    <row r="63" spans="1:10" s="1" customFormat="1" x14ac:dyDescent="0.25">
      <c r="A63" s="4" t="s">
        <v>204</v>
      </c>
      <c r="B63" s="4" t="s">
        <v>26</v>
      </c>
      <c r="C63" s="4" t="s">
        <v>536</v>
      </c>
      <c r="D63" s="5" t="s">
        <v>537</v>
      </c>
      <c r="E63" s="4" t="s">
        <v>62</v>
      </c>
      <c r="F63" s="7">
        <v>17.34</v>
      </c>
      <c r="G63" s="6">
        <f>'MC EDUCAÇÃO 2026'!G159+'MC EDUCAÇÃO 2026'!G166</f>
        <v>688.83749999999986</v>
      </c>
      <c r="H63" s="7"/>
      <c r="I63" s="7">
        <f t="shared" si="3"/>
        <v>14628.358423574997</v>
      </c>
      <c r="J63" s="3"/>
    </row>
    <row r="64" spans="1:10" s="1" customFormat="1" ht="30" x14ac:dyDescent="0.25">
      <c r="A64" s="4" t="s">
        <v>205</v>
      </c>
      <c r="B64" s="4" t="s">
        <v>511</v>
      </c>
      <c r="C64" s="4" t="s">
        <v>512</v>
      </c>
      <c r="D64" s="5" t="s">
        <v>513</v>
      </c>
      <c r="E64" s="4" t="s">
        <v>18</v>
      </c>
      <c r="F64" s="7">
        <v>310.91000000000003</v>
      </c>
      <c r="G64" s="6">
        <f>'MC EDUCAÇÃO 2026'!E172</f>
        <v>184</v>
      </c>
      <c r="H64" s="7"/>
      <c r="I64" s="7">
        <f t="shared" si="3"/>
        <v>70061.951767999999</v>
      </c>
      <c r="J64" s="3"/>
    </row>
    <row r="65" spans="1:10" s="1" customFormat="1" x14ac:dyDescent="0.25">
      <c r="A65" s="4" t="s">
        <v>541</v>
      </c>
      <c r="B65" s="4" t="s">
        <v>17</v>
      </c>
      <c r="C65" s="4">
        <v>104803</v>
      </c>
      <c r="D65" s="5" t="s">
        <v>95</v>
      </c>
      <c r="E65" s="4" t="s">
        <v>20</v>
      </c>
      <c r="F65" s="7">
        <v>6.36</v>
      </c>
      <c r="G65" s="6">
        <f>'MC EDUCAÇÃO 2026'!A180+'MC EDUCAÇÃO 2026'!A181+'MC EDUCAÇÃO 2026'!A182+'MC EDUCAÇÃO 2026'!A183+'MC EDUCAÇÃO 2026'!A184+'MC EDUCAÇÃO 2026'!A185+'MC EDUCAÇÃO 2026'!A186</f>
        <v>138.80000000000001</v>
      </c>
      <c r="H65" s="7"/>
      <c r="I65" s="7">
        <f t="shared" si="3"/>
        <v>1081.1259696000002</v>
      </c>
      <c r="J65" s="3"/>
    </row>
    <row r="66" spans="1:10" s="1" customFormat="1" x14ac:dyDescent="0.25">
      <c r="A66" s="4" t="s">
        <v>206</v>
      </c>
      <c r="B66" s="4" t="s">
        <v>511</v>
      </c>
      <c r="C66" s="4" t="s">
        <v>514</v>
      </c>
      <c r="D66" s="5" t="s">
        <v>515</v>
      </c>
      <c r="E66" s="4" t="s">
        <v>20</v>
      </c>
      <c r="F66" s="7">
        <v>286.48</v>
      </c>
      <c r="G66" s="6">
        <f>'MC EDUCAÇÃO 2026'!A187</f>
        <v>151.19999999999999</v>
      </c>
      <c r="H66" s="7"/>
      <c r="I66" s="7">
        <f t="shared" si="3"/>
        <v>53048.830867199991</v>
      </c>
      <c r="J66" s="3"/>
    </row>
    <row r="67" spans="1:10" s="1" customFormat="1" ht="30" x14ac:dyDescent="0.25">
      <c r="A67" s="4" t="s">
        <v>207</v>
      </c>
      <c r="B67" s="4" t="s">
        <v>17</v>
      </c>
      <c r="C67" s="4">
        <v>89511</v>
      </c>
      <c r="D67" s="5" t="s">
        <v>96</v>
      </c>
      <c r="E67" s="4" t="s">
        <v>20</v>
      </c>
      <c r="F67" s="7">
        <v>50.56</v>
      </c>
      <c r="G67" s="6">
        <f>'MC EDUCAÇÃO 2026'!D191</f>
        <v>8</v>
      </c>
      <c r="H67" s="7"/>
      <c r="I67" s="7">
        <f t="shared" si="3"/>
        <v>495.36665599999998</v>
      </c>
      <c r="J67" s="3"/>
    </row>
    <row r="68" spans="1:10" s="1" customFormat="1" ht="30" x14ac:dyDescent="0.25">
      <c r="A68" s="4" t="s">
        <v>208</v>
      </c>
      <c r="B68" s="4" t="s">
        <v>17</v>
      </c>
      <c r="C68" s="4">
        <v>104166</v>
      </c>
      <c r="D68" s="5" t="s">
        <v>97</v>
      </c>
      <c r="E68" s="4" t="s">
        <v>20</v>
      </c>
      <c r="F68" s="7">
        <v>92.39</v>
      </c>
      <c r="G68" s="6">
        <f>'MC EDUCAÇÃO 2026'!D192</f>
        <v>6</v>
      </c>
      <c r="H68" s="7"/>
      <c r="I68" s="7">
        <f t="shared" si="3"/>
        <v>678.90019799999993</v>
      </c>
      <c r="J68" s="3"/>
    </row>
    <row r="69" spans="1:10" s="1" customFormat="1" ht="30" x14ac:dyDescent="0.25">
      <c r="A69" s="4" t="s">
        <v>209</v>
      </c>
      <c r="B69" s="4" t="s">
        <v>17</v>
      </c>
      <c r="C69" s="4">
        <v>99268</v>
      </c>
      <c r="D69" s="5" t="s">
        <v>98</v>
      </c>
      <c r="E69" s="4" t="s">
        <v>227</v>
      </c>
      <c r="F69" s="7">
        <v>549.79999999999995</v>
      </c>
      <c r="G69" s="6">
        <f>'MC EDUCAÇÃO 2026'!B198</f>
        <v>2</v>
      </c>
      <c r="H69" s="7"/>
      <c r="I69" s="7">
        <f t="shared" si="3"/>
        <v>1346.6801199999998</v>
      </c>
      <c r="J69" s="3"/>
    </row>
    <row r="70" spans="1:10" s="1" customFormat="1" x14ac:dyDescent="0.25">
      <c r="A70" s="4" t="s">
        <v>210</v>
      </c>
      <c r="B70" s="4" t="s">
        <v>26</v>
      </c>
      <c r="C70" s="4" t="s">
        <v>99</v>
      </c>
      <c r="D70" s="5" t="s">
        <v>100</v>
      </c>
      <c r="E70" s="4" t="s">
        <v>18</v>
      </c>
      <c r="F70" s="7">
        <v>957.61</v>
      </c>
      <c r="G70" s="6">
        <f>'MC EDUCAÇÃO 2026'!C203</f>
        <v>7</v>
      </c>
      <c r="H70" s="7"/>
      <c r="I70" s="7">
        <f t="shared" si="3"/>
        <v>8209.494768999999</v>
      </c>
      <c r="J70" s="3"/>
    </row>
    <row r="71" spans="1:10" s="1" customFormat="1" ht="30" x14ac:dyDescent="0.25">
      <c r="A71" s="4" t="s">
        <v>211</v>
      </c>
      <c r="B71" s="4" t="s">
        <v>17</v>
      </c>
      <c r="C71" s="4">
        <v>100709</v>
      </c>
      <c r="D71" s="5" t="s">
        <v>101</v>
      </c>
      <c r="E71" s="4" t="s">
        <v>227</v>
      </c>
      <c r="F71" s="7">
        <v>75.84</v>
      </c>
      <c r="G71" s="6">
        <f>3</f>
        <v>3</v>
      </c>
      <c r="H71" s="7"/>
      <c r="I71" s="7">
        <f t="shared" si="3"/>
        <v>278.64374399999997</v>
      </c>
      <c r="J71" s="3"/>
    </row>
    <row r="72" spans="1:10" s="1" customFormat="1" ht="30" x14ac:dyDescent="0.25">
      <c r="A72" s="4" t="s">
        <v>212</v>
      </c>
      <c r="B72" s="4" t="s">
        <v>17</v>
      </c>
      <c r="C72" s="4">
        <v>90830</v>
      </c>
      <c r="D72" s="5" t="s">
        <v>102</v>
      </c>
      <c r="E72" s="4" t="s">
        <v>227</v>
      </c>
      <c r="F72" s="7">
        <v>223.24</v>
      </c>
      <c r="G72" s="6">
        <v>1</v>
      </c>
      <c r="H72" s="7"/>
      <c r="I72" s="7">
        <f t="shared" si="3"/>
        <v>273.40202799999997</v>
      </c>
      <c r="J72" s="3"/>
    </row>
    <row r="73" spans="1:10" s="1" customFormat="1" ht="30" x14ac:dyDescent="0.25">
      <c r="A73" s="4" t="s">
        <v>213</v>
      </c>
      <c r="B73" s="4" t="s">
        <v>17</v>
      </c>
      <c r="C73" s="4">
        <v>103340</v>
      </c>
      <c r="D73" s="5" t="s">
        <v>103</v>
      </c>
      <c r="E73" s="4" t="s">
        <v>18</v>
      </c>
      <c r="F73" s="7">
        <v>153.22</v>
      </c>
      <c r="G73" s="6">
        <f>'MC EDUCAÇÃO 2026'!C208</f>
        <v>5</v>
      </c>
      <c r="H73" s="7"/>
      <c r="I73" s="7">
        <f t="shared" si="3"/>
        <v>938.24266999999998</v>
      </c>
      <c r="J73" s="3"/>
    </row>
    <row r="74" spans="1:10" s="1" customFormat="1" ht="30" x14ac:dyDescent="0.25">
      <c r="A74" s="4" t="s">
        <v>214</v>
      </c>
      <c r="B74" s="4" t="s">
        <v>17</v>
      </c>
      <c r="C74" s="4">
        <v>93205</v>
      </c>
      <c r="D74" s="5" t="s">
        <v>104</v>
      </c>
      <c r="E74" s="4" t="s">
        <v>20</v>
      </c>
      <c r="F74" s="7">
        <v>71.12</v>
      </c>
      <c r="G74" s="6">
        <f>11</f>
        <v>11</v>
      </c>
      <c r="H74" s="7"/>
      <c r="I74" s="7">
        <f t="shared" si="3"/>
        <v>958.107304</v>
      </c>
      <c r="J74" s="3"/>
    </row>
    <row r="75" spans="1:10" s="1" customFormat="1" ht="30" x14ac:dyDescent="0.25">
      <c r="A75" s="4" t="s">
        <v>215</v>
      </c>
      <c r="B75" s="4" t="s">
        <v>26</v>
      </c>
      <c r="C75" s="4" t="s">
        <v>105</v>
      </c>
      <c r="D75" s="5" t="s">
        <v>106</v>
      </c>
      <c r="E75" s="4" t="s">
        <v>57</v>
      </c>
      <c r="F75" s="7">
        <v>131.82</v>
      </c>
      <c r="G75" s="6">
        <f>'MC EDUCAÇÃO 2026'!E216</f>
        <v>17.64</v>
      </c>
      <c r="H75" s="7"/>
      <c r="I75" s="7">
        <f t="shared" si="3"/>
        <v>2847.8007885599995</v>
      </c>
      <c r="J75" s="3"/>
    </row>
    <row r="76" spans="1:10" s="1" customFormat="1" ht="45" x14ac:dyDescent="0.25">
      <c r="A76" s="4" t="s">
        <v>216</v>
      </c>
      <c r="B76" s="4" t="s">
        <v>17</v>
      </c>
      <c r="C76" s="4">
        <v>104723</v>
      </c>
      <c r="D76" s="5" t="s">
        <v>107</v>
      </c>
      <c r="E76" s="4" t="s">
        <v>18</v>
      </c>
      <c r="F76" s="7">
        <v>234.91</v>
      </c>
      <c r="G76" s="6">
        <f>'MC EDUCAÇÃO 2026'!D225</f>
        <v>56.75</v>
      </c>
      <c r="H76" s="7"/>
      <c r="I76" s="7">
        <f t="shared" si="3"/>
        <v>16326.650219749999</v>
      </c>
      <c r="J76" s="3"/>
    </row>
    <row r="77" spans="1:10" s="1" customFormat="1" ht="60" x14ac:dyDescent="0.25">
      <c r="A77" s="4" t="s">
        <v>217</v>
      </c>
      <c r="B77" s="4" t="s">
        <v>17</v>
      </c>
      <c r="C77" s="4">
        <v>94570</v>
      </c>
      <c r="D77" s="5" t="s">
        <v>108</v>
      </c>
      <c r="E77" s="4" t="s">
        <v>18</v>
      </c>
      <c r="F77" s="7">
        <v>371.43</v>
      </c>
      <c r="G77" s="6">
        <f>'MC EDUCAÇÃO 2026'!D232</f>
        <v>9</v>
      </c>
      <c r="H77" s="7"/>
      <c r="I77" s="7">
        <f t="shared" si="3"/>
        <v>4094.0128889999996</v>
      </c>
      <c r="J77" s="3"/>
    </row>
    <row r="78" spans="1:10" s="1" customFormat="1" ht="45" x14ac:dyDescent="0.25">
      <c r="A78" s="4" t="s">
        <v>218</v>
      </c>
      <c r="B78" s="4" t="s">
        <v>17</v>
      </c>
      <c r="C78" s="4">
        <v>100675</v>
      </c>
      <c r="D78" s="5" t="s">
        <v>109</v>
      </c>
      <c r="E78" s="4" t="s">
        <v>227</v>
      </c>
      <c r="F78" s="7">
        <v>1015.67</v>
      </c>
      <c r="G78" s="6">
        <v>2</v>
      </c>
      <c r="H78" s="7"/>
      <c r="I78" s="7">
        <f t="shared" si="3"/>
        <v>2487.7820979999997</v>
      </c>
      <c r="J78" s="3"/>
    </row>
    <row r="79" spans="1:10" s="1" customFormat="1" ht="30" x14ac:dyDescent="0.25">
      <c r="A79" s="4" t="s">
        <v>219</v>
      </c>
      <c r="B79" s="4" t="s">
        <v>17</v>
      </c>
      <c r="C79" s="4">
        <v>91306</v>
      </c>
      <c r="D79" s="5" t="s">
        <v>110</v>
      </c>
      <c r="E79" s="4" t="s">
        <v>227</v>
      </c>
      <c r="F79" s="7">
        <v>193.31</v>
      </c>
      <c r="G79" s="6">
        <v>2</v>
      </c>
      <c r="H79" s="7"/>
      <c r="I79" s="7">
        <f t="shared" si="3"/>
        <v>473.49351399999995</v>
      </c>
      <c r="J79" s="3"/>
    </row>
    <row r="80" spans="1:10" s="1" customFormat="1" ht="30" x14ac:dyDescent="0.25">
      <c r="A80" s="4" t="s">
        <v>220</v>
      </c>
      <c r="B80" s="4" t="s">
        <v>17</v>
      </c>
      <c r="C80" s="4">
        <v>97668</v>
      </c>
      <c r="D80" s="5" t="s">
        <v>111</v>
      </c>
      <c r="E80" s="4" t="s">
        <v>20</v>
      </c>
      <c r="F80" s="7">
        <v>15.21</v>
      </c>
      <c r="G80" s="6">
        <f>'MC EDUCAÇÃO 2026'!C240</f>
        <v>143.80000000000001</v>
      </c>
      <c r="H80" s="7"/>
      <c r="I80" s="7">
        <f t="shared" si="3"/>
        <v>2678.6613906000002</v>
      </c>
      <c r="J80" s="3"/>
    </row>
    <row r="81" spans="1:10" s="1" customFormat="1" ht="30" x14ac:dyDescent="0.25">
      <c r="A81" s="4" t="s">
        <v>221</v>
      </c>
      <c r="B81" s="4" t="s">
        <v>17</v>
      </c>
      <c r="C81" s="4">
        <v>91931</v>
      </c>
      <c r="D81" s="5" t="s">
        <v>526</v>
      </c>
      <c r="E81" s="4" t="s">
        <v>20</v>
      </c>
      <c r="F81" s="7">
        <v>12.03</v>
      </c>
      <c r="G81" s="6">
        <f>'MC EDUCAÇÃO 2026'!C249</f>
        <v>431.40000000000003</v>
      </c>
      <c r="H81" s="7"/>
      <c r="I81" s="7">
        <f t="shared" si="3"/>
        <v>6355.8770273999999</v>
      </c>
      <c r="J81" s="3"/>
    </row>
    <row r="82" spans="1:10" s="1" customFormat="1" ht="30" x14ac:dyDescent="0.25">
      <c r="A82" s="4" t="s">
        <v>222</v>
      </c>
      <c r="B82" s="4" t="s">
        <v>17</v>
      </c>
      <c r="C82" s="4">
        <v>91996</v>
      </c>
      <c r="D82" s="5" t="s">
        <v>112</v>
      </c>
      <c r="E82" s="4" t="s">
        <v>227</v>
      </c>
      <c r="F82" s="7">
        <v>48.5</v>
      </c>
      <c r="G82" s="6">
        <v>6</v>
      </c>
      <c r="H82" s="7"/>
      <c r="I82" s="7">
        <f t="shared" si="3"/>
        <v>356.3877</v>
      </c>
      <c r="J82" s="3"/>
    </row>
    <row r="83" spans="1:10" s="1" customFormat="1" ht="30" x14ac:dyDescent="0.25">
      <c r="A83" s="4" t="s">
        <v>223</v>
      </c>
      <c r="B83" s="4" t="s">
        <v>17</v>
      </c>
      <c r="C83" s="4">
        <v>92005</v>
      </c>
      <c r="D83" s="5" t="s">
        <v>113</v>
      </c>
      <c r="E83" s="4" t="s">
        <v>227</v>
      </c>
      <c r="F83" s="7">
        <v>81.93</v>
      </c>
      <c r="G83" s="6">
        <v>2</v>
      </c>
      <c r="H83" s="7"/>
      <c r="I83" s="7">
        <f t="shared" si="3"/>
        <v>200.67934199999999</v>
      </c>
      <c r="J83" s="3"/>
    </row>
    <row r="84" spans="1:10" s="1" customFormat="1" x14ac:dyDescent="0.25">
      <c r="A84" s="4" t="s">
        <v>224</v>
      </c>
      <c r="B84" s="4" t="s">
        <v>26</v>
      </c>
      <c r="C84" s="4" t="s">
        <v>530</v>
      </c>
      <c r="D84" s="5" t="s">
        <v>531</v>
      </c>
      <c r="E84" s="4" t="s">
        <v>18</v>
      </c>
      <c r="F84" s="7">
        <v>35.950000000000003</v>
      </c>
      <c r="G84" s="6">
        <f>'MC EDUCAÇÃO 2026'!E265</f>
        <v>107.45</v>
      </c>
      <c r="H84" s="7"/>
      <c r="I84" s="7">
        <f t="shared" si="3"/>
        <v>4730.8048392500004</v>
      </c>
      <c r="J84" s="3"/>
    </row>
    <row r="85" spans="1:10" s="1" customFormat="1" ht="30" x14ac:dyDescent="0.25">
      <c r="A85" s="4" t="s">
        <v>225</v>
      </c>
      <c r="B85" s="4" t="s">
        <v>26</v>
      </c>
      <c r="C85" s="4" t="s">
        <v>105</v>
      </c>
      <c r="D85" s="5" t="s">
        <v>516</v>
      </c>
      <c r="E85" s="4" t="s">
        <v>57</v>
      </c>
      <c r="F85" s="7">
        <v>131.82</v>
      </c>
      <c r="G85" s="6">
        <f>'MC EDUCAÇÃO 2026'!D256</f>
        <v>10.580400000000003</v>
      </c>
      <c r="H85" s="7"/>
      <c r="I85" s="7">
        <f t="shared" si="3"/>
        <v>1708.0992893016003</v>
      </c>
      <c r="J85" s="3"/>
    </row>
    <row r="86" spans="1:10" s="1" customFormat="1" x14ac:dyDescent="0.25">
      <c r="A86" s="4" t="s">
        <v>226</v>
      </c>
      <c r="B86" s="4" t="s">
        <v>26</v>
      </c>
      <c r="C86" s="4" t="s">
        <v>29</v>
      </c>
      <c r="D86" s="5" t="s">
        <v>114</v>
      </c>
      <c r="E86" s="4" t="s">
        <v>18</v>
      </c>
      <c r="F86" s="7">
        <v>15.9</v>
      </c>
      <c r="G86" s="6">
        <f>6*10</f>
        <v>60</v>
      </c>
      <c r="H86" s="7"/>
      <c r="I86" s="7">
        <f t="shared" si="3"/>
        <v>1168.3637999999999</v>
      </c>
      <c r="J86" s="3"/>
    </row>
    <row r="87" spans="1:10" s="1" customFormat="1" x14ac:dyDescent="0.25">
      <c r="A87" s="4"/>
      <c r="B87" s="4"/>
      <c r="C87" s="4"/>
      <c r="D87" s="52" t="s">
        <v>228</v>
      </c>
      <c r="E87" s="4"/>
      <c r="F87" s="6"/>
      <c r="G87" s="6"/>
      <c r="H87" s="7"/>
      <c r="I87" s="53">
        <f>SUM(I53:I86)</f>
        <v>206809.03985643582</v>
      </c>
      <c r="J87" s="3"/>
    </row>
    <row r="88" spans="1:10" s="1" customFormat="1" x14ac:dyDescent="0.25">
      <c r="A88" s="54" t="s">
        <v>229</v>
      </c>
      <c r="B88" s="15"/>
      <c r="C88" s="15"/>
      <c r="D88" s="21"/>
      <c r="E88" s="15"/>
      <c r="F88" s="16"/>
      <c r="G88" s="16"/>
      <c r="H88" s="55"/>
      <c r="I88" s="55"/>
      <c r="J88" s="3"/>
    </row>
    <row r="89" spans="1:10" s="1" customFormat="1" ht="30" x14ac:dyDescent="0.25">
      <c r="A89" s="4" t="s">
        <v>16</v>
      </c>
      <c r="B89" s="4" t="s">
        <v>17</v>
      </c>
      <c r="C89" s="4">
        <v>97643</v>
      </c>
      <c r="D89" s="5" t="s">
        <v>230</v>
      </c>
      <c r="E89" s="4" t="s">
        <v>18</v>
      </c>
      <c r="F89" s="7">
        <v>35.340000000000003</v>
      </c>
      <c r="G89" s="6">
        <f>'MC EDUCAÇÃO 2026'!D302</f>
        <v>546.51070000000004</v>
      </c>
      <c r="H89" s="7"/>
      <c r="I89" s="7">
        <f t="shared" ref="I89:I99" si="5">G89*F89*C$29</f>
        <v>23653.473862608604</v>
      </c>
      <c r="J89" s="3"/>
    </row>
    <row r="90" spans="1:10" s="1" customFormat="1" ht="30" x14ac:dyDescent="0.25">
      <c r="A90" s="4" t="s">
        <v>19</v>
      </c>
      <c r="B90" s="4" t="s">
        <v>26</v>
      </c>
      <c r="C90" s="4" t="s">
        <v>105</v>
      </c>
      <c r="D90" s="5" t="s">
        <v>516</v>
      </c>
      <c r="E90" s="4" t="s">
        <v>57</v>
      </c>
      <c r="F90" s="7">
        <v>130.44999999999999</v>
      </c>
      <c r="G90" s="6">
        <f>'MC EDUCAÇÃO 2026'!F338</f>
        <v>11.746154250000002</v>
      </c>
      <c r="H90" s="7"/>
      <c r="I90" s="7">
        <f t="shared" si="5"/>
        <v>1876.5904460962388</v>
      </c>
      <c r="J90" s="3"/>
    </row>
    <row r="91" spans="1:10" s="1" customFormat="1" ht="45" x14ac:dyDescent="0.25">
      <c r="A91" s="4" t="s">
        <v>21</v>
      </c>
      <c r="B91" s="4" t="s">
        <v>17</v>
      </c>
      <c r="C91" s="4">
        <v>87634</v>
      </c>
      <c r="D91" s="5" t="s">
        <v>527</v>
      </c>
      <c r="E91" s="4" t="s">
        <v>18</v>
      </c>
      <c r="F91" s="7">
        <v>115.12</v>
      </c>
      <c r="G91" s="6">
        <f>'MC EDUCAÇÃO 2026'!D359</f>
        <v>522.05129999999997</v>
      </c>
      <c r="H91" s="7"/>
      <c r="I91" s="7">
        <f t="shared" si="5"/>
        <v>73602.68886490319</v>
      </c>
      <c r="J91" s="3"/>
    </row>
    <row r="92" spans="1:10" s="1" customFormat="1" x14ac:dyDescent="0.25">
      <c r="A92" s="4" t="s">
        <v>22</v>
      </c>
      <c r="B92" s="4" t="s">
        <v>17</v>
      </c>
      <c r="C92" s="4">
        <v>88497</v>
      </c>
      <c r="D92" s="5" t="s">
        <v>231</v>
      </c>
      <c r="E92" s="4" t="s">
        <v>18</v>
      </c>
      <c r="F92" s="7">
        <v>21.3</v>
      </c>
      <c r="G92" s="6">
        <f>'MC EDUCAÇÃO 2026'!D380</f>
        <v>24.459400000000002</v>
      </c>
      <c r="H92" s="7"/>
      <c r="I92" s="7">
        <f t="shared" si="5"/>
        <v>638.05059893399994</v>
      </c>
      <c r="J92" s="3"/>
    </row>
    <row r="93" spans="1:10" s="1" customFormat="1" ht="45" x14ac:dyDescent="0.25">
      <c r="A93" s="4" t="s">
        <v>23</v>
      </c>
      <c r="B93" s="4" t="s">
        <v>26</v>
      </c>
      <c r="C93" s="4" t="s">
        <v>528</v>
      </c>
      <c r="D93" s="5" t="s">
        <v>529</v>
      </c>
      <c r="E93" s="4" t="s">
        <v>18</v>
      </c>
      <c r="F93" s="7">
        <v>242.8</v>
      </c>
      <c r="G93" s="6">
        <f>'MC EDUCAÇÃO 2026'!D359</f>
        <v>522.05129999999997</v>
      </c>
      <c r="H93" s="7"/>
      <c r="I93" s="7">
        <f t="shared" si="5"/>
        <v>155235.69194230798</v>
      </c>
      <c r="J93" s="3"/>
    </row>
    <row r="94" spans="1:10" s="1" customFormat="1" x14ac:dyDescent="0.25">
      <c r="A94" s="4" t="s">
        <v>24</v>
      </c>
      <c r="B94" s="4" t="s">
        <v>17</v>
      </c>
      <c r="C94" s="4">
        <v>104619</v>
      </c>
      <c r="D94" s="5" t="s">
        <v>232</v>
      </c>
      <c r="E94" s="4" t="s">
        <v>20</v>
      </c>
      <c r="F94" s="7">
        <v>12.98</v>
      </c>
      <c r="G94" s="6">
        <f>'MC EDUCAÇÃO 2026'!D399</f>
        <v>349.42000000000007</v>
      </c>
      <c r="H94" s="7"/>
      <c r="I94" s="7">
        <f t="shared" si="5"/>
        <v>5554.5920685200008</v>
      </c>
      <c r="J94" s="3"/>
    </row>
    <row r="95" spans="1:10" s="1" customFormat="1" x14ac:dyDescent="0.25">
      <c r="A95" s="4" t="s">
        <v>25</v>
      </c>
      <c r="B95" s="4" t="s">
        <v>26</v>
      </c>
      <c r="C95" s="4" t="s">
        <v>233</v>
      </c>
      <c r="D95" s="5" t="s">
        <v>234</v>
      </c>
      <c r="E95" s="4" t="s">
        <v>20</v>
      </c>
      <c r="F95" s="7">
        <v>342.7</v>
      </c>
      <c r="G95" s="6">
        <f>'MC EDUCAÇÃO 2026'!B405</f>
        <v>10</v>
      </c>
      <c r="H95" s="7"/>
      <c r="I95" s="7">
        <f t="shared" si="5"/>
        <v>4197.0468999999994</v>
      </c>
      <c r="J95" s="3"/>
    </row>
    <row r="96" spans="1:10" s="1" customFormat="1" x14ac:dyDescent="0.25">
      <c r="A96" s="4" t="s">
        <v>28</v>
      </c>
      <c r="B96" s="4" t="s">
        <v>26</v>
      </c>
      <c r="C96" s="4" t="s">
        <v>530</v>
      </c>
      <c r="D96" s="5" t="s">
        <v>531</v>
      </c>
      <c r="E96" s="4" t="s">
        <v>18</v>
      </c>
      <c r="F96" s="7">
        <v>33.53</v>
      </c>
      <c r="G96" s="6">
        <f>'MC EDUCAÇÃO 2026'!D415</f>
        <v>100.5</v>
      </c>
      <c r="H96" s="7"/>
      <c r="I96" s="7">
        <f t="shared" si="5"/>
        <v>4126.9511954999998</v>
      </c>
      <c r="J96" s="3"/>
    </row>
    <row r="97" spans="1:10" s="1" customFormat="1" ht="30" x14ac:dyDescent="0.25">
      <c r="A97" s="4" t="s">
        <v>79</v>
      </c>
      <c r="B97" s="4" t="s">
        <v>17</v>
      </c>
      <c r="C97" s="4">
        <v>94231</v>
      </c>
      <c r="D97" s="5" t="s">
        <v>235</v>
      </c>
      <c r="E97" s="4" t="s">
        <v>20</v>
      </c>
      <c r="F97" s="7">
        <v>53.09</v>
      </c>
      <c r="G97" s="6">
        <f>'MC EDUCAÇÃO 2026'!B421</f>
        <v>36.200000000000003</v>
      </c>
      <c r="H97" s="7"/>
      <c r="I97" s="7">
        <f t="shared" si="5"/>
        <v>2353.6994926000002</v>
      </c>
      <c r="J97" s="3"/>
    </row>
    <row r="98" spans="1:10" s="1" customFormat="1" ht="30" x14ac:dyDescent="0.25">
      <c r="A98" s="4" t="s">
        <v>264</v>
      </c>
      <c r="B98" s="4" t="s">
        <v>17</v>
      </c>
      <c r="C98" s="4">
        <v>98575</v>
      </c>
      <c r="D98" s="5" t="s">
        <v>236</v>
      </c>
      <c r="E98" s="4" t="s">
        <v>20</v>
      </c>
      <c r="F98" s="7">
        <v>80.239999999999995</v>
      </c>
      <c r="G98" s="6">
        <f>'MC EDUCAÇÃO 2026'!B411</f>
        <v>40.200000000000003</v>
      </c>
      <c r="H98" s="7"/>
      <c r="I98" s="7">
        <f t="shared" si="5"/>
        <v>3950.4511055999997</v>
      </c>
      <c r="J98" s="3"/>
    </row>
    <row r="99" spans="1:10" s="1" customFormat="1" x14ac:dyDescent="0.25">
      <c r="A99" s="4" t="s">
        <v>80</v>
      </c>
      <c r="B99" s="4" t="s">
        <v>26</v>
      </c>
      <c r="C99" s="4" t="s">
        <v>29</v>
      </c>
      <c r="D99" s="5" t="str">
        <f>UPPER("Limpeza final da obra")</f>
        <v>LIMPEZA FINAL DA OBRA</v>
      </c>
      <c r="E99" s="4" t="s">
        <v>18</v>
      </c>
      <c r="F99" s="7">
        <v>15.9</v>
      </c>
      <c r="G99" s="6">
        <f>'MC EDUCAÇÃO 2026'!D456</f>
        <v>546.51070000000004</v>
      </c>
      <c r="H99" s="7"/>
      <c r="I99" s="7">
        <f t="shared" si="5"/>
        <v>10642.055303211</v>
      </c>
      <c r="J99" s="3"/>
    </row>
    <row r="100" spans="1:10" s="1" customFormat="1" x14ac:dyDescent="0.25">
      <c r="A100" s="4"/>
      <c r="B100" s="4"/>
      <c r="C100" s="4"/>
      <c r="D100" s="24" t="s">
        <v>228</v>
      </c>
      <c r="E100" s="4"/>
      <c r="F100" s="7"/>
      <c r="G100" s="6"/>
      <c r="H100" s="7"/>
      <c r="I100" s="53">
        <f>SUM(I89:I99)</f>
        <v>285831.29178028094</v>
      </c>
      <c r="J100" s="3"/>
    </row>
    <row r="101" spans="1:10" s="1" customFormat="1" x14ac:dyDescent="0.25">
      <c r="A101" s="54" t="s">
        <v>268</v>
      </c>
      <c r="B101" s="15"/>
      <c r="C101" s="15"/>
      <c r="D101" s="21"/>
      <c r="E101" s="15"/>
      <c r="F101" s="16"/>
      <c r="G101" s="16"/>
      <c r="H101" s="55"/>
      <c r="I101" s="55"/>
      <c r="J101" s="3"/>
    </row>
    <row r="102" spans="1:10" s="1" customFormat="1" x14ac:dyDescent="0.25">
      <c r="A102" s="4" t="s">
        <v>539</v>
      </c>
      <c r="B102" s="4" t="s">
        <v>17</v>
      </c>
      <c r="C102" s="4">
        <v>104789</v>
      </c>
      <c r="D102" s="5" t="s">
        <v>534</v>
      </c>
      <c r="E102" s="4" t="s">
        <v>57</v>
      </c>
      <c r="F102" s="7">
        <v>285.38</v>
      </c>
      <c r="G102" s="6">
        <f>'MC EDUCAÇÃO 2026'!F465</f>
        <v>40.031700000000008</v>
      </c>
      <c r="H102" s="7"/>
      <c r="I102" s="7">
        <f t="shared" ref="I102:I121" si="6">G102*F102*C$29</f>
        <v>13991.274744886201</v>
      </c>
      <c r="J102" s="3"/>
    </row>
    <row r="103" spans="1:10" s="1" customFormat="1" x14ac:dyDescent="0.25">
      <c r="A103" s="4" t="s">
        <v>269</v>
      </c>
      <c r="B103" s="4" t="s">
        <v>26</v>
      </c>
      <c r="C103" s="4" t="s">
        <v>532</v>
      </c>
      <c r="D103" s="5" t="s">
        <v>533</v>
      </c>
      <c r="E103" s="4" t="s">
        <v>18</v>
      </c>
      <c r="F103" s="7">
        <v>9.08</v>
      </c>
      <c r="G103" s="6">
        <f>'MC EDUCAÇÃO 2026'!D471</f>
        <v>443.12</v>
      </c>
      <c r="H103" s="7"/>
      <c r="I103" s="7">
        <f t="shared" si="6"/>
        <v>4927.6167011199996</v>
      </c>
      <c r="J103" s="3"/>
    </row>
    <row r="104" spans="1:10" s="1" customFormat="1" ht="30" x14ac:dyDescent="0.25">
      <c r="A104" s="4" t="s">
        <v>270</v>
      </c>
      <c r="B104" s="4" t="s">
        <v>17</v>
      </c>
      <c r="C104" s="4">
        <v>97650</v>
      </c>
      <c r="D104" s="5" t="s">
        <v>271</v>
      </c>
      <c r="E104" s="4" t="s">
        <v>18</v>
      </c>
      <c r="F104" s="7">
        <v>10.83</v>
      </c>
      <c r="G104" s="6">
        <f>'MC EDUCAÇÃO 2026'!D478</f>
        <v>443.12</v>
      </c>
      <c r="H104" s="7"/>
      <c r="I104" s="7">
        <f t="shared" si="6"/>
        <v>5877.3225631199994</v>
      </c>
      <c r="J104" s="3"/>
    </row>
    <row r="105" spans="1:10" s="1" customFormat="1" ht="30" x14ac:dyDescent="0.25">
      <c r="A105" s="4" t="s">
        <v>278</v>
      </c>
      <c r="B105" s="4" t="s">
        <v>17</v>
      </c>
      <c r="C105" s="4">
        <v>97625</v>
      </c>
      <c r="D105" s="5" t="s">
        <v>89</v>
      </c>
      <c r="E105" s="4" t="s">
        <v>57</v>
      </c>
      <c r="F105" s="7">
        <v>54.11</v>
      </c>
      <c r="G105" s="6">
        <f>'MC EDUCAÇÃO 2026'!E484</f>
        <v>7.2000000000000011</v>
      </c>
      <c r="H105" s="7"/>
      <c r="I105" s="7">
        <f t="shared" si="6"/>
        <v>477.1333224</v>
      </c>
      <c r="J105" s="3"/>
    </row>
    <row r="106" spans="1:10" s="1" customFormat="1" ht="30" x14ac:dyDescent="0.25">
      <c r="A106" s="4" t="s">
        <v>279</v>
      </c>
      <c r="B106" s="4" t="s">
        <v>26</v>
      </c>
      <c r="C106" s="4" t="s">
        <v>105</v>
      </c>
      <c r="D106" s="5" t="s">
        <v>516</v>
      </c>
      <c r="E106" s="4" t="s">
        <v>57</v>
      </c>
      <c r="F106" s="7">
        <v>131.82</v>
      </c>
      <c r="G106" s="6">
        <f>'MC EDUCAÇÃO 2026'!E493</f>
        <v>117.37515</v>
      </c>
      <c r="H106" s="7"/>
      <c r="I106" s="7">
        <f t="shared" si="6"/>
        <v>18949.038816743097</v>
      </c>
      <c r="J106" s="3"/>
    </row>
    <row r="107" spans="1:10" s="1" customFormat="1" ht="30" x14ac:dyDescent="0.25">
      <c r="A107" s="4" t="s">
        <v>280</v>
      </c>
      <c r="B107" s="4" t="s">
        <v>17</v>
      </c>
      <c r="C107" s="4">
        <v>97083</v>
      </c>
      <c r="D107" s="5" t="s">
        <v>272</v>
      </c>
      <c r="E107" s="4" t="s">
        <v>18</v>
      </c>
      <c r="F107" s="7">
        <v>4.57</v>
      </c>
      <c r="G107" s="6">
        <f>'MC EDUCAÇÃO 2026'!E501</f>
        <v>337.1975000000001</v>
      </c>
      <c r="H107" s="7"/>
      <c r="I107" s="7">
        <f t="shared" si="6"/>
        <v>1887.2536066025007</v>
      </c>
      <c r="J107" s="3"/>
    </row>
    <row r="108" spans="1:10" s="1" customFormat="1" ht="30" x14ac:dyDescent="0.25">
      <c r="A108" s="4" t="s">
        <v>281</v>
      </c>
      <c r="B108" s="4" t="s">
        <v>17</v>
      </c>
      <c r="C108" s="4">
        <v>96622</v>
      </c>
      <c r="D108" s="5" t="s">
        <v>93</v>
      </c>
      <c r="E108" s="4" t="s">
        <v>57</v>
      </c>
      <c r="F108" s="7">
        <v>201.72</v>
      </c>
      <c r="G108" s="6">
        <f>'MC EDUCAÇÃO 2026'!F509</f>
        <v>16.859875000000002</v>
      </c>
      <c r="H108" s="7"/>
      <c r="I108" s="7">
        <f t="shared" si="6"/>
        <v>4165.1728394295005</v>
      </c>
      <c r="J108" s="3"/>
    </row>
    <row r="109" spans="1:10" s="1" customFormat="1" ht="30" x14ac:dyDescent="0.25">
      <c r="A109" s="4" t="s">
        <v>282</v>
      </c>
      <c r="B109" s="4" t="s">
        <v>17</v>
      </c>
      <c r="C109" s="4">
        <v>94993</v>
      </c>
      <c r="D109" s="5" t="s">
        <v>517</v>
      </c>
      <c r="E109" s="4" t="s">
        <v>18</v>
      </c>
      <c r="F109" s="7">
        <v>70.19</v>
      </c>
      <c r="G109" s="6">
        <f>'MC EDUCAÇÃO 2026'!E518</f>
        <v>337.1975000000001</v>
      </c>
      <c r="H109" s="7"/>
      <c r="I109" s="7">
        <f t="shared" si="6"/>
        <v>28986.067975367507</v>
      </c>
      <c r="J109" s="3"/>
    </row>
    <row r="110" spans="1:10" s="1" customFormat="1" ht="30" x14ac:dyDescent="0.25">
      <c r="A110" s="4" t="s">
        <v>283</v>
      </c>
      <c r="B110" s="4" t="s">
        <v>17</v>
      </c>
      <c r="C110" s="4">
        <v>97977</v>
      </c>
      <c r="D110" s="5" t="s">
        <v>273</v>
      </c>
      <c r="E110" s="4" t="s">
        <v>227</v>
      </c>
      <c r="F110" s="7">
        <v>1779.57</v>
      </c>
      <c r="G110" s="6">
        <f>'MC EDUCAÇÃO 2026'!B525</f>
        <v>10</v>
      </c>
      <c r="H110" s="7"/>
      <c r="I110" s="7">
        <f t="shared" si="6"/>
        <v>21794.393789999998</v>
      </c>
      <c r="J110" s="3"/>
    </row>
    <row r="111" spans="1:10" s="1" customFormat="1" ht="45" x14ac:dyDescent="0.25">
      <c r="A111" s="4" t="s">
        <v>284</v>
      </c>
      <c r="B111" s="4" t="s">
        <v>17</v>
      </c>
      <c r="C111" s="4">
        <v>98109</v>
      </c>
      <c r="D111" s="5" t="s">
        <v>274</v>
      </c>
      <c r="E111" s="4" t="s">
        <v>227</v>
      </c>
      <c r="F111" s="7">
        <v>927.32</v>
      </c>
      <c r="G111" s="6">
        <f>'MC EDUCAÇÃO 2026'!B531</f>
        <v>1</v>
      </c>
      <c r="H111" s="7"/>
      <c r="I111" s="7">
        <f t="shared" si="6"/>
        <v>1135.6888039999999</v>
      </c>
      <c r="J111" s="3"/>
    </row>
    <row r="112" spans="1:10" s="1" customFormat="1" ht="30" x14ac:dyDescent="0.25">
      <c r="A112" s="4" t="s">
        <v>285</v>
      </c>
      <c r="B112" s="4" t="s">
        <v>17</v>
      </c>
      <c r="C112" s="4">
        <v>99268</v>
      </c>
      <c r="D112" s="5" t="s">
        <v>275</v>
      </c>
      <c r="E112" s="4" t="s">
        <v>227</v>
      </c>
      <c r="F112" s="7">
        <v>549.79999999999995</v>
      </c>
      <c r="G112" s="6">
        <f>'MC EDUCAÇÃO 2026'!B538</f>
        <v>12</v>
      </c>
      <c r="H112" s="7"/>
      <c r="I112" s="7">
        <f t="shared" si="6"/>
        <v>8080.080719999999</v>
      </c>
      <c r="J112" s="3"/>
    </row>
    <row r="113" spans="1:10" s="1" customFormat="1" ht="30" x14ac:dyDescent="0.25">
      <c r="A113" s="4" t="s">
        <v>286</v>
      </c>
      <c r="B113" s="4" t="s">
        <v>26</v>
      </c>
      <c r="C113" s="4" t="s">
        <v>518</v>
      </c>
      <c r="D113" s="5" t="s">
        <v>519</v>
      </c>
      <c r="E113" s="4" t="s">
        <v>20</v>
      </c>
      <c r="F113" s="7">
        <v>182.91</v>
      </c>
      <c r="G113" s="6">
        <f>'MC EDUCAÇÃO 2026'!B554</f>
        <v>105.8</v>
      </c>
      <c r="H113" s="7"/>
      <c r="I113" s="7">
        <f t="shared" si="6"/>
        <v>23700.244986599999</v>
      </c>
      <c r="J113" s="3"/>
    </row>
    <row r="114" spans="1:10" s="1" customFormat="1" ht="30" x14ac:dyDescent="0.25">
      <c r="A114" s="4" t="s">
        <v>287</v>
      </c>
      <c r="B114" s="4" t="s">
        <v>26</v>
      </c>
      <c r="C114" s="4" t="s">
        <v>521</v>
      </c>
      <c r="D114" s="5" t="s">
        <v>520</v>
      </c>
      <c r="E114" s="4" t="s">
        <v>20</v>
      </c>
      <c r="F114" s="7">
        <v>95.39</v>
      </c>
      <c r="G114" s="6">
        <f>'MC EDUCAÇÃO 2026'!D561</f>
        <v>36</v>
      </c>
      <c r="H114" s="7"/>
      <c r="I114" s="7">
        <f t="shared" si="6"/>
        <v>4205.6687879999999</v>
      </c>
      <c r="J114" s="3"/>
    </row>
    <row r="115" spans="1:10" s="1" customFormat="1" x14ac:dyDescent="0.25">
      <c r="A115" s="4" t="s">
        <v>288</v>
      </c>
      <c r="B115" s="4" t="s">
        <v>511</v>
      </c>
      <c r="C115" s="4" t="s">
        <v>514</v>
      </c>
      <c r="D115" s="5" t="s">
        <v>515</v>
      </c>
      <c r="E115" s="4" t="s">
        <v>20</v>
      </c>
      <c r="F115" s="7">
        <v>286.48</v>
      </c>
      <c r="G115" s="6">
        <f>'MC EDUCAÇÃO 2026'!D581</f>
        <v>103.7</v>
      </c>
      <c r="H115" s="7"/>
      <c r="I115" s="7">
        <f t="shared" si="6"/>
        <v>36383.358207199999</v>
      </c>
      <c r="J115" s="3"/>
    </row>
    <row r="116" spans="1:10" s="1" customFormat="1" ht="30" x14ac:dyDescent="0.25">
      <c r="A116" s="4" t="s">
        <v>289</v>
      </c>
      <c r="B116" s="4" t="s">
        <v>26</v>
      </c>
      <c r="C116" s="4" t="s">
        <v>518</v>
      </c>
      <c r="D116" s="5" t="s">
        <v>519</v>
      </c>
      <c r="E116" s="4" t="s">
        <v>20</v>
      </c>
      <c r="F116" s="7">
        <v>182.91</v>
      </c>
      <c r="G116" s="6">
        <f>'MC EDUCAÇÃO 2026'!B589</f>
        <v>105.8</v>
      </c>
      <c r="H116" s="7"/>
      <c r="I116" s="7">
        <f t="shared" si="6"/>
        <v>23700.244986599999</v>
      </c>
      <c r="J116" s="3"/>
    </row>
    <row r="117" spans="1:10" s="1" customFormat="1" ht="30" x14ac:dyDescent="0.25">
      <c r="A117" s="4" t="s">
        <v>290</v>
      </c>
      <c r="B117" s="4" t="s">
        <v>26</v>
      </c>
      <c r="C117" s="4" t="s">
        <v>523</v>
      </c>
      <c r="D117" s="5" t="s">
        <v>522</v>
      </c>
      <c r="E117" s="4" t="s">
        <v>20</v>
      </c>
      <c r="F117" s="7">
        <v>58.39</v>
      </c>
      <c r="G117" s="6">
        <f>'MC EDUCAÇÃO 2026'!B596</f>
        <v>3.2</v>
      </c>
      <c r="H117" s="7"/>
      <c r="I117" s="7">
        <f t="shared" si="6"/>
        <v>228.83274560000001</v>
      </c>
      <c r="J117" s="3"/>
    </row>
    <row r="118" spans="1:10" s="1" customFormat="1" ht="30" x14ac:dyDescent="0.25">
      <c r="A118" s="4" t="s">
        <v>291</v>
      </c>
      <c r="B118" s="4" t="s">
        <v>17</v>
      </c>
      <c r="C118" s="4">
        <v>101798</v>
      </c>
      <c r="D118" s="5" t="s">
        <v>276</v>
      </c>
      <c r="E118" s="4" t="s">
        <v>227</v>
      </c>
      <c r="F118" s="7">
        <v>332.23</v>
      </c>
      <c r="G118" s="6">
        <f>'MC EDUCAÇÃO 2026'!B546</f>
        <v>23</v>
      </c>
      <c r="H118" s="7"/>
      <c r="I118" s="7">
        <f t="shared" si="6"/>
        <v>9358.2878629999996</v>
      </c>
      <c r="J118" s="3"/>
    </row>
    <row r="119" spans="1:10" s="1" customFormat="1" ht="30" x14ac:dyDescent="0.25">
      <c r="A119" s="4" t="s">
        <v>292</v>
      </c>
      <c r="B119" s="4" t="s">
        <v>17</v>
      </c>
      <c r="C119" s="4">
        <v>92543</v>
      </c>
      <c r="D119" s="5" t="s">
        <v>277</v>
      </c>
      <c r="E119" s="4" t="s">
        <v>18</v>
      </c>
      <c r="F119" s="7">
        <v>33.29</v>
      </c>
      <c r="G119" s="6">
        <f>'MC EDUCAÇÃO 2026'!D478*0.5</f>
        <v>221.56</v>
      </c>
      <c r="H119" s="7"/>
      <c r="I119" s="7">
        <f t="shared" si="6"/>
        <v>9033.059470279999</v>
      </c>
      <c r="J119" s="3"/>
    </row>
    <row r="120" spans="1:10" s="1" customFormat="1" x14ac:dyDescent="0.25">
      <c r="A120" s="4" t="s">
        <v>293</v>
      </c>
      <c r="B120" s="4" t="s">
        <v>26</v>
      </c>
      <c r="C120" s="4" t="s">
        <v>505</v>
      </c>
      <c r="D120" s="5" t="s">
        <v>506</v>
      </c>
      <c r="E120" s="4" t="s">
        <v>20</v>
      </c>
      <c r="F120" s="7">
        <v>12.07</v>
      </c>
      <c r="G120" s="6">
        <v>25</v>
      </c>
      <c r="H120" s="7"/>
      <c r="I120" s="7">
        <f t="shared" si="6"/>
        <v>369.553225</v>
      </c>
      <c r="J120" s="3"/>
    </row>
    <row r="121" spans="1:10" s="1" customFormat="1" x14ac:dyDescent="0.25">
      <c r="A121" s="4" t="s">
        <v>294</v>
      </c>
      <c r="B121" s="4" t="s">
        <v>511</v>
      </c>
      <c r="C121" s="4" t="s">
        <v>512</v>
      </c>
      <c r="D121" s="5" t="s">
        <v>538</v>
      </c>
      <c r="E121" s="4" t="s">
        <v>18</v>
      </c>
      <c r="F121" s="7">
        <v>310.91000000000003</v>
      </c>
      <c r="G121" s="6">
        <f>'MC EDUCAÇÃO 2026'!D471</f>
        <v>443.12</v>
      </c>
      <c r="H121" s="7"/>
      <c r="I121" s="7">
        <f t="shared" si="6"/>
        <v>168727.45688824001</v>
      </c>
      <c r="J121" s="3"/>
    </row>
    <row r="122" spans="1:10" s="1" customFormat="1" x14ac:dyDescent="0.25">
      <c r="A122" s="4"/>
      <c r="B122" s="4"/>
      <c r="C122" s="4"/>
      <c r="D122" s="24" t="s">
        <v>228</v>
      </c>
      <c r="E122" s="4"/>
      <c r="F122" s="7"/>
      <c r="G122" s="6"/>
      <c r="H122" s="7"/>
      <c r="I122" s="53">
        <f>SUM(I102:I121)</f>
        <v>385977.75104418886</v>
      </c>
      <c r="J122" s="3"/>
    </row>
    <row r="123" spans="1:10" s="1" customFormat="1" x14ac:dyDescent="0.25">
      <c r="A123" s="54" t="s">
        <v>330</v>
      </c>
      <c r="B123" s="15"/>
      <c r="C123" s="15"/>
      <c r="D123" s="21"/>
      <c r="E123" s="15"/>
      <c r="F123" s="16"/>
      <c r="G123" s="16"/>
      <c r="H123" s="55"/>
      <c r="I123" s="55"/>
      <c r="J123" s="3"/>
    </row>
    <row r="124" spans="1:10" s="1" customFormat="1" ht="45" x14ac:dyDescent="0.25">
      <c r="A124" s="4" t="s">
        <v>373</v>
      </c>
      <c r="B124" s="4" t="s">
        <v>17</v>
      </c>
      <c r="C124" s="4">
        <v>97634</v>
      </c>
      <c r="D124" s="5" t="s">
        <v>344</v>
      </c>
      <c r="E124" s="4" t="s">
        <v>18</v>
      </c>
      <c r="F124" s="7">
        <v>4.8</v>
      </c>
      <c r="G124" s="6">
        <v>18.02</v>
      </c>
      <c r="H124" s="7"/>
      <c r="I124" s="7">
        <f t="shared" ref="I124:I156" si="7">G124*F124*C$29</f>
        <v>105.93165119999999</v>
      </c>
      <c r="J124" s="3"/>
    </row>
    <row r="125" spans="1:10" s="1" customFormat="1" ht="45" x14ac:dyDescent="0.25">
      <c r="A125" s="4" t="s">
        <v>374</v>
      </c>
      <c r="B125" s="4" t="s">
        <v>17</v>
      </c>
      <c r="C125" s="4">
        <v>87634</v>
      </c>
      <c r="D125" s="5" t="s">
        <v>527</v>
      </c>
      <c r="E125" s="4" t="s">
        <v>18</v>
      </c>
      <c r="F125" s="7">
        <v>116.76</v>
      </c>
      <c r="G125" s="6">
        <v>18.02</v>
      </c>
      <c r="H125" s="7"/>
      <c r="I125" s="7">
        <f t="shared" si="7"/>
        <v>2576.7874154399997</v>
      </c>
      <c r="J125" s="3"/>
    </row>
    <row r="126" spans="1:10" s="1" customFormat="1" ht="45" x14ac:dyDescent="0.25">
      <c r="A126" s="4" t="s">
        <v>375</v>
      </c>
      <c r="B126" s="4" t="s">
        <v>26</v>
      </c>
      <c r="C126" s="4" t="s">
        <v>528</v>
      </c>
      <c r="D126" s="5" t="s">
        <v>529</v>
      </c>
      <c r="E126" s="4" t="s">
        <v>18</v>
      </c>
      <c r="F126" s="7">
        <v>247.35</v>
      </c>
      <c r="G126" s="6">
        <v>18.02</v>
      </c>
      <c r="H126" s="7"/>
      <c r="I126" s="7">
        <f t="shared" si="7"/>
        <v>5458.7904008999985</v>
      </c>
      <c r="J126" s="3"/>
    </row>
    <row r="127" spans="1:10" s="1" customFormat="1" ht="30" x14ac:dyDescent="0.25">
      <c r="A127" s="4" t="s">
        <v>376</v>
      </c>
      <c r="B127" s="4" t="s">
        <v>26</v>
      </c>
      <c r="C127" s="4" t="s">
        <v>105</v>
      </c>
      <c r="D127" s="5" t="s">
        <v>516</v>
      </c>
      <c r="E127" s="4" t="s">
        <v>57</v>
      </c>
      <c r="F127" s="7">
        <v>131.82</v>
      </c>
      <c r="G127" s="6">
        <v>2.1043350000000003</v>
      </c>
      <c r="H127" s="7"/>
      <c r="I127" s="7">
        <f t="shared" si="7"/>
        <v>339.72374560059001</v>
      </c>
      <c r="J127" s="3"/>
    </row>
    <row r="128" spans="1:10" s="1" customFormat="1" x14ac:dyDescent="0.25">
      <c r="A128" s="4" t="s">
        <v>263</v>
      </c>
      <c r="B128" s="4" t="s">
        <v>26</v>
      </c>
      <c r="C128" s="4" t="s">
        <v>345</v>
      </c>
      <c r="D128" s="5" t="str">
        <f>UPPER("Ralo seco em PVC rígido de 100 x 40 mm, com grelha")</f>
        <v>RALO SECO EM PVC RÍGIDO DE 100 X 40 MM, COM GRELHA</v>
      </c>
      <c r="E128" s="4" t="s">
        <v>371</v>
      </c>
      <c r="F128" s="7">
        <v>90.46</v>
      </c>
      <c r="G128" s="6">
        <v>1</v>
      </c>
      <c r="H128" s="7"/>
      <c r="I128" s="7">
        <f t="shared" si="7"/>
        <v>110.78636199999998</v>
      </c>
      <c r="J128" s="3"/>
    </row>
    <row r="129" spans="1:10" s="1" customFormat="1" x14ac:dyDescent="0.25">
      <c r="A129" s="4" t="s">
        <v>377</v>
      </c>
      <c r="B129" s="4" t="s">
        <v>26</v>
      </c>
      <c r="C129" s="4" t="s">
        <v>346</v>
      </c>
      <c r="D129" s="5" t="str">
        <f>UPPER("Selante elástico monocomponente a base de poliuretano (PU) para juntas de dilatação")</f>
        <v>SELANTE ELÁSTICO MONOCOMPONENTE A BASE DE POLIURETANO (PU) PARA JUNTAS DE DILATAÇÃO</v>
      </c>
      <c r="E129" s="4" t="s">
        <v>20</v>
      </c>
      <c r="F129" s="7">
        <v>9.1999999999999993</v>
      </c>
      <c r="G129" s="6">
        <v>4.6099999999999994</v>
      </c>
      <c r="H129" s="7"/>
      <c r="I129" s="7">
        <f t="shared" si="7"/>
        <v>51.941976399999987</v>
      </c>
      <c r="J129" s="3"/>
    </row>
    <row r="130" spans="1:10" s="1" customFormat="1" x14ac:dyDescent="0.25">
      <c r="A130" s="4" t="s">
        <v>378</v>
      </c>
      <c r="B130" s="4" t="s">
        <v>17</v>
      </c>
      <c r="C130" s="4">
        <v>97645</v>
      </c>
      <c r="D130" s="5" t="s">
        <v>347</v>
      </c>
      <c r="E130" s="4" t="s">
        <v>18</v>
      </c>
      <c r="F130" s="7">
        <v>34.78</v>
      </c>
      <c r="G130" s="6">
        <v>2.74</v>
      </c>
      <c r="H130" s="7"/>
      <c r="I130" s="7">
        <f t="shared" si="7"/>
        <v>116.71048083999999</v>
      </c>
      <c r="J130" s="3"/>
    </row>
    <row r="131" spans="1:10" s="1" customFormat="1" x14ac:dyDescent="0.25">
      <c r="A131" s="4" t="s">
        <v>379</v>
      </c>
      <c r="B131" s="4" t="s">
        <v>26</v>
      </c>
      <c r="C131" s="4" t="s">
        <v>348</v>
      </c>
      <c r="D131" s="5" t="str">
        <f>UPPER("Exaustor elétrico em plástico, vazão de 150 a 190m³/h")</f>
        <v>EXAUSTOR ELÉTRICO EM PLÁSTICO, VAZÃO DE 150 A 190M³/H</v>
      </c>
      <c r="E131" s="4" t="s">
        <v>371</v>
      </c>
      <c r="F131" s="7">
        <v>475.58</v>
      </c>
      <c r="G131" s="6">
        <v>1</v>
      </c>
      <c r="H131" s="7"/>
      <c r="I131" s="7">
        <f t="shared" si="7"/>
        <v>582.44282599999997</v>
      </c>
      <c r="J131" s="3"/>
    </row>
    <row r="132" spans="1:10" s="1" customFormat="1" ht="30" x14ac:dyDescent="0.25">
      <c r="A132" s="4" t="s">
        <v>380</v>
      </c>
      <c r="B132" s="4" t="s">
        <v>17</v>
      </c>
      <c r="C132" s="4">
        <v>91993</v>
      </c>
      <c r="D132" s="5" t="s">
        <v>349</v>
      </c>
      <c r="E132" s="4" t="s">
        <v>371</v>
      </c>
      <c r="F132" s="7">
        <v>66.23</v>
      </c>
      <c r="G132" s="6">
        <v>2</v>
      </c>
      <c r="H132" s="7"/>
      <c r="I132" s="7">
        <f t="shared" si="7"/>
        <v>162.22376199999999</v>
      </c>
      <c r="J132" s="3"/>
    </row>
    <row r="133" spans="1:10" s="1" customFormat="1" ht="30" x14ac:dyDescent="0.25">
      <c r="A133" s="4" t="s">
        <v>381</v>
      </c>
      <c r="B133" s="4" t="s">
        <v>17</v>
      </c>
      <c r="C133" s="4">
        <v>91928</v>
      </c>
      <c r="D133" s="5" t="s">
        <v>350</v>
      </c>
      <c r="E133" s="4" t="s">
        <v>20</v>
      </c>
      <c r="F133" s="7">
        <v>8.11</v>
      </c>
      <c r="G133" s="6">
        <v>109.80000000000001</v>
      </c>
      <c r="H133" s="7"/>
      <c r="I133" s="7">
        <f t="shared" si="7"/>
        <v>1090.5684065999999</v>
      </c>
      <c r="J133" s="3"/>
    </row>
    <row r="134" spans="1:10" s="1" customFormat="1" ht="30" x14ac:dyDescent="0.25">
      <c r="A134" s="4" t="s">
        <v>382</v>
      </c>
      <c r="B134" s="4" t="s">
        <v>17</v>
      </c>
      <c r="C134" s="4">
        <v>91981</v>
      </c>
      <c r="D134" s="5" t="s">
        <v>351</v>
      </c>
      <c r="E134" s="4" t="s">
        <v>371</v>
      </c>
      <c r="F134" s="7">
        <v>66.09</v>
      </c>
      <c r="G134" s="6">
        <v>1</v>
      </c>
      <c r="H134" s="7"/>
      <c r="I134" s="7">
        <f t="shared" si="7"/>
        <v>80.940422999999996</v>
      </c>
      <c r="J134" s="3"/>
    </row>
    <row r="135" spans="1:10" s="1" customFormat="1" ht="30" x14ac:dyDescent="0.25">
      <c r="A135" s="4" t="s">
        <v>383</v>
      </c>
      <c r="B135" s="4" t="s">
        <v>17</v>
      </c>
      <c r="C135" s="4">
        <v>91859</v>
      </c>
      <c r="D135" s="5" t="s">
        <v>352</v>
      </c>
      <c r="E135" s="4" t="s">
        <v>20</v>
      </c>
      <c r="F135" s="7">
        <v>14.65</v>
      </c>
      <c r="G135" s="6">
        <v>24.400000000000002</v>
      </c>
      <c r="H135" s="7"/>
      <c r="I135" s="7">
        <f t="shared" si="7"/>
        <v>437.78126200000003</v>
      </c>
      <c r="J135" s="3"/>
    </row>
    <row r="136" spans="1:10" s="1" customFormat="1" x14ac:dyDescent="0.25">
      <c r="A136" s="4" t="s">
        <v>384</v>
      </c>
      <c r="B136" s="4" t="s">
        <v>26</v>
      </c>
      <c r="C136" s="4" t="s">
        <v>353</v>
      </c>
      <c r="D136" s="5" t="str">
        <f>UPPER("Tela de proteção tipo mosquiteira em aço galvanizado, com requadro em perfis de ferro")</f>
        <v>TELA DE PROTEÇÃO TIPO MOSQUITEIRA EM AÇO GALVANIZADO, COM REQUADRO EM PERFIS DE FERRO</v>
      </c>
      <c r="E136" s="4" t="s">
        <v>18</v>
      </c>
      <c r="F136" s="7">
        <v>1008.8</v>
      </c>
      <c r="G136" s="6">
        <v>1.7999999999999998</v>
      </c>
      <c r="H136" s="7"/>
      <c r="I136" s="7">
        <f t="shared" si="7"/>
        <v>2223.8592479999993</v>
      </c>
      <c r="J136" s="3"/>
    </row>
    <row r="137" spans="1:10" s="1" customFormat="1" x14ac:dyDescent="0.25">
      <c r="A137" s="4" t="s">
        <v>385</v>
      </c>
      <c r="B137" s="4" t="s">
        <v>26</v>
      </c>
      <c r="C137" s="4" t="s">
        <v>354</v>
      </c>
      <c r="D137" s="5" t="str">
        <f>UPPER("Tampo/bancada em granito, com frontão, espessura de 2 cm, acabamento polido")</f>
        <v>TAMPO/BANCADA EM GRANITO, COM FRONTÃO, ESPESSURA DE 2 CM, ACABAMENTO POLIDO</v>
      </c>
      <c r="E137" s="4" t="s">
        <v>18</v>
      </c>
      <c r="F137" s="7">
        <v>1040.3699999999999</v>
      </c>
      <c r="G137" s="6">
        <v>1.95</v>
      </c>
      <c r="H137" s="7"/>
      <c r="I137" s="7">
        <f t="shared" si="7"/>
        <v>2484.5752210499995</v>
      </c>
      <c r="J137" s="3"/>
    </row>
    <row r="138" spans="1:10" s="1" customFormat="1" x14ac:dyDescent="0.25">
      <c r="A138" s="4" t="s">
        <v>386</v>
      </c>
      <c r="B138" s="4" t="s">
        <v>26</v>
      </c>
      <c r="C138" s="4" t="s">
        <v>355</v>
      </c>
      <c r="D138" s="5" t="str">
        <f>UPPER("Caixilho guilhotina em alumínio anodizado, sob medida")</f>
        <v>CAIXILHO GUILHOTINA EM ALUMÍNIO ANODIZADO, SOB MEDIDA</v>
      </c>
      <c r="E138" s="4" t="s">
        <v>18</v>
      </c>
      <c r="F138" s="7">
        <v>1281.51</v>
      </c>
      <c r="G138" s="6">
        <v>1.74</v>
      </c>
      <c r="H138" s="7"/>
      <c r="I138" s="7">
        <f t="shared" si="7"/>
        <v>2730.8696167799999</v>
      </c>
      <c r="J138" s="3"/>
    </row>
    <row r="139" spans="1:10" s="1" customFormat="1" ht="30" x14ac:dyDescent="0.25">
      <c r="A139" s="4" t="s">
        <v>387</v>
      </c>
      <c r="B139" s="4" t="s">
        <v>17</v>
      </c>
      <c r="C139" s="4">
        <v>102169</v>
      </c>
      <c r="D139" s="5" t="s">
        <v>356</v>
      </c>
      <c r="E139" s="4" t="s">
        <v>18</v>
      </c>
      <c r="F139" s="7">
        <v>538.49</v>
      </c>
      <c r="G139" s="6">
        <v>1.74</v>
      </c>
      <c r="H139" s="7"/>
      <c r="I139" s="7">
        <f t="shared" si="7"/>
        <v>1147.5103432199999</v>
      </c>
      <c r="J139" s="3"/>
    </row>
    <row r="140" spans="1:10" s="1" customFormat="1" x14ac:dyDescent="0.25">
      <c r="A140" s="4" t="s">
        <v>388</v>
      </c>
      <c r="B140" s="4" t="s">
        <v>17</v>
      </c>
      <c r="C140" s="4">
        <v>97622</v>
      </c>
      <c r="D140" s="5" t="s">
        <v>357</v>
      </c>
      <c r="E140" s="4" t="s">
        <v>57</v>
      </c>
      <c r="F140" s="7">
        <v>81.09</v>
      </c>
      <c r="G140" s="6">
        <v>1.2767500000000001</v>
      </c>
      <c r="H140" s="7"/>
      <c r="I140" s="7">
        <f t="shared" si="7"/>
        <v>126.79522094025</v>
      </c>
      <c r="J140" s="3"/>
    </row>
    <row r="141" spans="1:10" s="1" customFormat="1" x14ac:dyDescent="0.25">
      <c r="A141" s="4" t="s">
        <v>389</v>
      </c>
      <c r="B141" s="4" t="s">
        <v>17</v>
      </c>
      <c r="C141" s="4">
        <v>97644</v>
      </c>
      <c r="D141" s="5" t="s">
        <v>358</v>
      </c>
      <c r="E141" s="4" t="s">
        <v>18</v>
      </c>
      <c r="F141" s="7">
        <v>13.46</v>
      </c>
      <c r="G141" s="6">
        <v>1.722</v>
      </c>
      <c r="H141" s="7"/>
      <c r="I141" s="7">
        <f t="shared" si="7"/>
        <v>28.386243563999997</v>
      </c>
      <c r="J141" s="3"/>
    </row>
    <row r="142" spans="1:10" s="1" customFormat="1" ht="30" x14ac:dyDescent="0.25">
      <c r="A142" s="4" t="s">
        <v>390</v>
      </c>
      <c r="B142" s="4" t="s">
        <v>17</v>
      </c>
      <c r="C142" s="4">
        <v>103318</v>
      </c>
      <c r="D142" s="5" t="s">
        <v>359</v>
      </c>
      <c r="E142" s="4" t="s">
        <v>18</v>
      </c>
      <c r="F142" s="7">
        <v>110.33</v>
      </c>
      <c r="G142" s="6">
        <v>3</v>
      </c>
      <c r="H142" s="7"/>
      <c r="I142" s="7">
        <f t="shared" si="7"/>
        <v>405.36345299999999</v>
      </c>
      <c r="J142" s="3"/>
    </row>
    <row r="143" spans="1:10" s="1" customFormat="1" ht="30" x14ac:dyDescent="0.25">
      <c r="A143" s="4" t="s">
        <v>391</v>
      </c>
      <c r="B143" s="4" t="s">
        <v>17</v>
      </c>
      <c r="C143" s="4">
        <v>87879</v>
      </c>
      <c r="D143" s="5" t="s">
        <v>360</v>
      </c>
      <c r="E143" s="4" t="s">
        <v>18</v>
      </c>
      <c r="F143" s="7">
        <v>5.14</v>
      </c>
      <c r="G143" s="6">
        <v>6</v>
      </c>
      <c r="H143" s="7"/>
      <c r="I143" s="7">
        <f t="shared" si="7"/>
        <v>37.769747999999993</v>
      </c>
      <c r="J143" s="3"/>
    </row>
    <row r="144" spans="1:10" s="1" customFormat="1" ht="30" x14ac:dyDescent="0.25">
      <c r="A144" s="4" t="s">
        <v>392</v>
      </c>
      <c r="B144" s="4" t="s">
        <v>17</v>
      </c>
      <c r="C144" s="4">
        <v>87536</v>
      </c>
      <c r="D144" s="5" t="s">
        <v>361</v>
      </c>
      <c r="E144" s="4" t="s">
        <v>18</v>
      </c>
      <c r="F144" s="7">
        <v>42.53</v>
      </c>
      <c r="G144" s="6">
        <v>6</v>
      </c>
      <c r="H144" s="7"/>
      <c r="I144" s="7">
        <f t="shared" si="7"/>
        <v>312.51894599999997</v>
      </c>
      <c r="J144" s="3"/>
    </row>
    <row r="145" spans="1:10" s="1" customFormat="1" ht="30" x14ac:dyDescent="0.25">
      <c r="A145" s="4" t="s">
        <v>393</v>
      </c>
      <c r="B145" s="4" t="s">
        <v>17</v>
      </c>
      <c r="C145" s="4">
        <v>87265</v>
      </c>
      <c r="D145" s="5" t="s">
        <v>362</v>
      </c>
      <c r="E145" s="4" t="s">
        <v>18</v>
      </c>
      <c r="F145" s="7">
        <v>60.95</v>
      </c>
      <c r="G145" s="6">
        <v>3</v>
      </c>
      <c r="H145" s="7"/>
      <c r="I145" s="7">
        <f t="shared" si="7"/>
        <v>223.936395</v>
      </c>
      <c r="J145" s="3"/>
    </row>
    <row r="146" spans="1:10" s="1" customFormat="1" x14ac:dyDescent="0.25">
      <c r="A146" s="4" t="s">
        <v>394</v>
      </c>
      <c r="B146" s="4" t="s">
        <v>17</v>
      </c>
      <c r="C146" s="4">
        <v>88495</v>
      </c>
      <c r="D146" s="5" t="s">
        <v>363</v>
      </c>
      <c r="E146" s="4" t="s">
        <v>18</v>
      </c>
      <c r="F146" s="7">
        <v>14.71</v>
      </c>
      <c r="G146" s="6">
        <v>24.840000000000003</v>
      </c>
      <c r="H146" s="7"/>
      <c r="I146" s="7">
        <f t="shared" si="7"/>
        <v>447.50097108000006</v>
      </c>
      <c r="J146" s="3"/>
    </row>
    <row r="147" spans="1:10" s="1" customFormat="1" x14ac:dyDescent="0.25">
      <c r="A147" s="4" t="s">
        <v>395</v>
      </c>
      <c r="B147" s="4" t="s">
        <v>17</v>
      </c>
      <c r="C147" s="4">
        <v>88496</v>
      </c>
      <c r="D147" s="5" t="s">
        <v>364</v>
      </c>
      <c r="E147" s="4" t="s">
        <v>18</v>
      </c>
      <c r="F147" s="7">
        <v>40.93</v>
      </c>
      <c r="G147" s="6">
        <v>18.02</v>
      </c>
      <c r="H147" s="7"/>
      <c r="I147" s="7">
        <f t="shared" si="7"/>
        <v>903.28801741999985</v>
      </c>
      <c r="J147" s="3"/>
    </row>
    <row r="148" spans="1:10" s="1" customFormat="1" x14ac:dyDescent="0.25">
      <c r="A148" s="4" t="s">
        <v>396</v>
      </c>
      <c r="B148" s="4" t="s">
        <v>26</v>
      </c>
      <c r="C148" s="4" t="s">
        <v>530</v>
      </c>
      <c r="D148" s="5" t="s">
        <v>531</v>
      </c>
      <c r="E148" s="4" t="s">
        <v>18</v>
      </c>
      <c r="F148" s="7">
        <v>35.950000000000003</v>
      </c>
      <c r="G148" s="6">
        <v>18.02</v>
      </c>
      <c r="H148" s="7"/>
      <c r="I148" s="7">
        <f t="shared" si="7"/>
        <v>793.38392929999998</v>
      </c>
      <c r="J148" s="3"/>
    </row>
    <row r="149" spans="1:10" s="1" customFormat="1" x14ac:dyDescent="0.25">
      <c r="A149" s="4" t="s">
        <v>397</v>
      </c>
      <c r="B149" s="4" t="s">
        <v>17</v>
      </c>
      <c r="C149" s="4">
        <v>88485</v>
      </c>
      <c r="D149" s="5" t="s">
        <v>365</v>
      </c>
      <c r="E149" s="4" t="s">
        <v>18</v>
      </c>
      <c r="F149" s="7">
        <v>5.26</v>
      </c>
      <c r="G149" s="6">
        <v>24.840000000000003</v>
      </c>
      <c r="H149" s="7"/>
      <c r="I149" s="7">
        <f t="shared" si="7"/>
        <v>160.01734248</v>
      </c>
      <c r="J149" s="3"/>
    </row>
    <row r="150" spans="1:10" s="1" customFormat="1" ht="30" x14ac:dyDescent="0.25">
      <c r="A150" s="4" t="s">
        <v>398</v>
      </c>
      <c r="B150" s="4" t="s">
        <v>17</v>
      </c>
      <c r="C150" s="4">
        <v>91010</v>
      </c>
      <c r="D150" s="5" t="s">
        <v>366</v>
      </c>
      <c r="E150" s="4" t="s">
        <v>372</v>
      </c>
      <c r="F150" s="7">
        <v>421.58</v>
      </c>
      <c r="G150" s="6">
        <v>1</v>
      </c>
      <c r="H150" s="7"/>
      <c r="I150" s="7">
        <f t="shared" si="7"/>
        <v>516.3090259999999</v>
      </c>
      <c r="J150" s="3"/>
    </row>
    <row r="151" spans="1:10" s="1" customFormat="1" x14ac:dyDescent="0.25">
      <c r="A151" s="4" t="s">
        <v>399</v>
      </c>
      <c r="B151" s="4" t="s">
        <v>17</v>
      </c>
      <c r="C151" s="4">
        <v>90801</v>
      </c>
      <c r="D151" s="5" t="s">
        <v>367</v>
      </c>
      <c r="E151" s="4" t="s">
        <v>372</v>
      </c>
      <c r="F151" s="7">
        <v>453.81</v>
      </c>
      <c r="G151" s="6">
        <v>1</v>
      </c>
      <c r="H151" s="7"/>
      <c r="I151" s="7">
        <f t="shared" si="7"/>
        <v>555.78110699999991</v>
      </c>
      <c r="J151" s="3"/>
    </row>
    <row r="152" spans="1:10" s="1" customFormat="1" ht="30" x14ac:dyDescent="0.25">
      <c r="A152" s="4" t="s">
        <v>400</v>
      </c>
      <c r="B152" s="4" t="s">
        <v>17</v>
      </c>
      <c r="C152" s="4">
        <v>100660</v>
      </c>
      <c r="D152" s="5" t="s">
        <v>368</v>
      </c>
      <c r="E152" s="4" t="s">
        <v>20</v>
      </c>
      <c r="F152" s="7">
        <v>10.220000000000001</v>
      </c>
      <c r="G152" s="6">
        <v>9.9</v>
      </c>
      <c r="H152" s="7"/>
      <c r="I152" s="7">
        <f t="shared" si="7"/>
        <v>123.9126966</v>
      </c>
      <c r="J152" s="3"/>
    </row>
    <row r="153" spans="1:10" s="1" customFormat="1" ht="30" x14ac:dyDescent="0.25">
      <c r="A153" s="4" t="s">
        <v>401</v>
      </c>
      <c r="B153" s="4" t="s">
        <v>17</v>
      </c>
      <c r="C153" s="4">
        <v>100697</v>
      </c>
      <c r="D153" s="5" t="s">
        <v>369</v>
      </c>
      <c r="E153" s="4" t="s">
        <v>372</v>
      </c>
      <c r="F153" s="7">
        <v>123.34</v>
      </c>
      <c r="G153" s="6">
        <v>1</v>
      </c>
      <c r="H153" s="7"/>
      <c r="I153" s="7">
        <f t="shared" si="7"/>
        <v>151.054498</v>
      </c>
      <c r="J153" s="3"/>
    </row>
    <row r="154" spans="1:10" s="1" customFormat="1" x14ac:dyDescent="0.25">
      <c r="A154" s="4" t="s">
        <v>402</v>
      </c>
      <c r="B154" s="4" t="s">
        <v>17</v>
      </c>
      <c r="C154" s="4">
        <v>102224</v>
      </c>
      <c r="D154" s="5" t="s">
        <v>370</v>
      </c>
      <c r="E154" s="4" t="s">
        <v>18</v>
      </c>
      <c r="F154" s="7">
        <v>38.4</v>
      </c>
      <c r="G154" s="6">
        <v>9.1950000000000003</v>
      </c>
      <c r="H154" s="7"/>
      <c r="I154" s="7">
        <f t="shared" si="7"/>
        <v>432.42687359999996</v>
      </c>
      <c r="J154" s="3"/>
    </row>
    <row r="155" spans="1:10" s="1" customFormat="1" x14ac:dyDescent="0.25">
      <c r="A155" s="4" t="s">
        <v>403</v>
      </c>
      <c r="B155" s="4" t="s">
        <v>26</v>
      </c>
      <c r="C155" s="4" t="s">
        <v>530</v>
      </c>
      <c r="D155" s="5" t="s">
        <v>531</v>
      </c>
      <c r="E155" s="4" t="s">
        <v>18</v>
      </c>
      <c r="F155" s="7">
        <v>35.950000000000003</v>
      </c>
      <c r="G155" s="6">
        <v>115.45500000000001</v>
      </c>
      <c r="H155" s="7"/>
      <c r="I155" s="7">
        <f t="shared" si="7"/>
        <v>5083.2486990750003</v>
      </c>
      <c r="J155" s="3"/>
    </row>
    <row r="156" spans="1:10" s="1" customFormat="1" x14ac:dyDescent="0.25">
      <c r="A156" s="4" t="s">
        <v>404</v>
      </c>
      <c r="B156" s="4" t="s">
        <v>26</v>
      </c>
      <c r="C156" s="4" t="s">
        <v>29</v>
      </c>
      <c r="D156" s="5" t="str">
        <f>UPPER("Limpeza final da obra")</f>
        <v>LIMPEZA FINAL DA OBRA</v>
      </c>
      <c r="E156" s="4" t="s">
        <v>18</v>
      </c>
      <c r="F156" s="7">
        <v>15.9</v>
      </c>
      <c r="G156" s="6">
        <v>25.2</v>
      </c>
      <c r="H156" s="7"/>
      <c r="I156" s="7">
        <f t="shared" si="7"/>
        <v>490.71279599999997</v>
      </c>
      <c r="J156" s="3"/>
    </row>
    <row r="157" spans="1:10" s="1" customFormat="1" x14ac:dyDescent="0.25">
      <c r="A157" s="4"/>
      <c r="B157" s="4"/>
      <c r="C157" s="4"/>
      <c r="D157" s="24" t="s">
        <v>228</v>
      </c>
      <c r="E157" s="4"/>
      <c r="F157" s="7"/>
      <c r="G157" s="6"/>
      <c r="H157" s="7"/>
      <c r="I157" s="53">
        <f>SUM(I124:I156)</f>
        <v>30493.849104089841</v>
      </c>
      <c r="J157" s="3"/>
    </row>
    <row r="158" spans="1:10" s="1" customFormat="1" x14ac:dyDescent="0.25">
      <c r="A158" s="54" t="s">
        <v>459</v>
      </c>
      <c r="B158" s="15"/>
      <c r="C158" s="15"/>
      <c r="D158" s="21"/>
      <c r="E158" s="15"/>
      <c r="F158" s="16"/>
      <c r="G158" s="16"/>
      <c r="H158" s="55"/>
      <c r="I158" s="55"/>
      <c r="J158" s="3"/>
    </row>
    <row r="159" spans="1:10" s="1" customFormat="1" x14ac:dyDescent="0.25">
      <c r="A159" s="4" t="s">
        <v>461</v>
      </c>
      <c r="B159" s="4" t="s">
        <v>26</v>
      </c>
      <c r="C159" s="4" t="s">
        <v>507</v>
      </c>
      <c r="D159" s="5" t="s">
        <v>508</v>
      </c>
      <c r="E159" s="4" t="s">
        <v>20</v>
      </c>
      <c r="F159" s="7">
        <v>71.88</v>
      </c>
      <c r="G159" s="6">
        <v>24</v>
      </c>
      <c r="H159" s="7"/>
      <c r="I159" s="7">
        <f t="shared" ref="I159:I169" si="8">G159*F159*C$29</f>
        <v>2112.7544639999996</v>
      </c>
      <c r="J159" s="3"/>
    </row>
    <row r="160" spans="1:10" s="1" customFormat="1" ht="30" x14ac:dyDescent="0.25">
      <c r="A160" s="4" t="s">
        <v>462</v>
      </c>
      <c r="B160" s="4" t="s">
        <v>17</v>
      </c>
      <c r="C160" s="4">
        <v>96522</v>
      </c>
      <c r="D160" s="5" t="s">
        <v>60</v>
      </c>
      <c r="E160" s="4" t="s">
        <v>57</v>
      </c>
      <c r="F160" s="7">
        <v>198.69</v>
      </c>
      <c r="G160" s="6">
        <v>0.97999999999999987</v>
      </c>
      <c r="H160" s="7"/>
      <c r="I160" s="7">
        <f t="shared" si="8"/>
        <v>238.46893013999994</v>
      </c>
      <c r="J160" s="3"/>
    </row>
    <row r="161" spans="1:14" s="1" customFormat="1" ht="30" x14ac:dyDescent="0.25">
      <c r="A161" s="4" t="s">
        <v>463</v>
      </c>
      <c r="B161" s="4" t="s">
        <v>17</v>
      </c>
      <c r="C161" s="4">
        <v>96531</v>
      </c>
      <c r="D161" s="5" t="s">
        <v>510</v>
      </c>
      <c r="E161" s="4" t="s">
        <v>18</v>
      </c>
      <c r="F161" s="7">
        <v>120.93</v>
      </c>
      <c r="G161" s="6">
        <v>4</v>
      </c>
      <c r="H161" s="7"/>
      <c r="I161" s="7">
        <f t="shared" si="8"/>
        <v>592.41188399999999</v>
      </c>
      <c r="J161" s="3"/>
    </row>
    <row r="162" spans="1:14" s="1" customFormat="1" x14ac:dyDescent="0.25">
      <c r="A162" s="4" t="s">
        <v>464</v>
      </c>
      <c r="B162" s="4" t="s">
        <v>17</v>
      </c>
      <c r="C162" s="4">
        <v>96546</v>
      </c>
      <c r="D162" s="5" t="s">
        <v>61</v>
      </c>
      <c r="E162" s="4" t="s">
        <v>62</v>
      </c>
      <c r="F162" s="7">
        <v>13.5</v>
      </c>
      <c r="G162" s="6">
        <v>14.363760000000001</v>
      </c>
      <c r="H162" s="7"/>
      <c r="I162" s="7">
        <f t="shared" si="8"/>
        <v>237.48250777199999</v>
      </c>
      <c r="J162" s="3"/>
    </row>
    <row r="163" spans="1:14" s="1" customFormat="1" ht="30" x14ac:dyDescent="0.25">
      <c r="A163" s="4" t="s">
        <v>465</v>
      </c>
      <c r="B163" s="4" t="s">
        <v>17</v>
      </c>
      <c r="C163" s="4">
        <v>102484</v>
      </c>
      <c r="D163" s="5" t="s">
        <v>65</v>
      </c>
      <c r="E163" s="4" t="s">
        <v>57</v>
      </c>
      <c r="F163" s="7">
        <v>664.52</v>
      </c>
      <c r="G163" s="6">
        <v>0.5</v>
      </c>
      <c r="H163" s="7"/>
      <c r="I163" s="7">
        <f t="shared" si="8"/>
        <v>406.91882199999998</v>
      </c>
      <c r="J163" s="3"/>
    </row>
    <row r="164" spans="1:14" s="1" customFormat="1" x14ac:dyDescent="0.25">
      <c r="A164" s="4" t="s">
        <v>466</v>
      </c>
      <c r="B164" s="4" t="s">
        <v>26</v>
      </c>
      <c r="C164" s="4" t="s">
        <v>536</v>
      </c>
      <c r="D164" s="5" t="s">
        <v>537</v>
      </c>
      <c r="E164" s="4" t="s">
        <v>62</v>
      </c>
      <c r="F164" s="59">
        <v>17.34</v>
      </c>
      <c r="G164" s="6">
        <f>'MC EDUCAÇÃO 2026'!G807</f>
        <v>796.07999999999993</v>
      </c>
      <c r="H164" s="7"/>
      <c r="I164" s="7">
        <f t="shared" si="8"/>
        <v>16905.792111839997</v>
      </c>
      <c r="J164" s="3"/>
    </row>
    <row r="165" spans="1:14" s="1" customFormat="1" x14ac:dyDescent="0.25">
      <c r="A165" s="4" t="s">
        <v>467</v>
      </c>
      <c r="B165" s="4" t="s">
        <v>511</v>
      </c>
      <c r="C165" s="4" t="s">
        <v>512</v>
      </c>
      <c r="D165" s="5" t="s">
        <v>538</v>
      </c>
      <c r="E165" s="4" t="s">
        <v>18</v>
      </c>
      <c r="F165" s="7">
        <v>310.91000000000003</v>
      </c>
      <c r="G165" s="6">
        <v>65</v>
      </c>
      <c r="H165" s="7"/>
      <c r="I165" s="7">
        <f t="shared" si="8"/>
        <v>24750.146004999999</v>
      </c>
      <c r="J165" s="3"/>
    </row>
    <row r="166" spans="1:14" s="1" customFormat="1" x14ac:dyDescent="0.25">
      <c r="A166" s="4" t="s">
        <v>468</v>
      </c>
      <c r="B166" s="4" t="s">
        <v>511</v>
      </c>
      <c r="C166" s="4" t="s">
        <v>514</v>
      </c>
      <c r="D166" s="5" t="s">
        <v>515</v>
      </c>
      <c r="E166" s="4" t="s">
        <v>20</v>
      </c>
      <c r="F166" s="7">
        <v>286.48</v>
      </c>
      <c r="G166" s="6">
        <v>26</v>
      </c>
      <c r="H166" s="7"/>
      <c r="I166" s="7">
        <f t="shared" si="8"/>
        <v>9122.153456</v>
      </c>
      <c r="J166" s="3"/>
    </row>
    <row r="167" spans="1:14" s="1" customFormat="1" ht="30" x14ac:dyDescent="0.25">
      <c r="A167" s="4" t="s">
        <v>469</v>
      </c>
      <c r="B167" s="4" t="s">
        <v>26</v>
      </c>
      <c r="C167" s="60" t="s">
        <v>525</v>
      </c>
      <c r="D167" s="5" t="s">
        <v>524</v>
      </c>
      <c r="E167" s="4" t="s">
        <v>20</v>
      </c>
      <c r="F167" s="7">
        <v>120.58</v>
      </c>
      <c r="G167" s="6">
        <v>29.55</v>
      </c>
      <c r="H167" s="7"/>
      <c r="I167" s="7">
        <f t="shared" si="8"/>
        <v>4363.7763332999994</v>
      </c>
      <c r="J167" s="3"/>
    </row>
    <row r="168" spans="1:14" s="1" customFormat="1" x14ac:dyDescent="0.25">
      <c r="A168" s="4" t="s">
        <v>470</v>
      </c>
      <c r="B168" s="4" t="s">
        <v>26</v>
      </c>
      <c r="C168" s="4" t="s">
        <v>27</v>
      </c>
      <c r="D168" s="5" t="s">
        <v>460</v>
      </c>
      <c r="E168" s="4" t="s">
        <v>18</v>
      </c>
      <c r="F168" s="7">
        <v>52.33</v>
      </c>
      <c r="G168" s="6">
        <v>38.799999999999997</v>
      </c>
      <c r="H168" s="7"/>
      <c r="I168" s="7">
        <f t="shared" si="8"/>
        <v>2486.6357787999996</v>
      </c>
      <c r="J168" s="3"/>
    </row>
    <row r="169" spans="1:14" s="1" customFormat="1" x14ac:dyDescent="0.25">
      <c r="A169" s="4" t="s">
        <v>471</v>
      </c>
      <c r="B169" s="4" t="s">
        <v>26</v>
      </c>
      <c r="C169" s="4" t="s">
        <v>29</v>
      </c>
      <c r="D169" s="5" t="str">
        <f>UPPER("Limpeza final da obra")</f>
        <v>LIMPEZA FINAL DA OBRA</v>
      </c>
      <c r="E169" s="4" t="s">
        <v>18</v>
      </c>
      <c r="F169" s="7">
        <v>15.9</v>
      </c>
      <c r="G169" s="6">
        <v>49.6</v>
      </c>
      <c r="H169" s="7"/>
      <c r="I169" s="7">
        <f t="shared" si="8"/>
        <v>965.84740799999986</v>
      </c>
      <c r="J169" s="3"/>
    </row>
    <row r="170" spans="1:14" s="1" customFormat="1" x14ac:dyDescent="0.25">
      <c r="A170" s="4"/>
      <c r="B170" s="4"/>
      <c r="C170" s="4"/>
      <c r="D170" s="24"/>
      <c r="E170" s="4"/>
      <c r="F170" s="7"/>
      <c r="G170" s="6"/>
      <c r="H170" s="7"/>
      <c r="I170" s="53">
        <f>SUM(I159:I169)</f>
        <v>62182.387700851999</v>
      </c>
      <c r="J170" s="3"/>
    </row>
    <row r="171" spans="1:14" ht="24" thickBot="1" x14ac:dyDescent="0.4">
      <c r="A171" s="46"/>
      <c r="B171" s="47"/>
      <c r="C171" s="47"/>
      <c r="D171" s="48" t="s">
        <v>472</v>
      </c>
      <c r="E171" s="47"/>
      <c r="F171" s="49"/>
      <c r="G171" s="49"/>
      <c r="H171" s="50"/>
      <c r="I171" s="51">
        <f>SUM(I37:I170)/2</f>
        <v>1089095.7860571782</v>
      </c>
    </row>
    <row r="172" spans="1:14" x14ac:dyDescent="0.25">
      <c r="A172" s="1"/>
      <c r="B172" s="1"/>
      <c r="C172" s="1"/>
      <c r="L172" s="44"/>
    </row>
    <row r="173" spans="1:14" x14ac:dyDescent="0.25">
      <c r="A173" s="1"/>
      <c r="B173" s="1"/>
      <c r="C173" s="1"/>
      <c r="L173" s="44"/>
    </row>
    <row r="174" spans="1:14" x14ac:dyDescent="0.25">
      <c r="A174" s="1"/>
      <c r="B174" s="1"/>
      <c r="C174" s="1"/>
      <c r="L174" s="43"/>
    </row>
    <row r="175" spans="1:14" x14ac:dyDescent="0.25">
      <c r="A175" s="1"/>
      <c r="B175" s="1"/>
      <c r="C175" s="1"/>
      <c r="L175" s="45"/>
      <c r="M175" s="57"/>
      <c r="N175" s="56"/>
    </row>
    <row r="176" spans="1:14" x14ac:dyDescent="0.25">
      <c r="A176" s="1"/>
      <c r="B176" s="1"/>
      <c r="C176" s="1"/>
      <c r="D176" s="1" t="s">
        <v>504</v>
      </c>
      <c r="L176" s="45"/>
      <c r="M176" s="45"/>
    </row>
    <row r="177" spans="1:12" x14ac:dyDescent="0.25">
      <c r="A177" s="1"/>
      <c r="B177" s="1"/>
      <c r="C177" s="1"/>
      <c r="D177" s="38" t="s">
        <v>500</v>
      </c>
    </row>
    <row r="178" spans="1:12" x14ac:dyDescent="0.25">
      <c r="A178" s="1"/>
      <c r="B178" s="1"/>
      <c r="C178" s="1"/>
      <c r="D178" s="39" t="s">
        <v>501</v>
      </c>
      <c r="L178" s="58"/>
    </row>
    <row r="179" spans="1:12" x14ac:dyDescent="0.25">
      <c r="A179" s="1"/>
      <c r="B179" s="1"/>
      <c r="C179" s="1"/>
    </row>
    <row r="180" spans="1:12" x14ac:dyDescent="0.25">
      <c r="A180" s="1"/>
      <c r="B180" s="1"/>
      <c r="C180" s="1"/>
    </row>
    <row r="181" spans="1:12" x14ac:dyDescent="0.25">
      <c r="A181" s="1"/>
      <c r="B181" s="1"/>
      <c r="C181" s="1"/>
    </row>
    <row r="182" spans="1:12" x14ac:dyDescent="0.25">
      <c r="A182" s="1"/>
      <c r="B182" s="1"/>
      <c r="C182" s="1"/>
      <c r="D182" s="1" t="s">
        <v>504</v>
      </c>
      <c r="E182" s="42"/>
      <c r="F182" s="42"/>
      <c r="G182" s="42"/>
      <c r="H182" s="41"/>
    </row>
    <row r="183" spans="1:12" x14ac:dyDescent="0.25">
      <c r="A183" s="1"/>
      <c r="B183" s="1"/>
      <c r="C183" s="1"/>
      <c r="D183" s="18" t="s">
        <v>502</v>
      </c>
      <c r="E183" s="29"/>
      <c r="F183" s="29"/>
      <c r="G183" s="29"/>
      <c r="H183" s="40"/>
    </row>
    <row r="184" spans="1:12" x14ac:dyDescent="0.25">
      <c r="A184" s="1"/>
      <c r="B184" s="1"/>
      <c r="C184" s="1"/>
      <c r="D184" s="3" t="s">
        <v>503</v>
      </c>
      <c r="F184" s="29"/>
      <c r="G184" s="29"/>
      <c r="H184" s="29"/>
    </row>
    <row r="185" spans="1:12" x14ac:dyDescent="0.25">
      <c r="A185" s="1"/>
      <c r="B185" s="1"/>
      <c r="C185" s="1"/>
    </row>
    <row r="186" spans="1:12" x14ac:dyDescent="0.25">
      <c r="A186" s="1"/>
      <c r="B186" s="1"/>
      <c r="C186" s="1"/>
    </row>
    <row r="187" spans="1:12" x14ac:dyDescent="0.25">
      <c r="A187" s="1"/>
      <c r="B187" s="1"/>
      <c r="C187" s="1"/>
    </row>
    <row r="188" spans="1:12" x14ac:dyDescent="0.25">
      <c r="A188" s="1"/>
      <c r="B188" s="1"/>
      <c r="C188" s="1"/>
    </row>
    <row r="189" spans="1:12" x14ac:dyDescent="0.25">
      <c r="A189" s="1"/>
      <c r="B189" s="1"/>
      <c r="C189" s="1"/>
    </row>
    <row r="190" spans="1:12" x14ac:dyDescent="0.25">
      <c r="A190" s="1"/>
      <c r="B190" s="1"/>
      <c r="C190" s="1"/>
    </row>
    <row r="191" spans="1:12" x14ac:dyDescent="0.25">
      <c r="A191" s="1"/>
      <c r="B191" s="1"/>
      <c r="C191" s="1"/>
    </row>
    <row r="192" spans="1:12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6" spans="1:3" x14ac:dyDescent="0.25">
      <c r="A236" s="1"/>
      <c r="B236" s="1"/>
      <c r="C236" s="1"/>
    </row>
    <row r="237" spans="1:3" x14ac:dyDescent="0.25">
      <c r="A237" s="1"/>
      <c r="B237" s="1"/>
      <c r="C237" s="1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0" spans="1:3" x14ac:dyDescent="0.25">
      <c r="A240" s="1"/>
      <c r="B240" s="1"/>
      <c r="C240" s="1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3" spans="1:3" x14ac:dyDescent="0.25">
      <c r="A243" s="1"/>
      <c r="B243" s="1"/>
      <c r="C243" s="1"/>
    </row>
    <row r="244" spans="1:3" x14ac:dyDescent="0.25">
      <c r="A244" s="1"/>
      <c r="B244" s="1"/>
      <c r="C244" s="1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7" spans="1:3" x14ac:dyDescent="0.25">
      <c r="A247" s="1"/>
      <c r="B247" s="1"/>
      <c r="C247" s="1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0" spans="1:3" x14ac:dyDescent="0.25">
      <c r="A250" s="1"/>
      <c r="B250" s="1"/>
      <c r="C250" s="1"/>
    </row>
    <row r="251" spans="1:3" x14ac:dyDescent="0.25">
      <c r="A251" s="1"/>
      <c r="B251" s="1"/>
      <c r="C251" s="1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4" spans="1:3" x14ac:dyDescent="0.25">
      <c r="A254" s="1"/>
      <c r="B254" s="1"/>
      <c r="C254" s="1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1" spans="1:3" x14ac:dyDescent="0.25">
      <c r="A261" s="1"/>
      <c r="B261" s="1"/>
      <c r="C261" s="1"/>
    </row>
    <row r="262" spans="1:3" x14ac:dyDescent="0.25">
      <c r="A262" s="1"/>
      <c r="B262" s="1"/>
      <c r="C262" s="1"/>
    </row>
    <row r="263" spans="1:3" x14ac:dyDescent="0.25">
      <c r="A263" s="1"/>
      <c r="B263" s="1"/>
      <c r="C263" s="1"/>
    </row>
    <row r="264" spans="1:3" x14ac:dyDescent="0.25">
      <c r="A264" s="1"/>
      <c r="B264" s="1"/>
      <c r="C264" s="1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8" spans="1:3" x14ac:dyDescent="0.25">
      <c r="A268" s="1"/>
      <c r="B268" s="1"/>
      <c r="C268" s="1"/>
    </row>
    <row r="269" spans="1:3" x14ac:dyDescent="0.25">
      <c r="A269" s="1"/>
      <c r="B269" s="1"/>
      <c r="C269" s="1"/>
    </row>
    <row r="270" spans="1:3" x14ac:dyDescent="0.25">
      <c r="A270" s="1"/>
      <c r="B270" s="1"/>
      <c r="C270" s="1"/>
    </row>
    <row r="271" spans="1:3" x14ac:dyDescent="0.25">
      <c r="A271" s="1"/>
      <c r="B271" s="1"/>
      <c r="C271" s="1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4" spans="1:3" x14ac:dyDescent="0.25">
      <c r="A274" s="1"/>
      <c r="B274" s="1"/>
      <c r="C274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8" spans="1:3" x14ac:dyDescent="0.25">
      <c r="A278" s="1"/>
      <c r="B278" s="1"/>
      <c r="C278" s="1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1" spans="1:3" x14ac:dyDescent="0.25">
      <c r="A281" s="1"/>
      <c r="B281" s="1"/>
      <c r="C281" s="1"/>
    </row>
    <row r="282" spans="1:3" x14ac:dyDescent="0.25">
      <c r="A282" s="1"/>
      <c r="B282" s="1"/>
      <c r="C282" s="1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5" spans="1:3" x14ac:dyDescent="0.25">
      <c r="A285" s="1"/>
      <c r="B285" s="1"/>
      <c r="C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8" spans="1:3" x14ac:dyDescent="0.25">
      <c r="A288" s="1"/>
      <c r="B288" s="1"/>
      <c r="C288" s="1"/>
    </row>
    <row r="289" spans="1:3" x14ac:dyDescent="0.25">
      <c r="A289" s="1"/>
      <c r="B289" s="1"/>
      <c r="C289" s="1"/>
    </row>
    <row r="290" spans="1:3" x14ac:dyDescent="0.25">
      <c r="A290" s="1"/>
      <c r="B290" s="1"/>
      <c r="C290" s="1"/>
    </row>
    <row r="291" spans="1:3" x14ac:dyDescent="0.25">
      <c r="A291" s="1"/>
      <c r="B291" s="1"/>
      <c r="C291" s="1"/>
    </row>
    <row r="292" spans="1:3" x14ac:dyDescent="0.25">
      <c r="A292" s="1"/>
      <c r="B292" s="1"/>
      <c r="C292" s="1"/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5" spans="1:3" x14ac:dyDescent="0.25">
      <c r="A295" s="1"/>
      <c r="B295" s="1"/>
      <c r="C295" s="1"/>
    </row>
    <row r="296" spans="1:3" x14ac:dyDescent="0.25">
      <c r="A296" s="1"/>
      <c r="B296" s="1"/>
      <c r="C296" s="1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2" spans="1:3" x14ac:dyDescent="0.25">
      <c r="A302" s="1"/>
      <c r="B302" s="1"/>
      <c r="C302" s="1"/>
    </row>
    <row r="303" spans="1:3" x14ac:dyDescent="0.25">
      <c r="A303" s="1"/>
      <c r="B303" s="1"/>
      <c r="C303" s="1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  <row r="310" spans="1:3" x14ac:dyDescent="0.25">
      <c r="A310" s="1"/>
      <c r="B310" s="1"/>
      <c r="C310" s="1"/>
    </row>
    <row r="311" spans="1:3" x14ac:dyDescent="0.25">
      <c r="A311" s="1"/>
      <c r="B311" s="1"/>
      <c r="C311" s="1"/>
    </row>
    <row r="312" spans="1:3" x14ac:dyDescent="0.25">
      <c r="A312" s="1"/>
      <c r="B312" s="1"/>
      <c r="C312" s="1"/>
    </row>
    <row r="313" spans="1:3" x14ac:dyDescent="0.25">
      <c r="A313" s="1"/>
      <c r="B313" s="1"/>
      <c r="C313" s="1"/>
    </row>
    <row r="314" spans="1:3" x14ac:dyDescent="0.25">
      <c r="A314" s="1"/>
      <c r="B314" s="1"/>
      <c r="C314" s="1"/>
    </row>
    <row r="315" spans="1:3" x14ac:dyDescent="0.25">
      <c r="A315" s="1"/>
      <c r="B315" s="1"/>
      <c r="C315" s="1"/>
    </row>
    <row r="316" spans="1:3" x14ac:dyDescent="0.25">
      <c r="A316" s="1"/>
      <c r="B316" s="1"/>
      <c r="C316" s="1"/>
    </row>
    <row r="317" spans="1:3" x14ac:dyDescent="0.25">
      <c r="A317" s="1"/>
      <c r="B317" s="1"/>
      <c r="C317" s="1"/>
    </row>
    <row r="318" spans="1:3" x14ac:dyDescent="0.25">
      <c r="A318" s="1"/>
      <c r="B318" s="1"/>
      <c r="C318" s="1"/>
    </row>
    <row r="319" spans="1:3" x14ac:dyDescent="0.25">
      <c r="A319" s="1"/>
      <c r="B319" s="1"/>
      <c r="C319" s="1"/>
    </row>
    <row r="320" spans="1:3" x14ac:dyDescent="0.25">
      <c r="A320" s="1"/>
      <c r="B320" s="1"/>
      <c r="C320" s="1"/>
    </row>
    <row r="321" spans="1:3" x14ac:dyDescent="0.25">
      <c r="A321" s="1"/>
      <c r="B321" s="1"/>
      <c r="C321" s="1"/>
    </row>
    <row r="322" spans="1:3" x14ac:dyDescent="0.25">
      <c r="A322" s="1"/>
      <c r="B322" s="1"/>
      <c r="C322" s="1"/>
    </row>
    <row r="323" spans="1:3" x14ac:dyDescent="0.25">
      <c r="A323" s="1"/>
      <c r="B323" s="1"/>
      <c r="C323" s="1"/>
    </row>
    <row r="324" spans="1:3" x14ac:dyDescent="0.25">
      <c r="A324" s="1"/>
      <c r="B324" s="1"/>
      <c r="C324" s="1"/>
    </row>
    <row r="325" spans="1:3" x14ac:dyDescent="0.25">
      <c r="A325" s="1"/>
      <c r="B325" s="1"/>
      <c r="C325" s="1"/>
    </row>
    <row r="326" spans="1:3" x14ac:dyDescent="0.25">
      <c r="A326" s="1"/>
      <c r="B326" s="1"/>
      <c r="C326" s="1"/>
    </row>
    <row r="327" spans="1:3" x14ac:dyDescent="0.25">
      <c r="A327" s="1"/>
      <c r="B327" s="1"/>
      <c r="C327" s="1"/>
    </row>
    <row r="328" spans="1:3" x14ac:dyDescent="0.25">
      <c r="A328" s="1"/>
      <c r="B328" s="1"/>
      <c r="C328" s="1"/>
    </row>
    <row r="329" spans="1:3" x14ac:dyDescent="0.25">
      <c r="A329" s="1"/>
      <c r="B329" s="1"/>
      <c r="C329" s="1"/>
    </row>
    <row r="330" spans="1:3" x14ac:dyDescent="0.25">
      <c r="A330" s="1"/>
      <c r="B330" s="1"/>
      <c r="C330" s="1"/>
    </row>
    <row r="331" spans="1:3" x14ac:dyDescent="0.25">
      <c r="A331" s="1"/>
      <c r="B331" s="1"/>
      <c r="C331" s="1"/>
    </row>
    <row r="332" spans="1:3" x14ac:dyDescent="0.25">
      <c r="A332" s="1"/>
      <c r="B332" s="1"/>
      <c r="C332" s="1"/>
    </row>
    <row r="333" spans="1:3" x14ac:dyDescent="0.25">
      <c r="A333" s="1"/>
      <c r="B333" s="1"/>
      <c r="C333" s="1"/>
    </row>
    <row r="334" spans="1:3" x14ac:dyDescent="0.25">
      <c r="A334" s="1"/>
      <c r="B334" s="1"/>
      <c r="C334" s="1"/>
    </row>
    <row r="335" spans="1:3" x14ac:dyDescent="0.25">
      <c r="A335" s="1"/>
      <c r="B335" s="1"/>
      <c r="C335" s="1"/>
    </row>
    <row r="336" spans="1:3" x14ac:dyDescent="0.25">
      <c r="A336" s="1"/>
      <c r="B336" s="1"/>
      <c r="C336" s="1"/>
    </row>
    <row r="337" spans="1:3" x14ac:dyDescent="0.25">
      <c r="A337" s="1"/>
      <c r="B337" s="1"/>
      <c r="C337" s="1"/>
    </row>
    <row r="338" spans="1:3" x14ac:dyDescent="0.25">
      <c r="A338" s="1"/>
      <c r="B338" s="1"/>
      <c r="C338" s="1"/>
    </row>
    <row r="339" spans="1:3" x14ac:dyDescent="0.25">
      <c r="A339" s="1"/>
      <c r="B339" s="1"/>
      <c r="C339" s="1"/>
    </row>
    <row r="340" spans="1:3" x14ac:dyDescent="0.25">
      <c r="A340" s="1"/>
      <c r="B340" s="1"/>
      <c r="C340" s="1"/>
    </row>
    <row r="341" spans="1:3" x14ac:dyDescent="0.25">
      <c r="A341" s="1"/>
      <c r="B341" s="1"/>
      <c r="C341" s="1"/>
    </row>
    <row r="342" spans="1:3" x14ac:dyDescent="0.25">
      <c r="A342" s="1"/>
      <c r="B342" s="1"/>
      <c r="C342" s="1"/>
    </row>
    <row r="343" spans="1:3" x14ac:dyDescent="0.25">
      <c r="A343" s="1"/>
      <c r="B343" s="1"/>
      <c r="C343" s="1"/>
    </row>
    <row r="344" spans="1:3" x14ac:dyDescent="0.25">
      <c r="A344" s="1"/>
      <c r="B344" s="1"/>
      <c r="C344" s="1"/>
    </row>
    <row r="345" spans="1:3" x14ac:dyDescent="0.25">
      <c r="A345" s="1"/>
      <c r="B345" s="1"/>
      <c r="C345" s="1"/>
    </row>
    <row r="346" spans="1:3" x14ac:dyDescent="0.25">
      <c r="A346" s="1"/>
      <c r="B346" s="1"/>
      <c r="C346" s="1"/>
    </row>
    <row r="347" spans="1:3" x14ac:dyDescent="0.25">
      <c r="A347" s="1"/>
      <c r="B347" s="1"/>
      <c r="C347" s="1"/>
    </row>
    <row r="348" spans="1:3" x14ac:dyDescent="0.25">
      <c r="A348" s="1"/>
      <c r="B348" s="1"/>
      <c r="C348" s="1"/>
    </row>
    <row r="349" spans="1:3" x14ac:dyDescent="0.25">
      <c r="A349" s="1"/>
      <c r="B349" s="1"/>
      <c r="C349" s="1"/>
    </row>
    <row r="350" spans="1:3" x14ac:dyDescent="0.25">
      <c r="A350" s="1"/>
      <c r="B350" s="1"/>
      <c r="C350" s="1"/>
    </row>
    <row r="351" spans="1:3" x14ac:dyDescent="0.25">
      <c r="A351" s="1"/>
      <c r="B351" s="1"/>
      <c r="C351" s="1"/>
    </row>
    <row r="352" spans="1:3" x14ac:dyDescent="0.25">
      <c r="A352" s="1"/>
      <c r="B352" s="1"/>
      <c r="C352" s="1"/>
    </row>
    <row r="353" spans="1:3" x14ac:dyDescent="0.25">
      <c r="A353" s="1"/>
      <c r="B353" s="1"/>
      <c r="C353" s="1"/>
    </row>
    <row r="354" spans="1:3" x14ac:dyDescent="0.25">
      <c r="A354" s="1"/>
      <c r="B354" s="1"/>
      <c r="C354" s="1"/>
    </row>
    <row r="355" spans="1:3" x14ac:dyDescent="0.25">
      <c r="A355" s="1"/>
      <c r="B355" s="1"/>
      <c r="C355" s="1"/>
    </row>
    <row r="356" spans="1:3" x14ac:dyDescent="0.25">
      <c r="A356" s="1"/>
      <c r="B356" s="1"/>
      <c r="C356" s="1"/>
    </row>
    <row r="357" spans="1:3" x14ac:dyDescent="0.25">
      <c r="A357" s="1"/>
      <c r="B357" s="1"/>
      <c r="C357" s="1"/>
    </row>
    <row r="358" spans="1:3" x14ac:dyDescent="0.25">
      <c r="A358" s="1"/>
      <c r="B358" s="1"/>
      <c r="C358" s="1"/>
    </row>
    <row r="359" spans="1:3" x14ac:dyDescent="0.25">
      <c r="A359" s="1"/>
      <c r="B359" s="1"/>
      <c r="C359" s="1"/>
    </row>
    <row r="360" spans="1:3" x14ac:dyDescent="0.25">
      <c r="A360" s="1"/>
      <c r="B360" s="1"/>
      <c r="C360" s="1"/>
    </row>
    <row r="361" spans="1:3" x14ac:dyDescent="0.25">
      <c r="A361" s="1"/>
      <c r="B361" s="1"/>
      <c r="C361" s="1"/>
    </row>
    <row r="362" spans="1:3" x14ac:dyDescent="0.25">
      <c r="A362" s="1"/>
      <c r="B362" s="1"/>
      <c r="C362" s="1"/>
    </row>
    <row r="363" spans="1:3" x14ac:dyDescent="0.25">
      <c r="A363" s="1"/>
      <c r="B363" s="1"/>
      <c r="C363" s="1"/>
    </row>
    <row r="364" spans="1:3" x14ac:dyDescent="0.25">
      <c r="A364" s="1"/>
      <c r="B364" s="1"/>
      <c r="C364" s="1"/>
    </row>
    <row r="365" spans="1:3" x14ac:dyDescent="0.25">
      <c r="A365" s="1"/>
      <c r="B365" s="1"/>
      <c r="C365" s="1"/>
    </row>
    <row r="366" spans="1:3" x14ac:dyDescent="0.25">
      <c r="A366" s="1"/>
      <c r="B366" s="1"/>
      <c r="C366" s="1"/>
    </row>
    <row r="367" spans="1:3" x14ac:dyDescent="0.25">
      <c r="A367" s="1"/>
      <c r="B367" s="1"/>
      <c r="C367" s="1"/>
    </row>
  </sheetData>
  <mergeCells count="12">
    <mergeCell ref="A52:D52"/>
    <mergeCell ref="J34:J35"/>
    <mergeCell ref="A32:J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</mergeCells>
  <phoneticPr fontId="4" type="noConversion"/>
  <pageMargins left="0.51181102362204722" right="0.51181102362204722" top="1.5748031496062993" bottom="0.78740157480314965" header="0.31496062992125984" footer="0.31496062992125984"/>
  <pageSetup paperSize="9" scale="65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83B3-9D3F-451C-8D18-7F2D8211E742}">
  <dimension ref="A1:I836"/>
  <sheetViews>
    <sheetView topLeftCell="A790" workbookViewId="0">
      <selection activeCell="C806" sqref="C806"/>
    </sheetView>
  </sheetViews>
  <sheetFormatPr defaultRowHeight="15" x14ac:dyDescent="0.25"/>
  <cols>
    <col min="1" max="8" width="27.28515625" customWidth="1"/>
  </cols>
  <sheetData>
    <row r="1" spans="1:8" x14ac:dyDescent="0.25">
      <c r="A1" s="10" t="s">
        <v>31</v>
      </c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1" t="s">
        <v>32</v>
      </c>
      <c r="B3" s="1"/>
      <c r="C3" s="1"/>
      <c r="D3" s="1"/>
      <c r="E3" s="1"/>
      <c r="F3" s="1"/>
      <c r="G3" s="1"/>
      <c r="H3" s="1"/>
    </row>
    <row r="4" spans="1:8" x14ac:dyDescent="0.25">
      <c r="A4" s="4" t="s">
        <v>33</v>
      </c>
      <c r="B4" s="4" t="s">
        <v>34</v>
      </c>
      <c r="C4" s="4" t="s">
        <v>35</v>
      </c>
      <c r="D4" s="4" t="s">
        <v>36</v>
      </c>
      <c r="E4" s="1"/>
      <c r="F4" s="1"/>
      <c r="G4" s="1"/>
      <c r="H4" s="1"/>
    </row>
    <row r="5" spans="1:8" x14ac:dyDescent="0.25">
      <c r="A5" s="4" t="s">
        <v>37</v>
      </c>
      <c r="B5" s="4">
        <v>1.2</v>
      </c>
      <c r="C5" s="4">
        <v>6</v>
      </c>
      <c r="D5" s="4">
        <f>B5*C5</f>
        <v>7.1999999999999993</v>
      </c>
      <c r="E5" s="1"/>
      <c r="F5" s="1"/>
      <c r="G5" s="1"/>
      <c r="H5" s="1"/>
    </row>
    <row r="6" spans="1:8" x14ac:dyDescent="0.25">
      <c r="A6" s="4" t="s">
        <v>55</v>
      </c>
      <c r="B6" s="4">
        <v>1</v>
      </c>
      <c r="C6" s="4">
        <v>10.8</v>
      </c>
      <c r="D6" s="4">
        <f t="shared" ref="D6:D7" si="0">B6*C6</f>
        <v>10.8</v>
      </c>
      <c r="E6" s="1"/>
      <c r="F6" s="1"/>
      <c r="G6" s="1"/>
      <c r="H6" s="1"/>
    </row>
    <row r="7" spans="1:8" x14ac:dyDescent="0.25">
      <c r="A7" s="4" t="s">
        <v>56</v>
      </c>
      <c r="B7" s="4">
        <v>1</v>
      </c>
      <c r="C7" s="4">
        <v>7</v>
      </c>
      <c r="D7" s="4">
        <f t="shared" si="0"/>
        <v>7</v>
      </c>
      <c r="E7" s="1"/>
      <c r="F7" s="1"/>
      <c r="G7" s="1"/>
      <c r="H7" s="1"/>
    </row>
    <row r="8" spans="1:8" x14ac:dyDescent="0.25">
      <c r="A8" s="1"/>
      <c r="B8" s="1"/>
      <c r="C8" s="1"/>
      <c r="D8" s="1">
        <f>SUM(D5:D7)</f>
        <v>25</v>
      </c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 t="s">
        <v>38</v>
      </c>
      <c r="B10" s="1"/>
      <c r="C10" s="1"/>
      <c r="D10" s="1"/>
      <c r="E10" s="1"/>
      <c r="F10" s="1"/>
      <c r="G10" s="1"/>
      <c r="H10" s="1"/>
    </row>
    <row r="11" spans="1:8" x14ac:dyDescent="0.25">
      <c r="A11" s="4" t="s">
        <v>33</v>
      </c>
      <c r="B11" s="4" t="s">
        <v>39</v>
      </c>
      <c r="C11" s="4" t="s">
        <v>40</v>
      </c>
      <c r="D11" s="4" t="s">
        <v>36</v>
      </c>
      <c r="E11" s="1"/>
      <c r="F11" s="1"/>
      <c r="G11" s="1"/>
      <c r="H11" s="1"/>
    </row>
    <row r="12" spans="1:8" x14ac:dyDescent="0.25">
      <c r="A12" s="4" t="s">
        <v>55</v>
      </c>
      <c r="B12" s="4">
        <v>3</v>
      </c>
      <c r="C12" s="4">
        <v>12</v>
      </c>
      <c r="D12" s="4">
        <f>C12*B12</f>
        <v>36</v>
      </c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 t="s">
        <v>58</v>
      </c>
      <c r="B15" s="1"/>
      <c r="C15" s="1"/>
      <c r="D15" s="1"/>
      <c r="E15" s="1"/>
      <c r="F15" s="1"/>
      <c r="G15" s="1"/>
      <c r="H15" s="1"/>
    </row>
    <row r="16" spans="1:8" x14ac:dyDescent="0.25">
      <c r="A16" s="4" t="s">
        <v>34</v>
      </c>
      <c r="B16" s="4" t="s">
        <v>35</v>
      </c>
      <c r="C16" s="4" t="s">
        <v>43</v>
      </c>
      <c r="D16" s="4" t="s">
        <v>40</v>
      </c>
      <c r="E16" s="4" t="s">
        <v>36</v>
      </c>
      <c r="F16" s="1"/>
      <c r="G16" s="1"/>
      <c r="H16" s="1"/>
    </row>
    <row r="17" spans="1:8" x14ac:dyDescent="0.25">
      <c r="A17" s="4">
        <f>0.5+0.2</f>
        <v>0.7</v>
      </c>
      <c r="B17" s="4">
        <f>0.5+0.2</f>
        <v>0.7</v>
      </c>
      <c r="C17" s="4">
        <v>0.5</v>
      </c>
      <c r="D17" s="4">
        <v>6</v>
      </c>
      <c r="E17" s="4">
        <f>A17*B17*C17*D17</f>
        <v>1.4699999999999998</v>
      </c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 t="s">
        <v>59</v>
      </c>
      <c r="B19" s="1"/>
      <c r="C19" s="1"/>
      <c r="D19" s="1"/>
      <c r="E19" s="1"/>
      <c r="F19" s="1"/>
      <c r="G19" s="1"/>
      <c r="H19" s="1"/>
    </row>
    <row r="20" spans="1:8" x14ac:dyDescent="0.25">
      <c r="A20" s="4" t="s">
        <v>35</v>
      </c>
      <c r="B20" s="4" t="s">
        <v>43</v>
      </c>
      <c r="C20" s="4" t="s">
        <v>40</v>
      </c>
      <c r="D20" s="4" t="s">
        <v>36</v>
      </c>
      <c r="E20" s="1"/>
      <c r="F20" s="1"/>
      <c r="G20" s="1"/>
      <c r="H20" s="1"/>
    </row>
    <row r="21" spans="1:8" x14ac:dyDescent="0.25">
      <c r="A21" s="4">
        <v>0.5</v>
      </c>
      <c r="B21" s="4">
        <v>0.55000000000000004</v>
      </c>
      <c r="C21" s="4">
        <f>4*6</f>
        <v>24</v>
      </c>
      <c r="D21" s="4">
        <f>A21*B21*C21</f>
        <v>6.6000000000000005</v>
      </c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 t="s">
        <v>63</v>
      </c>
      <c r="B24" s="1"/>
      <c r="C24" s="1"/>
      <c r="D24" s="1"/>
      <c r="E24" s="1"/>
      <c r="F24" s="1"/>
      <c r="G24" s="1"/>
      <c r="H24" s="1"/>
    </row>
    <row r="25" spans="1:8" x14ac:dyDescent="0.25">
      <c r="A25" s="4" t="s">
        <v>35</v>
      </c>
      <c r="B25" s="4" t="s">
        <v>40</v>
      </c>
      <c r="C25" s="4" t="s">
        <v>64</v>
      </c>
      <c r="D25" s="4" t="s">
        <v>40</v>
      </c>
      <c r="E25" s="4" t="s">
        <v>36</v>
      </c>
      <c r="F25" s="1"/>
      <c r="G25" s="1"/>
      <c r="H25" s="1"/>
    </row>
    <row r="26" spans="1:8" x14ac:dyDescent="0.25">
      <c r="A26" s="4">
        <f>0.46+0.46+0.46+0.46+0.1</f>
        <v>1.9400000000000002</v>
      </c>
      <c r="B26" s="4">
        <v>6</v>
      </c>
      <c r="C26" s="4">
        <v>0.61699999999999999</v>
      </c>
      <c r="D26" s="4">
        <v>6</v>
      </c>
      <c r="E26" s="4">
        <f>A26*B26*C26*D26</f>
        <v>43.091280000000005</v>
      </c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 t="s">
        <v>66</v>
      </c>
      <c r="B29" s="1"/>
      <c r="C29" s="1"/>
      <c r="D29" s="1"/>
      <c r="E29" s="1"/>
      <c r="F29" s="1"/>
      <c r="G29" s="1"/>
      <c r="H29" s="1"/>
    </row>
    <row r="30" spans="1:8" x14ac:dyDescent="0.25">
      <c r="A30" s="4" t="s">
        <v>34</v>
      </c>
      <c r="B30" s="4" t="s">
        <v>35</v>
      </c>
      <c r="C30" s="4" t="s">
        <v>43</v>
      </c>
      <c r="D30" s="4" t="s">
        <v>40</v>
      </c>
      <c r="E30" s="4" t="s">
        <v>36</v>
      </c>
      <c r="F30" s="1"/>
      <c r="G30" s="1"/>
      <c r="H30" s="1"/>
    </row>
    <row r="31" spans="1:8" x14ac:dyDescent="0.25">
      <c r="A31" s="4">
        <v>0.5</v>
      </c>
      <c r="B31" s="4">
        <v>0.5</v>
      </c>
      <c r="C31" s="4">
        <v>0.5</v>
      </c>
      <c r="D31" s="4">
        <v>6</v>
      </c>
      <c r="E31" s="4">
        <f>A31*B31*C31*D31</f>
        <v>0.75</v>
      </c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 t="s">
        <v>68</v>
      </c>
      <c r="B34" s="1"/>
      <c r="C34" s="1"/>
      <c r="D34" s="1"/>
      <c r="E34" s="1"/>
      <c r="F34" s="1"/>
      <c r="G34" s="1"/>
      <c r="H34" s="1"/>
    </row>
    <row r="35" spans="1:8" x14ac:dyDescent="0.25">
      <c r="A35" s="4" t="s">
        <v>34</v>
      </c>
      <c r="B35" s="4" t="s">
        <v>35</v>
      </c>
      <c r="C35" s="4" t="s">
        <v>43</v>
      </c>
      <c r="D35" s="4" t="s">
        <v>40</v>
      </c>
      <c r="E35" s="4" t="s">
        <v>69</v>
      </c>
      <c r="F35" s="4" t="s">
        <v>36</v>
      </c>
      <c r="G35" s="1"/>
      <c r="H35" s="1"/>
    </row>
    <row r="36" spans="1:8" x14ac:dyDescent="0.25">
      <c r="A36" s="4">
        <v>0.2</v>
      </c>
      <c r="B36" s="4">
        <v>0.5</v>
      </c>
      <c r="C36" s="4">
        <v>0.55000000000000004</v>
      </c>
      <c r="D36" s="4">
        <f>6*4</f>
        <v>24</v>
      </c>
      <c r="E36" s="4">
        <v>1.3</v>
      </c>
      <c r="F36" s="4">
        <f>A36*B36*C36*D36*E36</f>
        <v>1.7160000000000004</v>
      </c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 t="s">
        <v>70</v>
      </c>
      <c r="B39" s="1"/>
      <c r="C39" s="1"/>
      <c r="D39" s="1"/>
      <c r="E39" s="1"/>
      <c r="F39" s="1"/>
      <c r="G39" s="1"/>
      <c r="H39" s="1"/>
    </row>
    <row r="40" spans="1:8" x14ac:dyDescent="0.25">
      <c r="A40" s="4" t="s">
        <v>71</v>
      </c>
      <c r="B40" s="4" t="s">
        <v>72</v>
      </c>
      <c r="C40" s="4" t="s">
        <v>36</v>
      </c>
      <c r="E40" s="1"/>
      <c r="F40" s="1"/>
      <c r="G40" s="1"/>
      <c r="H40" s="1"/>
    </row>
    <row r="41" spans="1:8" x14ac:dyDescent="0.25">
      <c r="A41" s="4">
        <f>E17*1.4</f>
        <v>2.0579999999999994</v>
      </c>
      <c r="B41" s="4">
        <f>F36</f>
        <v>1.7160000000000004</v>
      </c>
      <c r="C41" s="4">
        <f>(A41-B41)*1.5</f>
        <v>0.51299999999999846</v>
      </c>
      <c r="E41" s="1"/>
      <c r="F41" s="1"/>
      <c r="G41" s="1"/>
      <c r="H41" s="1"/>
    </row>
    <row r="42" spans="1:8" x14ac:dyDescent="0.25">
      <c r="A42" s="4" t="s">
        <v>84</v>
      </c>
      <c r="B42" s="4"/>
      <c r="C42" s="4">
        <f>D8*0.02*1.5</f>
        <v>0.75</v>
      </c>
      <c r="D42" s="1"/>
      <c r="E42" s="1"/>
      <c r="F42" s="1"/>
      <c r="G42" s="1"/>
      <c r="H42" s="1"/>
    </row>
    <row r="43" spans="1:8" x14ac:dyDescent="0.25">
      <c r="A43" s="1"/>
      <c r="B43" s="1"/>
      <c r="C43" s="1">
        <f>SUM(C41:C42)</f>
        <v>1.2629999999999986</v>
      </c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 t="s">
        <v>73</v>
      </c>
      <c r="B46" s="1"/>
      <c r="C46" s="1"/>
      <c r="D46" s="1"/>
      <c r="E46" s="1"/>
      <c r="F46" s="1"/>
      <c r="G46" s="1"/>
      <c r="H46" s="1"/>
    </row>
    <row r="47" spans="1:8" x14ac:dyDescent="0.25">
      <c r="A47" s="4" t="s">
        <v>73</v>
      </c>
      <c r="B47" s="4" t="s">
        <v>74</v>
      </c>
      <c r="C47" s="4" t="s">
        <v>76</v>
      </c>
      <c r="D47" s="4" t="s">
        <v>77</v>
      </c>
      <c r="E47" s="4" t="s">
        <v>75</v>
      </c>
      <c r="F47" s="4" t="s">
        <v>11</v>
      </c>
      <c r="G47" s="4" t="s">
        <v>30</v>
      </c>
      <c r="H47" s="1"/>
    </row>
    <row r="48" spans="1:8" x14ac:dyDescent="0.25">
      <c r="A48" s="4" t="s">
        <v>78</v>
      </c>
      <c r="B48" s="4">
        <v>0.15</v>
      </c>
      <c r="C48" s="4">
        <v>0.15</v>
      </c>
      <c r="D48" s="4">
        <v>5</v>
      </c>
      <c r="E48" s="4">
        <v>42.8</v>
      </c>
      <c r="F48" s="4">
        <v>4</v>
      </c>
      <c r="G48" s="4">
        <f>B48*C48*D48*E48*F48</f>
        <v>19.259999999999998</v>
      </c>
      <c r="H48" s="1"/>
    </row>
    <row r="49" spans="1:8" x14ac:dyDescent="0.25">
      <c r="A49" s="4" t="s">
        <v>78</v>
      </c>
      <c r="B49" s="4">
        <v>0.15</v>
      </c>
      <c r="C49" s="4">
        <v>0.15</v>
      </c>
      <c r="D49" s="4">
        <v>4.2300000000000004</v>
      </c>
      <c r="E49" s="4">
        <v>42.8</v>
      </c>
      <c r="F49" s="4">
        <v>4</v>
      </c>
      <c r="G49" s="4">
        <f t="shared" ref="G49:G50" si="1">B49*C49*D49*E49*F49</f>
        <v>16.293960000000002</v>
      </c>
      <c r="H49" s="1"/>
    </row>
    <row r="50" spans="1:8" x14ac:dyDescent="0.25">
      <c r="A50" s="4" t="s">
        <v>78</v>
      </c>
      <c r="B50" s="4">
        <v>0.15</v>
      </c>
      <c r="C50" s="4">
        <v>0.15</v>
      </c>
      <c r="D50" s="4">
        <v>3.46</v>
      </c>
      <c r="E50" s="4">
        <v>42.8</v>
      </c>
      <c r="F50" s="4">
        <v>4</v>
      </c>
      <c r="G50" s="4">
        <f t="shared" si="1"/>
        <v>13.327919999999999</v>
      </c>
      <c r="H50" s="1"/>
    </row>
    <row r="51" spans="1:8" x14ac:dyDescent="0.25">
      <c r="A51" s="1"/>
      <c r="B51" s="1"/>
      <c r="C51" s="1"/>
      <c r="D51" s="1"/>
      <c r="E51" s="1"/>
      <c r="F51" s="1"/>
      <c r="G51" s="1">
        <f>SUM(G48:G50)</f>
        <v>48.881880000000002</v>
      </c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 t="s">
        <v>42</v>
      </c>
      <c r="B55" s="1"/>
      <c r="C55" s="1"/>
      <c r="D55" s="1"/>
      <c r="E55" s="1"/>
      <c r="F55" s="1"/>
      <c r="G55" s="1"/>
      <c r="H55" s="1"/>
    </row>
    <row r="56" spans="1:8" x14ac:dyDescent="0.25">
      <c r="A56" s="4" t="s">
        <v>33</v>
      </c>
      <c r="B56" s="4" t="s">
        <v>34</v>
      </c>
      <c r="C56" s="4" t="s">
        <v>43</v>
      </c>
      <c r="D56" s="4" t="s">
        <v>35</v>
      </c>
      <c r="E56" s="4" t="s">
        <v>40</v>
      </c>
      <c r="F56" s="4" t="s">
        <v>44</v>
      </c>
      <c r="G56" s="4" t="s">
        <v>36</v>
      </c>
      <c r="H56" s="1"/>
    </row>
    <row r="57" spans="1:8" x14ac:dyDescent="0.25">
      <c r="A57" s="4" t="s">
        <v>55</v>
      </c>
      <c r="B57" s="4">
        <v>0.05</v>
      </c>
      <c r="C57" s="4">
        <v>0.05</v>
      </c>
      <c r="D57" s="4">
        <v>10.9</v>
      </c>
      <c r="E57" s="4">
        <v>7</v>
      </c>
      <c r="F57" s="4">
        <v>18.7</v>
      </c>
      <c r="G57" s="4">
        <f>B57*C57*D57*E57*F57</f>
        <v>3.567025000000001</v>
      </c>
      <c r="H57" s="1"/>
    </row>
    <row r="58" spans="1:8" x14ac:dyDescent="0.25">
      <c r="A58" s="4" t="s">
        <v>41</v>
      </c>
      <c r="B58" s="4">
        <v>0.05</v>
      </c>
      <c r="C58" s="4">
        <v>0.05</v>
      </c>
      <c r="D58" s="4">
        <v>12</v>
      </c>
      <c r="E58" s="4">
        <v>4</v>
      </c>
      <c r="F58" s="4">
        <v>18.7</v>
      </c>
      <c r="G58" s="4">
        <f t="shared" ref="G58" si="2">B58*C58*D58*E58*F58</f>
        <v>2.2440000000000002</v>
      </c>
      <c r="H58" s="1"/>
    </row>
    <row r="59" spans="1:8" x14ac:dyDescent="0.25">
      <c r="A59" s="1"/>
      <c r="B59" s="1"/>
      <c r="C59" s="1"/>
      <c r="D59" s="1"/>
      <c r="E59" s="1"/>
      <c r="F59" s="1"/>
      <c r="G59" s="1">
        <f>SUM(G57:G58)</f>
        <v>5.8110250000000008</v>
      </c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 t="s">
        <v>45</v>
      </c>
      <c r="B62" s="1"/>
      <c r="C62" s="1"/>
      <c r="D62" s="1"/>
      <c r="E62" s="1"/>
      <c r="F62" s="1"/>
      <c r="G62" s="1"/>
      <c r="H62" s="1"/>
    </row>
    <row r="63" spans="1:8" x14ac:dyDescent="0.25">
      <c r="A63" s="4" t="s">
        <v>33</v>
      </c>
      <c r="B63" s="4" t="s">
        <v>34</v>
      </c>
      <c r="C63" s="4" t="s">
        <v>35</v>
      </c>
      <c r="D63" s="4" t="s">
        <v>46</v>
      </c>
      <c r="E63" s="4" t="s">
        <v>36</v>
      </c>
      <c r="F63" s="1"/>
      <c r="G63" s="1"/>
      <c r="H63" s="1"/>
    </row>
    <row r="64" spans="1:8" x14ac:dyDescent="0.25">
      <c r="A64" s="4" t="s">
        <v>37</v>
      </c>
      <c r="B64" s="4">
        <v>10.9</v>
      </c>
      <c r="C64" s="4">
        <v>12.8</v>
      </c>
      <c r="D64" s="4">
        <v>1.1200000000000001</v>
      </c>
      <c r="E64" s="4">
        <f>B64*C64*D64</f>
        <v>156.26240000000001</v>
      </c>
      <c r="F64" s="1"/>
      <c r="G64" s="1"/>
      <c r="H64" s="1"/>
    </row>
    <row r="65" spans="1:8" x14ac:dyDescent="0.25">
      <c r="A65" s="4" t="s">
        <v>41</v>
      </c>
      <c r="B65" s="4">
        <v>5</v>
      </c>
      <c r="C65" s="4">
        <v>12</v>
      </c>
      <c r="D65" s="4">
        <v>1.1200000000000001</v>
      </c>
      <c r="E65" s="4">
        <f t="shared" ref="E65" si="3">B65*C65*D65</f>
        <v>67.2</v>
      </c>
      <c r="F65" s="1"/>
      <c r="G65" s="1"/>
      <c r="H65" s="1"/>
    </row>
    <row r="66" spans="1:8" x14ac:dyDescent="0.25">
      <c r="A66" s="1"/>
      <c r="B66" s="1"/>
      <c r="C66" s="1"/>
      <c r="D66" s="1"/>
      <c r="E66" s="1">
        <f>SUM(E64:E65)</f>
        <v>223.4624</v>
      </c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 t="s">
        <v>47</v>
      </c>
      <c r="B68" s="1"/>
      <c r="C68" s="1"/>
      <c r="D68" s="1"/>
      <c r="E68" s="1"/>
      <c r="F68" s="1"/>
      <c r="G68" s="1"/>
      <c r="H68" s="1"/>
    </row>
    <row r="69" spans="1:8" x14ac:dyDescent="0.25">
      <c r="A69" s="4" t="s">
        <v>33</v>
      </c>
      <c r="B69" s="4" t="s">
        <v>35</v>
      </c>
      <c r="C69" s="1"/>
      <c r="D69" s="1"/>
      <c r="E69" s="1"/>
      <c r="F69" s="1"/>
      <c r="G69" s="1"/>
      <c r="H69" s="1"/>
    </row>
    <row r="70" spans="1:8" x14ac:dyDescent="0.25">
      <c r="A70" s="4" t="s">
        <v>55</v>
      </c>
      <c r="B70" s="4">
        <f>10.9+10.9</f>
        <v>21.8</v>
      </c>
      <c r="C70" s="1"/>
      <c r="D70" s="1"/>
      <c r="E70" s="1"/>
      <c r="F70" s="1"/>
      <c r="G70" s="1"/>
      <c r="H70" s="1"/>
    </row>
    <row r="71" spans="1:8" x14ac:dyDescent="0.25">
      <c r="A71" s="4" t="s">
        <v>41</v>
      </c>
      <c r="B71" s="4">
        <f>12+12</f>
        <v>24</v>
      </c>
      <c r="C71" s="1"/>
      <c r="D71" s="1"/>
      <c r="E71" s="1"/>
      <c r="F71" s="1"/>
      <c r="G71" s="1"/>
      <c r="H71" s="1"/>
    </row>
    <row r="72" spans="1:8" x14ac:dyDescent="0.25">
      <c r="A72" s="1"/>
      <c r="B72" s="1">
        <f>SUM(B70:B71)</f>
        <v>45.8</v>
      </c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 t="s">
        <v>83</v>
      </c>
      <c r="B74" s="1"/>
      <c r="C74" s="1"/>
      <c r="D74" s="1"/>
      <c r="E74" s="1"/>
      <c r="F74" s="1"/>
      <c r="G74" s="1"/>
      <c r="H74" s="1"/>
    </row>
    <row r="75" spans="1:8" x14ac:dyDescent="0.25">
      <c r="A75" s="4" t="s">
        <v>33</v>
      </c>
      <c r="B75" s="4" t="s">
        <v>35</v>
      </c>
      <c r="C75" s="4" t="s">
        <v>40</v>
      </c>
      <c r="D75" s="4" t="s">
        <v>36</v>
      </c>
      <c r="E75" s="1"/>
      <c r="F75" s="1"/>
      <c r="G75" s="1"/>
      <c r="H75" s="1"/>
    </row>
    <row r="76" spans="1:8" x14ac:dyDescent="0.25">
      <c r="A76" s="4" t="s">
        <v>55</v>
      </c>
      <c r="B76" s="4">
        <f>3.46+0.2</f>
        <v>3.66</v>
      </c>
      <c r="C76" s="4">
        <v>2</v>
      </c>
      <c r="D76" s="4">
        <f>B76*C76</f>
        <v>7.32</v>
      </c>
      <c r="E76" s="1"/>
      <c r="F76" s="1"/>
      <c r="G76" s="1"/>
      <c r="H76" s="1"/>
    </row>
    <row r="77" spans="1:8" x14ac:dyDescent="0.25">
      <c r="A77" s="4" t="s">
        <v>41</v>
      </c>
      <c r="B77" s="4">
        <f>2.5+0.2</f>
        <v>2.7</v>
      </c>
      <c r="C77" s="4">
        <v>4</v>
      </c>
      <c r="D77" s="4">
        <f>B77*C77</f>
        <v>10.8</v>
      </c>
      <c r="E77" s="1"/>
      <c r="F77" s="1"/>
      <c r="G77" s="1"/>
      <c r="H77" s="1"/>
    </row>
    <row r="78" spans="1:8" x14ac:dyDescent="0.25">
      <c r="A78" s="1"/>
      <c r="B78" s="1"/>
      <c r="C78" s="1"/>
      <c r="D78" s="1">
        <f>SUM(D76:D77)</f>
        <v>18.12</v>
      </c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 t="s">
        <v>48</v>
      </c>
      <c r="B81" s="1"/>
      <c r="C81" s="1"/>
      <c r="D81" s="1"/>
      <c r="E81" s="1"/>
      <c r="F81" s="1"/>
      <c r="G81" s="1"/>
      <c r="H81" s="1"/>
    </row>
    <row r="82" spans="1:8" x14ac:dyDescent="0.25">
      <c r="A82" s="4" t="s">
        <v>33</v>
      </c>
      <c r="B82" s="4" t="s">
        <v>34</v>
      </c>
      <c r="C82" s="4" t="s">
        <v>35</v>
      </c>
      <c r="D82" s="4" t="s">
        <v>40</v>
      </c>
      <c r="E82" s="4" t="s">
        <v>36</v>
      </c>
      <c r="F82" s="1"/>
      <c r="G82" s="1"/>
      <c r="H82" s="1"/>
    </row>
    <row r="83" spans="1:8" x14ac:dyDescent="0.25">
      <c r="A83" s="4" t="s">
        <v>55</v>
      </c>
      <c r="B83" s="4">
        <f>0.1+0.1+0.1+0.1</f>
        <v>0.4</v>
      </c>
      <c r="C83" s="4">
        <v>5</v>
      </c>
      <c r="D83" s="4">
        <v>2</v>
      </c>
      <c r="E83" s="4">
        <f>B83*C83*D83</f>
        <v>4</v>
      </c>
      <c r="F83" s="1"/>
      <c r="G83" s="1"/>
      <c r="H83" s="1"/>
    </row>
    <row r="84" spans="1:8" x14ac:dyDescent="0.25">
      <c r="A84" s="4" t="s">
        <v>55</v>
      </c>
      <c r="B84" s="4">
        <f t="shared" ref="B84:B85" si="4">0.1+0.1+0.1+0.1</f>
        <v>0.4</v>
      </c>
      <c r="C84" s="4">
        <v>4.2300000000000004</v>
      </c>
      <c r="D84" s="4">
        <v>2</v>
      </c>
      <c r="E84" s="4">
        <f t="shared" ref="E84:E87" si="5">B84*C84*D84</f>
        <v>3.3840000000000003</v>
      </c>
      <c r="F84" s="1"/>
      <c r="G84" s="1"/>
      <c r="H84" s="1"/>
    </row>
    <row r="85" spans="1:8" x14ac:dyDescent="0.25">
      <c r="A85" s="4" t="s">
        <v>55</v>
      </c>
      <c r="B85" s="4">
        <f t="shared" si="4"/>
        <v>0.4</v>
      </c>
      <c r="C85" s="4">
        <v>3.46</v>
      </c>
      <c r="D85" s="4">
        <v>2</v>
      </c>
      <c r="E85" s="4">
        <f t="shared" si="5"/>
        <v>2.7680000000000002</v>
      </c>
      <c r="F85" s="1"/>
      <c r="G85" s="1"/>
      <c r="H85" s="1"/>
    </row>
    <row r="86" spans="1:8" x14ac:dyDescent="0.25">
      <c r="A86" s="4" t="s">
        <v>55</v>
      </c>
      <c r="B86" s="4">
        <f>0.025+0.025+0.025+0.025</f>
        <v>0.1</v>
      </c>
      <c r="C86" s="4">
        <v>10.8</v>
      </c>
      <c r="D86" s="4">
        <v>7</v>
      </c>
      <c r="E86" s="4">
        <f t="shared" si="5"/>
        <v>7.5600000000000005</v>
      </c>
      <c r="F86" s="1"/>
      <c r="G86" s="1"/>
      <c r="H86" s="1"/>
    </row>
    <row r="87" spans="1:8" x14ac:dyDescent="0.25">
      <c r="A87" s="4" t="s">
        <v>41</v>
      </c>
      <c r="B87" s="4">
        <f>0.025+0.025+0.025+0.025</f>
        <v>0.1</v>
      </c>
      <c r="C87" s="4">
        <v>12</v>
      </c>
      <c r="D87" s="4">
        <v>4</v>
      </c>
      <c r="E87" s="4">
        <f t="shared" si="5"/>
        <v>4.8000000000000007</v>
      </c>
      <c r="F87" s="1"/>
      <c r="G87" s="1"/>
      <c r="H87" s="1"/>
    </row>
    <row r="88" spans="1:8" x14ac:dyDescent="0.25">
      <c r="A88" s="1"/>
      <c r="B88" s="1"/>
      <c r="C88" s="1"/>
      <c r="D88" s="1"/>
      <c r="E88" s="1">
        <f>SUM(E83:E87)</f>
        <v>22.512000000000004</v>
      </c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 t="s">
        <v>49</v>
      </c>
      <c r="B90" s="1"/>
      <c r="C90" s="1"/>
      <c r="D90" s="1"/>
      <c r="E90" s="1"/>
      <c r="F90" s="1"/>
      <c r="G90" s="1"/>
      <c r="H90" s="1"/>
    </row>
    <row r="91" spans="1:8" x14ac:dyDescent="0.25">
      <c r="A91" s="4" t="s">
        <v>33</v>
      </c>
      <c r="B91" s="4" t="s">
        <v>34</v>
      </c>
      <c r="C91" s="4" t="s">
        <v>35</v>
      </c>
      <c r="D91" s="4" t="s">
        <v>36</v>
      </c>
      <c r="E91" s="1"/>
      <c r="F91" s="1"/>
      <c r="G91" s="1"/>
      <c r="H91" s="1"/>
    </row>
    <row r="92" spans="1:8" x14ac:dyDescent="0.25">
      <c r="A92" s="4" t="s">
        <v>55</v>
      </c>
      <c r="B92" s="4">
        <v>10.9</v>
      </c>
      <c r="C92" s="4">
        <v>12.8</v>
      </c>
      <c r="D92" s="4">
        <f>B92*C92</f>
        <v>139.52000000000001</v>
      </c>
      <c r="E92" s="1"/>
      <c r="F92" s="1"/>
      <c r="G92" s="1"/>
      <c r="H92" s="1"/>
    </row>
    <row r="93" spans="1:8" x14ac:dyDescent="0.25">
      <c r="A93" s="4" t="s">
        <v>41</v>
      </c>
      <c r="B93" s="4">
        <v>5</v>
      </c>
      <c r="C93" s="4">
        <v>12</v>
      </c>
      <c r="D93" s="4">
        <f>B93*C93</f>
        <v>60</v>
      </c>
      <c r="E93" s="1"/>
      <c r="F93" s="1"/>
      <c r="G93" s="1"/>
      <c r="H93" s="1"/>
    </row>
    <row r="94" spans="1:8" x14ac:dyDescent="0.25">
      <c r="A94" s="1"/>
      <c r="B94" s="1"/>
      <c r="C94" s="1"/>
      <c r="D94" s="1">
        <f>SUM(D92:D93)</f>
        <v>199.52</v>
      </c>
      <c r="E94" s="1"/>
      <c r="F94" s="1"/>
      <c r="G94" s="1"/>
      <c r="H94" s="1"/>
    </row>
    <row r="96" spans="1:8" x14ac:dyDescent="0.25">
      <c r="A96" s="14" t="s">
        <v>87</v>
      </c>
    </row>
    <row r="97" spans="1:9" x14ac:dyDescent="0.25">
      <c r="A97" s="11" t="s">
        <v>115</v>
      </c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4" t="s">
        <v>116</v>
      </c>
      <c r="B98" s="4" t="s">
        <v>34</v>
      </c>
      <c r="C98" s="4" t="s">
        <v>35</v>
      </c>
      <c r="D98" s="4" t="s">
        <v>40</v>
      </c>
      <c r="E98" s="4" t="s">
        <v>36</v>
      </c>
      <c r="F98" s="1"/>
      <c r="G98" s="1"/>
      <c r="H98" s="1"/>
      <c r="I98" s="1"/>
    </row>
    <row r="99" spans="1:9" x14ac:dyDescent="0.25">
      <c r="A99" s="4" t="s">
        <v>117</v>
      </c>
      <c r="B99" s="4">
        <v>6</v>
      </c>
      <c r="C99" s="4">
        <v>10</v>
      </c>
      <c r="D99" s="4">
        <v>1</v>
      </c>
      <c r="E99" s="4">
        <f>B99*C99*D99</f>
        <v>60</v>
      </c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>
        <f>SUM(E99)</f>
        <v>60</v>
      </c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1" t="s">
        <v>118</v>
      </c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4" t="s">
        <v>33</v>
      </c>
      <c r="B103" s="4" t="s">
        <v>35</v>
      </c>
      <c r="C103" s="4" t="s">
        <v>43</v>
      </c>
      <c r="D103" s="4" t="s">
        <v>34</v>
      </c>
      <c r="E103" s="4" t="s">
        <v>36</v>
      </c>
      <c r="F103" s="1"/>
      <c r="G103" s="1"/>
      <c r="H103" s="1"/>
      <c r="I103" s="1"/>
    </row>
    <row r="104" spans="1:9" x14ac:dyDescent="0.25">
      <c r="A104" s="4" t="s">
        <v>119</v>
      </c>
      <c r="B104" s="4">
        <v>6</v>
      </c>
      <c r="C104" s="4">
        <v>2</v>
      </c>
      <c r="D104" s="4">
        <v>0.2</v>
      </c>
      <c r="E104" s="4">
        <f>B104*C104*D104</f>
        <v>2.4000000000000004</v>
      </c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>
        <f>SUM(E104)</f>
        <v>2.4000000000000004</v>
      </c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1" t="s">
        <v>120</v>
      </c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4" t="s">
        <v>33</v>
      </c>
      <c r="B108" s="4" t="s">
        <v>35</v>
      </c>
      <c r="C108" s="1"/>
      <c r="D108" s="1"/>
      <c r="E108" s="1"/>
      <c r="F108" s="1"/>
      <c r="G108" s="1"/>
      <c r="H108" s="1"/>
      <c r="I108" s="1"/>
    </row>
    <row r="109" spans="1:9" x14ac:dyDescent="0.25">
      <c r="A109" s="4" t="s">
        <v>37</v>
      </c>
      <c r="B109" s="4">
        <f>10+7+5</f>
        <v>22</v>
      </c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 t="s">
        <v>121</v>
      </c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4" t="s">
        <v>116</v>
      </c>
      <c r="B113" s="4" t="s">
        <v>122</v>
      </c>
      <c r="C113" s="4" t="s">
        <v>40</v>
      </c>
      <c r="D113" s="4" t="s">
        <v>36</v>
      </c>
      <c r="E113" s="1"/>
      <c r="F113" s="1"/>
      <c r="G113" s="1"/>
      <c r="H113" s="1"/>
      <c r="I113" s="1"/>
    </row>
    <row r="114" spans="1:9" x14ac:dyDescent="0.25">
      <c r="A114" s="4" t="s">
        <v>123</v>
      </c>
      <c r="B114" s="4">
        <v>3</v>
      </c>
      <c r="C114" s="4">
        <f>6*2</f>
        <v>12</v>
      </c>
      <c r="D114" s="4">
        <f>B114*C114</f>
        <v>36</v>
      </c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>
        <f>SUM(D114)</f>
        <v>36</v>
      </c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 t="s">
        <v>58</v>
      </c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4" t="s">
        <v>124</v>
      </c>
      <c r="B118" s="4" t="s">
        <v>34</v>
      </c>
      <c r="C118" s="4" t="s">
        <v>35</v>
      </c>
      <c r="D118" s="4" t="s">
        <v>125</v>
      </c>
      <c r="E118" s="4" t="s">
        <v>40</v>
      </c>
      <c r="F118" s="4" t="s">
        <v>36</v>
      </c>
      <c r="G118" s="1"/>
      <c r="H118" s="1"/>
      <c r="I118" s="1"/>
    </row>
    <row r="119" spans="1:9" x14ac:dyDescent="0.25">
      <c r="A119" s="4" t="s">
        <v>126</v>
      </c>
      <c r="B119" s="4">
        <f>0.5+0.2+0.2</f>
        <v>0.89999999999999991</v>
      </c>
      <c r="C119" s="4">
        <f>0.5+0.2+0.2</f>
        <v>0.89999999999999991</v>
      </c>
      <c r="D119" s="4">
        <v>0.5</v>
      </c>
      <c r="E119" s="4">
        <v>6</v>
      </c>
      <c r="F119" s="4">
        <f>B119*C119*D119*E119</f>
        <v>2.4299999999999997</v>
      </c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>
        <f>SUM(F119:F119)</f>
        <v>2.4299999999999997</v>
      </c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 t="s">
        <v>127</v>
      </c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4" t="s">
        <v>34</v>
      </c>
      <c r="B123" s="4" t="s">
        <v>35</v>
      </c>
      <c r="C123" s="4" t="s">
        <v>40</v>
      </c>
      <c r="D123" s="4" t="s">
        <v>36</v>
      </c>
      <c r="E123" s="1"/>
      <c r="F123" s="1"/>
      <c r="G123" s="1"/>
      <c r="H123" s="1"/>
      <c r="I123" s="1"/>
    </row>
    <row r="124" spans="1:9" x14ac:dyDescent="0.25">
      <c r="A124" s="4">
        <v>0.55000000000000004</v>
      </c>
      <c r="B124" s="4">
        <v>0.5</v>
      </c>
      <c r="C124" s="4">
        <f>4*6</f>
        <v>24</v>
      </c>
      <c r="D124" s="4">
        <f>A124*B124*C124</f>
        <v>6.6000000000000005</v>
      </c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>
        <f>SUM(D124:D124)</f>
        <v>6.6000000000000005</v>
      </c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 t="s">
        <v>63</v>
      </c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4" t="s">
        <v>33</v>
      </c>
      <c r="B128" s="4" t="s">
        <v>128</v>
      </c>
      <c r="C128" s="4" t="s">
        <v>35</v>
      </c>
      <c r="D128" s="4" t="s">
        <v>40</v>
      </c>
      <c r="E128" s="4" t="s">
        <v>129</v>
      </c>
      <c r="F128" s="4" t="s">
        <v>130</v>
      </c>
      <c r="G128" s="4" t="s">
        <v>36</v>
      </c>
      <c r="H128" s="1"/>
      <c r="I128" s="1"/>
    </row>
    <row r="129" spans="1:9" x14ac:dyDescent="0.25">
      <c r="A129" s="4" t="s">
        <v>126</v>
      </c>
      <c r="B129" s="4" t="s">
        <v>131</v>
      </c>
      <c r="C129" s="4">
        <f>0.3+0.46+0.3</f>
        <v>1.06</v>
      </c>
      <c r="D129" s="4">
        <v>4</v>
      </c>
      <c r="E129" s="4">
        <v>6</v>
      </c>
      <c r="F129" s="4">
        <v>0.39500000000000002</v>
      </c>
      <c r="G129" s="4">
        <f>C129*D129*E129*F129</f>
        <v>10.048800000000002</v>
      </c>
      <c r="H129" s="1"/>
      <c r="I129" s="1"/>
    </row>
    <row r="130" spans="1:9" x14ac:dyDescent="0.25">
      <c r="A130" s="4" t="s">
        <v>126</v>
      </c>
      <c r="B130" s="4" t="s">
        <v>131</v>
      </c>
      <c r="C130" s="4">
        <f>0.3+0.46+0.3</f>
        <v>1.06</v>
      </c>
      <c r="D130" s="4">
        <v>4</v>
      </c>
      <c r="E130" s="4">
        <v>8</v>
      </c>
      <c r="F130" s="4">
        <v>0.39500000000000002</v>
      </c>
      <c r="G130" s="4">
        <f>C130*D130*E130*F130</f>
        <v>13.398400000000001</v>
      </c>
      <c r="H130" s="1"/>
      <c r="I130" s="1"/>
    </row>
    <row r="131" spans="1:9" x14ac:dyDescent="0.25">
      <c r="A131" s="4" t="s">
        <v>126</v>
      </c>
      <c r="B131" s="4" t="s">
        <v>131</v>
      </c>
      <c r="C131" s="4">
        <f>0.69+0.46+0.69+0.46+0.1+0.1</f>
        <v>2.5</v>
      </c>
      <c r="D131" s="4">
        <v>2</v>
      </c>
      <c r="E131" s="4">
        <v>6</v>
      </c>
      <c r="F131" s="4">
        <v>0.39500000000000002</v>
      </c>
      <c r="G131" s="4">
        <f>C131*D131*E131*F131</f>
        <v>11.850000000000001</v>
      </c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>
        <f>SUM(G129:G131)</f>
        <v>35.297200000000004</v>
      </c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 t="s">
        <v>132</v>
      </c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4" t="s">
        <v>33</v>
      </c>
      <c r="B136" s="4" t="s">
        <v>34</v>
      </c>
      <c r="C136" s="4" t="s">
        <v>35</v>
      </c>
      <c r="D136" s="4" t="s">
        <v>43</v>
      </c>
      <c r="E136" s="4" t="s">
        <v>40</v>
      </c>
      <c r="F136" s="4" t="s">
        <v>36</v>
      </c>
      <c r="G136" s="1"/>
      <c r="H136" s="1"/>
      <c r="I136" s="1"/>
    </row>
    <row r="137" spans="1:9" x14ac:dyDescent="0.25">
      <c r="A137" s="4" t="s">
        <v>126</v>
      </c>
      <c r="B137" s="4">
        <v>0.9</v>
      </c>
      <c r="C137" s="4">
        <v>0.9</v>
      </c>
      <c r="D137" s="4">
        <v>0.05</v>
      </c>
      <c r="E137" s="4">
        <v>6</v>
      </c>
      <c r="F137" s="4">
        <f>B137*C137*D137*E137</f>
        <v>0.24300000000000005</v>
      </c>
      <c r="G137" s="1"/>
      <c r="H137" s="1"/>
      <c r="I137" s="1"/>
    </row>
    <row r="138" spans="1:9" x14ac:dyDescent="0.25">
      <c r="A138" s="4" t="s">
        <v>133</v>
      </c>
      <c r="B138" s="4">
        <f>0.2+0.2+0.2</f>
        <v>0.60000000000000009</v>
      </c>
      <c r="C138" s="4">
        <v>10</v>
      </c>
      <c r="D138" s="4">
        <v>0.05</v>
      </c>
      <c r="E138" s="4">
        <v>2</v>
      </c>
      <c r="F138" s="4">
        <f t="shared" ref="F138:F139" si="6">B138*C138*D138*E138</f>
        <v>0.60000000000000009</v>
      </c>
      <c r="G138" s="1"/>
      <c r="H138" s="1"/>
      <c r="I138" s="1"/>
    </row>
    <row r="139" spans="1:9" x14ac:dyDescent="0.25">
      <c r="A139" s="4" t="s">
        <v>133</v>
      </c>
      <c r="B139" s="4">
        <f>0.2+0.2+0.2</f>
        <v>0.60000000000000009</v>
      </c>
      <c r="C139" s="4">
        <v>6</v>
      </c>
      <c r="D139" s="4">
        <v>0.05</v>
      </c>
      <c r="E139" s="4">
        <v>3</v>
      </c>
      <c r="F139" s="4">
        <f t="shared" si="6"/>
        <v>0.54000000000000015</v>
      </c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>
        <f>SUM(F137:F139)</f>
        <v>1.3830000000000005</v>
      </c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 t="s">
        <v>134</v>
      </c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4" t="s">
        <v>33</v>
      </c>
      <c r="B143" s="4" t="s">
        <v>34</v>
      </c>
      <c r="C143" s="4" t="s">
        <v>35</v>
      </c>
      <c r="D143" s="4" t="s">
        <v>43</v>
      </c>
      <c r="E143" s="4" t="s">
        <v>40</v>
      </c>
      <c r="F143" s="4" t="s">
        <v>36</v>
      </c>
      <c r="G143" s="1"/>
      <c r="H143" s="1"/>
      <c r="I143" s="1"/>
    </row>
    <row r="144" spans="1:9" x14ac:dyDescent="0.25">
      <c r="A144" s="4" t="s">
        <v>135</v>
      </c>
      <c r="B144" s="4">
        <v>6</v>
      </c>
      <c r="C144" s="4">
        <v>10</v>
      </c>
      <c r="D144" s="4">
        <v>0.05</v>
      </c>
      <c r="E144" s="4">
        <v>1</v>
      </c>
      <c r="F144" s="4">
        <f t="shared" ref="F144" si="7">B144*C144*D144*E144</f>
        <v>3</v>
      </c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1" t="s">
        <v>136</v>
      </c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4" t="s">
        <v>34</v>
      </c>
      <c r="C149" s="4" t="s">
        <v>35</v>
      </c>
      <c r="D149" s="4" t="s">
        <v>43</v>
      </c>
      <c r="E149" s="4" t="s">
        <v>40</v>
      </c>
      <c r="F149" s="4" t="s">
        <v>36</v>
      </c>
      <c r="G149" s="1"/>
      <c r="H149" s="1"/>
      <c r="I149" s="1"/>
    </row>
    <row r="150" spans="1:9" x14ac:dyDescent="0.25">
      <c r="A150" s="4" t="s">
        <v>137</v>
      </c>
      <c r="B150" s="4">
        <v>0.2</v>
      </c>
      <c r="C150" s="4">
        <v>0.4</v>
      </c>
      <c r="D150" s="4">
        <v>0.3</v>
      </c>
      <c r="E150" s="4">
        <v>8</v>
      </c>
      <c r="F150" s="4">
        <f>B150*C150*D150*E150</f>
        <v>0.19200000000000003</v>
      </c>
      <c r="G150" s="1"/>
      <c r="H150" s="1"/>
      <c r="I150" s="1"/>
    </row>
    <row r="151" spans="1:9" x14ac:dyDescent="0.25">
      <c r="A151" s="4" t="s">
        <v>138</v>
      </c>
      <c r="B151" s="4">
        <v>6</v>
      </c>
      <c r="C151" s="4">
        <v>10</v>
      </c>
      <c r="D151" s="4">
        <v>7.0000000000000007E-2</v>
      </c>
      <c r="E151" s="4">
        <v>1</v>
      </c>
      <c r="F151" s="4">
        <f>B151*C151*D151*E151</f>
        <v>4.2</v>
      </c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>
        <f>SUM(F150:F151)</f>
        <v>4.3920000000000003</v>
      </c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 t="s">
        <v>139</v>
      </c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4" t="s">
        <v>140</v>
      </c>
      <c r="B156" s="4" t="s">
        <v>35</v>
      </c>
      <c r="C156" s="4" t="s">
        <v>34</v>
      </c>
      <c r="D156" s="4" t="s">
        <v>141</v>
      </c>
      <c r="E156" s="4" t="s">
        <v>40</v>
      </c>
      <c r="F156" s="4" t="s">
        <v>130</v>
      </c>
      <c r="G156" s="4" t="s">
        <v>36</v>
      </c>
      <c r="H156" s="1"/>
      <c r="I156" s="1"/>
    </row>
    <row r="157" spans="1:9" x14ac:dyDescent="0.25">
      <c r="A157" s="4" t="s">
        <v>142</v>
      </c>
      <c r="B157" s="4">
        <v>0.5</v>
      </c>
      <c r="C157" s="4">
        <v>0.5</v>
      </c>
      <c r="D157" s="4">
        <v>0.1</v>
      </c>
      <c r="E157" s="4">
        <v>6</v>
      </c>
      <c r="F157" s="4">
        <v>78.5</v>
      </c>
      <c r="G157" s="4">
        <f>B157*C157*D157*E157*F157</f>
        <v>11.775000000000002</v>
      </c>
      <c r="H157" s="1"/>
      <c r="I157" s="1"/>
    </row>
    <row r="158" spans="1:9" x14ac:dyDescent="0.25">
      <c r="A158" s="4" t="s">
        <v>143</v>
      </c>
      <c r="B158" s="4">
        <v>4</v>
      </c>
      <c r="C158" s="4">
        <v>0.3</v>
      </c>
      <c r="D158" s="4">
        <v>0.1</v>
      </c>
      <c r="E158" s="4">
        <v>12</v>
      </c>
      <c r="F158" s="4">
        <v>78.5</v>
      </c>
      <c r="G158" s="4">
        <f>B158*C158*D158*E158*F158</f>
        <v>113.03999999999999</v>
      </c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>
        <f>SUM(G157:G158)</f>
        <v>124.815</v>
      </c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 t="s">
        <v>144</v>
      </c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4" t="s">
        <v>116</v>
      </c>
      <c r="B162" s="4" t="s">
        <v>35</v>
      </c>
      <c r="C162" s="4" t="s">
        <v>34</v>
      </c>
      <c r="D162" s="4" t="s">
        <v>141</v>
      </c>
      <c r="E162" s="4" t="s">
        <v>40</v>
      </c>
      <c r="F162" s="4" t="s">
        <v>130</v>
      </c>
      <c r="G162" s="4" t="s">
        <v>36</v>
      </c>
      <c r="H162" s="1"/>
      <c r="I162" s="1"/>
    </row>
    <row r="163" spans="1:9" x14ac:dyDescent="0.25">
      <c r="A163" s="4" t="s">
        <v>145</v>
      </c>
      <c r="B163" s="4">
        <v>10</v>
      </c>
      <c r="C163" s="4">
        <v>0.3</v>
      </c>
      <c r="D163" s="4">
        <v>0.2</v>
      </c>
      <c r="E163" s="4">
        <v>7</v>
      </c>
      <c r="F163" s="4">
        <v>78.5</v>
      </c>
      <c r="G163" s="4">
        <f>B163*C163*F163</f>
        <v>235.5</v>
      </c>
      <c r="H163" s="1"/>
      <c r="I163" s="1"/>
    </row>
    <row r="164" spans="1:9" x14ac:dyDescent="0.25">
      <c r="A164" s="4" t="s">
        <v>145</v>
      </c>
      <c r="B164" s="4">
        <v>6</v>
      </c>
      <c r="C164" s="4">
        <v>0.3</v>
      </c>
      <c r="D164" s="4">
        <v>0.2</v>
      </c>
      <c r="E164" s="4">
        <v>3</v>
      </c>
      <c r="F164" s="4">
        <v>78.5</v>
      </c>
      <c r="G164" s="4">
        <f>B164*C164*F164</f>
        <v>141.29999999999998</v>
      </c>
      <c r="H164" s="1"/>
      <c r="I164" s="1"/>
    </row>
    <row r="165" spans="1:9" x14ac:dyDescent="0.25">
      <c r="A165" s="4" t="s">
        <v>146</v>
      </c>
      <c r="B165" s="4">
        <v>7.95</v>
      </c>
      <c r="C165" s="4">
        <v>0.3</v>
      </c>
      <c r="D165" s="4">
        <v>0.2</v>
      </c>
      <c r="E165" s="4">
        <v>4</v>
      </c>
      <c r="F165" s="4">
        <v>78.5</v>
      </c>
      <c r="G165" s="4">
        <f>B165*C165*F165</f>
        <v>187.2225</v>
      </c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>
        <f>SUM(G163:G165)</f>
        <v>564.02249999999992</v>
      </c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3" t="s">
        <v>147</v>
      </c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4" t="s">
        <v>33</v>
      </c>
      <c r="B169" s="4" t="s">
        <v>34</v>
      </c>
      <c r="C169" s="4" t="s">
        <v>35</v>
      </c>
      <c r="D169" s="4" t="s">
        <v>148</v>
      </c>
      <c r="E169" s="4" t="s">
        <v>36</v>
      </c>
      <c r="F169" s="1"/>
      <c r="G169" s="1"/>
      <c r="H169" s="1"/>
      <c r="I169" s="1"/>
    </row>
    <row r="170" spans="1:9" x14ac:dyDescent="0.25">
      <c r="A170" s="4" t="s">
        <v>149</v>
      </c>
      <c r="B170" s="4">
        <v>6</v>
      </c>
      <c r="C170" s="4">
        <v>10</v>
      </c>
      <c r="D170" s="4">
        <v>1.1499999999999999</v>
      </c>
      <c r="E170" s="4">
        <f>B170*C170*D170</f>
        <v>69</v>
      </c>
      <c r="F170" s="1"/>
      <c r="G170" s="1"/>
      <c r="H170" s="1"/>
      <c r="I170" s="1"/>
    </row>
    <row r="171" spans="1:9" x14ac:dyDescent="0.25">
      <c r="A171" s="4" t="s">
        <v>150</v>
      </c>
      <c r="B171" s="4">
        <v>5</v>
      </c>
      <c r="C171" s="4">
        <v>20</v>
      </c>
      <c r="D171" s="4">
        <v>1.1499999999999999</v>
      </c>
      <c r="E171" s="4">
        <f>B171*C171*D171</f>
        <v>114.99999999999999</v>
      </c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>
        <f>SUM(E170:E171)</f>
        <v>184</v>
      </c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 t="s">
        <v>151</v>
      </c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4" t="s">
        <v>35</v>
      </c>
      <c r="B177" s="1" t="s">
        <v>33</v>
      </c>
      <c r="C177" s="1"/>
      <c r="D177" s="1"/>
      <c r="E177" s="1"/>
      <c r="F177" s="1"/>
      <c r="G177" s="1"/>
      <c r="H177" s="1"/>
      <c r="I177" s="1"/>
    </row>
    <row r="178" spans="1:9" x14ac:dyDescent="0.25">
      <c r="A178" s="4">
        <v>6.2</v>
      </c>
      <c r="B178" s="1" t="s">
        <v>152</v>
      </c>
      <c r="C178" s="1"/>
      <c r="D178" s="1"/>
      <c r="E178" s="1"/>
      <c r="F178" s="1"/>
      <c r="G178" s="1"/>
      <c r="H178" s="1"/>
      <c r="I178" s="1"/>
    </row>
    <row r="179" spans="1:9" x14ac:dyDescent="0.25">
      <c r="A179" s="4">
        <v>6.2</v>
      </c>
      <c r="B179" s="1" t="s">
        <v>152</v>
      </c>
      <c r="C179" s="1"/>
      <c r="D179" s="1"/>
      <c r="E179" s="1"/>
      <c r="F179" s="1"/>
      <c r="G179" s="1"/>
      <c r="H179" s="1"/>
      <c r="I179" s="1"/>
    </row>
    <row r="180" spans="1:9" x14ac:dyDescent="0.25">
      <c r="A180" s="4">
        <v>33.9</v>
      </c>
      <c r="B180" s="1" t="s">
        <v>153</v>
      </c>
      <c r="C180" s="1"/>
      <c r="D180" s="1"/>
      <c r="E180" s="1"/>
      <c r="F180" s="1"/>
      <c r="G180" s="1"/>
      <c r="H180" s="1"/>
      <c r="I180" s="1"/>
    </row>
    <row r="181" spans="1:9" x14ac:dyDescent="0.25">
      <c r="A181" s="4">
        <v>33.9</v>
      </c>
      <c r="B181" s="1" t="s">
        <v>153</v>
      </c>
      <c r="C181" s="1"/>
      <c r="D181" s="1"/>
      <c r="E181" s="1"/>
      <c r="F181" s="1"/>
      <c r="G181" s="1"/>
      <c r="H181" s="1"/>
      <c r="I181" s="1"/>
    </row>
    <row r="182" spans="1:9" x14ac:dyDescent="0.25">
      <c r="A182" s="4">
        <v>20</v>
      </c>
      <c r="B182" s="1" t="s">
        <v>154</v>
      </c>
      <c r="C182" s="1"/>
      <c r="D182" s="1"/>
      <c r="E182" s="1"/>
      <c r="F182" s="1"/>
      <c r="G182" s="1"/>
      <c r="H182" s="1"/>
      <c r="I182" s="1"/>
    </row>
    <row r="183" spans="1:9" x14ac:dyDescent="0.25">
      <c r="A183" s="4">
        <v>20</v>
      </c>
      <c r="B183" s="1" t="s">
        <v>154</v>
      </c>
      <c r="C183" s="1"/>
      <c r="D183" s="1"/>
      <c r="E183" s="1"/>
      <c r="F183" s="1"/>
      <c r="G183" s="1"/>
      <c r="H183" s="1"/>
      <c r="I183" s="1"/>
    </row>
    <row r="184" spans="1:9" x14ac:dyDescent="0.25">
      <c r="A184" s="4">
        <v>5</v>
      </c>
      <c r="B184" s="1" t="s">
        <v>55</v>
      </c>
      <c r="C184" s="1"/>
      <c r="D184" s="1"/>
      <c r="E184" s="1"/>
      <c r="F184" s="1"/>
      <c r="G184" s="1"/>
      <c r="H184" s="1"/>
      <c r="I184" s="1"/>
    </row>
    <row r="185" spans="1:9" x14ac:dyDescent="0.25">
      <c r="A185" s="4">
        <v>13</v>
      </c>
      <c r="B185" s="1" t="s">
        <v>155</v>
      </c>
      <c r="C185" s="1"/>
      <c r="D185" s="1"/>
      <c r="E185" s="1"/>
      <c r="F185" s="1"/>
      <c r="G185" s="1"/>
      <c r="H185" s="1"/>
      <c r="I185" s="1"/>
    </row>
    <row r="186" spans="1:9" x14ac:dyDescent="0.25">
      <c r="A186" s="4">
        <v>13</v>
      </c>
      <c r="B186" s="1" t="s">
        <v>155</v>
      </c>
      <c r="C186" s="1"/>
      <c r="D186" s="1"/>
      <c r="E186" s="1"/>
      <c r="F186" s="1"/>
      <c r="G186" s="1"/>
      <c r="H186" s="1"/>
      <c r="I186" s="1"/>
    </row>
    <row r="187" spans="1:9" x14ac:dyDescent="0.25">
      <c r="A187" s="1">
        <f>SUM(A178:A186)</f>
        <v>151.19999999999999</v>
      </c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1" t="s">
        <v>156</v>
      </c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4" t="s">
        <v>116</v>
      </c>
      <c r="B190" s="4" t="s">
        <v>35</v>
      </c>
      <c r="C190" s="4" t="s">
        <v>40</v>
      </c>
      <c r="D190" s="4" t="s">
        <v>36</v>
      </c>
      <c r="E190" s="1"/>
      <c r="F190" s="1"/>
      <c r="G190" s="1"/>
      <c r="H190" s="1"/>
      <c r="I190" s="1"/>
    </row>
    <row r="191" spans="1:9" x14ac:dyDescent="0.25">
      <c r="A191" s="4" t="s">
        <v>157</v>
      </c>
      <c r="B191" s="4">
        <v>4</v>
      </c>
      <c r="C191" s="4">
        <v>2</v>
      </c>
      <c r="D191" s="4">
        <f>B191*C191</f>
        <v>8</v>
      </c>
      <c r="E191" s="1"/>
      <c r="F191" s="1"/>
      <c r="G191" s="1"/>
      <c r="H191" s="1"/>
      <c r="I191" s="1"/>
    </row>
    <row r="192" spans="1:9" x14ac:dyDescent="0.25">
      <c r="A192" s="4" t="s">
        <v>158</v>
      </c>
      <c r="B192" s="4">
        <v>3</v>
      </c>
      <c r="C192" s="4">
        <v>2</v>
      </c>
      <c r="D192" s="4">
        <f>B192*C192</f>
        <v>6</v>
      </c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>
        <f>SUM(D191:D192)</f>
        <v>14</v>
      </c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 t="s">
        <v>159</v>
      </c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4" t="s">
        <v>116</v>
      </c>
      <c r="B196" s="4" t="s">
        <v>40</v>
      </c>
      <c r="C196" s="1"/>
      <c r="D196" s="1"/>
      <c r="E196" s="1"/>
      <c r="F196" s="1"/>
      <c r="G196" s="1"/>
      <c r="H196" s="1"/>
      <c r="I196" s="1"/>
    </row>
    <row r="197" spans="1:9" x14ac:dyDescent="0.25">
      <c r="A197" s="4" t="s">
        <v>160</v>
      </c>
      <c r="B197" s="4">
        <v>2</v>
      </c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>
        <f>SUM(B197)</f>
        <v>2</v>
      </c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 t="s">
        <v>161</v>
      </c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4" t="s">
        <v>35</v>
      </c>
      <c r="B201" s="4" t="s">
        <v>43</v>
      </c>
      <c r="C201" s="4" t="s">
        <v>36</v>
      </c>
      <c r="D201" s="1"/>
      <c r="E201" s="1"/>
      <c r="F201" s="1"/>
      <c r="G201" s="1"/>
      <c r="H201" s="1"/>
      <c r="I201" s="1"/>
    </row>
    <row r="202" spans="1:9" x14ac:dyDescent="0.25">
      <c r="A202" s="4">
        <v>3.5</v>
      </c>
      <c r="B202" s="4">
        <v>2</v>
      </c>
      <c r="C202" s="4">
        <f>A202*B202</f>
        <v>7</v>
      </c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>
        <f>SUM(C202)</f>
        <v>7</v>
      </c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 t="s">
        <v>162</v>
      </c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4" t="s">
        <v>34</v>
      </c>
      <c r="B206" s="4" t="s">
        <v>43</v>
      </c>
      <c r="C206" s="4" t="s">
        <v>36</v>
      </c>
      <c r="D206" s="1"/>
      <c r="E206" s="1"/>
      <c r="F206" s="1"/>
      <c r="G206" s="1"/>
      <c r="H206" s="1"/>
      <c r="I206" s="1"/>
    </row>
    <row r="207" spans="1:9" x14ac:dyDescent="0.25">
      <c r="A207" s="4">
        <f>6-3.5</f>
        <v>2.5</v>
      </c>
      <c r="B207" s="4">
        <v>2</v>
      </c>
      <c r="C207" s="4">
        <f>A207*B207</f>
        <v>5</v>
      </c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>
        <f>SUM(C207)</f>
        <v>5</v>
      </c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 t="s">
        <v>163</v>
      </c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4" t="s">
        <v>164</v>
      </c>
      <c r="B212" s="4" t="s">
        <v>165</v>
      </c>
      <c r="C212" s="4" t="s">
        <v>141</v>
      </c>
      <c r="D212" s="4" t="s">
        <v>69</v>
      </c>
      <c r="E212" s="4" t="s">
        <v>36</v>
      </c>
      <c r="F212" s="1"/>
      <c r="G212" s="1"/>
      <c r="H212" s="1"/>
      <c r="I212" s="1"/>
    </row>
    <row r="213" spans="1:9" x14ac:dyDescent="0.25">
      <c r="A213" s="4" t="s">
        <v>166</v>
      </c>
      <c r="B213" s="4">
        <f>E100</f>
        <v>60</v>
      </c>
      <c r="C213" s="4">
        <v>0.1</v>
      </c>
      <c r="D213" s="4">
        <v>1.5</v>
      </c>
      <c r="E213" s="4">
        <f>B213*C213*D213</f>
        <v>9</v>
      </c>
      <c r="F213" s="1"/>
      <c r="G213" s="1"/>
      <c r="H213" s="1"/>
      <c r="I213" s="1"/>
    </row>
    <row r="214" spans="1:9" x14ac:dyDescent="0.25">
      <c r="A214" s="4" t="s">
        <v>167</v>
      </c>
      <c r="B214" s="4">
        <f>E105</f>
        <v>2.4000000000000004</v>
      </c>
      <c r="C214" s="4">
        <v>0.2</v>
      </c>
      <c r="D214" s="4">
        <v>1.5</v>
      </c>
      <c r="E214" s="4">
        <f>B214*C214*D214</f>
        <v>0.7200000000000002</v>
      </c>
      <c r="F214" s="1"/>
      <c r="G214" s="1"/>
      <c r="H214" s="1"/>
      <c r="I214" s="1"/>
    </row>
    <row r="215" spans="1:9" x14ac:dyDescent="0.25">
      <c r="A215" s="4" t="s">
        <v>168</v>
      </c>
      <c r="B215" s="4">
        <f>D125</f>
        <v>6.6000000000000005</v>
      </c>
      <c r="C215" s="4"/>
      <c r="D215" s="4">
        <v>1.2</v>
      </c>
      <c r="E215" s="4">
        <f>B215*D215</f>
        <v>7.92</v>
      </c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>
        <f>SUM(E213:E215)</f>
        <v>17.64</v>
      </c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 t="s">
        <v>169</v>
      </c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4" t="s">
        <v>33</v>
      </c>
      <c r="B220" s="4" t="s">
        <v>35</v>
      </c>
      <c r="C220" s="4" t="s">
        <v>43</v>
      </c>
      <c r="D220" s="4" t="s">
        <v>36</v>
      </c>
      <c r="E220" s="1"/>
      <c r="F220" s="1"/>
      <c r="G220" s="1"/>
      <c r="H220" s="1"/>
      <c r="I220" s="1"/>
    </row>
    <row r="221" spans="1:9" x14ac:dyDescent="0.25">
      <c r="A221" s="4" t="s">
        <v>170</v>
      </c>
      <c r="B221" s="4">
        <v>7</v>
      </c>
      <c r="C221" s="4">
        <v>2.5</v>
      </c>
      <c r="D221" s="4">
        <f>B221*C221</f>
        <v>17.5</v>
      </c>
      <c r="E221" s="1"/>
      <c r="F221" s="1"/>
      <c r="G221" s="1"/>
      <c r="H221" s="1"/>
      <c r="I221" s="1"/>
    </row>
    <row r="222" spans="1:9" x14ac:dyDescent="0.25">
      <c r="A222" s="4" t="s">
        <v>170</v>
      </c>
      <c r="B222" s="4">
        <v>3.7</v>
      </c>
      <c r="C222" s="4">
        <v>2.5</v>
      </c>
      <c r="D222" s="4">
        <f t="shared" ref="D222:D224" si="8">B222*C222</f>
        <v>9.25</v>
      </c>
      <c r="E222" s="1"/>
      <c r="F222" s="1"/>
      <c r="G222" s="1"/>
      <c r="H222" s="1"/>
      <c r="I222" s="1"/>
    </row>
    <row r="223" spans="1:9" x14ac:dyDescent="0.25">
      <c r="A223" s="4" t="s">
        <v>171</v>
      </c>
      <c r="B223" s="4">
        <v>7</v>
      </c>
      <c r="C223" s="4">
        <v>2.5</v>
      </c>
      <c r="D223" s="4">
        <f t="shared" si="8"/>
        <v>17.5</v>
      </c>
      <c r="E223" s="1"/>
      <c r="F223" s="1"/>
      <c r="G223" s="1"/>
      <c r="H223" s="1"/>
      <c r="I223" s="1"/>
    </row>
    <row r="224" spans="1:9" x14ac:dyDescent="0.25">
      <c r="A224" s="4" t="s">
        <v>171</v>
      </c>
      <c r="B224" s="4">
        <v>5</v>
      </c>
      <c r="C224" s="4">
        <v>2.5</v>
      </c>
      <c r="D224" s="4">
        <f t="shared" si="8"/>
        <v>12.5</v>
      </c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>
        <f>SUM(D221:D224)</f>
        <v>56.75</v>
      </c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 t="s">
        <v>172</v>
      </c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4" t="s">
        <v>33</v>
      </c>
      <c r="B228" s="4" t="s">
        <v>35</v>
      </c>
      <c r="C228" s="4" t="s">
        <v>43</v>
      </c>
      <c r="D228" s="4" t="s">
        <v>36</v>
      </c>
      <c r="E228" s="1"/>
      <c r="F228" s="1"/>
      <c r="G228" s="1"/>
      <c r="H228" s="1"/>
      <c r="I228" s="1"/>
    </row>
    <row r="229" spans="1:9" x14ac:dyDescent="0.25">
      <c r="A229" s="4" t="s">
        <v>170</v>
      </c>
      <c r="B229" s="4">
        <v>2</v>
      </c>
      <c r="C229" s="4">
        <v>1.5</v>
      </c>
      <c r="D229" s="4">
        <f>B229*C229</f>
        <v>3</v>
      </c>
      <c r="E229" s="1"/>
      <c r="F229" s="1"/>
      <c r="G229" s="1"/>
      <c r="H229" s="1"/>
      <c r="I229" s="1"/>
    </row>
    <row r="230" spans="1:9" x14ac:dyDescent="0.25">
      <c r="A230" s="4" t="s">
        <v>171</v>
      </c>
      <c r="B230" s="4">
        <v>2</v>
      </c>
      <c r="C230" s="4">
        <v>1.5</v>
      </c>
      <c r="D230" s="4">
        <f t="shared" ref="D230:D231" si="9">B230*C230</f>
        <v>3</v>
      </c>
      <c r="E230" s="1"/>
      <c r="F230" s="1"/>
      <c r="G230" s="1"/>
      <c r="H230" s="1"/>
      <c r="I230" s="1"/>
    </row>
    <row r="231" spans="1:9" x14ac:dyDescent="0.25">
      <c r="A231" s="4" t="s">
        <v>171</v>
      </c>
      <c r="B231" s="4">
        <v>2</v>
      </c>
      <c r="C231" s="4">
        <v>1.5</v>
      </c>
      <c r="D231" s="4">
        <f t="shared" si="9"/>
        <v>3</v>
      </c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>
        <f>SUM(D229:D231)</f>
        <v>9</v>
      </c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 t="s">
        <v>173</v>
      </c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4" t="s">
        <v>33</v>
      </c>
      <c r="B235" s="4" t="s">
        <v>124</v>
      </c>
      <c r="C235" s="4" t="s">
        <v>35</v>
      </c>
      <c r="D235" s="1"/>
      <c r="E235" s="1"/>
      <c r="F235" s="1"/>
      <c r="G235" s="1"/>
      <c r="H235" s="1"/>
      <c r="I235" s="1"/>
    </row>
    <row r="236" spans="1:9" x14ac:dyDescent="0.25">
      <c r="A236" s="4" t="s">
        <v>170</v>
      </c>
      <c r="B236" s="4" t="s">
        <v>174</v>
      </c>
      <c r="C236" s="4">
        <f>(3.7+7+3.7+7+3)*2</f>
        <v>48.8</v>
      </c>
      <c r="D236" s="1"/>
      <c r="E236" s="1"/>
      <c r="F236" s="1"/>
      <c r="G236" s="1"/>
      <c r="H236" s="1"/>
      <c r="I236" s="1"/>
    </row>
    <row r="237" spans="1:9" x14ac:dyDescent="0.25">
      <c r="A237" s="4" t="s">
        <v>170</v>
      </c>
      <c r="B237" s="4" t="s">
        <v>175</v>
      </c>
      <c r="C237" s="4">
        <f>3+7+3+3+5</f>
        <v>21</v>
      </c>
      <c r="D237" s="1"/>
      <c r="E237" s="1"/>
      <c r="F237" s="1"/>
      <c r="G237" s="1"/>
      <c r="H237" s="1"/>
      <c r="I237" s="1"/>
    </row>
    <row r="238" spans="1:9" x14ac:dyDescent="0.25">
      <c r="A238" s="4" t="s">
        <v>171</v>
      </c>
      <c r="B238" s="4" t="s">
        <v>174</v>
      </c>
      <c r="C238" s="4">
        <f>(5+7+5+7+3)*2</f>
        <v>54</v>
      </c>
      <c r="D238" s="1"/>
      <c r="E238" s="1"/>
      <c r="F238" s="1"/>
      <c r="G238" s="1"/>
      <c r="H238" s="1"/>
      <c r="I238" s="1"/>
    </row>
    <row r="239" spans="1:9" x14ac:dyDescent="0.25">
      <c r="A239" s="4" t="s">
        <v>171</v>
      </c>
      <c r="B239" s="4" t="s">
        <v>175</v>
      </c>
      <c r="C239" s="4">
        <f>7+10+3</f>
        <v>20</v>
      </c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>
        <f>SUM(C236:C239)</f>
        <v>143.80000000000001</v>
      </c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 t="s">
        <v>176</v>
      </c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4" t="s">
        <v>33</v>
      </c>
      <c r="B244" s="4" t="s">
        <v>124</v>
      </c>
      <c r="C244" s="4" t="s">
        <v>35</v>
      </c>
      <c r="D244" s="1"/>
      <c r="E244" s="1"/>
      <c r="F244" s="1"/>
      <c r="G244" s="1"/>
      <c r="H244" s="1"/>
      <c r="I244" s="1"/>
    </row>
    <row r="245" spans="1:9" x14ac:dyDescent="0.25">
      <c r="A245" s="4" t="s">
        <v>170</v>
      </c>
      <c r="B245" s="4" t="s">
        <v>174</v>
      </c>
      <c r="C245" s="4">
        <f>(3.7+7+3.7+7+3)*2</f>
        <v>48.8</v>
      </c>
      <c r="D245" s="1"/>
      <c r="E245" s="1"/>
      <c r="F245" s="1"/>
      <c r="G245" s="1"/>
      <c r="H245" s="1"/>
      <c r="I245" s="1"/>
    </row>
    <row r="246" spans="1:9" x14ac:dyDescent="0.25">
      <c r="A246" s="4" t="s">
        <v>170</v>
      </c>
      <c r="B246" s="4" t="s">
        <v>175</v>
      </c>
      <c r="C246" s="4">
        <f>3+7+3+3+5</f>
        <v>21</v>
      </c>
      <c r="D246" s="1"/>
      <c r="E246" s="1"/>
      <c r="F246" s="1"/>
      <c r="G246" s="1"/>
      <c r="H246" s="1"/>
      <c r="I246" s="1"/>
    </row>
    <row r="247" spans="1:9" x14ac:dyDescent="0.25">
      <c r="A247" s="4" t="s">
        <v>171</v>
      </c>
      <c r="B247" s="4" t="s">
        <v>174</v>
      </c>
      <c r="C247" s="4">
        <f>(5+7+5+7+3)*2</f>
        <v>54</v>
      </c>
      <c r="D247" s="1"/>
      <c r="E247" s="1"/>
      <c r="F247" s="1"/>
      <c r="G247" s="1"/>
      <c r="H247" s="1"/>
      <c r="I247" s="1"/>
    </row>
    <row r="248" spans="1:9" x14ac:dyDescent="0.25">
      <c r="A248" s="4" t="s">
        <v>171</v>
      </c>
      <c r="B248" s="4" t="s">
        <v>175</v>
      </c>
      <c r="C248" s="4">
        <f>7+10+3</f>
        <v>20</v>
      </c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>
        <f>SUM(C245:C248)*3</f>
        <v>431.40000000000003</v>
      </c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 t="s">
        <v>70</v>
      </c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4" t="s">
        <v>164</v>
      </c>
      <c r="B252" s="4" t="s">
        <v>69</v>
      </c>
      <c r="C252" s="4" t="s">
        <v>177</v>
      </c>
      <c r="D252" s="4" t="s">
        <v>36</v>
      </c>
      <c r="E252" s="1"/>
      <c r="F252" s="1"/>
      <c r="G252" s="1"/>
      <c r="H252" s="1"/>
      <c r="I252" s="1"/>
    </row>
    <row r="253" spans="1:9" x14ac:dyDescent="0.25">
      <c r="A253" s="4" t="s">
        <v>166</v>
      </c>
      <c r="B253" s="4">
        <v>1.5</v>
      </c>
      <c r="C253" s="4">
        <f>E100*0.07</f>
        <v>4.2</v>
      </c>
      <c r="D253" s="4">
        <f>B253*C253</f>
        <v>6.3000000000000007</v>
      </c>
      <c r="E253" s="1"/>
      <c r="F253" s="1"/>
      <c r="G253" s="1"/>
      <c r="H253" s="1"/>
      <c r="I253" s="1"/>
    </row>
    <row r="254" spans="1:9" x14ac:dyDescent="0.25">
      <c r="A254" s="4" t="s">
        <v>167</v>
      </c>
      <c r="B254" s="4">
        <v>1.5</v>
      </c>
      <c r="C254" s="4">
        <f>E105</f>
        <v>2.4000000000000004</v>
      </c>
      <c r="D254" s="4">
        <f>B254*C254</f>
        <v>3.6000000000000005</v>
      </c>
      <c r="E254" s="1"/>
      <c r="F254" s="1"/>
      <c r="G254" s="1"/>
      <c r="H254" s="1"/>
      <c r="I254" s="1"/>
    </row>
    <row r="255" spans="1:9" x14ac:dyDescent="0.25">
      <c r="A255" s="4" t="s">
        <v>178</v>
      </c>
      <c r="B255" s="4">
        <v>1.5</v>
      </c>
      <c r="C255" s="4">
        <f>A187*0.01</f>
        <v>1.512</v>
      </c>
      <c r="D255" s="4">
        <f>B255*C255*0.3</f>
        <v>0.68039999999999989</v>
      </c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>
        <f>SUM(D253:D255)</f>
        <v>10.580400000000003</v>
      </c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 t="s">
        <v>179</v>
      </c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4" t="s">
        <v>33</v>
      </c>
      <c r="B259" s="4" t="s">
        <v>43</v>
      </c>
      <c r="C259" s="4" t="s">
        <v>35</v>
      </c>
      <c r="D259" s="4" t="s">
        <v>40</v>
      </c>
      <c r="E259" s="4" t="s">
        <v>36</v>
      </c>
      <c r="F259" s="1"/>
      <c r="G259" s="1"/>
      <c r="H259" s="1"/>
      <c r="I259" s="1"/>
    </row>
    <row r="260" spans="1:9" x14ac:dyDescent="0.25">
      <c r="A260" s="4" t="s">
        <v>119</v>
      </c>
      <c r="B260" s="4">
        <v>2</v>
      </c>
      <c r="C260" s="4">
        <f>15.35+10</f>
        <v>25.35</v>
      </c>
      <c r="D260" s="4">
        <v>2</v>
      </c>
      <c r="E260" s="4">
        <f>B260*C260</f>
        <v>50.7</v>
      </c>
      <c r="F260" s="1"/>
      <c r="G260" s="1"/>
      <c r="H260" s="1"/>
      <c r="I260" s="1"/>
    </row>
    <row r="261" spans="1:9" x14ac:dyDescent="0.25">
      <c r="A261" s="4" t="s">
        <v>180</v>
      </c>
      <c r="B261" s="4">
        <v>2.5</v>
      </c>
      <c r="C261" s="4">
        <v>7</v>
      </c>
      <c r="D261" s="4">
        <v>2</v>
      </c>
      <c r="E261" s="4">
        <f t="shared" ref="E261:E264" si="10">B261*C261</f>
        <v>17.5</v>
      </c>
      <c r="F261" s="1"/>
      <c r="G261" s="1"/>
      <c r="H261" s="1"/>
      <c r="I261" s="1"/>
    </row>
    <row r="262" spans="1:9" x14ac:dyDescent="0.25">
      <c r="A262" s="4" t="s">
        <v>180</v>
      </c>
      <c r="B262" s="4">
        <v>2.5</v>
      </c>
      <c r="C262" s="4">
        <v>3.7</v>
      </c>
      <c r="D262" s="4">
        <v>2</v>
      </c>
      <c r="E262" s="4">
        <f t="shared" si="10"/>
        <v>9.25</v>
      </c>
      <c r="F262" s="1"/>
      <c r="G262" s="1"/>
      <c r="H262" s="1"/>
      <c r="I262" s="1"/>
    </row>
    <row r="263" spans="1:9" x14ac:dyDescent="0.25">
      <c r="A263" s="4" t="s">
        <v>180</v>
      </c>
      <c r="B263" s="4">
        <v>2.5</v>
      </c>
      <c r="C263" s="4">
        <v>7</v>
      </c>
      <c r="D263" s="4">
        <v>2</v>
      </c>
      <c r="E263" s="4">
        <f t="shared" si="10"/>
        <v>17.5</v>
      </c>
      <c r="F263" s="1"/>
      <c r="G263" s="1"/>
      <c r="H263" s="1"/>
      <c r="I263" s="1"/>
    </row>
    <row r="264" spans="1:9" x14ac:dyDescent="0.25">
      <c r="A264" s="4" t="s">
        <v>180</v>
      </c>
      <c r="B264" s="4">
        <v>2.5</v>
      </c>
      <c r="C264" s="4">
        <v>5</v>
      </c>
      <c r="D264" s="4">
        <v>2</v>
      </c>
      <c r="E264" s="4">
        <f t="shared" si="10"/>
        <v>12.5</v>
      </c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>
        <f>SUM(E260:E264)</f>
        <v>107.45</v>
      </c>
      <c r="F265" s="1"/>
      <c r="G265" s="1"/>
      <c r="H265" s="1"/>
      <c r="I265" s="1"/>
    </row>
    <row r="267" spans="1:9" x14ac:dyDescent="0.25">
      <c r="A267" s="23" t="s">
        <v>237</v>
      </c>
      <c r="B267" s="1"/>
      <c r="C267" s="1"/>
      <c r="D267" s="1"/>
      <c r="E267" s="1"/>
      <c r="F267" s="1"/>
    </row>
    <row r="268" spans="1:9" x14ac:dyDescent="0.25">
      <c r="A268" s="1" t="s">
        <v>238</v>
      </c>
      <c r="B268" s="1"/>
      <c r="C268" s="1"/>
      <c r="D268" s="1"/>
      <c r="E268" s="1"/>
      <c r="F268" s="1"/>
    </row>
    <row r="269" spans="1:9" x14ac:dyDescent="0.25">
      <c r="A269" s="4" t="s">
        <v>33</v>
      </c>
      <c r="B269" s="4" t="s">
        <v>34</v>
      </c>
      <c r="C269" s="4" t="s">
        <v>35</v>
      </c>
      <c r="D269" s="4" t="s">
        <v>36</v>
      </c>
      <c r="E269" s="1"/>
      <c r="F269" s="1"/>
    </row>
    <row r="270" spans="1:9" x14ac:dyDescent="0.25">
      <c r="A270" s="4" t="s">
        <v>138</v>
      </c>
      <c r="B270" s="4"/>
      <c r="C270" s="4"/>
      <c r="D270" s="4"/>
      <c r="E270" s="1"/>
      <c r="F270" s="1"/>
    </row>
    <row r="271" spans="1:9" x14ac:dyDescent="0.25">
      <c r="A271" s="4" t="s">
        <v>239</v>
      </c>
      <c r="B271" s="4">
        <v>7.02</v>
      </c>
      <c r="C271" s="4">
        <v>4.34</v>
      </c>
      <c r="D271" s="4">
        <f>B271*C271</f>
        <v>30.466799999999996</v>
      </c>
      <c r="E271" s="1"/>
      <c r="F271" s="1"/>
    </row>
    <row r="272" spans="1:9" x14ac:dyDescent="0.25">
      <c r="A272" s="4" t="s">
        <v>240</v>
      </c>
      <c r="B272" s="4">
        <v>4.3499999999999996</v>
      </c>
      <c r="C272" s="4">
        <v>4.53</v>
      </c>
      <c r="D272" s="4">
        <f t="shared" ref="D272:D285" si="11">B272*C272</f>
        <v>19.705500000000001</v>
      </c>
      <c r="E272" s="1"/>
      <c r="F272" s="1"/>
    </row>
    <row r="273" spans="1:6" x14ac:dyDescent="0.25">
      <c r="A273" s="4" t="s">
        <v>241</v>
      </c>
      <c r="B273" s="4">
        <v>7.22</v>
      </c>
      <c r="C273" s="4">
        <v>4.53</v>
      </c>
      <c r="D273" s="4">
        <f t="shared" si="11"/>
        <v>32.706600000000002</v>
      </c>
      <c r="E273" s="1"/>
      <c r="F273" s="1"/>
    </row>
    <row r="274" spans="1:6" x14ac:dyDescent="0.25">
      <c r="A274" s="4" t="s">
        <v>242</v>
      </c>
      <c r="B274" s="4">
        <v>7.38</v>
      </c>
      <c r="C274" s="4">
        <v>4.3</v>
      </c>
      <c r="D274" s="4">
        <f t="shared" si="11"/>
        <v>31.733999999999998</v>
      </c>
      <c r="E274" s="1"/>
      <c r="F274" s="1"/>
    </row>
    <row r="275" spans="1:6" x14ac:dyDescent="0.25">
      <c r="A275" s="4" t="s">
        <v>243</v>
      </c>
      <c r="B275" s="4">
        <v>7.21</v>
      </c>
      <c r="C275" s="4">
        <v>4.3499999999999996</v>
      </c>
      <c r="D275" s="4">
        <f t="shared" si="11"/>
        <v>31.363499999999998</v>
      </c>
      <c r="E275" s="1"/>
      <c r="F275" s="1"/>
    </row>
    <row r="276" spans="1:6" x14ac:dyDescent="0.25">
      <c r="A276" s="4" t="s">
        <v>244</v>
      </c>
      <c r="B276" s="4">
        <v>6.82</v>
      </c>
      <c r="C276" s="4">
        <v>4.33</v>
      </c>
      <c r="D276" s="4">
        <f t="shared" si="11"/>
        <v>29.530600000000003</v>
      </c>
      <c r="E276" s="1"/>
      <c r="F276" s="1"/>
    </row>
    <row r="277" spans="1:6" x14ac:dyDescent="0.25">
      <c r="A277" s="4" t="s">
        <v>245</v>
      </c>
      <c r="B277" s="4">
        <v>7.13</v>
      </c>
      <c r="C277" s="4">
        <v>4.2699999999999996</v>
      </c>
      <c r="D277" s="4">
        <f t="shared" si="11"/>
        <v>30.445099999999996</v>
      </c>
      <c r="E277" s="1"/>
      <c r="F277" s="1"/>
    </row>
    <row r="278" spans="1:6" x14ac:dyDescent="0.25">
      <c r="A278" s="4" t="s">
        <v>246</v>
      </c>
      <c r="B278" s="4">
        <v>7.95</v>
      </c>
      <c r="C278" s="4">
        <v>2.94</v>
      </c>
      <c r="D278" s="4">
        <f t="shared" si="11"/>
        <v>23.373000000000001</v>
      </c>
      <c r="E278" s="1"/>
      <c r="F278" s="1"/>
    </row>
    <row r="279" spans="1:6" x14ac:dyDescent="0.25">
      <c r="A279" s="4" t="s">
        <v>247</v>
      </c>
      <c r="B279" s="4">
        <v>10.46</v>
      </c>
      <c r="C279" s="4">
        <v>13.16</v>
      </c>
      <c r="D279" s="4">
        <f t="shared" si="11"/>
        <v>137.65360000000001</v>
      </c>
      <c r="E279" s="1"/>
      <c r="F279" s="1"/>
    </row>
    <row r="280" spans="1:6" x14ac:dyDescent="0.25">
      <c r="A280" s="4" t="s">
        <v>248</v>
      </c>
      <c r="B280" s="4">
        <v>18</v>
      </c>
      <c r="C280" s="4">
        <v>4.0999999999999996</v>
      </c>
      <c r="D280" s="4">
        <f t="shared" si="11"/>
        <v>73.8</v>
      </c>
      <c r="E280" s="1"/>
      <c r="F280" s="1"/>
    </row>
    <row r="281" spans="1:6" x14ac:dyDescent="0.25">
      <c r="A281" s="4" t="s">
        <v>249</v>
      </c>
      <c r="B281" s="4">
        <v>3.17</v>
      </c>
      <c r="C281" s="4">
        <v>2.4700000000000002</v>
      </c>
      <c r="D281" s="4">
        <f t="shared" si="11"/>
        <v>7.8299000000000003</v>
      </c>
      <c r="E281" s="1"/>
      <c r="F281" s="1"/>
    </row>
    <row r="282" spans="1:6" x14ac:dyDescent="0.25">
      <c r="A282" s="4" t="s">
        <v>250</v>
      </c>
      <c r="B282" s="4">
        <v>3</v>
      </c>
      <c r="C282" s="4">
        <v>10.57</v>
      </c>
      <c r="D282" s="4">
        <f t="shared" si="11"/>
        <v>31.71</v>
      </c>
      <c r="E282" s="1"/>
      <c r="F282" s="1"/>
    </row>
    <row r="283" spans="1:6" x14ac:dyDescent="0.25">
      <c r="A283" s="4" t="s">
        <v>246</v>
      </c>
      <c r="B283" s="4">
        <v>3</v>
      </c>
      <c r="C283" s="4">
        <v>1.8</v>
      </c>
      <c r="D283" s="4">
        <f t="shared" si="11"/>
        <v>5.4</v>
      </c>
      <c r="E283" s="1"/>
      <c r="F283" s="1"/>
    </row>
    <row r="284" spans="1:6" x14ac:dyDescent="0.25">
      <c r="A284" s="4" t="s">
        <v>251</v>
      </c>
      <c r="B284" s="4">
        <v>1.36</v>
      </c>
      <c r="C284" s="4">
        <v>3.27</v>
      </c>
      <c r="D284" s="4">
        <f t="shared" si="11"/>
        <v>4.4472000000000005</v>
      </c>
      <c r="E284" s="1"/>
      <c r="F284" s="1"/>
    </row>
    <row r="285" spans="1:6" x14ac:dyDescent="0.25">
      <c r="A285" s="4" t="s">
        <v>154</v>
      </c>
      <c r="B285" s="4">
        <v>7.33</v>
      </c>
      <c r="C285" s="4">
        <v>4.3499999999999996</v>
      </c>
      <c r="D285" s="4">
        <f t="shared" si="11"/>
        <v>31.885499999999997</v>
      </c>
      <c r="E285" s="1"/>
      <c r="F285" s="1"/>
    </row>
    <row r="286" spans="1:6" x14ac:dyDescent="0.25">
      <c r="A286" s="15" t="s">
        <v>255</v>
      </c>
      <c r="B286" s="15"/>
      <c r="C286" s="15"/>
      <c r="D286" s="15"/>
      <c r="E286" s="1"/>
      <c r="F286" s="1"/>
    </row>
    <row r="287" spans="1:6" x14ac:dyDescent="0.25">
      <c r="A287" s="4" t="s">
        <v>239</v>
      </c>
      <c r="B287" s="4">
        <v>7.02</v>
      </c>
      <c r="C287" s="4">
        <v>4.34</v>
      </c>
      <c r="D287" s="4">
        <f>((B287*2)+(C287*2))*0.07</f>
        <v>1.5904</v>
      </c>
      <c r="E287" s="1"/>
      <c r="F287" s="1"/>
    </row>
    <row r="288" spans="1:6" x14ac:dyDescent="0.25">
      <c r="A288" s="4" t="s">
        <v>240</v>
      </c>
      <c r="B288" s="4">
        <v>4.3499999999999996</v>
      </c>
      <c r="C288" s="4">
        <v>4.53</v>
      </c>
      <c r="D288" s="4">
        <f t="shared" ref="D288:D301" si="12">((B288*2)+(C288*2))*0.07</f>
        <v>1.2432000000000001</v>
      </c>
      <c r="E288" s="1"/>
      <c r="F288" s="1"/>
    </row>
    <row r="289" spans="1:6" x14ac:dyDescent="0.25">
      <c r="A289" s="4" t="s">
        <v>241</v>
      </c>
      <c r="B289" s="4">
        <v>7.22</v>
      </c>
      <c r="C289" s="4">
        <v>4.53</v>
      </c>
      <c r="D289" s="4">
        <f t="shared" si="12"/>
        <v>1.6450000000000002</v>
      </c>
      <c r="E289" s="1"/>
      <c r="F289" s="1"/>
    </row>
    <row r="290" spans="1:6" x14ac:dyDescent="0.25">
      <c r="A290" s="4" t="s">
        <v>242</v>
      </c>
      <c r="B290" s="4">
        <v>7.38</v>
      </c>
      <c r="C290" s="4">
        <v>4.3</v>
      </c>
      <c r="D290" s="4">
        <f t="shared" si="12"/>
        <v>1.6352000000000002</v>
      </c>
      <c r="E290" s="1"/>
      <c r="F290" s="1"/>
    </row>
    <row r="291" spans="1:6" x14ac:dyDescent="0.25">
      <c r="A291" s="4" t="s">
        <v>243</v>
      </c>
      <c r="B291" s="4">
        <v>7.21</v>
      </c>
      <c r="C291" s="4">
        <v>4.3499999999999996</v>
      </c>
      <c r="D291" s="4">
        <f t="shared" si="12"/>
        <v>1.6184000000000001</v>
      </c>
      <c r="E291" s="1"/>
      <c r="F291" s="1"/>
    </row>
    <row r="292" spans="1:6" x14ac:dyDescent="0.25">
      <c r="A292" s="4" t="s">
        <v>244</v>
      </c>
      <c r="B292" s="4">
        <v>6.82</v>
      </c>
      <c r="C292" s="4">
        <v>4.33</v>
      </c>
      <c r="D292" s="4">
        <f t="shared" si="12"/>
        <v>1.5610000000000002</v>
      </c>
      <c r="E292" s="1"/>
      <c r="F292" s="1"/>
    </row>
    <row r="293" spans="1:6" x14ac:dyDescent="0.25">
      <c r="A293" s="4" t="s">
        <v>245</v>
      </c>
      <c r="B293" s="4">
        <v>7.13</v>
      </c>
      <c r="C293" s="4">
        <v>4.2699999999999996</v>
      </c>
      <c r="D293" s="4">
        <f t="shared" si="12"/>
        <v>1.5959999999999999</v>
      </c>
      <c r="E293" s="1"/>
      <c r="F293" s="1"/>
    </row>
    <row r="294" spans="1:6" x14ac:dyDescent="0.25">
      <c r="A294" s="4" t="s">
        <v>246</v>
      </c>
      <c r="B294" s="4">
        <v>7.95</v>
      </c>
      <c r="C294" s="4">
        <v>2.94</v>
      </c>
      <c r="D294" s="4">
        <f t="shared" si="12"/>
        <v>1.5246000000000002</v>
      </c>
      <c r="E294" s="1"/>
      <c r="F294" s="1"/>
    </row>
    <row r="295" spans="1:6" x14ac:dyDescent="0.25">
      <c r="A295" s="4" t="s">
        <v>247</v>
      </c>
      <c r="B295" s="4">
        <v>10.46</v>
      </c>
      <c r="C295" s="4">
        <v>13.16</v>
      </c>
      <c r="D295" s="4">
        <f t="shared" si="12"/>
        <v>3.3068000000000004</v>
      </c>
      <c r="E295" s="1"/>
      <c r="F295" s="1"/>
    </row>
    <row r="296" spans="1:6" x14ac:dyDescent="0.25">
      <c r="A296" s="4" t="s">
        <v>248</v>
      </c>
      <c r="B296" s="4">
        <v>18</v>
      </c>
      <c r="C296" s="4">
        <v>4.0999999999999996</v>
      </c>
      <c r="D296" s="4">
        <f t="shared" si="12"/>
        <v>3.0940000000000003</v>
      </c>
      <c r="E296" s="1"/>
      <c r="F296" s="1"/>
    </row>
    <row r="297" spans="1:6" x14ac:dyDescent="0.25">
      <c r="A297" s="4" t="s">
        <v>249</v>
      </c>
      <c r="B297" s="4">
        <v>3.17</v>
      </c>
      <c r="C297" s="4">
        <v>2.4700000000000002</v>
      </c>
      <c r="D297" s="4">
        <f t="shared" si="12"/>
        <v>0.78960000000000019</v>
      </c>
      <c r="E297" s="1"/>
      <c r="F297" s="1"/>
    </row>
    <row r="298" spans="1:6" x14ac:dyDescent="0.25">
      <c r="A298" s="4" t="s">
        <v>250</v>
      </c>
      <c r="B298" s="4">
        <v>3</v>
      </c>
      <c r="C298" s="4">
        <v>10.57</v>
      </c>
      <c r="D298" s="4">
        <f t="shared" si="12"/>
        <v>1.8998000000000002</v>
      </c>
      <c r="E298" s="1"/>
      <c r="F298" s="1"/>
    </row>
    <row r="299" spans="1:6" x14ac:dyDescent="0.25">
      <c r="A299" s="4" t="s">
        <v>246</v>
      </c>
      <c r="B299" s="4">
        <v>3</v>
      </c>
      <c r="C299" s="4">
        <v>1.8</v>
      </c>
      <c r="D299" s="4">
        <f t="shared" si="12"/>
        <v>0.67200000000000004</v>
      </c>
      <c r="E299" s="1"/>
      <c r="F299" s="1"/>
    </row>
    <row r="300" spans="1:6" x14ac:dyDescent="0.25">
      <c r="A300" s="4" t="s">
        <v>251</v>
      </c>
      <c r="B300" s="4">
        <v>1.36</v>
      </c>
      <c r="C300" s="4">
        <v>3.27</v>
      </c>
      <c r="D300" s="4">
        <f t="shared" si="12"/>
        <v>0.6482</v>
      </c>
      <c r="E300" s="1"/>
      <c r="F300" s="1"/>
    </row>
    <row r="301" spans="1:6" x14ac:dyDescent="0.25">
      <c r="A301" s="4" t="s">
        <v>154</v>
      </c>
      <c r="B301" s="4">
        <v>7.33</v>
      </c>
      <c r="C301" s="4">
        <v>4.3499999999999996</v>
      </c>
      <c r="D301" s="4">
        <f t="shared" si="12"/>
        <v>1.6352000000000002</v>
      </c>
      <c r="E301" s="1"/>
      <c r="F301" s="1"/>
    </row>
    <row r="302" spans="1:6" x14ac:dyDescent="0.25">
      <c r="A302" s="1"/>
      <c r="B302" s="1"/>
      <c r="C302" s="1"/>
      <c r="D302" s="1">
        <f>SUM(D271:D301)</f>
        <v>546.51070000000004</v>
      </c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 t="s">
        <v>252</v>
      </c>
      <c r="B305" s="1"/>
      <c r="C305" s="1"/>
      <c r="D305" s="1"/>
      <c r="E305" s="1"/>
      <c r="F305" s="1"/>
    </row>
    <row r="306" spans="1:6" x14ac:dyDescent="0.25">
      <c r="A306" s="4" t="s">
        <v>33</v>
      </c>
      <c r="B306" s="4" t="s">
        <v>34</v>
      </c>
      <c r="C306" s="4" t="s">
        <v>35</v>
      </c>
      <c r="D306" s="4" t="s">
        <v>141</v>
      </c>
      <c r="E306" s="4" t="s">
        <v>69</v>
      </c>
      <c r="F306" s="4" t="s">
        <v>36</v>
      </c>
    </row>
    <row r="307" spans="1:6" x14ac:dyDescent="0.25">
      <c r="A307" s="4" t="s">
        <v>138</v>
      </c>
      <c r="B307" s="4"/>
      <c r="C307" s="4"/>
      <c r="D307" s="4"/>
      <c r="E307" s="4"/>
      <c r="F307" s="4"/>
    </row>
    <row r="308" spans="1:6" x14ac:dyDescent="0.25">
      <c r="A308" s="4" t="s">
        <v>239</v>
      </c>
      <c r="B308" s="4">
        <v>7.02</v>
      </c>
      <c r="C308" s="4">
        <v>4.34</v>
      </c>
      <c r="D308" s="4">
        <v>5.0000000000000001E-3</v>
      </c>
      <c r="E308" s="4">
        <v>1.5</v>
      </c>
      <c r="F308" s="4">
        <f>B308*C308*D308*E308</f>
        <v>0.22850099999999995</v>
      </c>
    </row>
    <row r="309" spans="1:6" x14ac:dyDescent="0.25">
      <c r="A309" s="4" t="s">
        <v>240</v>
      </c>
      <c r="B309" s="4">
        <v>4.3499999999999996</v>
      </c>
      <c r="C309" s="4">
        <v>4.53</v>
      </c>
      <c r="D309" s="4">
        <v>5.0000000000000001E-3</v>
      </c>
      <c r="E309" s="4">
        <v>1.5</v>
      </c>
      <c r="F309" s="4">
        <f t="shared" ref="F309:F322" si="13">B309*C309*D309*E309</f>
        <v>0.14779125000000001</v>
      </c>
    </row>
    <row r="310" spans="1:6" x14ac:dyDescent="0.25">
      <c r="A310" s="4" t="s">
        <v>241</v>
      </c>
      <c r="B310" s="4">
        <v>7.22</v>
      </c>
      <c r="C310" s="4">
        <v>4.53</v>
      </c>
      <c r="D310" s="4">
        <v>5.0000000000000001E-3</v>
      </c>
      <c r="E310" s="4">
        <v>1.5</v>
      </c>
      <c r="F310" s="4">
        <f t="shared" si="13"/>
        <v>0.2452995</v>
      </c>
    </row>
    <row r="311" spans="1:6" x14ac:dyDescent="0.25">
      <c r="A311" s="4" t="s">
        <v>242</v>
      </c>
      <c r="B311" s="4">
        <v>7.38</v>
      </c>
      <c r="C311" s="4">
        <v>4.3</v>
      </c>
      <c r="D311" s="4">
        <v>5.0000000000000001E-3</v>
      </c>
      <c r="E311" s="4">
        <v>1.5</v>
      </c>
      <c r="F311" s="4">
        <f t="shared" si="13"/>
        <v>0.23800500000000002</v>
      </c>
    </row>
    <row r="312" spans="1:6" x14ac:dyDescent="0.25">
      <c r="A312" s="4" t="s">
        <v>243</v>
      </c>
      <c r="B312" s="4">
        <v>7.21</v>
      </c>
      <c r="C312" s="4">
        <v>4.3499999999999996</v>
      </c>
      <c r="D312" s="4">
        <v>5.0000000000000001E-3</v>
      </c>
      <c r="E312" s="4">
        <v>1.5</v>
      </c>
      <c r="F312" s="4">
        <f t="shared" si="13"/>
        <v>0.23522625</v>
      </c>
    </row>
    <row r="313" spans="1:6" x14ac:dyDescent="0.25">
      <c r="A313" s="4" t="s">
        <v>244</v>
      </c>
      <c r="B313" s="4">
        <v>6.82</v>
      </c>
      <c r="C313" s="4">
        <v>4.33</v>
      </c>
      <c r="D313" s="4">
        <v>5.0000000000000001E-3</v>
      </c>
      <c r="E313" s="4">
        <v>1.5</v>
      </c>
      <c r="F313" s="4">
        <f t="shared" si="13"/>
        <v>0.2214795</v>
      </c>
    </row>
    <row r="314" spans="1:6" x14ac:dyDescent="0.25">
      <c r="A314" s="4" t="s">
        <v>245</v>
      </c>
      <c r="B314" s="4">
        <v>7.13</v>
      </c>
      <c r="C314" s="4">
        <v>4.2699999999999996</v>
      </c>
      <c r="D314" s="4">
        <v>5.0000000000000001E-3</v>
      </c>
      <c r="E314" s="4">
        <v>1.5</v>
      </c>
      <c r="F314" s="4">
        <f t="shared" si="13"/>
        <v>0.22833824999999996</v>
      </c>
    </row>
    <row r="315" spans="1:6" x14ac:dyDescent="0.25">
      <c r="A315" s="4" t="s">
        <v>246</v>
      </c>
      <c r="B315" s="4">
        <v>7.95</v>
      </c>
      <c r="C315" s="4">
        <v>2.94</v>
      </c>
      <c r="D315" s="4">
        <v>5.0000000000000001E-3</v>
      </c>
      <c r="E315" s="4">
        <v>1.5</v>
      </c>
      <c r="F315" s="4">
        <f t="shared" si="13"/>
        <v>0.17529750000000002</v>
      </c>
    </row>
    <row r="316" spans="1:6" x14ac:dyDescent="0.25">
      <c r="A316" s="4" t="s">
        <v>247</v>
      </c>
      <c r="B316" s="4">
        <v>10.46</v>
      </c>
      <c r="C316" s="4">
        <v>13.16</v>
      </c>
      <c r="D316" s="4">
        <v>5.0000000000000001E-3</v>
      </c>
      <c r="E316" s="4">
        <v>1.5</v>
      </c>
      <c r="F316" s="4">
        <f t="shared" si="13"/>
        <v>1.0324020000000003</v>
      </c>
    </row>
    <row r="317" spans="1:6" x14ac:dyDescent="0.25">
      <c r="A317" s="4" t="s">
        <v>248</v>
      </c>
      <c r="B317" s="4">
        <v>18</v>
      </c>
      <c r="C317" s="4">
        <v>4.0999999999999996</v>
      </c>
      <c r="D317" s="4">
        <v>5.0000000000000001E-3</v>
      </c>
      <c r="E317" s="4">
        <v>1.5</v>
      </c>
      <c r="F317" s="4">
        <f t="shared" si="13"/>
        <v>0.55349999999999999</v>
      </c>
    </row>
    <row r="318" spans="1:6" x14ac:dyDescent="0.25">
      <c r="A318" s="4" t="s">
        <v>249</v>
      </c>
      <c r="B318" s="4">
        <v>3.17</v>
      </c>
      <c r="C318" s="4">
        <v>2.4700000000000002</v>
      </c>
      <c r="D318" s="4">
        <v>5.0000000000000001E-3</v>
      </c>
      <c r="E318" s="4">
        <v>1.5</v>
      </c>
      <c r="F318" s="4">
        <f t="shared" si="13"/>
        <v>5.8724250000000006E-2</v>
      </c>
    </row>
    <row r="319" spans="1:6" x14ac:dyDescent="0.25">
      <c r="A319" s="4" t="s">
        <v>250</v>
      </c>
      <c r="B319" s="4">
        <v>3</v>
      </c>
      <c r="C319" s="4">
        <v>10.57</v>
      </c>
      <c r="D319" s="4">
        <v>5.0000000000000001E-3</v>
      </c>
      <c r="E319" s="4">
        <v>1.5</v>
      </c>
      <c r="F319" s="4">
        <f t="shared" si="13"/>
        <v>0.23782500000000001</v>
      </c>
    </row>
    <row r="320" spans="1:6" x14ac:dyDescent="0.25">
      <c r="A320" s="4" t="s">
        <v>246</v>
      </c>
      <c r="B320" s="4">
        <v>3</v>
      </c>
      <c r="C320" s="4">
        <v>1.8</v>
      </c>
      <c r="D320" s="4">
        <v>5.0000000000000001E-3</v>
      </c>
      <c r="E320" s="4">
        <v>1.5</v>
      </c>
      <c r="F320" s="4">
        <f t="shared" si="13"/>
        <v>4.0500000000000008E-2</v>
      </c>
    </row>
    <row r="321" spans="1:6" x14ac:dyDescent="0.25">
      <c r="A321" s="4" t="s">
        <v>251</v>
      </c>
      <c r="B321" s="4">
        <v>1.36</v>
      </c>
      <c r="C321" s="4">
        <v>3.27</v>
      </c>
      <c r="D321" s="4">
        <v>5.0000000000000001E-3</v>
      </c>
      <c r="E321" s="4">
        <v>1.5</v>
      </c>
      <c r="F321" s="4">
        <f t="shared" si="13"/>
        <v>3.3354000000000002E-2</v>
      </c>
    </row>
    <row r="322" spans="1:6" x14ac:dyDescent="0.25">
      <c r="A322" s="4" t="s">
        <v>154</v>
      </c>
      <c r="B322" s="4">
        <v>7.33</v>
      </c>
      <c r="C322" s="4">
        <v>4.3499999999999996</v>
      </c>
      <c r="D322" s="4">
        <v>5.0000000000000001E-3</v>
      </c>
      <c r="E322" s="4">
        <v>1.5</v>
      </c>
      <c r="F322" s="4">
        <f t="shared" si="13"/>
        <v>0.23914125</v>
      </c>
    </row>
    <row r="323" spans="1:6" x14ac:dyDescent="0.25">
      <c r="A323" s="4" t="s">
        <v>239</v>
      </c>
      <c r="B323" s="4">
        <v>7.02</v>
      </c>
      <c r="C323" s="4">
        <v>4.34</v>
      </c>
      <c r="D323" s="4">
        <v>5.0000000000000001E-3</v>
      </c>
      <c r="E323" s="4">
        <v>1.5</v>
      </c>
      <c r="F323" s="4">
        <f>(B323*C323*2)*D323*E323</f>
        <v>0.45700199999999991</v>
      </c>
    </row>
    <row r="324" spans="1:6" x14ac:dyDescent="0.25">
      <c r="A324" s="4" t="s">
        <v>240</v>
      </c>
      <c r="B324" s="4">
        <v>4.3499999999999996</v>
      </c>
      <c r="C324" s="4">
        <v>4.53</v>
      </c>
      <c r="D324" s="4">
        <v>5.0000000000000001E-3</v>
      </c>
      <c r="E324" s="4">
        <v>1.5</v>
      </c>
      <c r="F324" s="4">
        <f t="shared" ref="F324:F337" si="14">(B324*C324*2)*D324*E324</f>
        <v>0.29558250000000003</v>
      </c>
    </row>
    <row r="325" spans="1:6" x14ac:dyDescent="0.25">
      <c r="A325" s="4" t="s">
        <v>241</v>
      </c>
      <c r="B325" s="4">
        <v>7.22</v>
      </c>
      <c r="C325" s="4">
        <v>4.53</v>
      </c>
      <c r="D325" s="4">
        <v>5.0000000000000001E-3</v>
      </c>
      <c r="E325" s="4">
        <v>1.5</v>
      </c>
      <c r="F325" s="4">
        <f t="shared" si="14"/>
        <v>0.49059900000000001</v>
      </c>
    </row>
    <row r="326" spans="1:6" x14ac:dyDescent="0.25">
      <c r="A326" s="4" t="s">
        <v>242</v>
      </c>
      <c r="B326" s="4">
        <v>7.38</v>
      </c>
      <c r="C326" s="4">
        <v>4.3</v>
      </c>
      <c r="D326" s="4">
        <v>5.0000000000000001E-3</v>
      </c>
      <c r="E326" s="4">
        <v>1.5</v>
      </c>
      <c r="F326" s="4">
        <f t="shared" si="14"/>
        <v>0.47601000000000004</v>
      </c>
    </row>
    <row r="327" spans="1:6" x14ac:dyDescent="0.25">
      <c r="A327" s="4" t="s">
        <v>243</v>
      </c>
      <c r="B327" s="4">
        <v>7.21</v>
      </c>
      <c r="C327" s="4">
        <v>4.3499999999999996</v>
      </c>
      <c r="D327" s="4">
        <v>5.0000000000000001E-3</v>
      </c>
      <c r="E327" s="4">
        <v>1.5</v>
      </c>
      <c r="F327" s="4">
        <f t="shared" si="14"/>
        <v>0.4704525</v>
      </c>
    </row>
    <row r="328" spans="1:6" x14ac:dyDescent="0.25">
      <c r="A328" s="4" t="s">
        <v>244</v>
      </c>
      <c r="B328" s="4">
        <v>6.82</v>
      </c>
      <c r="C328" s="4">
        <v>4.33</v>
      </c>
      <c r="D328" s="4">
        <v>5.0000000000000001E-3</v>
      </c>
      <c r="E328" s="4">
        <v>1.5</v>
      </c>
      <c r="F328" s="4">
        <f t="shared" si="14"/>
        <v>0.44295899999999999</v>
      </c>
    </row>
    <row r="329" spans="1:6" x14ac:dyDescent="0.25">
      <c r="A329" s="4" t="s">
        <v>245</v>
      </c>
      <c r="B329" s="4">
        <v>7.13</v>
      </c>
      <c r="C329" s="4">
        <v>4.2699999999999996</v>
      </c>
      <c r="D329" s="4">
        <v>5.0000000000000001E-3</v>
      </c>
      <c r="E329" s="4">
        <v>1.5</v>
      </c>
      <c r="F329" s="4">
        <f t="shared" si="14"/>
        <v>0.45667649999999993</v>
      </c>
    </row>
    <row r="330" spans="1:6" x14ac:dyDescent="0.25">
      <c r="A330" s="4" t="s">
        <v>246</v>
      </c>
      <c r="B330" s="4">
        <v>7.95</v>
      </c>
      <c r="C330" s="4">
        <v>2.94</v>
      </c>
      <c r="D330" s="4">
        <v>5.0000000000000001E-3</v>
      </c>
      <c r="E330" s="4">
        <v>1.5</v>
      </c>
      <c r="F330" s="4">
        <f t="shared" si="14"/>
        <v>0.35059500000000005</v>
      </c>
    </row>
    <row r="331" spans="1:6" x14ac:dyDescent="0.25">
      <c r="A331" s="4" t="s">
        <v>247</v>
      </c>
      <c r="B331" s="4">
        <v>10.46</v>
      </c>
      <c r="C331" s="4">
        <v>13.16</v>
      </c>
      <c r="D331" s="4">
        <v>5.0000000000000001E-3</v>
      </c>
      <c r="E331" s="4">
        <v>1.5</v>
      </c>
      <c r="F331" s="4">
        <f t="shared" si="14"/>
        <v>2.0648040000000005</v>
      </c>
    </row>
    <row r="332" spans="1:6" x14ac:dyDescent="0.25">
      <c r="A332" s="4" t="s">
        <v>248</v>
      </c>
      <c r="B332" s="4">
        <v>18</v>
      </c>
      <c r="C332" s="4">
        <v>4.0999999999999996</v>
      </c>
      <c r="D332" s="4">
        <v>5.0000000000000001E-3</v>
      </c>
      <c r="E332" s="4">
        <v>1.5</v>
      </c>
      <c r="F332" s="4">
        <f t="shared" si="14"/>
        <v>1.107</v>
      </c>
    </row>
    <row r="333" spans="1:6" x14ac:dyDescent="0.25">
      <c r="A333" s="4" t="s">
        <v>249</v>
      </c>
      <c r="B333" s="4">
        <v>3.17</v>
      </c>
      <c r="C333" s="4">
        <v>2.4700000000000002</v>
      </c>
      <c r="D333" s="4">
        <v>5.0000000000000001E-3</v>
      </c>
      <c r="E333" s="4">
        <v>1.5</v>
      </c>
      <c r="F333" s="4">
        <f t="shared" si="14"/>
        <v>0.11744850000000001</v>
      </c>
    </row>
    <row r="334" spans="1:6" x14ac:dyDescent="0.25">
      <c r="A334" s="4" t="s">
        <v>250</v>
      </c>
      <c r="B334" s="4">
        <v>3</v>
      </c>
      <c r="C334" s="4">
        <v>10.57</v>
      </c>
      <c r="D334" s="4">
        <v>5.0000000000000001E-3</v>
      </c>
      <c r="E334" s="4">
        <v>1.5</v>
      </c>
      <c r="F334" s="4">
        <f t="shared" si="14"/>
        <v>0.47565000000000002</v>
      </c>
    </row>
    <row r="335" spans="1:6" x14ac:dyDescent="0.25">
      <c r="A335" s="4" t="s">
        <v>246</v>
      </c>
      <c r="B335" s="4">
        <v>3</v>
      </c>
      <c r="C335" s="4">
        <v>1.8</v>
      </c>
      <c r="D335" s="4">
        <v>5.0000000000000001E-3</v>
      </c>
      <c r="E335" s="4">
        <v>1.5</v>
      </c>
      <c r="F335" s="4">
        <f t="shared" si="14"/>
        <v>8.1000000000000016E-2</v>
      </c>
    </row>
    <row r="336" spans="1:6" x14ac:dyDescent="0.25">
      <c r="A336" s="4" t="s">
        <v>251</v>
      </c>
      <c r="B336" s="4">
        <v>1.36</v>
      </c>
      <c r="C336" s="4">
        <v>3.27</v>
      </c>
      <c r="D336" s="4">
        <v>5.0000000000000001E-3</v>
      </c>
      <c r="E336" s="4">
        <v>1.5</v>
      </c>
      <c r="F336" s="4">
        <f t="shared" si="14"/>
        <v>6.6708000000000003E-2</v>
      </c>
    </row>
    <row r="337" spans="1:6" x14ac:dyDescent="0.25">
      <c r="A337" s="4" t="s">
        <v>154</v>
      </c>
      <c r="B337" s="4">
        <v>7.33</v>
      </c>
      <c r="C337" s="4">
        <v>4.3499999999999996</v>
      </c>
      <c r="D337" s="4">
        <v>5.0000000000000001E-3</v>
      </c>
      <c r="E337" s="4">
        <v>1.5</v>
      </c>
      <c r="F337" s="4">
        <f t="shared" si="14"/>
        <v>0.4782825</v>
      </c>
    </row>
    <row r="338" spans="1:6" x14ac:dyDescent="0.25">
      <c r="A338" s="1"/>
      <c r="B338" s="1"/>
      <c r="C338" s="1"/>
      <c r="D338" s="1"/>
      <c r="E338" s="1"/>
      <c r="F338" s="1">
        <f>SUM(F308:F337)</f>
        <v>11.746154250000002</v>
      </c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 t="s">
        <v>253</v>
      </c>
      <c r="B341" s="1"/>
      <c r="C341" s="1"/>
      <c r="D341" s="1"/>
      <c r="E341" s="1"/>
      <c r="F341" s="1"/>
    </row>
    <row r="342" spans="1:6" x14ac:dyDescent="0.25">
      <c r="A342" s="4" t="s">
        <v>33</v>
      </c>
      <c r="B342" s="4" t="s">
        <v>34</v>
      </c>
      <c r="C342" s="4" t="s">
        <v>35</v>
      </c>
      <c r="D342" s="4" t="s">
        <v>36</v>
      </c>
      <c r="E342" s="1"/>
      <c r="F342" s="1"/>
    </row>
    <row r="343" spans="1:6" x14ac:dyDescent="0.25">
      <c r="A343" s="4" t="s">
        <v>138</v>
      </c>
      <c r="B343" s="4"/>
      <c r="C343" s="4"/>
      <c r="D343" s="4"/>
      <c r="E343" s="1"/>
      <c r="F343" s="1"/>
    </row>
    <row r="344" spans="1:6" x14ac:dyDescent="0.25">
      <c r="A344" s="4" t="s">
        <v>239</v>
      </c>
      <c r="B344" s="4">
        <v>7.02</v>
      </c>
      <c r="C344" s="4">
        <v>4.34</v>
      </c>
      <c r="D344" s="4">
        <f>B344*C344</f>
        <v>30.466799999999996</v>
      </c>
      <c r="E344" s="1"/>
      <c r="F344" s="1"/>
    </row>
    <row r="345" spans="1:6" x14ac:dyDescent="0.25">
      <c r="A345" s="4" t="s">
        <v>240</v>
      </c>
      <c r="B345" s="4">
        <v>4.3499999999999996</v>
      </c>
      <c r="C345" s="4">
        <v>4.53</v>
      </c>
      <c r="D345" s="4">
        <f t="shared" ref="D345:D358" si="15">B345*C345</f>
        <v>19.705500000000001</v>
      </c>
      <c r="E345" s="1"/>
      <c r="F345" s="1"/>
    </row>
    <row r="346" spans="1:6" x14ac:dyDescent="0.25">
      <c r="A346" s="4" t="s">
        <v>241</v>
      </c>
      <c r="B346" s="4">
        <v>7.22</v>
      </c>
      <c r="C346" s="4">
        <v>4.53</v>
      </c>
      <c r="D346" s="4">
        <f t="shared" si="15"/>
        <v>32.706600000000002</v>
      </c>
      <c r="E346" s="1"/>
      <c r="F346" s="1"/>
    </row>
    <row r="347" spans="1:6" x14ac:dyDescent="0.25">
      <c r="A347" s="4" t="s">
        <v>242</v>
      </c>
      <c r="B347" s="4">
        <v>7.38</v>
      </c>
      <c r="C347" s="4">
        <v>4.3</v>
      </c>
      <c r="D347" s="4">
        <f t="shared" si="15"/>
        <v>31.733999999999998</v>
      </c>
      <c r="E347" s="1"/>
      <c r="F347" s="1"/>
    </row>
    <row r="348" spans="1:6" x14ac:dyDescent="0.25">
      <c r="A348" s="4" t="s">
        <v>243</v>
      </c>
      <c r="B348" s="4">
        <v>7.21</v>
      </c>
      <c r="C348" s="4">
        <v>4.3499999999999996</v>
      </c>
      <c r="D348" s="4">
        <f t="shared" si="15"/>
        <v>31.363499999999998</v>
      </c>
      <c r="E348" s="1"/>
      <c r="F348" s="1"/>
    </row>
    <row r="349" spans="1:6" x14ac:dyDescent="0.25">
      <c r="A349" s="4" t="s">
        <v>244</v>
      </c>
      <c r="B349" s="4">
        <v>6.82</v>
      </c>
      <c r="C349" s="4">
        <v>4.33</v>
      </c>
      <c r="D349" s="4">
        <f t="shared" si="15"/>
        <v>29.530600000000003</v>
      </c>
      <c r="E349" s="1"/>
      <c r="F349" s="1"/>
    </row>
    <row r="350" spans="1:6" x14ac:dyDescent="0.25">
      <c r="A350" s="4" t="s">
        <v>245</v>
      </c>
      <c r="B350" s="4">
        <v>7.13</v>
      </c>
      <c r="C350" s="4">
        <v>4.2699999999999996</v>
      </c>
      <c r="D350" s="4">
        <f t="shared" si="15"/>
        <v>30.445099999999996</v>
      </c>
      <c r="E350" s="1"/>
      <c r="F350" s="1"/>
    </row>
    <row r="351" spans="1:6" x14ac:dyDescent="0.25">
      <c r="A351" s="4" t="s">
        <v>246</v>
      </c>
      <c r="B351" s="4">
        <v>7.95</v>
      </c>
      <c r="C351" s="4">
        <v>2.94</v>
      </c>
      <c r="D351" s="4">
        <f t="shared" si="15"/>
        <v>23.373000000000001</v>
      </c>
      <c r="E351" s="1"/>
      <c r="F351" s="1"/>
    </row>
    <row r="352" spans="1:6" x14ac:dyDescent="0.25">
      <c r="A352" s="4" t="s">
        <v>247</v>
      </c>
      <c r="B352" s="4">
        <v>10.46</v>
      </c>
      <c r="C352" s="4">
        <v>13.16</v>
      </c>
      <c r="D352" s="4">
        <f t="shared" si="15"/>
        <v>137.65360000000001</v>
      </c>
      <c r="E352" s="1"/>
      <c r="F352" s="1"/>
    </row>
    <row r="353" spans="1:6" x14ac:dyDescent="0.25">
      <c r="A353" s="4" t="s">
        <v>248</v>
      </c>
      <c r="B353" s="4">
        <v>18</v>
      </c>
      <c r="C353" s="4">
        <v>4.0999999999999996</v>
      </c>
      <c r="D353" s="4">
        <f t="shared" si="15"/>
        <v>73.8</v>
      </c>
      <c r="E353" s="1"/>
      <c r="F353" s="1"/>
    </row>
    <row r="354" spans="1:6" x14ac:dyDescent="0.25">
      <c r="A354" s="4" t="s">
        <v>249</v>
      </c>
      <c r="B354" s="4">
        <v>3.17</v>
      </c>
      <c r="C354" s="4">
        <v>2.4700000000000002</v>
      </c>
      <c r="D354" s="4">
        <f t="shared" si="15"/>
        <v>7.8299000000000003</v>
      </c>
      <c r="E354" s="1"/>
      <c r="F354" s="1"/>
    </row>
    <row r="355" spans="1:6" x14ac:dyDescent="0.25">
      <c r="A355" s="4" t="s">
        <v>250</v>
      </c>
      <c r="B355" s="4">
        <v>3</v>
      </c>
      <c r="C355" s="4">
        <v>10.57</v>
      </c>
      <c r="D355" s="4">
        <f t="shared" si="15"/>
        <v>31.71</v>
      </c>
      <c r="E355" s="1"/>
      <c r="F355" s="1"/>
    </row>
    <row r="356" spans="1:6" x14ac:dyDescent="0.25">
      <c r="A356" s="4" t="s">
        <v>246</v>
      </c>
      <c r="B356" s="4">
        <v>3</v>
      </c>
      <c r="C356" s="4">
        <v>1.8</v>
      </c>
      <c r="D356" s="4">
        <f t="shared" si="15"/>
        <v>5.4</v>
      </c>
      <c r="E356" s="1"/>
      <c r="F356" s="1"/>
    </row>
    <row r="357" spans="1:6" x14ac:dyDescent="0.25">
      <c r="A357" s="4" t="s">
        <v>251</v>
      </c>
      <c r="B357" s="4">
        <v>1.36</v>
      </c>
      <c r="C357" s="4">
        <v>3.27</v>
      </c>
      <c r="D357" s="4">
        <f t="shared" si="15"/>
        <v>4.4472000000000005</v>
      </c>
      <c r="E357" s="1"/>
      <c r="F357" s="1"/>
    </row>
    <row r="358" spans="1:6" x14ac:dyDescent="0.25">
      <c r="A358" s="4" t="s">
        <v>154</v>
      </c>
      <c r="B358" s="4">
        <v>7.33</v>
      </c>
      <c r="C358" s="4">
        <v>4.3499999999999996</v>
      </c>
      <c r="D358" s="4">
        <f t="shared" si="15"/>
        <v>31.885499999999997</v>
      </c>
      <c r="E358" s="1"/>
      <c r="F358" s="1"/>
    </row>
    <row r="359" spans="1:6" x14ac:dyDescent="0.25">
      <c r="A359" s="1"/>
      <c r="B359" s="1"/>
      <c r="C359" s="1"/>
      <c r="D359" s="1">
        <f>SUM(D344:D358)</f>
        <v>522.05129999999997</v>
      </c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1" t="s">
        <v>254</v>
      </c>
      <c r="B363" s="1"/>
      <c r="C363" s="1"/>
      <c r="D363" s="1"/>
      <c r="E363" s="1"/>
      <c r="F363" s="1"/>
    </row>
    <row r="364" spans="1:6" x14ac:dyDescent="0.25">
      <c r="A364" s="4" t="s">
        <v>33</v>
      </c>
      <c r="B364" s="4" t="s">
        <v>34</v>
      </c>
      <c r="C364" s="4" t="s">
        <v>35</v>
      </c>
      <c r="D364" s="4" t="s">
        <v>36</v>
      </c>
      <c r="E364" s="1"/>
      <c r="F364" s="1"/>
    </row>
    <row r="365" spans="1:6" x14ac:dyDescent="0.25">
      <c r="A365" s="4" t="s">
        <v>239</v>
      </c>
      <c r="B365" s="4">
        <v>7.02</v>
      </c>
      <c r="C365" s="4">
        <v>4.34</v>
      </c>
      <c r="D365" s="4">
        <f t="shared" ref="D365:D379" si="16">((B365*2)+(C365*2))*0.07</f>
        <v>1.5904</v>
      </c>
      <c r="E365" s="1"/>
      <c r="F365" s="1"/>
    </row>
    <row r="366" spans="1:6" x14ac:dyDescent="0.25">
      <c r="A366" s="4" t="s">
        <v>240</v>
      </c>
      <c r="B366" s="4">
        <v>4.3499999999999996</v>
      </c>
      <c r="C366" s="4">
        <v>4.53</v>
      </c>
      <c r="D366" s="4">
        <f t="shared" si="16"/>
        <v>1.2432000000000001</v>
      </c>
      <c r="E366" s="1"/>
      <c r="F366" s="1"/>
    </row>
    <row r="367" spans="1:6" x14ac:dyDescent="0.25">
      <c r="A367" s="4" t="s">
        <v>241</v>
      </c>
      <c r="B367" s="4">
        <v>7.22</v>
      </c>
      <c r="C367" s="4">
        <v>4.53</v>
      </c>
      <c r="D367" s="4">
        <f t="shared" si="16"/>
        <v>1.6450000000000002</v>
      </c>
      <c r="E367" s="1"/>
      <c r="F367" s="1"/>
    </row>
    <row r="368" spans="1:6" x14ac:dyDescent="0.25">
      <c r="A368" s="4" t="s">
        <v>242</v>
      </c>
      <c r="B368" s="4">
        <v>7.38</v>
      </c>
      <c r="C368" s="4">
        <v>4.3</v>
      </c>
      <c r="D368" s="4">
        <f t="shared" si="16"/>
        <v>1.6352000000000002</v>
      </c>
      <c r="E368" s="1"/>
      <c r="F368" s="1"/>
    </row>
    <row r="369" spans="1:6" x14ac:dyDescent="0.25">
      <c r="A369" s="4" t="s">
        <v>243</v>
      </c>
      <c r="B369" s="4">
        <v>7.21</v>
      </c>
      <c r="C369" s="4">
        <v>4.3499999999999996</v>
      </c>
      <c r="D369" s="4">
        <f t="shared" si="16"/>
        <v>1.6184000000000001</v>
      </c>
      <c r="E369" s="1"/>
      <c r="F369" s="1"/>
    </row>
    <row r="370" spans="1:6" x14ac:dyDescent="0.25">
      <c r="A370" s="4" t="s">
        <v>244</v>
      </c>
      <c r="B370" s="4">
        <v>6.82</v>
      </c>
      <c r="C370" s="4">
        <v>4.33</v>
      </c>
      <c r="D370" s="4">
        <f t="shared" si="16"/>
        <v>1.5610000000000002</v>
      </c>
      <c r="E370" s="1"/>
      <c r="F370" s="1"/>
    </row>
    <row r="371" spans="1:6" x14ac:dyDescent="0.25">
      <c r="A371" s="4" t="s">
        <v>245</v>
      </c>
      <c r="B371" s="4">
        <v>7.13</v>
      </c>
      <c r="C371" s="4">
        <v>4.2699999999999996</v>
      </c>
      <c r="D371" s="4">
        <f t="shared" si="16"/>
        <v>1.5959999999999999</v>
      </c>
      <c r="E371" s="1"/>
      <c r="F371" s="1"/>
    </row>
    <row r="372" spans="1:6" x14ac:dyDescent="0.25">
      <c r="A372" s="4" t="s">
        <v>246</v>
      </c>
      <c r="B372" s="4">
        <v>7.95</v>
      </c>
      <c r="C372" s="4">
        <v>2.94</v>
      </c>
      <c r="D372" s="4">
        <f t="shared" si="16"/>
        <v>1.5246000000000002</v>
      </c>
      <c r="E372" s="1"/>
      <c r="F372" s="1"/>
    </row>
    <row r="373" spans="1:6" x14ac:dyDescent="0.25">
      <c r="A373" s="4" t="s">
        <v>247</v>
      </c>
      <c r="B373" s="4">
        <v>10.46</v>
      </c>
      <c r="C373" s="4">
        <v>13.16</v>
      </c>
      <c r="D373" s="4">
        <f t="shared" si="16"/>
        <v>3.3068000000000004</v>
      </c>
      <c r="E373" s="1"/>
      <c r="F373" s="1"/>
    </row>
    <row r="374" spans="1:6" x14ac:dyDescent="0.25">
      <c r="A374" s="4" t="s">
        <v>248</v>
      </c>
      <c r="B374" s="4">
        <v>18</v>
      </c>
      <c r="C374" s="4">
        <v>4.0999999999999996</v>
      </c>
      <c r="D374" s="4">
        <f t="shared" si="16"/>
        <v>3.0940000000000003</v>
      </c>
      <c r="E374" s="1"/>
      <c r="F374" s="1"/>
    </row>
    <row r="375" spans="1:6" x14ac:dyDescent="0.25">
      <c r="A375" s="4" t="s">
        <v>249</v>
      </c>
      <c r="B375" s="4">
        <v>3.17</v>
      </c>
      <c r="C375" s="4">
        <v>2.4700000000000002</v>
      </c>
      <c r="D375" s="4">
        <f t="shared" si="16"/>
        <v>0.78960000000000019</v>
      </c>
      <c r="E375" s="1"/>
      <c r="F375" s="1"/>
    </row>
    <row r="376" spans="1:6" x14ac:dyDescent="0.25">
      <c r="A376" s="4" t="s">
        <v>250</v>
      </c>
      <c r="B376" s="4">
        <v>3</v>
      </c>
      <c r="C376" s="4">
        <v>10.57</v>
      </c>
      <c r="D376" s="4">
        <f t="shared" si="16"/>
        <v>1.8998000000000002</v>
      </c>
      <c r="E376" s="1"/>
      <c r="F376" s="1"/>
    </row>
    <row r="377" spans="1:6" x14ac:dyDescent="0.25">
      <c r="A377" s="4" t="s">
        <v>246</v>
      </c>
      <c r="B377" s="4">
        <v>3</v>
      </c>
      <c r="C377" s="4">
        <v>1.8</v>
      </c>
      <c r="D377" s="4">
        <f t="shared" si="16"/>
        <v>0.67200000000000004</v>
      </c>
      <c r="E377" s="1"/>
      <c r="F377" s="1"/>
    </row>
    <row r="378" spans="1:6" x14ac:dyDescent="0.25">
      <c r="A378" s="4" t="s">
        <v>251</v>
      </c>
      <c r="B378" s="4">
        <v>1.36</v>
      </c>
      <c r="C378" s="4">
        <v>3.27</v>
      </c>
      <c r="D378" s="4">
        <f t="shared" si="16"/>
        <v>0.6482</v>
      </c>
      <c r="E378" s="1"/>
      <c r="F378" s="1"/>
    </row>
    <row r="379" spans="1:6" x14ac:dyDescent="0.25">
      <c r="A379" s="4" t="s">
        <v>154</v>
      </c>
      <c r="B379" s="4">
        <v>7.33</v>
      </c>
      <c r="C379" s="4">
        <v>4.3499999999999996</v>
      </c>
      <c r="D379" s="4">
        <f t="shared" si="16"/>
        <v>1.6352000000000002</v>
      </c>
      <c r="E379" s="1"/>
      <c r="F379" s="1"/>
    </row>
    <row r="380" spans="1:6" x14ac:dyDescent="0.25">
      <c r="A380" s="1"/>
      <c r="B380" s="1"/>
      <c r="C380" s="1"/>
      <c r="D380" s="1">
        <f>SUM(D365:D379)</f>
        <v>24.459400000000002</v>
      </c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1" t="s">
        <v>255</v>
      </c>
      <c r="B382" s="1"/>
      <c r="C382" s="1"/>
      <c r="D382" s="1"/>
      <c r="E382" s="1"/>
      <c r="F382" s="1"/>
    </row>
    <row r="383" spans="1:6" x14ac:dyDescent="0.25">
      <c r="A383" s="4" t="s">
        <v>33</v>
      </c>
      <c r="B383" s="4" t="s">
        <v>34</v>
      </c>
      <c r="C383" s="4" t="s">
        <v>35</v>
      </c>
      <c r="D383" s="4" t="s">
        <v>36</v>
      </c>
      <c r="E383" s="1"/>
      <c r="F383" s="1"/>
    </row>
    <row r="384" spans="1:6" x14ac:dyDescent="0.25">
      <c r="A384" s="4" t="s">
        <v>239</v>
      </c>
      <c r="B384" s="4">
        <v>7.02</v>
      </c>
      <c r="C384" s="4">
        <v>4.34</v>
      </c>
      <c r="D384" s="4">
        <f t="shared" ref="D384:D398" si="17">((B384*2)+(C384*2))</f>
        <v>22.72</v>
      </c>
      <c r="E384" s="1"/>
      <c r="F384" s="1"/>
    </row>
    <row r="385" spans="1:6" x14ac:dyDescent="0.25">
      <c r="A385" s="4" t="s">
        <v>240</v>
      </c>
      <c r="B385" s="4">
        <v>4.3499999999999996</v>
      </c>
      <c r="C385" s="4">
        <v>4.53</v>
      </c>
      <c r="D385" s="4">
        <f t="shared" si="17"/>
        <v>17.759999999999998</v>
      </c>
      <c r="E385" s="1"/>
      <c r="F385" s="1"/>
    </row>
    <row r="386" spans="1:6" x14ac:dyDescent="0.25">
      <c r="A386" s="4" t="s">
        <v>241</v>
      </c>
      <c r="B386" s="4">
        <v>7.22</v>
      </c>
      <c r="C386" s="4">
        <v>4.53</v>
      </c>
      <c r="D386" s="4">
        <f t="shared" si="17"/>
        <v>23.5</v>
      </c>
      <c r="E386" s="1"/>
      <c r="F386" s="1"/>
    </row>
    <row r="387" spans="1:6" x14ac:dyDescent="0.25">
      <c r="A387" s="4" t="s">
        <v>242</v>
      </c>
      <c r="B387" s="4">
        <v>7.38</v>
      </c>
      <c r="C387" s="4">
        <v>4.3</v>
      </c>
      <c r="D387" s="4">
        <f t="shared" si="17"/>
        <v>23.36</v>
      </c>
      <c r="E387" s="1"/>
      <c r="F387" s="1"/>
    </row>
    <row r="388" spans="1:6" x14ac:dyDescent="0.25">
      <c r="A388" s="4" t="s">
        <v>243</v>
      </c>
      <c r="B388" s="4">
        <v>7.21</v>
      </c>
      <c r="C388" s="4">
        <v>4.3499999999999996</v>
      </c>
      <c r="D388" s="4">
        <f t="shared" si="17"/>
        <v>23.119999999999997</v>
      </c>
      <c r="E388" s="1"/>
      <c r="F388" s="1"/>
    </row>
    <row r="389" spans="1:6" x14ac:dyDescent="0.25">
      <c r="A389" s="4" t="s">
        <v>244</v>
      </c>
      <c r="B389" s="4">
        <v>6.82</v>
      </c>
      <c r="C389" s="4">
        <v>4.33</v>
      </c>
      <c r="D389" s="4">
        <f t="shared" si="17"/>
        <v>22.3</v>
      </c>
      <c r="E389" s="1"/>
      <c r="F389" s="1"/>
    </row>
    <row r="390" spans="1:6" x14ac:dyDescent="0.25">
      <c r="A390" s="4" t="s">
        <v>245</v>
      </c>
      <c r="B390" s="4">
        <v>7.13</v>
      </c>
      <c r="C390" s="4">
        <v>4.2699999999999996</v>
      </c>
      <c r="D390" s="4">
        <f t="shared" si="17"/>
        <v>22.799999999999997</v>
      </c>
      <c r="E390" s="1"/>
      <c r="F390" s="1"/>
    </row>
    <row r="391" spans="1:6" x14ac:dyDescent="0.25">
      <c r="A391" s="4" t="s">
        <v>246</v>
      </c>
      <c r="B391" s="4">
        <v>7.95</v>
      </c>
      <c r="C391" s="4">
        <v>2.94</v>
      </c>
      <c r="D391" s="4">
        <f t="shared" si="17"/>
        <v>21.78</v>
      </c>
      <c r="E391" s="1"/>
      <c r="F391" s="1"/>
    </row>
    <row r="392" spans="1:6" x14ac:dyDescent="0.25">
      <c r="A392" s="4" t="s">
        <v>247</v>
      </c>
      <c r="B392" s="4">
        <v>10.46</v>
      </c>
      <c r="C392" s="4">
        <v>13.16</v>
      </c>
      <c r="D392" s="4">
        <f t="shared" si="17"/>
        <v>47.24</v>
      </c>
      <c r="E392" s="1"/>
      <c r="F392" s="1"/>
    </row>
    <row r="393" spans="1:6" x14ac:dyDescent="0.25">
      <c r="A393" s="4" t="s">
        <v>248</v>
      </c>
      <c r="B393" s="4">
        <v>18</v>
      </c>
      <c r="C393" s="4">
        <v>4.0999999999999996</v>
      </c>
      <c r="D393" s="4">
        <f t="shared" si="17"/>
        <v>44.2</v>
      </c>
      <c r="E393" s="1"/>
      <c r="F393" s="1"/>
    </row>
    <row r="394" spans="1:6" x14ac:dyDescent="0.25">
      <c r="A394" s="4" t="s">
        <v>249</v>
      </c>
      <c r="B394" s="4">
        <v>3.17</v>
      </c>
      <c r="C394" s="4">
        <v>2.4700000000000002</v>
      </c>
      <c r="D394" s="4">
        <f t="shared" si="17"/>
        <v>11.280000000000001</v>
      </c>
      <c r="E394" s="1"/>
      <c r="F394" s="1"/>
    </row>
    <row r="395" spans="1:6" x14ac:dyDescent="0.25">
      <c r="A395" s="4" t="s">
        <v>250</v>
      </c>
      <c r="B395" s="4">
        <v>3</v>
      </c>
      <c r="C395" s="4">
        <v>10.57</v>
      </c>
      <c r="D395" s="4">
        <f t="shared" si="17"/>
        <v>27.14</v>
      </c>
      <c r="E395" s="1"/>
      <c r="F395" s="1"/>
    </row>
    <row r="396" spans="1:6" x14ac:dyDescent="0.25">
      <c r="A396" s="4" t="s">
        <v>246</v>
      </c>
      <c r="B396" s="4">
        <v>3</v>
      </c>
      <c r="C396" s="4">
        <v>1.8</v>
      </c>
      <c r="D396" s="4">
        <f t="shared" si="17"/>
        <v>9.6</v>
      </c>
      <c r="E396" s="1"/>
      <c r="F396" s="1"/>
    </row>
    <row r="397" spans="1:6" x14ac:dyDescent="0.25">
      <c r="A397" s="4" t="s">
        <v>251</v>
      </c>
      <c r="B397" s="4">
        <v>1.36</v>
      </c>
      <c r="C397" s="4">
        <v>3.27</v>
      </c>
      <c r="D397" s="4">
        <f t="shared" si="17"/>
        <v>9.26</v>
      </c>
      <c r="E397" s="1"/>
      <c r="F397" s="1"/>
    </row>
    <row r="398" spans="1:6" x14ac:dyDescent="0.25">
      <c r="A398" s="4" t="s">
        <v>154</v>
      </c>
      <c r="B398" s="4">
        <v>7.33</v>
      </c>
      <c r="C398" s="4">
        <v>4.3499999999999996</v>
      </c>
      <c r="D398" s="4">
        <f t="shared" si="17"/>
        <v>23.36</v>
      </c>
      <c r="E398" s="1"/>
      <c r="F398" s="1"/>
    </row>
    <row r="399" spans="1:6" x14ac:dyDescent="0.25">
      <c r="A399" s="1"/>
      <c r="B399" s="1"/>
      <c r="C399" s="1"/>
      <c r="D399" s="1">
        <f>SUM(D384:D398)</f>
        <v>349.42000000000007</v>
      </c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 t="s">
        <v>256</v>
      </c>
      <c r="B401" s="1"/>
      <c r="C401" s="1"/>
      <c r="D401" s="1"/>
      <c r="E401" s="1"/>
      <c r="F401" s="1"/>
    </row>
    <row r="402" spans="1:6" x14ac:dyDescent="0.25">
      <c r="A402" s="4" t="s">
        <v>33</v>
      </c>
      <c r="B402" s="4" t="s">
        <v>35</v>
      </c>
      <c r="C402" s="1"/>
      <c r="D402" s="1"/>
      <c r="E402" s="1"/>
      <c r="F402" s="1"/>
    </row>
    <row r="403" spans="1:6" x14ac:dyDescent="0.25">
      <c r="A403" s="4" t="s">
        <v>257</v>
      </c>
      <c r="B403" s="4">
        <v>5</v>
      </c>
      <c r="C403" s="1"/>
      <c r="D403" s="1"/>
      <c r="E403" s="1"/>
      <c r="F403" s="1"/>
    </row>
    <row r="404" spans="1:6" x14ac:dyDescent="0.25">
      <c r="A404" s="4" t="s">
        <v>257</v>
      </c>
      <c r="B404" s="4">
        <v>5</v>
      </c>
      <c r="C404" s="1"/>
      <c r="D404" s="1"/>
      <c r="E404" s="1"/>
      <c r="F404" s="1"/>
    </row>
    <row r="405" spans="1:6" x14ac:dyDescent="0.25">
      <c r="A405" s="1"/>
      <c r="B405" s="1">
        <f>SUM(B403:B404)</f>
        <v>10</v>
      </c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 t="s">
        <v>265</v>
      </c>
      <c r="B407" s="1"/>
      <c r="C407" s="1"/>
      <c r="D407" s="1"/>
      <c r="E407" s="1"/>
      <c r="F407" s="1"/>
    </row>
    <row r="408" spans="1:6" x14ac:dyDescent="0.25">
      <c r="A408" s="4" t="s">
        <v>33</v>
      </c>
      <c r="B408" s="4" t="s">
        <v>35</v>
      </c>
      <c r="C408" s="1"/>
      <c r="D408" s="1"/>
      <c r="E408" s="1"/>
      <c r="F408" s="1"/>
    </row>
    <row r="409" spans="1:6" x14ac:dyDescent="0.25">
      <c r="A409" s="4" t="s">
        <v>266</v>
      </c>
      <c r="B409" s="4">
        <v>20.100000000000001</v>
      </c>
      <c r="C409" s="1"/>
      <c r="D409" s="1"/>
      <c r="E409" s="1"/>
      <c r="F409" s="1"/>
    </row>
    <row r="410" spans="1:6" x14ac:dyDescent="0.25">
      <c r="A410" s="4" t="s">
        <v>267</v>
      </c>
      <c r="B410" s="4">
        <v>20.100000000000001</v>
      </c>
      <c r="C410" s="1"/>
      <c r="D410" s="1"/>
      <c r="E410" s="1"/>
      <c r="F410" s="1"/>
    </row>
    <row r="411" spans="1:6" x14ac:dyDescent="0.25">
      <c r="A411" s="1"/>
      <c r="B411" s="1">
        <f>SUM(B409:B410)</f>
        <v>40.200000000000003</v>
      </c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 t="s">
        <v>258</v>
      </c>
      <c r="B413" s="1"/>
      <c r="C413" s="1"/>
      <c r="D413" s="1"/>
      <c r="E413" s="1"/>
      <c r="F413" s="1"/>
    </row>
    <row r="414" spans="1:6" x14ac:dyDescent="0.25">
      <c r="A414" s="4" t="s">
        <v>33</v>
      </c>
      <c r="B414" s="4" t="s">
        <v>43</v>
      </c>
      <c r="C414" s="4" t="s">
        <v>35</v>
      </c>
      <c r="D414" s="4" t="s">
        <v>36</v>
      </c>
      <c r="E414" s="1"/>
      <c r="F414" s="1"/>
    </row>
    <row r="415" spans="1:6" x14ac:dyDescent="0.25">
      <c r="A415" s="4" t="s">
        <v>259</v>
      </c>
      <c r="B415" s="4">
        <v>5</v>
      </c>
      <c r="C415" s="4">
        <v>20.100000000000001</v>
      </c>
      <c r="D415" s="4">
        <f>B415*C415</f>
        <v>100.5</v>
      </c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 t="s">
        <v>260</v>
      </c>
      <c r="B417" s="1"/>
      <c r="C417" s="1"/>
      <c r="D417" s="1"/>
      <c r="E417" s="1"/>
      <c r="F417" s="1"/>
    </row>
    <row r="418" spans="1:6" x14ac:dyDescent="0.25">
      <c r="A418" s="4" t="s">
        <v>33</v>
      </c>
      <c r="B418" s="4" t="s">
        <v>35</v>
      </c>
      <c r="C418" s="1"/>
      <c r="D418" s="1"/>
      <c r="E418" s="1"/>
      <c r="F418" s="1"/>
    </row>
    <row r="419" spans="1:6" x14ac:dyDescent="0.25">
      <c r="A419" s="4" t="s">
        <v>261</v>
      </c>
      <c r="B419" s="4">
        <v>18.100000000000001</v>
      </c>
      <c r="C419" s="1"/>
      <c r="D419" s="1"/>
      <c r="E419" s="1"/>
      <c r="F419" s="1"/>
    </row>
    <row r="420" spans="1:6" x14ac:dyDescent="0.25">
      <c r="A420" s="4" t="s">
        <v>261</v>
      </c>
      <c r="B420" s="4">
        <v>18.100000000000001</v>
      </c>
      <c r="C420" s="1"/>
      <c r="D420" s="1"/>
      <c r="E420" s="1"/>
      <c r="F420" s="1"/>
    </row>
    <row r="421" spans="1:6" x14ac:dyDescent="0.25">
      <c r="A421" s="1"/>
      <c r="B421" s="1">
        <f>SUM(B419:B420)</f>
        <v>36.200000000000003</v>
      </c>
      <c r="C421" s="1"/>
      <c r="D421" s="1"/>
      <c r="E421" s="1"/>
      <c r="F421" s="1"/>
    </row>
    <row r="423" spans="1:6" x14ac:dyDescent="0.25">
      <c r="A423" s="1" t="s">
        <v>262</v>
      </c>
    </row>
    <row r="424" spans="1:6" x14ac:dyDescent="0.25">
      <c r="A424" s="4" t="s">
        <v>33</v>
      </c>
      <c r="B424" s="4" t="s">
        <v>34</v>
      </c>
      <c r="C424" s="4" t="s">
        <v>35</v>
      </c>
      <c r="D424" s="4" t="s">
        <v>36</v>
      </c>
    </row>
    <row r="425" spans="1:6" x14ac:dyDescent="0.25">
      <c r="A425" s="4" t="s">
        <v>138</v>
      </c>
      <c r="B425" s="4"/>
      <c r="C425" s="4"/>
      <c r="D425" s="4"/>
    </row>
    <row r="426" spans="1:6" x14ac:dyDescent="0.25">
      <c r="A426" s="4" t="s">
        <v>239</v>
      </c>
      <c r="B426" s="4">
        <v>7.02</v>
      </c>
      <c r="C426" s="4">
        <v>4.34</v>
      </c>
      <c r="D426" s="4">
        <f>B426*C426</f>
        <v>30.466799999999996</v>
      </c>
    </row>
    <row r="427" spans="1:6" x14ac:dyDescent="0.25">
      <c r="A427" s="4" t="s">
        <v>240</v>
      </c>
      <c r="B427" s="4">
        <v>4.3499999999999996</v>
      </c>
      <c r="C427" s="4">
        <v>4.53</v>
      </c>
      <c r="D427" s="4">
        <f t="shared" ref="D427:D440" si="18">B427*C427</f>
        <v>19.705500000000001</v>
      </c>
    </row>
    <row r="428" spans="1:6" x14ac:dyDescent="0.25">
      <c r="A428" s="4" t="s">
        <v>241</v>
      </c>
      <c r="B428" s="4">
        <v>7.22</v>
      </c>
      <c r="C428" s="4">
        <v>4.53</v>
      </c>
      <c r="D428" s="4">
        <f t="shared" si="18"/>
        <v>32.706600000000002</v>
      </c>
    </row>
    <row r="429" spans="1:6" x14ac:dyDescent="0.25">
      <c r="A429" s="4" t="s">
        <v>242</v>
      </c>
      <c r="B429" s="4">
        <v>7.38</v>
      </c>
      <c r="C429" s="4">
        <v>4.3</v>
      </c>
      <c r="D429" s="4">
        <f t="shared" si="18"/>
        <v>31.733999999999998</v>
      </c>
    </row>
    <row r="430" spans="1:6" x14ac:dyDescent="0.25">
      <c r="A430" s="4" t="s">
        <v>243</v>
      </c>
      <c r="B430" s="4">
        <v>7.21</v>
      </c>
      <c r="C430" s="4">
        <v>4.3499999999999996</v>
      </c>
      <c r="D430" s="4">
        <f t="shared" si="18"/>
        <v>31.363499999999998</v>
      </c>
    </row>
    <row r="431" spans="1:6" x14ac:dyDescent="0.25">
      <c r="A431" s="4" t="s">
        <v>244</v>
      </c>
      <c r="B431" s="4">
        <v>6.82</v>
      </c>
      <c r="C431" s="4">
        <v>4.33</v>
      </c>
      <c r="D431" s="4">
        <f t="shared" si="18"/>
        <v>29.530600000000003</v>
      </c>
    </row>
    <row r="432" spans="1:6" x14ac:dyDescent="0.25">
      <c r="A432" s="4" t="s">
        <v>245</v>
      </c>
      <c r="B432" s="4">
        <v>7.13</v>
      </c>
      <c r="C432" s="4">
        <v>4.2699999999999996</v>
      </c>
      <c r="D432" s="4">
        <f t="shared" si="18"/>
        <v>30.445099999999996</v>
      </c>
    </row>
    <row r="433" spans="1:4" x14ac:dyDescent="0.25">
      <c r="A433" s="4" t="s">
        <v>246</v>
      </c>
      <c r="B433" s="4">
        <v>7.95</v>
      </c>
      <c r="C433" s="4">
        <v>2.94</v>
      </c>
      <c r="D433" s="4">
        <f t="shared" si="18"/>
        <v>23.373000000000001</v>
      </c>
    </row>
    <row r="434" spans="1:4" x14ac:dyDescent="0.25">
      <c r="A434" s="4" t="s">
        <v>247</v>
      </c>
      <c r="B434" s="4">
        <v>10.46</v>
      </c>
      <c r="C434" s="4">
        <v>13.16</v>
      </c>
      <c r="D434" s="4">
        <f t="shared" si="18"/>
        <v>137.65360000000001</v>
      </c>
    </row>
    <row r="435" spans="1:4" x14ac:dyDescent="0.25">
      <c r="A435" s="4" t="s">
        <v>248</v>
      </c>
      <c r="B435" s="4">
        <v>18</v>
      </c>
      <c r="C435" s="4">
        <v>4.0999999999999996</v>
      </c>
      <c r="D435" s="4">
        <f t="shared" si="18"/>
        <v>73.8</v>
      </c>
    </row>
    <row r="436" spans="1:4" x14ac:dyDescent="0.25">
      <c r="A436" s="4" t="s">
        <v>249</v>
      </c>
      <c r="B436" s="4">
        <v>3.17</v>
      </c>
      <c r="C436" s="4">
        <v>2.4700000000000002</v>
      </c>
      <c r="D436" s="4">
        <f t="shared" si="18"/>
        <v>7.8299000000000003</v>
      </c>
    </row>
    <row r="437" spans="1:4" x14ac:dyDescent="0.25">
      <c r="A437" s="4" t="s">
        <v>250</v>
      </c>
      <c r="B437" s="4">
        <v>3</v>
      </c>
      <c r="C437" s="4">
        <v>10.57</v>
      </c>
      <c r="D437" s="4">
        <f t="shared" si="18"/>
        <v>31.71</v>
      </c>
    </row>
    <row r="438" spans="1:4" x14ac:dyDescent="0.25">
      <c r="A438" s="4" t="s">
        <v>246</v>
      </c>
      <c r="B438" s="4">
        <v>3</v>
      </c>
      <c r="C438" s="4">
        <v>1.8</v>
      </c>
      <c r="D438" s="4">
        <f t="shared" si="18"/>
        <v>5.4</v>
      </c>
    </row>
    <row r="439" spans="1:4" x14ac:dyDescent="0.25">
      <c r="A439" s="4" t="s">
        <v>251</v>
      </c>
      <c r="B439" s="4">
        <v>1.36</v>
      </c>
      <c r="C439" s="4">
        <v>3.27</v>
      </c>
      <c r="D439" s="4">
        <f t="shared" si="18"/>
        <v>4.4472000000000005</v>
      </c>
    </row>
    <row r="440" spans="1:4" x14ac:dyDescent="0.25">
      <c r="A440" s="4" t="s">
        <v>154</v>
      </c>
      <c r="B440" s="4">
        <v>7.33</v>
      </c>
      <c r="C440" s="4">
        <v>4.3499999999999996</v>
      </c>
      <c r="D440" s="4">
        <f t="shared" si="18"/>
        <v>31.885499999999997</v>
      </c>
    </row>
    <row r="441" spans="1:4" x14ac:dyDescent="0.25">
      <c r="A441" s="4" t="s">
        <v>239</v>
      </c>
      <c r="B441" s="4">
        <v>7.02</v>
      </c>
      <c r="C441" s="4">
        <v>4.34</v>
      </c>
      <c r="D441" s="4">
        <f>((B441*2)+(C441*2))*0.07</f>
        <v>1.5904</v>
      </c>
    </row>
    <row r="442" spans="1:4" x14ac:dyDescent="0.25">
      <c r="A442" s="4" t="s">
        <v>240</v>
      </c>
      <c r="B442" s="4">
        <v>4.3499999999999996</v>
      </c>
      <c r="C442" s="4">
        <v>4.53</v>
      </c>
      <c r="D442" s="4">
        <f t="shared" ref="D442:D455" si="19">((B442*2)+(C442*2))*0.07</f>
        <v>1.2432000000000001</v>
      </c>
    </row>
    <row r="443" spans="1:4" x14ac:dyDescent="0.25">
      <c r="A443" s="4" t="s">
        <v>241</v>
      </c>
      <c r="B443" s="4">
        <v>7.22</v>
      </c>
      <c r="C443" s="4">
        <v>4.53</v>
      </c>
      <c r="D443" s="4">
        <f t="shared" si="19"/>
        <v>1.6450000000000002</v>
      </c>
    </row>
    <row r="444" spans="1:4" x14ac:dyDescent="0.25">
      <c r="A444" s="4" t="s">
        <v>242</v>
      </c>
      <c r="B444" s="4">
        <v>7.38</v>
      </c>
      <c r="C444" s="4">
        <v>4.3</v>
      </c>
      <c r="D444" s="4">
        <f t="shared" si="19"/>
        <v>1.6352000000000002</v>
      </c>
    </row>
    <row r="445" spans="1:4" x14ac:dyDescent="0.25">
      <c r="A445" s="4" t="s">
        <v>243</v>
      </c>
      <c r="B445" s="4">
        <v>7.21</v>
      </c>
      <c r="C445" s="4">
        <v>4.3499999999999996</v>
      </c>
      <c r="D445" s="4">
        <f t="shared" si="19"/>
        <v>1.6184000000000001</v>
      </c>
    </row>
    <row r="446" spans="1:4" x14ac:dyDescent="0.25">
      <c r="A446" s="4" t="s">
        <v>244</v>
      </c>
      <c r="B446" s="4">
        <v>6.82</v>
      </c>
      <c r="C446" s="4">
        <v>4.33</v>
      </c>
      <c r="D446" s="4">
        <f t="shared" si="19"/>
        <v>1.5610000000000002</v>
      </c>
    </row>
    <row r="447" spans="1:4" x14ac:dyDescent="0.25">
      <c r="A447" s="4" t="s">
        <v>245</v>
      </c>
      <c r="B447" s="4">
        <v>7.13</v>
      </c>
      <c r="C447" s="4">
        <v>4.2699999999999996</v>
      </c>
      <c r="D447" s="4">
        <f t="shared" si="19"/>
        <v>1.5959999999999999</v>
      </c>
    </row>
    <row r="448" spans="1:4" x14ac:dyDescent="0.25">
      <c r="A448" s="4" t="s">
        <v>246</v>
      </c>
      <c r="B448" s="4">
        <v>7.95</v>
      </c>
      <c r="C448" s="4">
        <v>2.94</v>
      </c>
      <c r="D448" s="4">
        <f t="shared" si="19"/>
        <v>1.5246000000000002</v>
      </c>
    </row>
    <row r="449" spans="1:6" x14ac:dyDescent="0.25">
      <c r="A449" s="4" t="s">
        <v>247</v>
      </c>
      <c r="B449" s="4">
        <v>10.46</v>
      </c>
      <c r="C449" s="4">
        <v>13.16</v>
      </c>
      <c r="D449" s="4">
        <f t="shared" si="19"/>
        <v>3.3068000000000004</v>
      </c>
    </row>
    <row r="450" spans="1:6" x14ac:dyDescent="0.25">
      <c r="A450" s="4" t="s">
        <v>248</v>
      </c>
      <c r="B450" s="4">
        <v>18</v>
      </c>
      <c r="C450" s="4">
        <v>4.0999999999999996</v>
      </c>
      <c r="D450" s="4">
        <f t="shared" si="19"/>
        <v>3.0940000000000003</v>
      </c>
    </row>
    <row r="451" spans="1:6" x14ac:dyDescent="0.25">
      <c r="A451" s="4" t="s">
        <v>249</v>
      </c>
      <c r="B451" s="4">
        <v>3.17</v>
      </c>
      <c r="C451" s="4">
        <v>2.4700000000000002</v>
      </c>
      <c r="D451" s="4">
        <f t="shared" si="19"/>
        <v>0.78960000000000019</v>
      </c>
    </row>
    <row r="452" spans="1:6" x14ac:dyDescent="0.25">
      <c r="A452" s="4" t="s">
        <v>250</v>
      </c>
      <c r="B452" s="4">
        <v>3</v>
      </c>
      <c r="C452" s="4">
        <v>10.57</v>
      </c>
      <c r="D452" s="4">
        <f t="shared" si="19"/>
        <v>1.8998000000000002</v>
      </c>
    </row>
    <row r="453" spans="1:6" x14ac:dyDescent="0.25">
      <c r="A453" s="4" t="s">
        <v>246</v>
      </c>
      <c r="B453" s="4">
        <v>3</v>
      </c>
      <c r="C453" s="4">
        <v>1.8</v>
      </c>
      <c r="D453" s="4">
        <f t="shared" si="19"/>
        <v>0.67200000000000004</v>
      </c>
    </row>
    <row r="454" spans="1:6" x14ac:dyDescent="0.25">
      <c r="A454" s="4" t="s">
        <v>251</v>
      </c>
      <c r="B454" s="4">
        <v>1.36</v>
      </c>
      <c r="C454" s="4">
        <v>3.27</v>
      </c>
      <c r="D454" s="4">
        <f t="shared" si="19"/>
        <v>0.6482</v>
      </c>
    </row>
    <row r="455" spans="1:6" x14ac:dyDescent="0.25">
      <c r="A455" s="4" t="s">
        <v>154</v>
      </c>
      <c r="B455" s="4">
        <v>7.33</v>
      </c>
      <c r="C455" s="4">
        <v>4.3499999999999996</v>
      </c>
      <c r="D455" s="4">
        <f t="shared" si="19"/>
        <v>1.6352000000000002</v>
      </c>
    </row>
    <row r="456" spans="1:6" x14ac:dyDescent="0.25">
      <c r="A456" s="1"/>
      <c r="B456" s="1"/>
      <c r="C456" s="1"/>
      <c r="D456" s="1">
        <f>SUM(D426:D455)</f>
        <v>546.51070000000004</v>
      </c>
    </row>
    <row r="459" spans="1:6" x14ac:dyDescent="0.25">
      <c r="A459" s="14" t="s">
        <v>268</v>
      </c>
    </row>
    <row r="460" spans="1:6" x14ac:dyDescent="0.25">
      <c r="A460" s="25" t="s">
        <v>295</v>
      </c>
    </row>
    <row r="461" spans="1:6" x14ac:dyDescent="0.25">
      <c r="A461" s="4" t="s">
        <v>296</v>
      </c>
      <c r="B461" s="4" t="s">
        <v>76</v>
      </c>
      <c r="C461" s="4" t="s">
        <v>74</v>
      </c>
      <c r="D461" s="4" t="s">
        <v>77</v>
      </c>
      <c r="E461" s="4" t="s">
        <v>11</v>
      </c>
      <c r="F461" s="4" t="s">
        <v>30</v>
      </c>
    </row>
    <row r="462" spans="1:6" x14ac:dyDescent="0.25">
      <c r="A462" s="4" t="s">
        <v>297</v>
      </c>
      <c r="B462" s="4">
        <f>(4.7+4.4)/2</f>
        <v>4.5500000000000007</v>
      </c>
      <c r="C462" s="4">
        <v>51.85</v>
      </c>
      <c r="D462" s="4">
        <v>0.12</v>
      </c>
      <c r="E462" s="4">
        <v>1</v>
      </c>
      <c r="F462" s="4">
        <f>B462*C462*D462*E462</f>
        <v>28.310100000000006</v>
      </c>
    </row>
    <row r="463" spans="1:6" x14ac:dyDescent="0.25">
      <c r="A463" s="4" t="s">
        <v>298</v>
      </c>
      <c r="B463" s="4">
        <v>2.2000000000000002</v>
      </c>
      <c r="C463" s="4">
        <v>44.4</v>
      </c>
      <c r="D463" s="4">
        <v>0.12</v>
      </c>
      <c r="E463" s="4">
        <v>1</v>
      </c>
      <c r="F463" s="4">
        <f>B463*C463*D463*E463</f>
        <v>11.7216</v>
      </c>
    </row>
    <row r="464" spans="1:6" x14ac:dyDescent="0.25">
      <c r="A464" s="4" t="s">
        <v>299</v>
      </c>
      <c r="B464" s="4">
        <v>0.6</v>
      </c>
      <c r="C464" s="4">
        <v>0.6</v>
      </c>
      <c r="D464" s="4">
        <v>0.12</v>
      </c>
      <c r="E464" s="4">
        <v>10</v>
      </c>
      <c r="F464" s="4">
        <f>B464*C464*D464*E464</f>
        <v>0.43199999999999994</v>
      </c>
    </row>
    <row r="465" spans="1:6" x14ac:dyDescent="0.25">
      <c r="A465" s="1"/>
      <c r="B465" s="1"/>
      <c r="C465" s="1"/>
      <c r="D465" s="1"/>
      <c r="F465" s="1">
        <f>SUM(F462:F463)</f>
        <v>40.031700000000008</v>
      </c>
    </row>
    <row r="466" spans="1:6" x14ac:dyDescent="0.25">
      <c r="A466" s="1"/>
      <c r="B466" s="1"/>
      <c r="C466" s="1"/>
      <c r="D466" s="1"/>
      <c r="F466" s="1"/>
    </row>
    <row r="467" spans="1:6" x14ac:dyDescent="0.25">
      <c r="A467" s="25" t="s">
        <v>300</v>
      </c>
      <c r="F467" s="1"/>
    </row>
    <row r="468" spans="1:6" x14ac:dyDescent="0.25">
      <c r="A468" s="4" t="s">
        <v>296</v>
      </c>
      <c r="B468" s="4" t="s">
        <v>76</v>
      </c>
      <c r="C468" s="4" t="s">
        <v>74</v>
      </c>
      <c r="D468" s="4" t="s">
        <v>30</v>
      </c>
      <c r="F468" s="1"/>
    </row>
    <row r="469" spans="1:6" x14ac:dyDescent="0.25">
      <c r="A469" s="4" t="s">
        <v>301</v>
      </c>
      <c r="B469" s="4">
        <v>19.100000000000001</v>
      </c>
      <c r="C469" s="4">
        <v>8.5</v>
      </c>
      <c r="D469" s="4">
        <f>B469*C469</f>
        <v>162.35000000000002</v>
      </c>
      <c r="F469" s="1"/>
    </row>
    <row r="470" spans="1:6" x14ac:dyDescent="0.25">
      <c r="A470" s="4" t="s">
        <v>302</v>
      </c>
      <c r="B470" s="4">
        <v>19.100000000000001</v>
      </c>
      <c r="C470" s="4">
        <v>14.7</v>
      </c>
      <c r="D470" s="4">
        <f>B470*C470</f>
        <v>280.77</v>
      </c>
      <c r="F470" s="1"/>
    </row>
    <row r="471" spans="1:6" x14ac:dyDescent="0.25">
      <c r="A471" s="1"/>
      <c r="D471" s="1">
        <f>SUM(D469:D470)</f>
        <v>443.12</v>
      </c>
      <c r="F471" s="1"/>
    </row>
    <row r="472" spans="1:6" x14ac:dyDescent="0.25">
      <c r="A472" s="1"/>
      <c r="B472" s="1"/>
      <c r="C472" s="1"/>
      <c r="D472" s="1"/>
      <c r="F472" s="1"/>
    </row>
    <row r="474" spans="1:6" x14ac:dyDescent="0.25">
      <c r="A474" s="25" t="s">
        <v>303</v>
      </c>
    </row>
    <row r="475" spans="1:6" x14ac:dyDescent="0.25">
      <c r="A475" s="4" t="s">
        <v>296</v>
      </c>
      <c r="B475" s="4" t="s">
        <v>76</v>
      </c>
      <c r="C475" s="4" t="s">
        <v>74</v>
      </c>
      <c r="D475" s="4" t="s">
        <v>30</v>
      </c>
    </row>
    <row r="476" spans="1:6" x14ac:dyDescent="0.25">
      <c r="A476" s="4" t="s">
        <v>301</v>
      </c>
      <c r="B476" s="4">
        <v>19.100000000000001</v>
      </c>
      <c r="C476" s="4">
        <v>8.5</v>
      </c>
      <c r="D476" s="4">
        <f>B476*C476</f>
        <v>162.35000000000002</v>
      </c>
    </row>
    <row r="477" spans="1:6" x14ac:dyDescent="0.25">
      <c r="A477" s="4" t="s">
        <v>302</v>
      </c>
      <c r="B477" s="4">
        <v>19.100000000000001</v>
      </c>
      <c r="C477" s="4">
        <v>14.7</v>
      </c>
      <c r="D477" s="4">
        <f>B477*C477</f>
        <v>280.77</v>
      </c>
    </row>
    <row r="478" spans="1:6" x14ac:dyDescent="0.25">
      <c r="A478" s="1"/>
      <c r="D478" s="1">
        <f>SUM(D476:D477)</f>
        <v>443.12</v>
      </c>
    </row>
    <row r="479" spans="1:6" x14ac:dyDescent="0.25">
      <c r="A479" s="1"/>
    </row>
    <row r="480" spans="1:6" x14ac:dyDescent="0.25">
      <c r="A480" s="1"/>
    </row>
    <row r="481" spans="1:5" x14ac:dyDescent="0.25">
      <c r="A481" s="26" t="s">
        <v>304</v>
      </c>
    </row>
    <row r="482" spans="1:5" x14ac:dyDescent="0.25">
      <c r="A482" s="4" t="s">
        <v>305</v>
      </c>
      <c r="B482" s="4" t="s">
        <v>77</v>
      </c>
      <c r="C482" s="4" t="s">
        <v>306</v>
      </c>
      <c r="D482" s="4" t="s">
        <v>11</v>
      </c>
      <c r="E482" s="4" t="s">
        <v>30</v>
      </c>
    </row>
    <row r="483" spans="1:5" x14ac:dyDescent="0.25">
      <c r="A483" s="4">
        <f>1*4</f>
        <v>4</v>
      </c>
      <c r="B483" s="4">
        <v>0.9</v>
      </c>
      <c r="C483" s="4">
        <v>0.2</v>
      </c>
      <c r="D483" s="4">
        <v>10</v>
      </c>
      <c r="E483" s="4">
        <f>A483*B483*C483*D483</f>
        <v>7.2000000000000011</v>
      </c>
    </row>
    <row r="484" spans="1:5" x14ac:dyDescent="0.25">
      <c r="A484" s="1"/>
      <c r="B484" s="1"/>
      <c r="C484" s="1"/>
      <c r="D484" s="1"/>
      <c r="E484" s="1">
        <f>SUM(E483)</f>
        <v>7.2000000000000011</v>
      </c>
    </row>
    <row r="485" spans="1:5" x14ac:dyDescent="0.25">
      <c r="A485" s="1"/>
      <c r="B485" s="1"/>
      <c r="C485" s="1"/>
      <c r="D485" s="1"/>
    </row>
    <row r="486" spans="1:5" x14ac:dyDescent="0.25">
      <c r="A486" s="1"/>
      <c r="B486" s="1"/>
      <c r="C486" s="1"/>
      <c r="D486" s="1"/>
    </row>
    <row r="487" spans="1:5" x14ac:dyDescent="0.25">
      <c r="A487" s="27" t="s">
        <v>163</v>
      </c>
    </row>
    <row r="488" spans="1:5" x14ac:dyDescent="0.25">
      <c r="A488" s="4" t="s">
        <v>307</v>
      </c>
      <c r="B488" s="4" t="s">
        <v>308</v>
      </c>
      <c r="C488" s="4" t="s">
        <v>306</v>
      </c>
      <c r="D488" s="4" t="s">
        <v>309</v>
      </c>
      <c r="E488" s="4" t="s">
        <v>30</v>
      </c>
    </row>
    <row r="489" spans="1:5" x14ac:dyDescent="0.25">
      <c r="A489" s="4" t="s">
        <v>136</v>
      </c>
      <c r="B489" s="4">
        <f>F465</f>
        <v>40.031700000000008</v>
      </c>
      <c r="C489" s="4">
        <v>1</v>
      </c>
      <c r="D489" s="4">
        <v>1.5</v>
      </c>
      <c r="E489" s="4">
        <f>B489*C489*D489</f>
        <v>60.047550000000015</v>
      </c>
    </row>
    <row r="490" spans="1:5" x14ac:dyDescent="0.25">
      <c r="A490" s="4" t="s">
        <v>310</v>
      </c>
      <c r="B490" s="4">
        <f>D471</f>
        <v>443.12</v>
      </c>
      <c r="C490" s="4">
        <v>0.02</v>
      </c>
      <c r="D490" s="4">
        <v>1.5</v>
      </c>
      <c r="E490" s="4">
        <f>B490*C490*D490</f>
        <v>13.293600000000001</v>
      </c>
    </row>
    <row r="491" spans="1:5" x14ac:dyDescent="0.25">
      <c r="A491" s="4" t="s">
        <v>311</v>
      </c>
      <c r="B491" s="4">
        <f>D478</f>
        <v>443.12</v>
      </c>
      <c r="C491" s="4">
        <v>0.05</v>
      </c>
      <c r="D491" s="4">
        <v>1.5</v>
      </c>
      <c r="E491" s="4">
        <f>B491*C491*D491</f>
        <v>33.234000000000002</v>
      </c>
    </row>
    <row r="492" spans="1:5" x14ac:dyDescent="0.25">
      <c r="A492" s="4" t="s">
        <v>162</v>
      </c>
      <c r="B492" s="4">
        <f>E484</f>
        <v>7.2000000000000011</v>
      </c>
      <c r="C492" s="4">
        <v>1</v>
      </c>
      <c r="D492" s="4">
        <v>1.5</v>
      </c>
      <c r="E492" s="4">
        <f t="shared" ref="E492" si="20">B492*C492*D492</f>
        <v>10.8</v>
      </c>
    </row>
    <row r="493" spans="1:5" x14ac:dyDescent="0.25">
      <c r="A493" s="1"/>
      <c r="B493" s="1"/>
      <c r="C493" s="1"/>
      <c r="D493" s="1"/>
      <c r="E493" s="1">
        <f>SUM(E489:E492)</f>
        <v>117.37515</v>
      </c>
    </row>
    <row r="494" spans="1:5" x14ac:dyDescent="0.25">
      <c r="A494" s="1"/>
      <c r="B494" s="1"/>
      <c r="C494" s="1"/>
      <c r="D494" s="1"/>
      <c r="E494" s="1"/>
    </row>
    <row r="495" spans="1:5" x14ac:dyDescent="0.25">
      <c r="A495" s="1"/>
      <c r="B495" s="1"/>
      <c r="C495" s="1"/>
      <c r="D495" s="1"/>
    </row>
    <row r="496" spans="1:5" x14ac:dyDescent="0.25">
      <c r="A496" s="27" t="s">
        <v>312</v>
      </c>
    </row>
    <row r="497" spans="1:6" x14ac:dyDescent="0.25">
      <c r="A497" s="4" t="s">
        <v>296</v>
      </c>
      <c r="B497" s="4" t="s">
        <v>76</v>
      </c>
      <c r="C497" s="4" t="s">
        <v>74</v>
      </c>
      <c r="D497" s="4" t="s">
        <v>313</v>
      </c>
      <c r="E497" s="4" t="s">
        <v>30</v>
      </c>
    </row>
    <row r="498" spans="1:6" x14ac:dyDescent="0.25">
      <c r="A498" s="4" t="s">
        <v>297</v>
      </c>
      <c r="B498" s="4">
        <f>(4.7+4.4)/2</f>
        <v>4.5500000000000007</v>
      </c>
      <c r="C498" s="4">
        <v>51.85</v>
      </c>
      <c r="D498" s="4">
        <v>1</v>
      </c>
      <c r="E498" s="4">
        <f>B498*C498*D498</f>
        <v>235.91750000000005</v>
      </c>
    </row>
    <row r="499" spans="1:6" x14ac:dyDescent="0.25">
      <c r="A499" s="4" t="s">
        <v>298</v>
      </c>
      <c r="B499" s="4">
        <v>2.2000000000000002</v>
      </c>
      <c r="C499" s="4">
        <v>44.4</v>
      </c>
      <c r="D499" s="4">
        <v>1</v>
      </c>
      <c r="E499" s="4">
        <f>B499*C499*D499</f>
        <v>97.68</v>
      </c>
    </row>
    <row r="500" spans="1:6" x14ac:dyDescent="0.25">
      <c r="A500" s="4" t="s">
        <v>299</v>
      </c>
      <c r="B500" s="4">
        <v>0.6</v>
      </c>
      <c r="C500" s="4">
        <v>0.6</v>
      </c>
      <c r="D500" s="4">
        <v>10</v>
      </c>
      <c r="E500" s="4">
        <f>B500*C500*D500</f>
        <v>3.5999999999999996</v>
      </c>
    </row>
    <row r="501" spans="1:6" x14ac:dyDescent="0.25">
      <c r="A501" s="1"/>
      <c r="E501" s="1">
        <f>SUM(E498:E500)</f>
        <v>337.1975000000001</v>
      </c>
    </row>
    <row r="504" spans="1:6" x14ac:dyDescent="0.25">
      <c r="A504" s="27" t="s">
        <v>314</v>
      </c>
    </row>
    <row r="505" spans="1:6" x14ac:dyDescent="0.25">
      <c r="A505" s="4" t="s">
        <v>296</v>
      </c>
      <c r="B505" s="4" t="s">
        <v>76</v>
      </c>
      <c r="C505" s="4" t="s">
        <v>74</v>
      </c>
      <c r="D505" s="4" t="s">
        <v>306</v>
      </c>
      <c r="E505" s="4" t="s">
        <v>313</v>
      </c>
      <c r="F505" s="4" t="s">
        <v>30</v>
      </c>
    </row>
    <row r="506" spans="1:6" x14ac:dyDescent="0.25">
      <c r="A506" s="4" t="s">
        <v>297</v>
      </c>
      <c r="B506" s="4">
        <f>(4.7+4.4)/2</f>
        <v>4.5500000000000007</v>
      </c>
      <c r="C506" s="4">
        <v>51.85</v>
      </c>
      <c r="D506" s="4">
        <v>0.05</v>
      </c>
      <c r="E506" s="4">
        <v>1</v>
      </c>
      <c r="F506" s="4">
        <f>B506*C506*D506*E506</f>
        <v>11.795875000000002</v>
      </c>
    </row>
    <row r="507" spans="1:6" x14ac:dyDescent="0.25">
      <c r="A507" s="4" t="s">
        <v>298</v>
      </c>
      <c r="B507" s="4">
        <v>2.2000000000000002</v>
      </c>
      <c r="C507" s="4">
        <v>44.4</v>
      </c>
      <c r="D507" s="4">
        <v>0.05</v>
      </c>
      <c r="E507" s="4">
        <v>1</v>
      </c>
      <c r="F507" s="4">
        <f>B507*C507*D507*E507</f>
        <v>4.8840000000000003</v>
      </c>
    </row>
    <row r="508" spans="1:6" x14ac:dyDescent="0.25">
      <c r="A508" s="4" t="s">
        <v>299</v>
      </c>
      <c r="B508" s="4">
        <v>0.6</v>
      </c>
      <c r="C508" s="4">
        <v>0.6</v>
      </c>
      <c r="D508" s="4">
        <v>0.05</v>
      </c>
      <c r="E508" s="4">
        <v>10</v>
      </c>
      <c r="F508" s="4">
        <f>B508*C508*D508*E508</f>
        <v>0.18</v>
      </c>
    </row>
    <row r="509" spans="1:6" x14ac:dyDescent="0.25">
      <c r="F509" s="1">
        <f>SUM(F506:F508)</f>
        <v>16.859875000000002</v>
      </c>
    </row>
    <row r="513" spans="1:5" x14ac:dyDescent="0.25">
      <c r="A513" s="27" t="s">
        <v>315</v>
      </c>
    </row>
    <row r="514" spans="1:5" x14ac:dyDescent="0.25">
      <c r="A514" s="4" t="s">
        <v>296</v>
      </c>
      <c r="B514" s="4" t="s">
        <v>76</v>
      </c>
      <c r="C514" s="4" t="s">
        <v>74</v>
      </c>
      <c r="D514" s="4" t="s">
        <v>313</v>
      </c>
      <c r="E514" s="4" t="s">
        <v>30</v>
      </c>
    </row>
    <row r="515" spans="1:5" x14ac:dyDescent="0.25">
      <c r="A515" s="4" t="s">
        <v>297</v>
      </c>
      <c r="B515" s="4">
        <f>(4.7+4.4)/2</f>
        <v>4.5500000000000007</v>
      </c>
      <c r="C515" s="4">
        <v>51.85</v>
      </c>
      <c r="D515" s="4">
        <v>1</v>
      </c>
      <c r="E515" s="4">
        <f>B515*C515*D515</f>
        <v>235.91750000000005</v>
      </c>
    </row>
    <row r="516" spans="1:5" x14ac:dyDescent="0.25">
      <c r="A516" s="4" t="s">
        <v>298</v>
      </c>
      <c r="B516" s="4">
        <v>2.2000000000000002</v>
      </c>
      <c r="C516" s="4">
        <v>44.4</v>
      </c>
      <c r="D516" s="4">
        <v>1</v>
      </c>
      <c r="E516" s="4">
        <f>B516*C516*D516</f>
        <v>97.68</v>
      </c>
    </row>
    <row r="517" spans="1:5" x14ac:dyDescent="0.25">
      <c r="A517" s="4" t="s">
        <v>299</v>
      </c>
      <c r="B517" s="4">
        <v>0.6</v>
      </c>
      <c r="C517" s="4">
        <v>0.6</v>
      </c>
      <c r="D517" s="4">
        <v>10</v>
      </c>
      <c r="E517" s="4">
        <f>B517*C517*D517</f>
        <v>3.5999999999999996</v>
      </c>
    </row>
    <row r="518" spans="1:5" x14ac:dyDescent="0.25">
      <c r="E518" s="1">
        <f>SUM(E515:E517)</f>
        <v>337.1975000000001</v>
      </c>
    </row>
    <row r="521" spans="1:5" x14ac:dyDescent="0.25">
      <c r="A521" s="27" t="s">
        <v>316</v>
      </c>
    </row>
    <row r="522" spans="1:5" x14ac:dyDescent="0.25">
      <c r="A522" s="4" t="s">
        <v>296</v>
      </c>
      <c r="B522" s="4" t="s">
        <v>313</v>
      </c>
      <c r="C522" s="1"/>
    </row>
    <row r="523" spans="1:5" x14ac:dyDescent="0.25">
      <c r="A523" s="4" t="s">
        <v>297</v>
      </c>
      <c r="B523" s="4">
        <v>3</v>
      </c>
      <c r="C523" s="1"/>
    </row>
    <row r="524" spans="1:5" x14ac:dyDescent="0.25">
      <c r="A524" s="4" t="s">
        <v>298</v>
      </c>
      <c r="B524" s="4">
        <v>7</v>
      </c>
      <c r="C524" s="1"/>
    </row>
    <row r="525" spans="1:5" x14ac:dyDescent="0.25">
      <c r="A525" s="1"/>
      <c r="B525" s="1">
        <f>SUM(B523:B524)</f>
        <v>10</v>
      </c>
      <c r="C525" s="1"/>
    </row>
    <row r="528" spans="1:5" x14ac:dyDescent="0.25">
      <c r="A528" s="27" t="s">
        <v>317</v>
      </c>
    </row>
    <row r="529" spans="1:2" x14ac:dyDescent="0.25">
      <c r="A529" s="4" t="s">
        <v>296</v>
      </c>
      <c r="B529" s="4" t="s">
        <v>313</v>
      </c>
    </row>
    <row r="530" spans="1:2" x14ac:dyDescent="0.25">
      <c r="A530" s="4" t="s">
        <v>318</v>
      </c>
      <c r="B530" s="4">
        <v>1</v>
      </c>
    </row>
    <row r="531" spans="1:2" x14ac:dyDescent="0.25">
      <c r="B531" s="1">
        <f>SUM(B530)</f>
        <v>1</v>
      </c>
    </row>
    <row r="534" spans="1:2" x14ac:dyDescent="0.25">
      <c r="A534" s="26" t="s">
        <v>319</v>
      </c>
    </row>
    <row r="535" spans="1:2" x14ac:dyDescent="0.25">
      <c r="A535" s="4" t="s">
        <v>296</v>
      </c>
      <c r="B535" s="4" t="s">
        <v>313</v>
      </c>
    </row>
    <row r="536" spans="1:2" x14ac:dyDescent="0.25">
      <c r="A536" s="4" t="s">
        <v>297</v>
      </c>
      <c r="B536" s="4">
        <v>6</v>
      </c>
    </row>
    <row r="537" spans="1:2" x14ac:dyDescent="0.25">
      <c r="A537" s="4" t="s">
        <v>298</v>
      </c>
      <c r="B537" s="4">
        <v>6</v>
      </c>
    </row>
    <row r="538" spans="1:2" x14ac:dyDescent="0.25">
      <c r="B538" s="1">
        <f>SUM(B536:B537)</f>
        <v>12</v>
      </c>
    </row>
    <row r="539" spans="1:2" x14ac:dyDescent="0.25">
      <c r="B539" s="1"/>
    </row>
    <row r="540" spans="1:2" x14ac:dyDescent="0.25">
      <c r="B540" s="1"/>
    </row>
    <row r="541" spans="1:2" x14ac:dyDescent="0.25">
      <c r="A541" s="27" t="s">
        <v>320</v>
      </c>
    </row>
    <row r="542" spans="1:2" x14ac:dyDescent="0.25">
      <c r="A542" s="4" t="s">
        <v>296</v>
      </c>
      <c r="B542" s="4" t="s">
        <v>313</v>
      </c>
    </row>
    <row r="543" spans="1:2" x14ac:dyDescent="0.25">
      <c r="A543" s="4" t="s">
        <v>297</v>
      </c>
      <c r="B543" s="4">
        <v>3</v>
      </c>
    </row>
    <row r="544" spans="1:2" x14ac:dyDescent="0.25">
      <c r="A544" s="4" t="s">
        <v>298</v>
      </c>
      <c r="B544" s="4">
        <v>8</v>
      </c>
    </row>
    <row r="545" spans="1:4" x14ac:dyDescent="0.25">
      <c r="A545" s="4" t="s">
        <v>321</v>
      </c>
      <c r="B545" s="4">
        <v>12</v>
      </c>
    </row>
    <row r="546" spans="1:4" x14ac:dyDescent="0.25">
      <c r="B546" s="1">
        <f>SUM(B543:B545)</f>
        <v>23</v>
      </c>
    </row>
    <row r="547" spans="1:4" x14ac:dyDescent="0.25">
      <c r="B547" s="1"/>
    </row>
    <row r="548" spans="1:4" x14ac:dyDescent="0.25">
      <c r="B548" s="1"/>
    </row>
    <row r="550" spans="1:4" x14ac:dyDescent="0.25">
      <c r="A550" s="26" t="s">
        <v>322</v>
      </c>
    </row>
    <row r="551" spans="1:4" x14ac:dyDescent="0.25">
      <c r="A551" s="4" t="s">
        <v>296</v>
      </c>
      <c r="B551" s="4" t="s">
        <v>74</v>
      </c>
    </row>
    <row r="552" spans="1:4" x14ac:dyDescent="0.25">
      <c r="A552" s="4" t="s">
        <v>297</v>
      </c>
      <c r="B552" s="4">
        <f>44.4+8.5</f>
        <v>52.9</v>
      </c>
    </row>
    <row r="553" spans="1:4" x14ac:dyDescent="0.25">
      <c r="A553" s="4" t="s">
        <v>298</v>
      </c>
      <c r="B553" s="4">
        <f>44.4+8.5</f>
        <v>52.9</v>
      </c>
    </row>
    <row r="554" spans="1:4" x14ac:dyDescent="0.25">
      <c r="A554" s="26"/>
      <c r="B554" s="1">
        <f>SUM(B552:B553)</f>
        <v>105.8</v>
      </c>
    </row>
    <row r="555" spans="1:4" x14ac:dyDescent="0.25">
      <c r="A555" s="26"/>
      <c r="B555" s="1"/>
    </row>
    <row r="556" spans="1:4" x14ac:dyDescent="0.25">
      <c r="A556" s="26"/>
      <c r="B556" s="1"/>
    </row>
    <row r="557" spans="1:4" x14ac:dyDescent="0.25">
      <c r="A557" s="26" t="s">
        <v>323</v>
      </c>
    </row>
    <row r="558" spans="1:4" x14ac:dyDescent="0.25">
      <c r="A558" s="4" t="s">
        <v>296</v>
      </c>
      <c r="B558" s="4" t="s">
        <v>74</v>
      </c>
      <c r="C558" s="4" t="s">
        <v>11</v>
      </c>
      <c r="D558" s="4" t="s">
        <v>30</v>
      </c>
    </row>
    <row r="559" spans="1:4" x14ac:dyDescent="0.25">
      <c r="A559" s="4" t="s">
        <v>297</v>
      </c>
      <c r="B559" s="4">
        <v>4.5</v>
      </c>
      <c r="C559" s="4">
        <v>4</v>
      </c>
      <c r="D559" s="4">
        <f>B559*C559</f>
        <v>18</v>
      </c>
    </row>
    <row r="560" spans="1:4" x14ac:dyDescent="0.25">
      <c r="A560" s="4" t="s">
        <v>298</v>
      </c>
      <c r="B560" s="4">
        <v>4.5</v>
      </c>
      <c r="C560" s="4">
        <v>4</v>
      </c>
      <c r="D560" s="4">
        <f>B560*C560</f>
        <v>18</v>
      </c>
    </row>
    <row r="561" spans="1:4" x14ac:dyDescent="0.25">
      <c r="A561" s="26"/>
      <c r="B561" s="1"/>
      <c r="D561" s="1">
        <f>SUM(D559:D560)</f>
        <v>36</v>
      </c>
    </row>
    <row r="562" spans="1:4" x14ac:dyDescent="0.25">
      <c r="A562" s="26"/>
      <c r="B562" s="1"/>
    </row>
    <row r="563" spans="1:4" x14ac:dyDescent="0.25">
      <c r="A563" s="26"/>
      <c r="B563" s="1"/>
    </row>
    <row r="564" spans="1:4" x14ac:dyDescent="0.25">
      <c r="A564" s="26" t="s">
        <v>324</v>
      </c>
      <c r="B564" s="1"/>
    </row>
    <row r="565" spans="1:4" x14ac:dyDescent="0.25">
      <c r="A565" s="4" t="s">
        <v>296</v>
      </c>
      <c r="B565" s="4" t="s">
        <v>11</v>
      </c>
    </row>
    <row r="566" spans="1:4" x14ac:dyDescent="0.25">
      <c r="A566" s="4" t="s">
        <v>297</v>
      </c>
      <c r="B566" s="4">
        <v>8</v>
      </c>
    </row>
    <row r="567" spans="1:4" x14ac:dyDescent="0.25">
      <c r="A567" s="4" t="s">
        <v>298</v>
      </c>
      <c r="B567" s="4">
        <v>8</v>
      </c>
    </row>
    <row r="568" spans="1:4" x14ac:dyDescent="0.25">
      <c r="A568" s="26"/>
      <c r="B568" s="1">
        <f>SUM(B566:B567)</f>
        <v>16</v>
      </c>
    </row>
    <row r="569" spans="1:4" x14ac:dyDescent="0.25">
      <c r="A569" s="26"/>
      <c r="B569" s="1"/>
    </row>
    <row r="570" spans="1:4" x14ac:dyDescent="0.25">
      <c r="A570" s="26"/>
      <c r="B570" s="1"/>
    </row>
    <row r="571" spans="1:4" x14ac:dyDescent="0.25">
      <c r="A571" s="26" t="s">
        <v>325</v>
      </c>
      <c r="B571" s="1"/>
    </row>
    <row r="572" spans="1:4" x14ac:dyDescent="0.25">
      <c r="A572" s="4" t="s">
        <v>296</v>
      </c>
      <c r="B572" s="4" t="s">
        <v>11</v>
      </c>
    </row>
    <row r="573" spans="1:4" x14ac:dyDescent="0.25">
      <c r="A573" s="4" t="s">
        <v>297</v>
      </c>
      <c r="B573" s="4">
        <v>8</v>
      </c>
    </row>
    <row r="574" spans="1:4" x14ac:dyDescent="0.25">
      <c r="A574" s="4" t="s">
        <v>298</v>
      </c>
      <c r="B574" s="4">
        <v>8</v>
      </c>
    </row>
    <row r="575" spans="1:4" x14ac:dyDescent="0.25">
      <c r="A575" s="26"/>
      <c r="B575" s="1">
        <f>SUM(B573:B574)</f>
        <v>16</v>
      </c>
    </row>
    <row r="576" spans="1:4" x14ac:dyDescent="0.25">
      <c r="A576" s="26"/>
      <c r="B576" s="1"/>
    </row>
    <row r="577" spans="1:4" x14ac:dyDescent="0.25">
      <c r="A577" s="26" t="s">
        <v>151</v>
      </c>
      <c r="B577" s="1"/>
    </row>
    <row r="578" spans="1:4" x14ac:dyDescent="0.25">
      <c r="A578" s="4" t="s">
        <v>296</v>
      </c>
      <c r="B578" s="4" t="s">
        <v>74</v>
      </c>
      <c r="C578" s="4" t="s">
        <v>11</v>
      </c>
      <c r="D578" s="4" t="s">
        <v>30</v>
      </c>
    </row>
    <row r="579" spans="1:4" x14ac:dyDescent="0.25">
      <c r="A579" s="4" t="s">
        <v>297</v>
      </c>
      <c r="B579" s="4">
        <v>51.85</v>
      </c>
      <c r="C579" s="4">
        <v>1</v>
      </c>
      <c r="D579" s="4">
        <f>B579*C579</f>
        <v>51.85</v>
      </c>
    </row>
    <row r="580" spans="1:4" x14ac:dyDescent="0.25">
      <c r="A580" s="4" t="s">
        <v>298</v>
      </c>
      <c r="B580" s="4">
        <v>51.85</v>
      </c>
      <c r="C580" s="4">
        <v>1</v>
      </c>
      <c r="D580" s="4">
        <f>B580*C580</f>
        <v>51.85</v>
      </c>
    </row>
    <row r="581" spans="1:4" x14ac:dyDescent="0.25">
      <c r="A581" s="26"/>
      <c r="B581" s="1"/>
      <c r="D581" s="1">
        <f>SUM(D579:D580)</f>
        <v>103.7</v>
      </c>
    </row>
    <row r="582" spans="1:4" x14ac:dyDescent="0.25">
      <c r="A582" s="26"/>
    </row>
    <row r="583" spans="1:4" x14ac:dyDescent="0.25">
      <c r="A583" s="26"/>
    </row>
    <row r="584" spans="1:4" x14ac:dyDescent="0.25">
      <c r="A584" s="26"/>
    </row>
    <row r="585" spans="1:4" x14ac:dyDescent="0.25">
      <c r="A585" s="26" t="s">
        <v>326</v>
      </c>
    </row>
    <row r="586" spans="1:4" x14ac:dyDescent="0.25">
      <c r="A586" s="4" t="s">
        <v>296</v>
      </c>
      <c r="B586" s="4" t="s">
        <v>74</v>
      </c>
    </row>
    <row r="587" spans="1:4" x14ac:dyDescent="0.25">
      <c r="A587" s="4" t="s">
        <v>297</v>
      </c>
      <c r="B587" s="4">
        <f>44.4+8.5</f>
        <v>52.9</v>
      </c>
    </row>
    <row r="588" spans="1:4" x14ac:dyDescent="0.25">
      <c r="A588" s="4" t="s">
        <v>298</v>
      </c>
      <c r="B588" s="4">
        <f>44.4+8.5</f>
        <v>52.9</v>
      </c>
    </row>
    <row r="589" spans="1:4" x14ac:dyDescent="0.25">
      <c r="A589" s="26"/>
      <c r="B589" s="1">
        <f>SUM(B587:B588)</f>
        <v>105.8</v>
      </c>
    </row>
    <row r="592" spans="1:4" x14ac:dyDescent="0.25">
      <c r="A592" s="26" t="s">
        <v>327</v>
      </c>
    </row>
    <row r="593" spans="1:5" x14ac:dyDescent="0.25">
      <c r="A593" s="4" t="s">
        <v>296</v>
      </c>
      <c r="B593" s="4" t="s">
        <v>74</v>
      </c>
    </row>
    <row r="594" spans="1:5" x14ac:dyDescent="0.25">
      <c r="A594" s="4" t="s">
        <v>297</v>
      </c>
      <c r="B594" s="4">
        <f>0.8*3</f>
        <v>2.4000000000000004</v>
      </c>
    </row>
    <row r="595" spans="1:5" x14ac:dyDescent="0.25">
      <c r="A595" s="4" t="s">
        <v>298</v>
      </c>
      <c r="B595" s="4">
        <f>0.4*2</f>
        <v>0.8</v>
      </c>
    </row>
    <row r="596" spans="1:5" x14ac:dyDescent="0.25">
      <c r="A596" s="26"/>
      <c r="B596" s="1">
        <f>SUM(B594:B595)</f>
        <v>3.2</v>
      </c>
    </row>
    <row r="597" spans="1:5" x14ac:dyDescent="0.25">
      <c r="A597" s="26"/>
      <c r="B597" s="1"/>
    </row>
    <row r="598" spans="1:5" x14ac:dyDescent="0.25">
      <c r="A598" s="26"/>
      <c r="B598" s="1"/>
    </row>
    <row r="599" spans="1:5" x14ac:dyDescent="0.25">
      <c r="A599" s="26"/>
      <c r="B599" s="1"/>
    </row>
    <row r="601" spans="1:5" x14ac:dyDescent="0.25">
      <c r="A601" s="25" t="s">
        <v>328</v>
      </c>
    </row>
    <row r="602" spans="1:5" x14ac:dyDescent="0.25">
      <c r="A602" s="4" t="s">
        <v>296</v>
      </c>
      <c r="B602" s="4" t="s">
        <v>76</v>
      </c>
      <c r="C602" s="4" t="s">
        <v>74</v>
      </c>
      <c r="D602" s="4" t="s">
        <v>329</v>
      </c>
      <c r="E602" s="4" t="s">
        <v>30</v>
      </c>
    </row>
    <row r="603" spans="1:5" x14ac:dyDescent="0.25">
      <c r="A603" s="4" t="s">
        <v>301</v>
      </c>
      <c r="B603" s="4">
        <v>19.100000000000001</v>
      </c>
      <c r="C603" s="4">
        <v>8.5</v>
      </c>
      <c r="D603" s="4">
        <v>0.2</v>
      </c>
      <c r="E603" s="4">
        <f>B603*C603*D603</f>
        <v>32.470000000000006</v>
      </c>
    </row>
    <row r="604" spans="1:5" x14ac:dyDescent="0.25">
      <c r="A604" s="4" t="s">
        <v>302</v>
      </c>
      <c r="B604" s="4">
        <v>19.100000000000001</v>
      </c>
      <c r="C604" s="4">
        <v>14.7</v>
      </c>
      <c r="D604" s="4">
        <v>0.2</v>
      </c>
      <c r="E604" s="4">
        <f>B604*C604*D604</f>
        <v>56.153999999999996</v>
      </c>
    </row>
    <row r="605" spans="1:5" x14ac:dyDescent="0.25">
      <c r="A605" s="1"/>
      <c r="D605" s="1"/>
      <c r="E605" s="1">
        <f>SUM(E603:E604)</f>
        <v>88.623999999999995</v>
      </c>
    </row>
    <row r="608" spans="1:5" x14ac:dyDescent="0.25">
      <c r="A608" s="25" t="s">
        <v>328</v>
      </c>
    </row>
    <row r="609" spans="1:8" x14ac:dyDescent="0.25">
      <c r="A609" s="4" t="s">
        <v>296</v>
      </c>
      <c r="B609" s="4" t="s">
        <v>76</v>
      </c>
      <c r="C609" s="4" t="s">
        <v>74</v>
      </c>
      <c r="D609" s="4" t="s">
        <v>30</v>
      </c>
    </row>
    <row r="610" spans="1:8" x14ac:dyDescent="0.25">
      <c r="A610" s="4" t="s">
        <v>301</v>
      </c>
      <c r="B610" s="4">
        <v>19.100000000000001</v>
      </c>
      <c r="C610" s="4">
        <v>8.5</v>
      </c>
      <c r="D610" s="4">
        <f>B610*C610</f>
        <v>162.35000000000002</v>
      </c>
    </row>
    <row r="611" spans="1:8" x14ac:dyDescent="0.25">
      <c r="A611" s="4" t="s">
        <v>302</v>
      </c>
      <c r="B611" s="4">
        <v>19.100000000000001</v>
      </c>
      <c r="C611" s="4">
        <v>14.7</v>
      </c>
      <c r="D611" s="4">
        <f>B611*C611</f>
        <v>280.77</v>
      </c>
    </row>
    <row r="612" spans="1:8" x14ac:dyDescent="0.25">
      <c r="D612" s="1">
        <f>SUM(D610:D611)</f>
        <v>443.12</v>
      </c>
    </row>
    <row r="614" spans="1:8" x14ac:dyDescent="0.25">
      <c r="A614" s="10" t="s">
        <v>405</v>
      </c>
      <c r="B614" s="1"/>
      <c r="C614" s="1"/>
      <c r="D614" s="1"/>
      <c r="E614" s="1"/>
      <c r="F614" s="1"/>
      <c r="G614" s="1"/>
      <c r="H614" s="1"/>
    </row>
    <row r="615" spans="1:8" x14ac:dyDescent="0.25">
      <c r="A615" s="11" t="s">
        <v>406</v>
      </c>
      <c r="B615" s="1"/>
      <c r="C615" s="1"/>
      <c r="D615" s="1"/>
      <c r="E615" s="1"/>
      <c r="F615" s="1"/>
      <c r="G615" s="1"/>
      <c r="H615" s="1"/>
    </row>
    <row r="616" spans="1:8" x14ac:dyDescent="0.25">
      <c r="A616" s="4" t="s">
        <v>33</v>
      </c>
      <c r="B616" s="4" t="s">
        <v>34</v>
      </c>
      <c r="C616" s="4" t="s">
        <v>35</v>
      </c>
      <c r="D616" s="4" t="s">
        <v>36</v>
      </c>
      <c r="E616" s="1"/>
      <c r="F616" s="1"/>
      <c r="G616" s="1"/>
      <c r="H616" s="1"/>
    </row>
    <row r="617" spans="1:8" x14ac:dyDescent="0.25">
      <c r="A617" s="4" t="s">
        <v>407</v>
      </c>
      <c r="B617" s="4">
        <v>3.4</v>
      </c>
      <c r="C617" s="4">
        <v>5.3</v>
      </c>
      <c r="D617" s="4">
        <f>B617*C617</f>
        <v>18.02</v>
      </c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1" t="s">
        <v>408</v>
      </c>
      <c r="B620" s="1"/>
      <c r="C620" s="1"/>
      <c r="D620" s="1"/>
      <c r="E620" s="1"/>
      <c r="F620" s="1"/>
      <c r="G620" s="1"/>
      <c r="H620" s="1"/>
    </row>
    <row r="621" spans="1:8" x14ac:dyDescent="0.25">
      <c r="A621" s="4" t="s">
        <v>33</v>
      </c>
      <c r="B621" s="4" t="s">
        <v>34</v>
      </c>
      <c r="C621" s="4" t="s">
        <v>35</v>
      </c>
      <c r="D621" s="4" t="s">
        <v>36</v>
      </c>
      <c r="E621" s="1"/>
      <c r="F621" s="1"/>
      <c r="G621" s="1"/>
      <c r="H621" s="1"/>
    </row>
    <row r="622" spans="1:8" x14ac:dyDescent="0.25">
      <c r="A622" s="4" t="s">
        <v>407</v>
      </c>
      <c r="B622" s="4">
        <v>3.4</v>
      </c>
      <c r="C622" s="4">
        <v>5.3</v>
      </c>
      <c r="D622" s="4">
        <f>B622*C622</f>
        <v>18.02</v>
      </c>
      <c r="E622" s="1"/>
      <c r="F622" s="1"/>
      <c r="G622" s="1"/>
      <c r="H622" s="1"/>
    </row>
    <row r="623" spans="1:8" x14ac:dyDescent="0.25">
      <c r="A623" s="1"/>
      <c r="B623" s="1"/>
      <c r="C623" s="1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1" t="s">
        <v>409</v>
      </c>
      <c r="B625" s="1"/>
      <c r="C625" s="1"/>
      <c r="D625" s="1"/>
      <c r="E625" s="1"/>
      <c r="F625" s="1"/>
      <c r="G625" s="1"/>
      <c r="H625" s="1"/>
    </row>
    <row r="626" spans="1:8" x14ac:dyDescent="0.25">
      <c r="A626" s="4" t="s">
        <v>33</v>
      </c>
      <c r="B626" s="4" t="s">
        <v>34</v>
      </c>
      <c r="C626" s="4" t="s">
        <v>35</v>
      </c>
      <c r="D626" s="4" t="s">
        <v>36</v>
      </c>
      <c r="E626" s="1"/>
      <c r="F626" s="1"/>
      <c r="G626" s="1"/>
      <c r="H626" s="1"/>
    </row>
    <row r="627" spans="1:8" x14ac:dyDescent="0.25">
      <c r="A627" s="4" t="s">
        <v>407</v>
      </c>
      <c r="B627" s="4">
        <v>3.4</v>
      </c>
      <c r="C627" s="4">
        <v>5.3</v>
      </c>
      <c r="D627" s="4">
        <f>B627*C627</f>
        <v>18.02</v>
      </c>
      <c r="E627" s="1"/>
      <c r="F627" s="1"/>
      <c r="G627" s="1"/>
      <c r="H627" s="1"/>
    </row>
    <row r="628" spans="1:8" x14ac:dyDescent="0.25">
      <c r="A628" s="1"/>
      <c r="B628" s="1"/>
      <c r="C628" s="1"/>
      <c r="D628" s="1"/>
      <c r="E628" s="1"/>
      <c r="F628" s="1"/>
      <c r="G628" s="1"/>
      <c r="H628" s="1"/>
    </row>
    <row r="629" spans="1:8" x14ac:dyDescent="0.25">
      <c r="A629" s="1"/>
      <c r="B629" s="1"/>
      <c r="C629" s="1"/>
      <c r="D629" s="1"/>
      <c r="E629" s="1"/>
      <c r="F629" s="1"/>
      <c r="G629" s="1"/>
      <c r="H629" s="1"/>
    </row>
    <row r="630" spans="1:8" x14ac:dyDescent="0.25">
      <c r="A630" s="1" t="s">
        <v>410</v>
      </c>
      <c r="B630" s="1"/>
      <c r="C630" s="1"/>
      <c r="D630" s="1"/>
      <c r="E630" s="1"/>
      <c r="F630" s="1"/>
      <c r="G630" s="1"/>
      <c r="H630" s="1"/>
    </row>
    <row r="631" spans="1:8" x14ac:dyDescent="0.25">
      <c r="A631" s="4" t="s">
        <v>33</v>
      </c>
      <c r="B631" s="4" t="s">
        <v>34</v>
      </c>
      <c r="C631" s="4" t="s">
        <v>35</v>
      </c>
      <c r="D631" s="4" t="s">
        <v>141</v>
      </c>
      <c r="E631" s="4" t="s">
        <v>69</v>
      </c>
      <c r="F631" s="4" t="s">
        <v>36</v>
      </c>
      <c r="G631" s="1"/>
      <c r="H631" s="1"/>
    </row>
    <row r="632" spans="1:8" x14ac:dyDescent="0.25">
      <c r="A632" s="4" t="s">
        <v>411</v>
      </c>
      <c r="B632" s="4">
        <v>3.4</v>
      </c>
      <c r="C632" s="4">
        <v>5.3</v>
      </c>
      <c r="D632" s="4">
        <v>7.0000000000000001E-3</v>
      </c>
      <c r="E632" s="4">
        <v>1.5</v>
      </c>
      <c r="F632" s="4">
        <f>B632*C632*D632*E632</f>
        <v>0.18920999999999999</v>
      </c>
      <c r="G632" s="1"/>
      <c r="H632" s="1"/>
    </row>
    <row r="633" spans="1:8" x14ac:dyDescent="0.25">
      <c r="A633" s="4" t="s">
        <v>412</v>
      </c>
      <c r="B633" s="4">
        <v>0.92</v>
      </c>
      <c r="C633" s="4">
        <v>2.1</v>
      </c>
      <c r="D633" s="4">
        <v>0.25</v>
      </c>
      <c r="E633" s="4">
        <v>1.5</v>
      </c>
      <c r="F633" s="4">
        <f t="shared" ref="F633:F636" si="21">B633*C633*D633*E633</f>
        <v>0.72450000000000003</v>
      </c>
      <c r="G633" s="1"/>
      <c r="H633" s="1"/>
    </row>
    <row r="634" spans="1:8" x14ac:dyDescent="0.25">
      <c r="A634" s="4" t="s">
        <v>413</v>
      </c>
      <c r="B634" s="4">
        <v>0.5</v>
      </c>
      <c r="C634" s="4">
        <f>1.45+1.12+1.2</f>
        <v>3.7700000000000005</v>
      </c>
      <c r="D634" s="4">
        <v>0.25</v>
      </c>
      <c r="E634" s="4">
        <v>1.5</v>
      </c>
      <c r="F634" s="4">
        <f t="shared" si="21"/>
        <v>0.70687500000000014</v>
      </c>
      <c r="G634" s="1"/>
      <c r="H634" s="1"/>
    </row>
    <row r="635" spans="1:8" x14ac:dyDescent="0.25">
      <c r="A635" s="4" t="s">
        <v>414</v>
      </c>
      <c r="B635" s="4">
        <v>0.5</v>
      </c>
      <c r="C635" s="4">
        <v>0.5</v>
      </c>
      <c r="D635" s="4">
        <v>0.25</v>
      </c>
      <c r="E635" s="4">
        <v>1.5</v>
      </c>
      <c r="F635" s="4">
        <f t="shared" si="21"/>
        <v>9.375E-2</v>
      </c>
      <c r="G635" s="1"/>
      <c r="H635" s="1"/>
    </row>
    <row r="636" spans="1:8" x14ac:dyDescent="0.25">
      <c r="A636" s="4" t="s">
        <v>415</v>
      </c>
      <c r="B636" s="4">
        <v>0.2</v>
      </c>
      <c r="C636" s="4">
        <f>2.1+2.1+1</f>
        <v>5.2</v>
      </c>
      <c r="D636" s="4">
        <v>0.25</v>
      </c>
      <c r="E636" s="4">
        <v>1.5</v>
      </c>
      <c r="F636" s="4">
        <f t="shared" si="21"/>
        <v>0.39</v>
      </c>
      <c r="G636" s="1"/>
      <c r="H636" s="1"/>
    </row>
    <row r="637" spans="1:8" x14ac:dyDescent="0.25">
      <c r="A637" s="1"/>
      <c r="B637" s="1"/>
      <c r="C637" s="1"/>
      <c r="D637" s="1"/>
      <c r="E637" s="1"/>
      <c r="F637" s="1">
        <f>SUM(F632:F636)</f>
        <v>2.1043350000000003</v>
      </c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1" t="s">
        <v>416</v>
      </c>
      <c r="B640" s="1"/>
      <c r="C640" s="1"/>
      <c r="D640" s="1"/>
      <c r="E640" s="1"/>
      <c r="F640" s="1"/>
      <c r="G640" s="1"/>
      <c r="H640" s="1"/>
    </row>
    <row r="641" spans="1:8" x14ac:dyDescent="0.25">
      <c r="A641" s="4" t="s">
        <v>33</v>
      </c>
      <c r="B641" s="4" t="s">
        <v>35</v>
      </c>
      <c r="C641" s="1"/>
      <c r="D641" s="1"/>
      <c r="E641" s="1"/>
      <c r="F641" s="1"/>
      <c r="G641" s="1"/>
      <c r="H641" s="1"/>
    </row>
    <row r="642" spans="1:8" x14ac:dyDescent="0.25">
      <c r="A642" s="4" t="s">
        <v>417</v>
      </c>
      <c r="B642" s="4">
        <v>3.41</v>
      </c>
      <c r="C642" s="1"/>
      <c r="D642" s="1"/>
      <c r="E642" s="1"/>
      <c r="F642" s="1"/>
      <c r="G642" s="1"/>
      <c r="H642" s="1"/>
    </row>
    <row r="643" spans="1:8" x14ac:dyDescent="0.25">
      <c r="A643" s="4" t="s">
        <v>417</v>
      </c>
      <c r="B643" s="4">
        <v>0.6</v>
      </c>
      <c r="C643" s="1"/>
      <c r="D643" s="1"/>
      <c r="E643" s="1"/>
      <c r="F643" s="1"/>
      <c r="G643" s="1"/>
      <c r="H643" s="1"/>
    </row>
    <row r="644" spans="1:8" x14ac:dyDescent="0.25">
      <c r="A644" s="4" t="s">
        <v>417</v>
      </c>
      <c r="B644" s="4">
        <v>0.6</v>
      </c>
      <c r="C644" s="1"/>
      <c r="D644" s="1"/>
      <c r="E644" s="1"/>
      <c r="F644" s="1"/>
      <c r="G644" s="1"/>
      <c r="H644" s="1"/>
    </row>
    <row r="645" spans="1:8" x14ac:dyDescent="0.25">
      <c r="A645" s="1"/>
      <c r="B645" s="1">
        <f>SUM(B642:B644)</f>
        <v>4.6099999999999994</v>
      </c>
      <c r="C645" s="1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1" t="s">
        <v>418</v>
      </c>
      <c r="B647" s="1"/>
      <c r="C647" s="1"/>
      <c r="D647" s="1"/>
      <c r="E647" s="1"/>
      <c r="F647" s="1"/>
      <c r="G647" s="1"/>
      <c r="H647" s="1"/>
    </row>
    <row r="648" spans="1:8" x14ac:dyDescent="0.25">
      <c r="A648" s="4" t="s">
        <v>33</v>
      </c>
      <c r="B648" s="4" t="s">
        <v>35</v>
      </c>
      <c r="C648" s="4" t="s">
        <v>43</v>
      </c>
      <c r="D648" s="4" t="s">
        <v>36</v>
      </c>
      <c r="E648" s="1"/>
      <c r="F648" s="1"/>
      <c r="G648" s="1"/>
      <c r="H648" s="1"/>
    </row>
    <row r="649" spans="1:8" x14ac:dyDescent="0.25">
      <c r="A649" s="4" t="s">
        <v>419</v>
      </c>
      <c r="B649" s="4">
        <v>1.5</v>
      </c>
      <c r="C649" s="4">
        <v>1.2</v>
      </c>
      <c r="D649" s="4">
        <f>B649*C649</f>
        <v>1.7999999999999998</v>
      </c>
      <c r="E649" s="1"/>
      <c r="F649" s="1"/>
      <c r="G649" s="1"/>
      <c r="H649" s="1"/>
    </row>
    <row r="650" spans="1:8" x14ac:dyDescent="0.25">
      <c r="A650" s="1"/>
      <c r="B650" s="1"/>
      <c r="C650" s="1"/>
      <c r="D650" s="1"/>
      <c r="E650" s="1"/>
      <c r="F650" s="1"/>
      <c r="G650" s="1"/>
      <c r="H650" s="1"/>
    </row>
    <row r="651" spans="1:8" x14ac:dyDescent="0.25">
      <c r="A651" s="1"/>
      <c r="B651" s="1"/>
      <c r="C651" s="1"/>
      <c r="D651" s="1"/>
      <c r="E651" s="1"/>
      <c r="F651" s="1"/>
      <c r="G651" s="1"/>
      <c r="H651" s="1"/>
    </row>
    <row r="652" spans="1:8" x14ac:dyDescent="0.25">
      <c r="A652" s="1" t="s">
        <v>420</v>
      </c>
      <c r="B652" s="1"/>
      <c r="C652" s="1"/>
      <c r="D652" s="1"/>
      <c r="E652" s="1"/>
      <c r="F652" s="1"/>
      <c r="G652" s="1"/>
      <c r="H652" s="1"/>
    </row>
    <row r="653" spans="1:8" x14ac:dyDescent="0.25">
      <c r="A653" s="4" t="s">
        <v>33</v>
      </c>
      <c r="B653" s="4" t="s">
        <v>35</v>
      </c>
      <c r="C653" s="4" t="s">
        <v>34</v>
      </c>
      <c r="D653" s="4" t="s">
        <v>36</v>
      </c>
      <c r="E653" s="1"/>
      <c r="F653" s="1"/>
      <c r="G653" s="1"/>
      <c r="H653" s="1"/>
    </row>
    <row r="654" spans="1:8" x14ac:dyDescent="0.25">
      <c r="A654" s="4" t="s">
        <v>421</v>
      </c>
      <c r="B654" s="4">
        <v>2.4</v>
      </c>
      <c r="C654" s="4">
        <v>0.5</v>
      </c>
      <c r="D654" s="4">
        <f>B654*C654</f>
        <v>1.2</v>
      </c>
      <c r="E654" s="1"/>
      <c r="F654" s="1"/>
      <c r="G654" s="1"/>
      <c r="H654" s="1"/>
    </row>
    <row r="655" spans="1:8" x14ac:dyDescent="0.25">
      <c r="A655" s="4" t="s">
        <v>421</v>
      </c>
      <c r="B655" s="4">
        <v>1.5</v>
      </c>
      <c r="C655" s="4">
        <v>0.5</v>
      </c>
      <c r="D655" s="4">
        <f>B655*C655</f>
        <v>0.75</v>
      </c>
      <c r="E655" s="1"/>
      <c r="F655" s="1"/>
      <c r="G655" s="1"/>
      <c r="H655" s="1"/>
    </row>
    <row r="656" spans="1:8" x14ac:dyDescent="0.25">
      <c r="A656" s="1"/>
      <c r="B656" s="1"/>
      <c r="C656" s="1"/>
      <c r="D656" s="1">
        <f>SUM(D654:D655)</f>
        <v>1.95</v>
      </c>
      <c r="E656" s="1"/>
      <c r="F656" s="1"/>
      <c r="G656" s="1"/>
      <c r="H656" s="1"/>
    </row>
    <row r="657" spans="1:8" x14ac:dyDescent="0.25">
      <c r="A657" s="1"/>
      <c r="B657" s="1"/>
      <c r="C657" s="1"/>
      <c r="D657" s="1"/>
      <c r="E657" s="1"/>
      <c r="F657" s="1"/>
      <c r="G657" s="1"/>
      <c r="H657" s="1"/>
    </row>
    <row r="658" spans="1:8" x14ac:dyDescent="0.25">
      <c r="A658" s="1" t="s">
        <v>422</v>
      </c>
      <c r="B658" s="1"/>
      <c r="C658" s="1"/>
      <c r="D658" s="1"/>
      <c r="E658" s="1"/>
      <c r="F658" s="1"/>
      <c r="G658" s="1"/>
      <c r="H658" s="1"/>
    </row>
    <row r="659" spans="1:8" x14ac:dyDescent="0.25">
      <c r="A659" s="4" t="s">
        <v>124</v>
      </c>
      <c r="B659" s="4" t="s">
        <v>35</v>
      </c>
      <c r="C659" s="4" t="s">
        <v>43</v>
      </c>
      <c r="D659" s="4" t="s">
        <v>36</v>
      </c>
      <c r="E659" s="1"/>
      <c r="F659" s="1"/>
      <c r="G659" s="1"/>
      <c r="H659" s="1"/>
    </row>
    <row r="660" spans="1:8" x14ac:dyDescent="0.25">
      <c r="A660" s="4" t="s">
        <v>423</v>
      </c>
      <c r="B660" s="4">
        <v>1</v>
      </c>
      <c r="C660" s="4">
        <v>1</v>
      </c>
      <c r="D660" s="4">
        <f>B660*C660</f>
        <v>1</v>
      </c>
      <c r="E660" s="1"/>
      <c r="F660" s="1"/>
      <c r="G660" s="1"/>
      <c r="H660" s="1"/>
    </row>
    <row r="661" spans="1:8" x14ac:dyDescent="0.25">
      <c r="A661" s="4" t="s">
        <v>419</v>
      </c>
      <c r="B661" s="4">
        <v>1.45</v>
      </c>
      <c r="C661" s="4">
        <v>1.2</v>
      </c>
      <c r="D661" s="4">
        <f>B661*C661</f>
        <v>1.74</v>
      </c>
      <c r="E661" s="1"/>
      <c r="F661" s="1"/>
      <c r="G661" s="1"/>
      <c r="H661" s="1"/>
    </row>
    <row r="662" spans="1:8" x14ac:dyDescent="0.25">
      <c r="A662" s="1"/>
      <c r="B662" s="1"/>
      <c r="C662" s="1"/>
      <c r="D662" s="1">
        <f>SUM(D660:D661)</f>
        <v>2.74</v>
      </c>
      <c r="E662" s="1"/>
      <c r="F662" s="1"/>
      <c r="G662" s="1"/>
      <c r="H662" s="1"/>
    </row>
    <row r="663" spans="1:8" x14ac:dyDescent="0.25">
      <c r="A663" s="1"/>
      <c r="B663" s="1"/>
      <c r="C663" s="1"/>
      <c r="D663" s="1"/>
      <c r="E663" s="1"/>
      <c r="F663" s="1"/>
      <c r="G663" s="1"/>
      <c r="H663" s="1"/>
    </row>
    <row r="664" spans="1:8" x14ac:dyDescent="0.25">
      <c r="A664" s="1" t="s">
        <v>424</v>
      </c>
      <c r="B664" s="1"/>
      <c r="C664" s="1"/>
      <c r="D664" s="1"/>
      <c r="E664" s="1"/>
      <c r="F664" s="1"/>
      <c r="G664" s="1"/>
      <c r="H664" s="1"/>
    </row>
    <row r="665" spans="1:8" x14ac:dyDescent="0.25">
      <c r="A665" s="4" t="s">
        <v>124</v>
      </c>
      <c r="B665" s="4" t="s">
        <v>35</v>
      </c>
      <c r="C665" s="4" t="s">
        <v>43</v>
      </c>
      <c r="D665" s="4" t="s">
        <v>36</v>
      </c>
      <c r="E665" s="1"/>
      <c r="F665" s="1"/>
      <c r="G665" s="1"/>
      <c r="H665" s="1"/>
    </row>
    <row r="666" spans="1:8" x14ac:dyDescent="0.25">
      <c r="A666" s="4" t="s">
        <v>419</v>
      </c>
      <c r="B666" s="4">
        <v>1.45</v>
      </c>
      <c r="C666" s="4">
        <v>1.2</v>
      </c>
      <c r="D666" s="4">
        <f>B666*C666</f>
        <v>1.74</v>
      </c>
      <c r="E666" s="1"/>
      <c r="F666" s="1"/>
      <c r="G666" s="1"/>
      <c r="H666" s="1"/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1" t="s">
        <v>118</v>
      </c>
      <c r="B669" s="1"/>
      <c r="C669" s="1"/>
      <c r="D669" s="1"/>
      <c r="E669" s="1"/>
      <c r="F669" s="1"/>
      <c r="G669" s="1"/>
      <c r="H669" s="1"/>
    </row>
    <row r="670" spans="1:8" x14ac:dyDescent="0.25">
      <c r="A670" s="4" t="s">
        <v>33</v>
      </c>
      <c r="B670" s="4" t="s">
        <v>34</v>
      </c>
      <c r="C670" s="4" t="s">
        <v>43</v>
      </c>
      <c r="D670" s="4" t="s">
        <v>141</v>
      </c>
      <c r="E670" s="4" t="s">
        <v>36</v>
      </c>
      <c r="F670" s="1"/>
      <c r="G670" s="1"/>
      <c r="H670" s="1"/>
    </row>
    <row r="671" spans="1:8" x14ac:dyDescent="0.25">
      <c r="A671" s="4" t="s">
        <v>412</v>
      </c>
      <c r="B671" s="4">
        <v>0.92</v>
      </c>
      <c r="C671" s="4">
        <v>2.1</v>
      </c>
      <c r="D671" s="4">
        <v>0.25</v>
      </c>
      <c r="E671" s="4">
        <f>B671*C671*D671</f>
        <v>0.48300000000000004</v>
      </c>
      <c r="F671" s="1"/>
      <c r="G671" s="1"/>
      <c r="H671" s="1"/>
    </row>
    <row r="672" spans="1:8" x14ac:dyDescent="0.25">
      <c r="A672" s="4" t="s">
        <v>413</v>
      </c>
      <c r="B672" s="4">
        <v>0.5</v>
      </c>
      <c r="C672" s="4">
        <f>1.45+1.12+1.2</f>
        <v>3.7700000000000005</v>
      </c>
      <c r="D672" s="4">
        <v>0.25</v>
      </c>
      <c r="E672" s="4">
        <f>B672*C672*D672</f>
        <v>0.47125000000000006</v>
      </c>
      <c r="F672" s="1"/>
      <c r="G672" s="1"/>
      <c r="H672" s="1"/>
    </row>
    <row r="673" spans="1:8" x14ac:dyDescent="0.25">
      <c r="A673" s="4" t="s">
        <v>414</v>
      </c>
      <c r="B673" s="4">
        <v>0.5</v>
      </c>
      <c r="C673" s="4">
        <v>0.5</v>
      </c>
      <c r="D673" s="4">
        <v>0.25</v>
      </c>
      <c r="E673" s="4">
        <f>B673*C673*D673</f>
        <v>6.25E-2</v>
      </c>
      <c r="F673" s="1"/>
      <c r="G673" s="1"/>
      <c r="H673" s="1"/>
    </row>
    <row r="674" spans="1:8" x14ac:dyDescent="0.25">
      <c r="A674" s="4" t="s">
        <v>415</v>
      </c>
      <c r="B674" s="4">
        <v>0.2</v>
      </c>
      <c r="C674" s="4">
        <f>2.1+2.1+1</f>
        <v>5.2</v>
      </c>
      <c r="D674" s="4">
        <v>0.25</v>
      </c>
      <c r="E674" s="4">
        <f>B674*C674*D674</f>
        <v>0.26</v>
      </c>
      <c r="F674" s="1"/>
      <c r="G674" s="1"/>
      <c r="H674" s="1"/>
    </row>
    <row r="675" spans="1:8" x14ac:dyDescent="0.25">
      <c r="A675" s="1"/>
      <c r="B675" s="1"/>
      <c r="C675" s="1"/>
      <c r="D675" s="1"/>
      <c r="E675" s="1">
        <f>SUM(E671:E674)</f>
        <v>1.2767500000000001</v>
      </c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1" t="s">
        <v>425</v>
      </c>
      <c r="B677" s="1"/>
      <c r="C677" s="1"/>
      <c r="D677" s="1"/>
      <c r="E677" s="1"/>
      <c r="F677" s="1"/>
      <c r="G677" s="1"/>
      <c r="H677" s="1"/>
    </row>
    <row r="678" spans="1:8" x14ac:dyDescent="0.25">
      <c r="A678" s="4" t="s">
        <v>33</v>
      </c>
      <c r="B678" s="4" t="s">
        <v>40</v>
      </c>
      <c r="C678" s="1"/>
      <c r="D678" s="1"/>
      <c r="E678" s="1"/>
      <c r="F678" s="1"/>
      <c r="G678" s="1"/>
      <c r="H678" s="1"/>
    </row>
    <row r="679" spans="1:8" x14ac:dyDescent="0.25">
      <c r="A679" s="4" t="s">
        <v>426</v>
      </c>
      <c r="B679" s="4">
        <v>1</v>
      </c>
      <c r="C679" s="1"/>
      <c r="D679" s="1"/>
      <c r="E679" s="1"/>
      <c r="F679" s="1"/>
      <c r="G679" s="1"/>
      <c r="H679" s="1"/>
    </row>
    <row r="680" spans="1:8" x14ac:dyDescent="0.25">
      <c r="A680" s="4" t="s">
        <v>427</v>
      </c>
      <c r="B680" s="4">
        <v>1</v>
      </c>
      <c r="C680" s="1"/>
      <c r="D680" s="1"/>
      <c r="E680" s="1"/>
      <c r="F680" s="1"/>
      <c r="G680" s="1"/>
      <c r="H680" s="1"/>
    </row>
    <row r="681" spans="1:8" x14ac:dyDescent="0.25">
      <c r="A681" s="1"/>
      <c r="B681" s="1">
        <f>SUM(B679:B680)</f>
        <v>2</v>
      </c>
      <c r="C681" s="1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1" t="s">
        <v>428</v>
      </c>
      <c r="B683" s="1"/>
      <c r="C683" s="1"/>
      <c r="D683" s="1"/>
      <c r="E683" s="1"/>
      <c r="F683" s="1"/>
      <c r="G683" s="1"/>
      <c r="H683" s="1"/>
    </row>
    <row r="684" spans="1:8" x14ac:dyDescent="0.25">
      <c r="A684" s="4" t="s">
        <v>33</v>
      </c>
      <c r="B684" s="4" t="s">
        <v>35</v>
      </c>
      <c r="C684" s="1"/>
      <c r="D684" s="1"/>
      <c r="E684" s="1"/>
      <c r="F684" s="1"/>
      <c r="G684" s="1"/>
      <c r="H684" s="1"/>
    </row>
    <row r="685" spans="1:8" x14ac:dyDescent="0.25">
      <c r="A685" s="4" t="s">
        <v>426</v>
      </c>
      <c r="B685" s="4">
        <f>3+5.3</f>
        <v>8.3000000000000007</v>
      </c>
      <c r="C685" s="1"/>
      <c r="D685" s="1"/>
      <c r="E685" s="1"/>
      <c r="F685" s="1"/>
      <c r="G685" s="1"/>
      <c r="H685" s="1"/>
    </row>
    <row r="686" spans="1:8" x14ac:dyDescent="0.25">
      <c r="A686" s="4" t="s">
        <v>429</v>
      </c>
      <c r="B686" s="4">
        <v>8.3000000000000007</v>
      </c>
      <c r="C686" s="1"/>
      <c r="D686" s="1"/>
      <c r="E686" s="1"/>
      <c r="F686" s="1"/>
      <c r="G686" s="1"/>
      <c r="H686" s="1"/>
    </row>
    <row r="687" spans="1:8" x14ac:dyDescent="0.25">
      <c r="A687" s="4" t="s">
        <v>427</v>
      </c>
      <c r="B687" s="4">
        <f>2.5+5.3</f>
        <v>7.8</v>
      </c>
      <c r="C687" s="1"/>
      <c r="D687" s="1"/>
      <c r="E687" s="1"/>
      <c r="F687" s="1"/>
      <c r="G687" s="1"/>
      <c r="H687" s="1"/>
    </row>
    <row r="688" spans="1:8" x14ac:dyDescent="0.25">
      <c r="A688" s="1"/>
      <c r="B688" s="1">
        <f>SUM(B685:B687)*3*1.5</f>
        <v>109.80000000000001</v>
      </c>
      <c r="C688" s="1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1" t="s">
        <v>430</v>
      </c>
      <c r="B690" s="1"/>
      <c r="C690" s="1"/>
      <c r="D690" s="1"/>
      <c r="E690" s="1"/>
      <c r="F690" s="1"/>
      <c r="G690" s="1"/>
      <c r="H690" s="1"/>
    </row>
    <row r="691" spans="1:8" x14ac:dyDescent="0.25">
      <c r="A691" s="4" t="s">
        <v>33</v>
      </c>
      <c r="B691" s="4" t="s">
        <v>34</v>
      </c>
      <c r="C691" s="4" t="s">
        <v>43</v>
      </c>
      <c r="D691" s="4" t="s">
        <v>36</v>
      </c>
      <c r="E691" s="1"/>
      <c r="F691" s="1"/>
      <c r="G691" s="1"/>
      <c r="H691" s="1"/>
    </row>
    <row r="692" spans="1:8" x14ac:dyDescent="0.25">
      <c r="A692" s="4" t="s">
        <v>431</v>
      </c>
      <c r="B692" s="4">
        <v>0.82</v>
      </c>
      <c r="C692" s="4">
        <v>2.1</v>
      </c>
      <c r="D692" s="4">
        <f>B692*C692</f>
        <v>1.722</v>
      </c>
      <c r="E692" s="1"/>
      <c r="F692" s="1"/>
      <c r="G692" s="1"/>
      <c r="H692" s="1"/>
    </row>
    <row r="693" spans="1:8" x14ac:dyDescent="0.25">
      <c r="A693" s="1"/>
      <c r="B693" s="1"/>
      <c r="C693" s="1"/>
      <c r="D693" s="1"/>
      <c r="E693" s="1"/>
      <c r="F693" s="1"/>
      <c r="G693" s="1"/>
      <c r="H693" s="1"/>
    </row>
    <row r="694" spans="1:8" x14ac:dyDescent="0.25">
      <c r="A694" s="1"/>
      <c r="B694" s="1"/>
      <c r="C694" s="1"/>
      <c r="D694" s="1"/>
      <c r="E694" s="1"/>
      <c r="F694" s="1"/>
      <c r="G694" s="1"/>
      <c r="H694" s="1"/>
    </row>
    <row r="695" spans="1:8" x14ac:dyDescent="0.25">
      <c r="A695" s="1" t="s">
        <v>432</v>
      </c>
      <c r="B695" s="1"/>
      <c r="C695" s="1"/>
      <c r="D695" s="1"/>
      <c r="E695" s="1"/>
      <c r="F695" s="1"/>
      <c r="G695" s="1"/>
      <c r="H695" s="1"/>
    </row>
    <row r="696" spans="1:8" x14ac:dyDescent="0.25">
      <c r="A696" s="4" t="s">
        <v>33</v>
      </c>
      <c r="B696" s="4" t="s">
        <v>34</v>
      </c>
      <c r="C696" s="4" t="s">
        <v>43</v>
      </c>
      <c r="D696" s="4" t="s">
        <v>36</v>
      </c>
      <c r="E696" s="1"/>
      <c r="F696" s="1"/>
      <c r="G696" s="1"/>
      <c r="H696" s="1"/>
    </row>
    <row r="697" spans="1:8" x14ac:dyDescent="0.25">
      <c r="A697" s="4" t="s">
        <v>431</v>
      </c>
      <c r="B697" s="4">
        <v>1</v>
      </c>
      <c r="C697" s="4">
        <v>2.1</v>
      </c>
      <c r="D697" s="4">
        <f>B697*C697</f>
        <v>2.1</v>
      </c>
      <c r="E697" s="1"/>
      <c r="F697" s="1"/>
      <c r="G697" s="1"/>
      <c r="H697" s="1"/>
    </row>
    <row r="698" spans="1:8" x14ac:dyDescent="0.25">
      <c r="A698" s="4" t="s">
        <v>433</v>
      </c>
      <c r="B698" s="4">
        <v>1</v>
      </c>
      <c r="C698" s="4">
        <f>3-2.1</f>
        <v>0.89999999999999991</v>
      </c>
      <c r="D698" s="4">
        <f>B698*C698</f>
        <v>0.89999999999999991</v>
      </c>
      <c r="E698" s="1"/>
      <c r="F698" s="1"/>
      <c r="G698" s="1"/>
      <c r="H698" s="1"/>
    </row>
    <row r="699" spans="1:8" x14ac:dyDescent="0.25">
      <c r="A699" s="1"/>
      <c r="B699" s="1"/>
      <c r="C699" s="1"/>
      <c r="D699" s="1">
        <f>SUM(D697:D698)</f>
        <v>3</v>
      </c>
      <c r="E699" s="1"/>
      <c r="F699" s="1"/>
      <c r="G699" s="1"/>
      <c r="H699" s="1"/>
    </row>
    <row r="700" spans="1:8" x14ac:dyDescent="0.25">
      <c r="A700" s="1"/>
      <c r="B700" s="1"/>
      <c r="C700" s="1"/>
      <c r="D700" s="1"/>
      <c r="E700" s="1"/>
      <c r="F700" s="1"/>
      <c r="G700" s="1"/>
      <c r="H700" s="1"/>
    </row>
    <row r="701" spans="1:8" x14ac:dyDescent="0.25">
      <c r="A701" s="1" t="s">
        <v>434</v>
      </c>
      <c r="B701" s="1"/>
      <c r="C701" s="1"/>
      <c r="D701" s="1"/>
      <c r="E701" s="1"/>
      <c r="F701" s="1"/>
      <c r="G701" s="1"/>
      <c r="H701" s="1"/>
    </row>
    <row r="702" spans="1:8" x14ac:dyDescent="0.25">
      <c r="A702" s="4" t="s">
        <v>33</v>
      </c>
      <c r="B702" s="4" t="s">
        <v>34</v>
      </c>
      <c r="C702" s="4" t="s">
        <v>43</v>
      </c>
      <c r="D702" s="4" t="s">
        <v>435</v>
      </c>
      <c r="E702" s="4" t="s">
        <v>36</v>
      </c>
      <c r="F702" s="1"/>
      <c r="G702" s="1"/>
      <c r="H702" s="1"/>
    </row>
    <row r="703" spans="1:8" x14ac:dyDescent="0.25">
      <c r="A703" s="4" t="s">
        <v>431</v>
      </c>
      <c r="B703" s="4">
        <v>1</v>
      </c>
      <c r="C703" s="4">
        <v>2.1</v>
      </c>
      <c r="D703" s="4">
        <v>2</v>
      </c>
      <c r="E703" s="4">
        <f>B703*C703*D703</f>
        <v>4.2</v>
      </c>
      <c r="F703" s="1"/>
      <c r="G703" s="1"/>
      <c r="H703" s="1"/>
    </row>
    <row r="704" spans="1:8" x14ac:dyDescent="0.25">
      <c r="A704" s="4" t="s">
        <v>433</v>
      </c>
      <c r="B704" s="4">
        <v>1</v>
      </c>
      <c r="C704" s="4">
        <f>3-2.1</f>
        <v>0.89999999999999991</v>
      </c>
      <c r="D704" s="4">
        <v>2</v>
      </c>
      <c r="E704" s="4">
        <f>B704*C704*D704</f>
        <v>1.7999999999999998</v>
      </c>
      <c r="F704" s="1"/>
      <c r="G704" s="1"/>
      <c r="H704" s="1"/>
    </row>
    <row r="705" spans="1:8" x14ac:dyDescent="0.25">
      <c r="A705" s="1"/>
      <c r="B705" s="1"/>
      <c r="C705" s="1"/>
      <c r="D705" s="1"/>
      <c r="E705" s="1">
        <f>SUM(E703:E704)</f>
        <v>6</v>
      </c>
      <c r="F705" s="1"/>
      <c r="G705" s="1"/>
      <c r="H705" s="1"/>
    </row>
    <row r="706" spans="1:8" x14ac:dyDescent="0.25">
      <c r="A706" s="1"/>
      <c r="B706" s="1"/>
      <c r="C706" s="1"/>
      <c r="D706" s="1"/>
      <c r="E706" s="1"/>
      <c r="F706" s="1"/>
      <c r="G706" s="1"/>
      <c r="H706" s="1"/>
    </row>
    <row r="707" spans="1:8" x14ac:dyDescent="0.25">
      <c r="A707" s="11" t="s">
        <v>436</v>
      </c>
      <c r="B707" s="1"/>
      <c r="C707" s="1"/>
      <c r="D707" s="1"/>
      <c r="E707" s="1"/>
      <c r="F707" s="1"/>
      <c r="G707" s="1"/>
      <c r="H707" s="1"/>
    </row>
    <row r="708" spans="1:8" x14ac:dyDescent="0.25">
      <c r="A708" s="4" t="s">
        <v>33</v>
      </c>
      <c r="B708" s="4" t="s">
        <v>34</v>
      </c>
      <c r="C708" s="4" t="s">
        <v>43</v>
      </c>
      <c r="D708" s="4" t="s">
        <v>36</v>
      </c>
      <c r="E708" s="1"/>
      <c r="F708" s="1"/>
      <c r="G708" s="1"/>
      <c r="H708" s="1"/>
    </row>
    <row r="709" spans="1:8" x14ac:dyDescent="0.25">
      <c r="A709" s="4" t="s">
        <v>431</v>
      </c>
      <c r="B709" s="4">
        <v>1</v>
      </c>
      <c r="C709" s="4">
        <v>3</v>
      </c>
      <c r="D709" s="4">
        <f>B709*C709</f>
        <v>3</v>
      </c>
      <c r="E709" s="1"/>
      <c r="F709" s="1"/>
      <c r="G709" s="1"/>
      <c r="H709" s="1"/>
    </row>
    <row r="710" spans="1:8" x14ac:dyDescent="0.25">
      <c r="A710" s="1"/>
      <c r="B710" s="1"/>
      <c r="C710" s="1"/>
      <c r="D710" s="1"/>
      <c r="E710" s="1"/>
      <c r="F710" s="1"/>
      <c r="G710" s="1"/>
      <c r="H710" s="1"/>
    </row>
    <row r="711" spans="1:8" x14ac:dyDescent="0.25">
      <c r="A711" s="1"/>
      <c r="B711" s="1"/>
      <c r="C711" s="1"/>
      <c r="D711" s="1"/>
      <c r="E711" s="1"/>
      <c r="F711" s="1"/>
      <c r="G711" s="1"/>
      <c r="H711" s="1"/>
    </row>
    <row r="712" spans="1:8" x14ac:dyDescent="0.25">
      <c r="A712" s="1" t="s">
        <v>437</v>
      </c>
      <c r="B712" s="1"/>
      <c r="C712" s="1"/>
      <c r="D712" s="1"/>
      <c r="E712" s="1"/>
      <c r="F712" s="1"/>
      <c r="G712" s="1"/>
      <c r="H712" s="1"/>
    </row>
    <row r="713" spans="1:8" x14ac:dyDescent="0.25">
      <c r="A713" s="4" t="s">
        <v>33</v>
      </c>
      <c r="B713" s="4" t="s">
        <v>34</v>
      </c>
      <c r="C713" s="4" t="s">
        <v>35</v>
      </c>
      <c r="D713" s="4" t="s">
        <v>36</v>
      </c>
      <c r="E713" s="1"/>
      <c r="F713" s="1"/>
      <c r="G713" s="1"/>
      <c r="H713" s="1"/>
    </row>
    <row r="714" spans="1:8" x14ac:dyDescent="0.25">
      <c r="A714" s="4" t="s">
        <v>246</v>
      </c>
      <c r="B714" s="4">
        <f>3+0.9+3</f>
        <v>6.9</v>
      </c>
      <c r="C714" s="4">
        <v>3.6</v>
      </c>
      <c r="D714" s="4">
        <f>B714*C714</f>
        <v>24.840000000000003</v>
      </c>
      <c r="E714" s="1"/>
      <c r="F714" s="1"/>
      <c r="G714" s="1"/>
      <c r="H714" s="1"/>
    </row>
    <row r="715" spans="1:8" x14ac:dyDescent="0.25">
      <c r="A715" s="1"/>
      <c r="B715" s="1"/>
      <c r="C715" s="1"/>
      <c r="D715" s="1">
        <f>SUM(D714:D714)</f>
        <v>24.840000000000003</v>
      </c>
      <c r="E715" s="1"/>
      <c r="F715" s="1"/>
      <c r="G715" s="1"/>
      <c r="H715" s="1"/>
    </row>
    <row r="716" spans="1:8" x14ac:dyDescent="0.25">
      <c r="A716" s="1"/>
      <c r="B716" s="1"/>
      <c r="C716" s="1"/>
      <c r="D716" s="1"/>
      <c r="E716" s="1"/>
      <c r="F716" s="1"/>
      <c r="G716" s="1"/>
      <c r="H716" s="1"/>
    </row>
    <row r="717" spans="1:8" x14ac:dyDescent="0.25">
      <c r="A717" s="1" t="s">
        <v>438</v>
      </c>
      <c r="B717" s="1"/>
      <c r="C717" s="1"/>
      <c r="D717" s="1"/>
      <c r="E717" s="1"/>
      <c r="F717" s="1"/>
      <c r="G717" s="1"/>
      <c r="H717" s="1"/>
    </row>
    <row r="718" spans="1:8" x14ac:dyDescent="0.25">
      <c r="A718" s="4" t="s">
        <v>33</v>
      </c>
      <c r="B718" s="4" t="s">
        <v>34</v>
      </c>
      <c r="C718" s="4" t="s">
        <v>35</v>
      </c>
      <c r="D718" s="4" t="s">
        <v>36</v>
      </c>
      <c r="E718" s="1"/>
      <c r="F718" s="1"/>
      <c r="G718" s="1"/>
      <c r="H718" s="1"/>
    </row>
    <row r="719" spans="1:8" x14ac:dyDescent="0.25">
      <c r="A719" s="4" t="s">
        <v>407</v>
      </c>
      <c r="B719" s="4">
        <v>3.4</v>
      </c>
      <c r="C719" s="4">
        <v>5.3</v>
      </c>
      <c r="D719" s="4">
        <f>B719*C719</f>
        <v>18.02</v>
      </c>
      <c r="E719" s="1"/>
      <c r="F719" s="1"/>
      <c r="G719" s="1"/>
      <c r="H719" s="1"/>
    </row>
    <row r="720" spans="1:8" x14ac:dyDescent="0.25">
      <c r="A720" s="1"/>
      <c r="B720" s="1"/>
      <c r="C720" s="1"/>
      <c r="D720" s="1">
        <f>SUM(D719:D719)</f>
        <v>18.02</v>
      </c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1" t="s">
        <v>439</v>
      </c>
      <c r="B722" s="1"/>
      <c r="C722" s="1"/>
      <c r="D722" s="1"/>
      <c r="E722" s="1"/>
      <c r="F722" s="1"/>
      <c r="G722" s="1"/>
      <c r="H722" s="1"/>
    </row>
    <row r="723" spans="1:8" x14ac:dyDescent="0.25">
      <c r="A723" s="1" t="s">
        <v>33</v>
      </c>
      <c r="B723" s="1" t="s">
        <v>34</v>
      </c>
      <c r="C723" s="1" t="s">
        <v>43</v>
      </c>
      <c r="D723" s="1" t="s">
        <v>435</v>
      </c>
      <c r="E723" s="1" t="s">
        <v>36</v>
      </c>
      <c r="F723" s="1"/>
      <c r="G723" s="1"/>
      <c r="H723" s="1"/>
    </row>
    <row r="724" spans="1:8" x14ac:dyDescent="0.25">
      <c r="A724" s="4" t="s">
        <v>431</v>
      </c>
      <c r="B724" s="4">
        <v>2.7</v>
      </c>
      <c r="C724" s="4">
        <v>1.72</v>
      </c>
      <c r="D724" s="4">
        <v>1</v>
      </c>
      <c r="E724" s="4">
        <f>B724*C724*D724</f>
        <v>4.6440000000000001</v>
      </c>
      <c r="F724" s="1"/>
      <c r="G724" s="1"/>
      <c r="H724" s="1"/>
    </row>
    <row r="725" spans="1:8" x14ac:dyDescent="0.25">
      <c r="A725" s="4" t="s">
        <v>407</v>
      </c>
      <c r="B725" s="4">
        <v>0.5</v>
      </c>
      <c r="C725" s="4">
        <v>5.3</v>
      </c>
      <c r="D725" s="4">
        <v>1</v>
      </c>
      <c r="E725" s="4">
        <f>B725*C725*D725</f>
        <v>2.65</v>
      </c>
      <c r="F725" s="1"/>
      <c r="G725" s="1"/>
      <c r="H725" s="1"/>
    </row>
    <row r="726" spans="1:8" x14ac:dyDescent="0.25">
      <c r="A726" s="1"/>
      <c r="B726" s="1"/>
      <c r="C726" s="1"/>
      <c r="D726" s="1"/>
      <c r="E726" s="1">
        <f>SUM(E724:E725)</f>
        <v>7.2940000000000005</v>
      </c>
      <c r="F726" s="1"/>
      <c r="G726" s="1"/>
      <c r="H726" s="1"/>
    </row>
    <row r="727" spans="1:8" x14ac:dyDescent="0.25">
      <c r="A727" s="1"/>
      <c r="B727" s="1"/>
      <c r="C727" s="1"/>
      <c r="D727" s="1"/>
      <c r="E727" s="1"/>
      <c r="F727" s="1"/>
      <c r="G727" s="1"/>
      <c r="H727" s="1"/>
    </row>
    <row r="728" spans="1:8" x14ac:dyDescent="0.25">
      <c r="A728" s="1" t="s">
        <v>440</v>
      </c>
      <c r="B728" s="1"/>
      <c r="C728" s="1"/>
      <c r="D728" s="1"/>
      <c r="E728" s="1"/>
      <c r="F728" s="1"/>
      <c r="G728" s="1"/>
      <c r="H728" s="1"/>
    </row>
    <row r="729" spans="1:8" x14ac:dyDescent="0.25">
      <c r="A729" s="4" t="s">
        <v>33</v>
      </c>
      <c r="B729" s="4" t="s">
        <v>40</v>
      </c>
      <c r="C729" s="1"/>
      <c r="D729" s="1"/>
      <c r="E729" s="1"/>
      <c r="F729" s="1"/>
      <c r="G729" s="1"/>
      <c r="H729" s="1"/>
    </row>
    <row r="730" spans="1:8" x14ac:dyDescent="0.25">
      <c r="A730" s="4" t="s">
        <v>246</v>
      </c>
      <c r="B730" s="4">
        <v>1</v>
      </c>
      <c r="C730" s="1"/>
      <c r="D730" s="1"/>
      <c r="E730" s="1"/>
      <c r="F730" s="1"/>
      <c r="G730" s="1"/>
      <c r="H730" s="1"/>
    </row>
    <row r="731" spans="1:8" x14ac:dyDescent="0.25">
      <c r="A731" s="1"/>
      <c r="B731" s="1"/>
      <c r="C731" s="1"/>
      <c r="D731" s="1"/>
      <c r="E731" s="1"/>
      <c r="F731" s="1"/>
      <c r="G731" s="1"/>
      <c r="H731" s="1"/>
    </row>
    <row r="732" spans="1:8" x14ac:dyDescent="0.25">
      <c r="A732" s="1" t="s">
        <v>441</v>
      </c>
      <c r="B732" s="1"/>
      <c r="C732" s="1"/>
      <c r="D732" s="1"/>
      <c r="E732" s="1"/>
      <c r="F732" s="1"/>
      <c r="G732" s="1"/>
      <c r="H732" s="1"/>
    </row>
    <row r="733" spans="1:8" x14ac:dyDescent="0.25">
      <c r="A733" s="4" t="s">
        <v>33</v>
      </c>
      <c r="B733" s="4" t="s">
        <v>35</v>
      </c>
      <c r="C733" s="1"/>
      <c r="D733" s="1"/>
      <c r="E733" s="1"/>
      <c r="F733" s="1"/>
      <c r="G733" s="1"/>
      <c r="H733" s="1"/>
    </row>
    <row r="734" spans="1:8" x14ac:dyDescent="0.25">
      <c r="A734" s="4" t="s">
        <v>442</v>
      </c>
      <c r="B734" s="4">
        <f>0.8+2.1+2.1</f>
        <v>5</v>
      </c>
      <c r="C734" s="1"/>
      <c r="D734" s="1"/>
      <c r="E734" s="1"/>
      <c r="F734" s="1"/>
      <c r="G734" s="1"/>
      <c r="H734" s="1"/>
    </row>
    <row r="735" spans="1:8" x14ac:dyDescent="0.25">
      <c r="A735" s="4" t="s">
        <v>246</v>
      </c>
      <c r="B735" s="4">
        <f>0.7+2.1+2.1</f>
        <v>4.9000000000000004</v>
      </c>
      <c r="C735" s="1"/>
      <c r="D735" s="1"/>
      <c r="E735" s="1"/>
      <c r="F735" s="1"/>
      <c r="G735" s="1"/>
      <c r="H735" s="1"/>
    </row>
    <row r="736" spans="1:8" x14ac:dyDescent="0.25">
      <c r="A736" s="1"/>
      <c r="B736" s="1">
        <f>SUM(B734:B735)</f>
        <v>9.9</v>
      </c>
      <c r="C736" s="1"/>
      <c r="D736" s="1"/>
      <c r="E736" s="1"/>
      <c r="F736" s="1"/>
      <c r="G736" s="1"/>
      <c r="H736" s="1"/>
    </row>
    <row r="737" spans="1:8" x14ac:dyDescent="0.25">
      <c r="A737" s="1"/>
      <c r="B737" s="1"/>
      <c r="C737" s="1"/>
      <c r="D737" s="1"/>
      <c r="E737" s="1"/>
      <c r="F737" s="1"/>
      <c r="G737" s="1"/>
      <c r="H737" s="1"/>
    </row>
    <row r="738" spans="1:8" x14ac:dyDescent="0.25">
      <c r="A738" s="1"/>
      <c r="B738" s="1"/>
      <c r="C738" s="1"/>
      <c r="D738" s="1"/>
      <c r="E738" s="1"/>
      <c r="F738" s="1"/>
      <c r="G738" s="1"/>
      <c r="H738" s="1"/>
    </row>
    <row r="739" spans="1:8" x14ac:dyDescent="0.25">
      <c r="A739" s="1" t="s">
        <v>443</v>
      </c>
      <c r="B739" s="1"/>
      <c r="C739" s="1"/>
      <c r="D739" s="1"/>
      <c r="E739" s="1"/>
      <c r="F739" s="1"/>
      <c r="G739" s="1"/>
      <c r="H739" s="1"/>
    </row>
    <row r="740" spans="1:8" x14ac:dyDescent="0.25">
      <c r="A740" s="4" t="s">
        <v>33</v>
      </c>
      <c r="B740" s="4" t="s">
        <v>34</v>
      </c>
      <c r="C740" s="4" t="s">
        <v>43</v>
      </c>
      <c r="D740" s="4" t="s">
        <v>40</v>
      </c>
      <c r="E740" s="4" t="s">
        <v>36</v>
      </c>
      <c r="F740" s="1"/>
      <c r="G740" s="1"/>
      <c r="H740" s="1"/>
    </row>
    <row r="741" spans="1:8" x14ac:dyDescent="0.25">
      <c r="A741" s="4" t="s">
        <v>419</v>
      </c>
      <c r="B741" s="4">
        <v>0.5</v>
      </c>
      <c r="C741" s="4">
        <f>1.2+1.2+1.5</f>
        <v>3.9</v>
      </c>
      <c r="D741" s="4">
        <v>2</v>
      </c>
      <c r="E741" s="4">
        <f>B741*C741*D741</f>
        <v>3.9</v>
      </c>
      <c r="F741" s="1"/>
      <c r="G741" s="1"/>
      <c r="H741" s="1"/>
    </row>
    <row r="742" spans="1:8" x14ac:dyDescent="0.25">
      <c r="A742" s="4" t="s">
        <v>419</v>
      </c>
      <c r="B742" s="4">
        <v>0.25</v>
      </c>
      <c r="C742" s="4">
        <f>1.2+1.2+1.5</f>
        <v>3.9</v>
      </c>
      <c r="D742" s="4">
        <v>1</v>
      </c>
      <c r="E742" s="4">
        <f>B742*C742*D742</f>
        <v>0.97499999999999998</v>
      </c>
      <c r="F742" s="1"/>
      <c r="G742" s="1"/>
      <c r="H742" s="1"/>
    </row>
    <row r="743" spans="1:8" x14ac:dyDescent="0.25">
      <c r="A743" s="4" t="s">
        <v>423</v>
      </c>
      <c r="B743" s="4">
        <v>0.4</v>
      </c>
      <c r="C743" s="4">
        <f>0.5+0.5+0.5+0.5</f>
        <v>2</v>
      </c>
      <c r="D743" s="4">
        <v>2</v>
      </c>
      <c r="E743" s="4">
        <f t="shared" ref="E743:E749" si="22">B743*C743*D743</f>
        <v>1.6</v>
      </c>
      <c r="F743" s="1"/>
      <c r="G743" s="1"/>
      <c r="H743" s="1"/>
    </row>
    <row r="744" spans="1:8" x14ac:dyDescent="0.25">
      <c r="A744" s="4" t="s">
        <v>423</v>
      </c>
      <c r="B744" s="4">
        <v>0.25</v>
      </c>
      <c r="C744" s="4">
        <f>0.5+0.5+0.5+0.5</f>
        <v>2</v>
      </c>
      <c r="D744" s="4">
        <v>1</v>
      </c>
      <c r="E744" s="4">
        <f t="shared" si="22"/>
        <v>0.5</v>
      </c>
      <c r="F744" s="1"/>
      <c r="G744" s="1"/>
      <c r="H744" s="1"/>
    </row>
    <row r="745" spans="1:8" x14ac:dyDescent="0.25">
      <c r="A745" s="4" t="s">
        <v>444</v>
      </c>
      <c r="B745" s="4">
        <v>1</v>
      </c>
      <c r="C745" s="4">
        <v>3.1</v>
      </c>
      <c r="D745" s="4">
        <v>1</v>
      </c>
      <c r="E745" s="4">
        <f t="shared" si="22"/>
        <v>3.1</v>
      </c>
      <c r="F745" s="1"/>
      <c r="G745" s="1"/>
      <c r="H745" s="1"/>
    </row>
    <row r="746" spans="1:8" x14ac:dyDescent="0.25">
      <c r="A746" s="4" t="s">
        <v>444</v>
      </c>
      <c r="B746" s="4">
        <v>0.1</v>
      </c>
      <c r="C746" s="4">
        <v>2.5</v>
      </c>
      <c r="D746" s="4">
        <v>1</v>
      </c>
      <c r="E746" s="4">
        <f t="shared" si="22"/>
        <v>0.25</v>
      </c>
      <c r="F746" s="1"/>
      <c r="G746" s="1"/>
      <c r="H746" s="1"/>
    </row>
    <row r="747" spans="1:8" x14ac:dyDescent="0.25">
      <c r="A747" s="4" t="s">
        <v>445</v>
      </c>
      <c r="B747" s="4">
        <f>1-0.8</f>
        <v>0.19999999999999996</v>
      </c>
      <c r="C747" s="4">
        <v>3.1</v>
      </c>
      <c r="D747" s="4">
        <v>2</v>
      </c>
      <c r="E747" s="4">
        <f t="shared" si="22"/>
        <v>1.2399999999999998</v>
      </c>
      <c r="F747" s="1"/>
      <c r="G747" s="1"/>
      <c r="H747" s="1"/>
    </row>
    <row r="748" spans="1:8" x14ac:dyDescent="0.25">
      <c r="A748" s="4" t="s">
        <v>446</v>
      </c>
      <c r="B748" s="4">
        <f>3.45+3.45+7.05+7.05</f>
        <v>21</v>
      </c>
      <c r="C748" s="4">
        <v>3.1</v>
      </c>
      <c r="D748" s="4">
        <v>1</v>
      </c>
      <c r="E748" s="4">
        <f t="shared" si="22"/>
        <v>65.100000000000009</v>
      </c>
      <c r="F748" s="1"/>
      <c r="G748" s="1"/>
      <c r="H748" s="1"/>
    </row>
    <row r="749" spans="1:8" x14ac:dyDescent="0.25">
      <c r="A749" s="4" t="s">
        <v>447</v>
      </c>
      <c r="B749" s="4">
        <v>7.35</v>
      </c>
      <c r="C749" s="4">
        <v>3.1</v>
      </c>
      <c r="D749" s="4">
        <v>1</v>
      </c>
      <c r="E749" s="4">
        <f t="shared" si="22"/>
        <v>22.785</v>
      </c>
      <c r="F749" s="1"/>
      <c r="G749" s="1"/>
      <c r="H749" s="1"/>
    </row>
    <row r="750" spans="1:8" x14ac:dyDescent="0.25">
      <c r="A750" s="1"/>
      <c r="B750" s="1"/>
      <c r="C750" s="1"/>
      <c r="D750" s="1"/>
      <c r="E750" s="1">
        <f>SUM(E741:E749)</f>
        <v>99.45</v>
      </c>
      <c r="F750" s="1"/>
      <c r="G750" s="1"/>
      <c r="H750" s="1"/>
    </row>
    <row r="751" spans="1:8" x14ac:dyDescent="0.25">
      <c r="A751" s="1"/>
      <c r="B751" s="1"/>
      <c r="C751" s="1"/>
      <c r="D751" s="1"/>
      <c r="E751" s="1"/>
      <c r="F751" s="1"/>
      <c r="G751" s="1"/>
      <c r="H751" s="1"/>
    </row>
    <row r="752" spans="1:8" x14ac:dyDescent="0.25">
      <c r="A752" s="1" t="s">
        <v>448</v>
      </c>
      <c r="B752" s="1"/>
      <c r="C752" s="1"/>
      <c r="D752" s="1"/>
      <c r="E752" s="1"/>
      <c r="F752" s="1"/>
      <c r="G752" s="1"/>
      <c r="H752" s="1"/>
    </row>
    <row r="753" spans="1:8" x14ac:dyDescent="0.25">
      <c r="A753" s="4" t="s">
        <v>33</v>
      </c>
      <c r="B753" s="4" t="s">
        <v>34</v>
      </c>
      <c r="C753" s="4" t="s">
        <v>43</v>
      </c>
      <c r="D753" s="4" t="s">
        <v>40</v>
      </c>
      <c r="E753" s="4" t="s">
        <v>36</v>
      </c>
      <c r="F753" s="1"/>
      <c r="G753" s="1"/>
      <c r="H753" s="1"/>
    </row>
    <row r="754" spans="1:8" x14ac:dyDescent="0.25">
      <c r="A754" s="4" t="s">
        <v>442</v>
      </c>
      <c r="B754" s="4">
        <v>0.8</v>
      </c>
      <c r="C754" s="4">
        <v>2.1</v>
      </c>
      <c r="D754" s="4">
        <v>2</v>
      </c>
      <c r="E754" s="4">
        <f>B754*C754*D754</f>
        <v>3.3600000000000003</v>
      </c>
      <c r="F754" s="1"/>
      <c r="G754" s="1"/>
      <c r="H754" s="1"/>
    </row>
    <row r="755" spans="1:8" x14ac:dyDescent="0.25">
      <c r="A755" s="4" t="s">
        <v>449</v>
      </c>
      <c r="B755" s="4">
        <v>0.15</v>
      </c>
      <c r="C755" s="4">
        <f>0.8+2.1+2.1</f>
        <v>5</v>
      </c>
      <c r="D755" s="4">
        <v>1</v>
      </c>
      <c r="E755" s="4">
        <f t="shared" ref="E755:E759" si="23">B755*C755*D755</f>
        <v>0.75</v>
      </c>
      <c r="F755" s="1"/>
      <c r="G755" s="1"/>
      <c r="H755" s="1"/>
    </row>
    <row r="756" spans="1:8" x14ac:dyDescent="0.25">
      <c r="A756" s="4" t="s">
        <v>450</v>
      </c>
      <c r="B756" s="4">
        <v>0.05</v>
      </c>
      <c r="C756" s="4">
        <f>0.8+2.1+2.1</f>
        <v>5</v>
      </c>
      <c r="D756" s="4">
        <v>2</v>
      </c>
      <c r="E756" s="4">
        <f t="shared" si="23"/>
        <v>0.5</v>
      </c>
      <c r="F756" s="1"/>
      <c r="G756" s="1"/>
      <c r="H756" s="1"/>
    </row>
    <row r="757" spans="1:8" x14ac:dyDescent="0.25">
      <c r="A757" s="4" t="s">
        <v>246</v>
      </c>
      <c r="B757" s="4">
        <v>0.8</v>
      </c>
      <c r="C757" s="4">
        <v>2.1</v>
      </c>
      <c r="D757" s="4">
        <v>2</v>
      </c>
      <c r="E757" s="4">
        <f t="shared" si="23"/>
        <v>3.3600000000000003</v>
      </c>
      <c r="F757" s="1"/>
      <c r="G757" s="1"/>
      <c r="H757" s="1"/>
    </row>
    <row r="758" spans="1:8" x14ac:dyDescent="0.25">
      <c r="A758" s="4" t="s">
        <v>451</v>
      </c>
      <c r="B758" s="4">
        <v>0.15</v>
      </c>
      <c r="C758" s="4">
        <f>0.7+2.1+2.1</f>
        <v>4.9000000000000004</v>
      </c>
      <c r="D758" s="4">
        <v>1</v>
      </c>
      <c r="E758" s="4">
        <f t="shared" si="23"/>
        <v>0.73499999999999999</v>
      </c>
      <c r="F758" s="1"/>
      <c r="G758" s="1"/>
      <c r="H758" s="1"/>
    </row>
    <row r="759" spans="1:8" x14ac:dyDescent="0.25">
      <c r="A759" s="4" t="s">
        <v>452</v>
      </c>
      <c r="B759" s="4">
        <v>0.05</v>
      </c>
      <c r="C759" s="4">
        <f>0.7+2.1+2.1</f>
        <v>4.9000000000000004</v>
      </c>
      <c r="D759" s="4">
        <v>2</v>
      </c>
      <c r="E759" s="4">
        <f t="shared" si="23"/>
        <v>0.49000000000000005</v>
      </c>
      <c r="F759" s="1"/>
      <c r="G759" s="1"/>
      <c r="H759" s="1"/>
    </row>
    <row r="760" spans="1:8" x14ac:dyDescent="0.25">
      <c r="A760" s="1"/>
      <c r="B760" s="1"/>
      <c r="C760" s="1"/>
      <c r="D760" s="1"/>
      <c r="E760" s="1">
        <f>SUM(E754:E759)</f>
        <v>9.1950000000000003</v>
      </c>
      <c r="F760" s="1"/>
      <c r="G760" s="1"/>
      <c r="H760" s="1"/>
    </row>
    <row r="761" spans="1:8" x14ac:dyDescent="0.25">
      <c r="A761" s="1"/>
      <c r="B761" s="1"/>
      <c r="C761" s="1"/>
      <c r="D761" s="1"/>
      <c r="E761" s="1"/>
      <c r="F761" s="1"/>
      <c r="G761" s="1"/>
      <c r="H761" s="1"/>
    </row>
    <row r="762" spans="1:8" x14ac:dyDescent="0.25">
      <c r="A762" s="1" t="s">
        <v>453</v>
      </c>
      <c r="B762" s="1"/>
      <c r="C762" s="1"/>
      <c r="D762" s="1"/>
      <c r="E762" s="1"/>
      <c r="F762" s="1"/>
      <c r="G762" s="1"/>
      <c r="H762" s="1"/>
    </row>
    <row r="763" spans="1:8" x14ac:dyDescent="0.25">
      <c r="A763" s="4" t="s">
        <v>33</v>
      </c>
      <c r="B763" s="4" t="s">
        <v>34</v>
      </c>
      <c r="C763" s="4" t="s">
        <v>43</v>
      </c>
      <c r="D763" s="4" t="s">
        <v>40</v>
      </c>
      <c r="E763" s="4" t="s">
        <v>36</v>
      </c>
      <c r="F763" s="1"/>
      <c r="G763" s="1"/>
      <c r="H763" s="1"/>
    </row>
    <row r="764" spans="1:8" x14ac:dyDescent="0.25">
      <c r="A764" s="4" t="s">
        <v>454</v>
      </c>
      <c r="B764" s="4">
        <v>0.5</v>
      </c>
      <c r="C764" s="4">
        <v>0.84</v>
      </c>
      <c r="D764" s="4">
        <v>4</v>
      </c>
      <c r="E764" s="4">
        <f>B764*C764*D764</f>
        <v>1.68</v>
      </c>
      <c r="F764" s="1"/>
      <c r="G764" s="1"/>
      <c r="H764" s="1"/>
    </row>
    <row r="765" spans="1:8" x14ac:dyDescent="0.25">
      <c r="A765" s="4" t="s">
        <v>454</v>
      </c>
      <c r="B765" s="4">
        <v>0.25</v>
      </c>
      <c r="C765" s="4">
        <v>0.84</v>
      </c>
      <c r="D765" s="4">
        <v>2</v>
      </c>
      <c r="E765" s="4">
        <f t="shared" ref="E765:E770" si="24">B765*C765*D765</f>
        <v>0.42</v>
      </c>
      <c r="F765" s="1"/>
      <c r="G765" s="1"/>
      <c r="H765" s="1"/>
    </row>
    <row r="766" spans="1:8" x14ac:dyDescent="0.25">
      <c r="A766" s="4" t="s">
        <v>455</v>
      </c>
      <c r="B766" s="4">
        <v>0.4</v>
      </c>
      <c r="C766" s="4">
        <v>0.3</v>
      </c>
      <c r="D766" s="4">
        <v>4</v>
      </c>
      <c r="E766" s="4">
        <f t="shared" si="24"/>
        <v>0.48</v>
      </c>
      <c r="F766" s="1"/>
      <c r="G766" s="1"/>
      <c r="H766" s="1"/>
    </row>
    <row r="767" spans="1:8" x14ac:dyDescent="0.25">
      <c r="A767" s="4" t="s">
        <v>455</v>
      </c>
      <c r="B767" s="4">
        <v>0.25</v>
      </c>
      <c r="C767" s="4">
        <v>0.3</v>
      </c>
      <c r="D767" s="4">
        <v>2</v>
      </c>
      <c r="E767" s="4">
        <f t="shared" si="24"/>
        <v>0.15</v>
      </c>
      <c r="F767" s="1"/>
      <c r="G767" s="1"/>
      <c r="H767" s="1"/>
    </row>
    <row r="768" spans="1:8" x14ac:dyDescent="0.25">
      <c r="A768" s="4" t="s">
        <v>456</v>
      </c>
      <c r="B768" s="4">
        <v>7.35</v>
      </c>
      <c r="C768" s="4">
        <v>3.1</v>
      </c>
      <c r="D768" s="4">
        <v>1</v>
      </c>
      <c r="E768" s="4">
        <f t="shared" si="24"/>
        <v>22.785</v>
      </c>
      <c r="F768" s="1"/>
      <c r="G768" s="1"/>
      <c r="H768" s="1"/>
    </row>
    <row r="769" spans="1:8" x14ac:dyDescent="0.25">
      <c r="A769" s="4" t="s">
        <v>246</v>
      </c>
      <c r="B769" s="4">
        <f>3+0.9+3</f>
        <v>6.9</v>
      </c>
      <c r="C769" s="4">
        <v>3.6</v>
      </c>
      <c r="D769" s="4">
        <v>1</v>
      </c>
      <c r="E769" s="4">
        <f t="shared" si="24"/>
        <v>24.840000000000003</v>
      </c>
      <c r="F769" s="1"/>
      <c r="G769" s="1"/>
      <c r="H769" s="1"/>
    </row>
    <row r="770" spans="1:8" x14ac:dyDescent="0.25">
      <c r="A770" s="4" t="s">
        <v>446</v>
      </c>
      <c r="B770" s="4">
        <f>7.05+7.05+3.45+3.45</f>
        <v>21</v>
      </c>
      <c r="C770" s="4">
        <v>3.1</v>
      </c>
      <c r="D770" s="4">
        <v>1</v>
      </c>
      <c r="E770" s="4">
        <f t="shared" si="24"/>
        <v>65.100000000000009</v>
      </c>
      <c r="F770" s="1"/>
      <c r="G770" s="1"/>
      <c r="H770" s="1"/>
    </row>
    <row r="771" spans="1:8" x14ac:dyDescent="0.25">
      <c r="A771" s="1"/>
      <c r="B771" s="1"/>
      <c r="C771" s="1"/>
      <c r="D771" s="1"/>
      <c r="E771" s="1">
        <f>SUM(E764:E770)</f>
        <v>115.45500000000001</v>
      </c>
      <c r="F771" s="1"/>
      <c r="G771" s="1"/>
      <c r="H771" s="1"/>
    </row>
    <row r="772" spans="1:8" x14ac:dyDescent="0.25">
      <c r="A772" s="1"/>
      <c r="B772" s="1"/>
      <c r="C772" s="1"/>
      <c r="D772" s="1"/>
      <c r="E772" s="1"/>
      <c r="F772" s="1"/>
      <c r="G772" s="1"/>
      <c r="H772" s="1"/>
    </row>
    <row r="773" spans="1:8" x14ac:dyDescent="0.25">
      <c r="A773" s="1" t="s">
        <v>457</v>
      </c>
      <c r="B773" s="1"/>
      <c r="C773" s="1"/>
      <c r="D773" s="1"/>
      <c r="E773" s="1"/>
      <c r="F773" s="1"/>
      <c r="G773" s="1"/>
      <c r="H773" s="1"/>
    </row>
    <row r="774" spans="1:8" x14ac:dyDescent="0.25">
      <c r="A774" s="4" t="s">
        <v>33</v>
      </c>
      <c r="B774" s="4" t="s">
        <v>34</v>
      </c>
      <c r="C774" s="4" t="s">
        <v>35</v>
      </c>
      <c r="D774" s="4" t="s">
        <v>36</v>
      </c>
      <c r="E774" s="1"/>
      <c r="F774" s="1"/>
      <c r="G774" s="1"/>
      <c r="H774" s="1"/>
    </row>
    <row r="775" spans="1:8" x14ac:dyDescent="0.25">
      <c r="A775" s="4" t="s">
        <v>407</v>
      </c>
      <c r="B775" s="4">
        <v>3.4</v>
      </c>
      <c r="C775" s="4">
        <v>5.3</v>
      </c>
      <c r="D775" s="4">
        <f>B775*C775</f>
        <v>18.02</v>
      </c>
      <c r="E775" s="1"/>
      <c r="F775" s="1"/>
      <c r="G775" s="1"/>
      <c r="H775" s="1"/>
    </row>
    <row r="776" spans="1:8" x14ac:dyDescent="0.25">
      <c r="A776" s="4" t="s">
        <v>431</v>
      </c>
      <c r="B776" s="4">
        <v>1.72</v>
      </c>
      <c r="C776" s="4">
        <v>2.75</v>
      </c>
      <c r="D776" s="4">
        <f t="shared" ref="D776" si="25">B776*C776</f>
        <v>4.7299999999999995</v>
      </c>
      <c r="E776" s="1"/>
      <c r="F776" s="1"/>
      <c r="G776" s="1"/>
      <c r="H776" s="1"/>
    </row>
    <row r="777" spans="1:8" x14ac:dyDescent="0.25">
      <c r="A777" s="1"/>
      <c r="B777" s="1"/>
      <c r="C777" s="1"/>
      <c r="D777" s="1">
        <f>SUM(D775:D776)</f>
        <v>22.75</v>
      </c>
      <c r="E777" s="1"/>
      <c r="F777" s="1"/>
      <c r="G777" s="1"/>
      <c r="H777" s="1"/>
    </row>
    <row r="779" spans="1:8" x14ac:dyDescent="0.25">
      <c r="A779" s="14" t="s">
        <v>458</v>
      </c>
    </row>
    <row r="780" spans="1:8" x14ac:dyDescent="0.25">
      <c r="A780" t="s">
        <v>473</v>
      </c>
    </row>
    <row r="781" spans="1:8" x14ac:dyDescent="0.25">
      <c r="A781" s="4" t="s">
        <v>35</v>
      </c>
      <c r="B781" s="4" t="s">
        <v>40</v>
      </c>
      <c r="C781" s="4" t="s">
        <v>36</v>
      </c>
    </row>
    <row r="782" spans="1:8" x14ac:dyDescent="0.25">
      <c r="A782" s="4">
        <v>3</v>
      </c>
      <c r="B782" s="4">
        <v>8</v>
      </c>
      <c r="C782" s="4">
        <f>A782*B782</f>
        <v>24</v>
      </c>
    </row>
    <row r="784" spans="1:8" x14ac:dyDescent="0.25">
      <c r="A784" t="s">
        <v>58</v>
      </c>
    </row>
    <row r="785" spans="1:5" x14ac:dyDescent="0.25">
      <c r="A785" s="4" t="s">
        <v>34</v>
      </c>
      <c r="B785" s="4" t="s">
        <v>35</v>
      </c>
      <c r="C785" s="4" t="s">
        <v>43</v>
      </c>
      <c r="D785" s="4" t="s">
        <v>40</v>
      </c>
      <c r="E785" s="4" t="s">
        <v>36</v>
      </c>
    </row>
    <row r="786" spans="1:5" x14ac:dyDescent="0.25">
      <c r="A786" s="4">
        <f>0.5+0.2</f>
        <v>0.7</v>
      </c>
      <c r="B786" s="4">
        <f>0.5+0.2</f>
        <v>0.7</v>
      </c>
      <c r="C786" s="4">
        <v>0.5</v>
      </c>
      <c r="D786" s="4">
        <v>4</v>
      </c>
      <c r="E786" s="4">
        <f>A786*B786*C786*D786</f>
        <v>0.97999999999999987</v>
      </c>
    </row>
    <row r="788" spans="1:5" x14ac:dyDescent="0.25">
      <c r="A788" t="s">
        <v>474</v>
      </c>
    </row>
    <row r="789" spans="1:5" x14ac:dyDescent="0.25">
      <c r="A789" s="4" t="s">
        <v>34</v>
      </c>
      <c r="B789" s="4" t="s">
        <v>35</v>
      </c>
      <c r="C789" s="4" t="s">
        <v>40</v>
      </c>
      <c r="D789" s="4" t="s">
        <v>36</v>
      </c>
    </row>
    <row r="790" spans="1:5" x14ac:dyDescent="0.25">
      <c r="A790" s="4">
        <v>0.5</v>
      </c>
      <c r="B790" s="4">
        <v>0.5</v>
      </c>
      <c r="C790" s="4">
        <f>4*4</f>
        <v>16</v>
      </c>
      <c r="D790" s="4">
        <f>A790*B790*C790</f>
        <v>4</v>
      </c>
    </row>
    <row r="793" spans="1:5" x14ac:dyDescent="0.25">
      <c r="A793" t="s">
        <v>475</v>
      </c>
    </row>
    <row r="794" spans="1:5" x14ac:dyDescent="0.25">
      <c r="A794" s="4" t="s">
        <v>35</v>
      </c>
      <c r="B794" s="4" t="s">
        <v>40</v>
      </c>
      <c r="C794" s="4" t="s">
        <v>476</v>
      </c>
      <c r="D794" s="4" t="s">
        <v>477</v>
      </c>
      <c r="E794" s="4" t="s">
        <v>36</v>
      </c>
    </row>
    <row r="795" spans="1:5" x14ac:dyDescent="0.25">
      <c r="A795" s="4">
        <f>0.46+0.46+0.46+0.46+0.1</f>
        <v>1.9400000000000002</v>
      </c>
      <c r="B795" s="4">
        <v>3</v>
      </c>
      <c r="C795" s="4">
        <v>0.61699999999999999</v>
      </c>
      <c r="D795" s="4">
        <v>4</v>
      </c>
      <c r="E795" s="4">
        <f>A795*B795*C795*D795</f>
        <v>14.363760000000001</v>
      </c>
    </row>
    <row r="797" spans="1:5" x14ac:dyDescent="0.25">
      <c r="A797" t="s">
        <v>478</v>
      </c>
    </row>
    <row r="798" spans="1:5" x14ac:dyDescent="0.25">
      <c r="A798" s="4" t="s">
        <v>34</v>
      </c>
      <c r="B798" s="4" t="s">
        <v>35</v>
      </c>
      <c r="C798" s="4" t="s">
        <v>43</v>
      </c>
      <c r="D798" s="4" t="s">
        <v>40</v>
      </c>
      <c r="E798" s="4" t="s">
        <v>36</v>
      </c>
    </row>
    <row r="799" spans="1:5" x14ac:dyDescent="0.25">
      <c r="A799" s="4">
        <v>0.5</v>
      </c>
      <c r="B799" s="4">
        <v>0.5</v>
      </c>
      <c r="C799" s="4">
        <v>0.5</v>
      </c>
      <c r="D799" s="4">
        <v>4</v>
      </c>
      <c r="E799" s="4">
        <f>A799*B799*C799*D799</f>
        <v>0.5</v>
      </c>
    </row>
    <row r="802" spans="1:7" x14ac:dyDescent="0.25">
      <c r="A802" t="s">
        <v>479</v>
      </c>
    </row>
    <row r="803" spans="1:7" x14ac:dyDescent="0.25">
      <c r="A803" s="4" t="s">
        <v>480</v>
      </c>
      <c r="B803" s="4" t="s">
        <v>34</v>
      </c>
      <c r="C803" s="4" t="s">
        <v>35</v>
      </c>
      <c r="D803" s="4" t="s">
        <v>43</v>
      </c>
      <c r="E803" s="4" t="s">
        <v>40</v>
      </c>
      <c r="F803" s="4" t="s">
        <v>481</v>
      </c>
      <c r="G803" s="4" t="s">
        <v>36</v>
      </c>
    </row>
    <row r="804" spans="1:7" x14ac:dyDescent="0.25">
      <c r="A804" s="4" t="s">
        <v>123</v>
      </c>
      <c r="B804" s="4">
        <v>0.6</v>
      </c>
      <c r="C804" s="4">
        <v>0.6</v>
      </c>
      <c r="D804" s="4">
        <v>2.5</v>
      </c>
      <c r="E804" s="4">
        <v>6</v>
      </c>
      <c r="F804" s="4">
        <v>42.8</v>
      </c>
      <c r="G804" s="4">
        <f>B804*C804*D804*E804*F804</f>
        <v>231.11999999999995</v>
      </c>
    </row>
    <row r="805" spans="1:7" x14ac:dyDescent="0.25">
      <c r="A805" s="4" t="s">
        <v>145</v>
      </c>
      <c r="B805" s="4">
        <v>0.6</v>
      </c>
      <c r="C805" s="4">
        <v>0.6</v>
      </c>
      <c r="D805" s="4">
        <v>5</v>
      </c>
      <c r="E805" s="4">
        <v>3</v>
      </c>
      <c r="F805" s="4">
        <v>42.8</v>
      </c>
      <c r="G805" s="4">
        <f t="shared" ref="G805:G806" si="26">B805*C805*D805*E805*F805</f>
        <v>231.11999999999995</v>
      </c>
    </row>
    <row r="806" spans="1:7" x14ac:dyDescent="0.25">
      <c r="A806" s="4" t="s">
        <v>145</v>
      </c>
      <c r="B806" s="4">
        <v>0.5</v>
      </c>
      <c r="C806" s="4">
        <v>0.3</v>
      </c>
      <c r="D806" s="4">
        <v>13</v>
      </c>
      <c r="E806" s="4">
        <v>4</v>
      </c>
      <c r="F806" s="4">
        <v>42.8</v>
      </c>
      <c r="G806" s="4">
        <f t="shared" si="26"/>
        <v>333.84</v>
      </c>
    </row>
    <row r="807" spans="1:7" x14ac:dyDescent="0.25">
      <c r="G807" s="1">
        <f>SUM(G804:G806)</f>
        <v>796.07999999999993</v>
      </c>
    </row>
    <row r="809" spans="1:7" x14ac:dyDescent="0.25">
      <c r="A809" s="1" t="s">
        <v>482</v>
      </c>
    </row>
    <row r="810" spans="1:7" x14ac:dyDescent="0.25">
      <c r="A810" s="4" t="s">
        <v>34</v>
      </c>
      <c r="B810" s="4" t="s">
        <v>35</v>
      </c>
      <c r="C810" s="4" t="s">
        <v>36</v>
      </c>
    </row>
    <row r="811" spans="1:7" x14ac:dyDescent="0.25">
      <c r="A811" s="4">
        <v>13</v>
      </c>
      <c r="B811" s="4">
        <v>5</v>
      </c>
      <c r="C811" s="4">
        <f>A811*B811</f>
        <v>65</v>
      </c>
    </row>
    <row r="814" spans="1:7" x14ac:dyDescent="0.25">
      <c r="A814" t="s">
        <v>483</v>
      </c>
    </row>
    <row r="815" spans="1:7" x14ac:dyDescent="0.25">
      <c r="A815" s="4" t="s">
        <v>33</v>
      </c>
      <c r="B815" s="28" t="s">
        <v>35</v>
      </c>
    </row>
    <row r="816" spans="1:7" x14ac:dyDescent="0.25">
      <c r="A816" s="4" t="s">
        <v>178</v>
      </c>
      <c r="B816" s="4">
        <v>13</v>
      </c>
    </row>
    <row r="817" spans="1:5" x14ac:dyDescent="0.25">
      <c r="A817" s="4" t="s">
        <v>260</v>
      </c>
      <c r="B817" s="4">
        <v>13</v>
      </c>
    </row>
    <row r="818" spans="1:5" x14ac:dyDescent="0.25">
      <c r="B818" s="1">
        <f>SUM(B816:B817)</f>
        <v>26</v>
      </c>
    </row>
    <row r="820" spans="1:5" x14ac:dyDescent="0.25">
      <c r="A820" s="1" t="s">
        <v>484</v>
      </c>
    </row>
    <row r="821" spans="1:5" x14ac:dyDescent="0.25">
      <c r="A821" s="4" t="s">
        <v>480</v>
      </c>
      <c r="B821" s="4" t="s">
        <v>485</v>
      </c>
      <c r="C821" s="4" t="s">
        <v>43</v>
      </c>
      <c r="D821" s="4" t="s">
        <v>40</v>
      </c>
      <c r="E821" s="4" t="s">
        <v>36</v>
      </c>
    </row>
    <row r="822" spans="1:5" x14ac:dyDescent="0.25">
      <c r="A822" s="4" t="s">
        <v>123</v>
      </c>
      <c r="B822" s="12">
        <f>(0.1+0.1+0.1+0.1)*2</f>
        <v>0.8</v>
      </c>
      <c r="C822" s="4">
        <v>2.5</v>
      </c>
      <c r="D822" s="4">
        <v>6</v>
      </c>
      <c r="E822" s="4">
        <f>B822*C822*D822</f>
        <v>12</v>
      </c>
    </row>
    <row r="823" spans="1:5" x14ac:dyDescent="0.25">
      <c r="A823" s="4" t="s">
        <v>145</v>
      </c>
      <c r="B823" s="12">
        <f>0.1+0.1+0.1+0.1</f>
        <v>0.4</v>
      </c>
      <c r="C823" s="4">
        <v>5</v>
      </c>
      <c r="D823" s="4">
        <v>3</v>
      </c>
      <c r="E823" s="4">
        <f t="shared" ref="E823:E824" si="27">B823*C823*D823</f>
        <v>6</v>
      </c>
    </row>
    <row r="824" spans="1:5" x14ac:dyDescent="0.25">
      <c r="A824" s="4" t="s">
        <v>145</v>
      </c>
      <c r="B824" s="12">
        <f>0.1+0.1+0.1+0.1</f>
        <v>0.4</v>
      </c>
      <c r="C824" s="4">
        <v>13</v>
      </c>
      <c r="D824" s="4">
        <v>4</v>
      </c>
      <c r="E824" s="4">
        <f t="shared" si="27"/>
        <v>20.8</v>
      </c>
    </row>
    <row r="825" spans="1:5" x14ac:dyDescent="0.25">
      <c r="E825" s="1">
        <f>SUM(E822:E824)</f>
        <v>38.799999999999997</v>
      </c>
    </row>
    <row r="827" spans="1:5" x14ac:dyDescent="0.25">
      <c r="A827" s="1" t="s">
        <v>486</v>
      </c>
    </row>
    <row r="828" spans="1:5" x14ac:dyDescent="0.25">
      <c r="A828" s="4" t="s">
        <v>34</v>
      </c>
      <c r="B828" s="12" t="s">
        <v>35</v>
      </c>
      <c r="C828" s="12" t="s">
        <v>36</v>
      </c>
    </row>
    <row r="829" spans="1:5" x14ac:dyDescent="0.25">
      <c r="A829" s="12">
        <v>5</v>
      </c>
      <c r="B829" s="12">
        <v>13</v>
      </c>
      <c r="C829" s="12">
        <f>A829*B829</f>
        <v>65</v>
      </c>
    </row>
    <row r="834" spans="1:2" x14ac:dyDescent="0.25">
      <c r="A834" s="77" t="s">
        <v>504</v>
      </c>
      <c r="B834" s="77"/>
    </row>
    <row r="835" spans="1:2" x14ac:dyDescent="0.25">
      <c r="A835" s="78" t="s">
        <v>500</v>
      </c>
      <c r="B835" s="78"/>
    </row>
    <row r="836" spans="1:2" x14ac:dyDescent="0.25">
      <c r="A836" s="79" t="s">
        <v>501</v>
      </c>
      <c r="B836" s="79"/>
    </row>
  </sheetData>
  <mergeCells count="3">
    <mergeCell ref="A834:B834"/>
    <mergeCell ref="A835:B835"/>
    <mergeCell ref="A836:B83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B8DC-8E72-4687-90CC-AC43047D1F38}">
  <dimension ref="A1:M30"/>
  <sheetViews>
    <sheetView workbookViewId="0">
      <selection activeCell="H36" sqref="H36"/>
    </sheetView>
  </sheetViews>
  <sheetFormatPr defaultRowHeight="15" x14ac:dyDescent="0.25"/>
  <cols>
    <col min="2" max="2" width="42.7109375" customWidth="1"/>
    <col min="3" max="3" width="17.85546875" customWidth="1"/>
    <col min="4" max="4" width="18" style="1" customWidth="1"/>
    <col min="5" max="5" width="9.140625" style="1"/>
    <col min="6" max="6" width="18" style="1" customWidth="1"/>
    <col min="7" max="7" width="9.140625" style="1"/>
    <col min="8" max="8" width="18.5703125" style="1" customWidth="1"/>
    <col min="9" max="9" width="9.140625" style="1" customWidth="1"/>
    <col min="10" max="10" width="18.28515625" style="1" customWidth="1"/>
    <col min="11" max="11" width="9.140625" style="1"/>
    <col min="12" max="12" width="20" customWidth="1"/>
  </cols>
  <sheetData>
    <row r="1" spans="1:13" x14ac:dyDescent="0.25">
      <c r="A1" t="s">
        <v>487</v>
      </c>
    </row>
    <row r="2" spans="1:13" x14ac:dyDescent="0.25">
      <c r="A2" t="str">
        <f>'PO EDUCAÇÃO 2026'!B1</f>
        <v>C.E.M.E.I. profª. "Sylcéia Vera Galvão Mouro"</v>
      </c>
    </row>
    <row r="3" spans="1:13" x14ac:dyDescent="0.25">
      <c r="A3" t="str">
        <f>'PO EDUCAÇÃO 2026'!B5</f>
        <v xml:space="preserve">C.E.I." AMANTINA ABUSSANRA THAME" </v>
      </c>
    </row>
    <row r="4" spans="1:13" x14ac:dyDescent="0.25">
      <c r="A4" t="str">
        <f>'PO EDUCAÇÃO 2026'!B9</f>
        <v xml:space="preserve">C.E.I. profª. "Ana Cristina Favoretti da Silva" </v>
      </c>
    </row>
    <row r="5" spans="1:13" x14ac:dyDescent="0.25">
      <c r="A5" t="str">
        <f>'PO EDUCAÇÃO 2026'!B13</f>
        <v>EMEF "ESMERALDA BERTOLLI LABRONICI"</v>
      </c>
    </row>
    <row r="6" spans="1:13" x14ac:dyDescent="0.25">
      <c r="A6" t="str">
        <f>'PO EDUCAÇÃO 2026'!B17</f>
        <v xml:space="preserve">E.M.E.F. profª. "Iris Castro Amadio" </v>
      </c>
    </row>
    <row r="7" spans="1:13" x14ac:dyDescent="0.25">
      <c r="A7" t="str">
        <f>'PO EDUCAÇÃO 2026'!B21</f>
        <v>C.E.I. "Josefina Franco Primo" - 23°17'12"S 47°40'08"W</v>
      </c>
    </row>
    <row r="9" spans="1:13" x14ac:dyDescent="0.25">
      <c r="A9" t="str">
        <f>'PO EDUCAÇÃO 2026'!A25</f>
        <v>Base:</v>
      </c>
      <c r="B9" t="str">
        <f>'PO EDUCAÇÃO 2026'!B25</f>
        <v>SINAPI 01/2026</v>
      </c>
    </row>
    <row r="10" spans="1:13" x14ac:dyDescent="0.25">
      <c r="B10" t="str">
        <f>'PO EDUCAÇÃO 2026'!B26</f>
        <v>CDHU - 200</v>
      </c>
    </row>
    <row r="12" spans="1:13" x14ac:dyDescent="0.25">
      <c r="A12" t="str">
        <f>'PO EDUCAÇÃO 2026'!A29</f>
        <v>BDI SEM DESONERAÇÃO</v>
      </c>
    </row>
    <row r="13" spans="1:13" x14ac:dyDescent="0.25">
      <c r="A13">
        <f>'PO EDUCAÇÃO 2026'!C29</f>
        <v>1.2246999999999999</v>
      </c>
    </row>
    <row r="15" spans="1:13" ht="15.75" thickBot="1" x14ac:dyDescent="0.3"/>
    <row r="16" spans="1:13" x14ac:dyDescent="0.25">
      <c r="A16" s="88" t="s">
        <v>6</v>
      </c>
      <c r="B16" s="90" t="s">
        <v>488</v>
      </c>
      <c r="C16" s="92" t="s">
        <v>489</v>
      </c>
      <c r="D16" s="80" t="s">
        <v>490</v>
      </c>
      <c r="E16" s="81"/>
      <c r="F16" s="80" t="s">
        <v>491</v>
      </c>
      <c r="G16" s="81"/>
      <c r="H16" s="80" t="s">
        <v>492</v>
      </c>
      <c r="I16" s="81"/>
      <c r="J16" s="80" t="s">
        <v>493</v>
      </c>
      <c r="K16" s="81"/>
      <c r="L16" s="80" t="s">
        <v>30</v>
      </c>
      <c r="M16" s="81"/>
    </row>
    <row r="17" spans="1:13" x14ac:dyDescent="0.25">
      <c r="A17" s="89"/>
      <c r="B17" s="91"/>
      <c r="C17" s="93"/>
      <c r="D17" s="9" t="s">
        <v>489</v>
      </c>
      <c r="E17" s="30" t="s">
        <v>329</v>
      </c>
      <c r="F17" s="9" t="s">
        <v>489</v>
      </c>
      <c r="G17" s="30" t="s">
        <v>329</v>
      </c>
      <c r="H17" s="9" t="s">
        <v>489</v>
      </c>
      <c r="I17" s="30" t="s">
        <v>329</v>
      </c>
      <c r="J17" s="9" t="s">
        <v>489</v>
      </c>
      <c r="K17" s="30" t="s">
        <v>329</v>
      </c>
      <c r="L17" s="9" t="s">
        <v>489</v>
      </c>
      <c r="M17" s="30" t="s">
        <v>329</v>
      </c>
    </row>
    <row r="18" spans="1:13" x14ac:dyDescent="0.25">
      <c r="A18" s="9" t="s">
        <v>494</v>
      </c>
      <c r="B18" s="12" t="str">
        <f>A2</f>
        <v>C.E.M.E.I. profª. "Sylcéia Vera Galvão Mouro"</v>
      </c>
      <c r="C18" s="36">
        <f>'PO EDUCAÇÃO 2026'!I51</f>
        <v>117801.46657133049</v>
      </c>
      <c r="D18" s="35">
        <f>C18*0.6</f>
        <v>70680.879942798289</v>
      </c>
      <c r="E18" s="32">
        <f>D18/C$24</f>
        <v>6.489868094952625E-2</v>
      </c>
      <c r="F18" s="35">
        <f>C18*0.4</f>
        <v>47120.586628532197</v>
      </c>
      <c r="G18" s="32">
        <f>F18/C$24</f>
        <v>4.3265787299684173E-2</v>
      </c>
      <c r="H18" s="9"/>
      <c r="I18" s="32">
        <f>H18/C$24</f>
        <v>0</v>
      </c>
      <c r="J18" s="9"/>
      <c r="K18" s="32">
        <f>J18/C$24</f>
        <v>0</v>
      </c>
      <c r="L18" s="31">
        <f>D18+F18+H18+J18</f>
        <v>117801.46657133049</v>
      </c>
      <c r="M18" s="32">
        <f>E18+G18+I18+K18</f>
        <v>0.10816446824921042</v>
      </c>
    </row>
    <row r="19" spans="1:13" x14ac:dyDescent="0.25">
      <c r="A19" s="9" t="s">
        <v>495</v>
      </c>
      <c r="B19" s="12" t="str">
        <f t="shared" ref="B19:B23" si="0">A3</f>
        <v xml:space="preserve">C.E.I." AMANTINA ABUSSANRA THAME" </v>
      </c>
      <c r="C19" s="36">
        <f>'PO EDUCAÇÃO 2026'!I87</f>
        <v>206809.03985643582</v>
      </c>
      <c r="D19" s="35">
        <f>C19*0.4</f>
        <v>82723.615942574339</v>
      </c>
      <c r="E19" s="32">
        <f t="shared" ref="E19:E23" si="1">D19/C$24</f>
        <v>7.5956235440094999E-2</v>
      </c>
      <c r="F19" s="35">
        <f>C19*0.4</f>
        <v>82723.615942574339</v>
      </c>
      <c r="G19" s="32">
        <f t="shared" ref="G19:G23" si="2">F19/C$24</f>
        <v>7.5956235440094999E-2</v>
      </c>
      <c r="H19" s="35">
        <f>C19*0.2</f>
        <v>41361.807971287169</v>
      </c>
      <c r="I19" s="32">
        <f t="shared" ref="I19:I23" si="3">H19/C$24</f>
        <v>3.79781177200475E-2</v>
      </c>
      <c r="J19" s="9"/>
      <c r="K19" s="32">
        <f t="shared" ref="K19:K23" si="4">J19/C$24</f>
        <v>0</v>
      </c>
      <c r="L19" s="31">
        <f t="shared" ref="L19:L23" si="5">D19+F19+H19+J19</f>
        <v>206809.03985643585</v>
      </c>
      <c r="M19" s="32">
        <f t="shared" ref="M19:M23" si="6">E19+G19+I19+K19</f>
        <v>0.1898905886002375</v>
      </c>
    </row>
    <row r="20" spans="1:13" x14ac:dyDescent="0.25">
      <c r="A20" s="9" t="s">
        <v>496</v>
      </c>
      <c r="B20" s="12" t="str">
        <f t="shared" si="0"/>
        <v xml:space="preserve">C.E.I. profª. "Ana Cristina Favoretti da Silva" </v>
      </c>
      <c r="C20" s="36">
        <f>'PO EDUCAÇÃO 2026'!I100</f>
        <v>285831.29178028094</v>
      </c>
      <c r="D20" s="35">
        <f>C20*0.2</f>
        <v>57166.258356056191</v>
      </c>
      <c r="E20" s="32">
        <f t="shared" si="1"/>
        <v>5.248965158795954E-2</v>
      </c>
      <c r="F20" s="35">
        <f>C20*0.2</f>
        <v>57166.258356056191</v>
      </c>
      <c r="G20" s="32">
        <f t="shared" si="2"/>
        <v>5.248965158795954E-2</v>
      </c>
      <c r="H20" s="35">
        <f>C20*0.4</f>
        <v>114332.51671211238</v>
      </c>
      <c r="I20" s="32">
        <f t="shared" si="3"/>
        <v>0.10497930317591908</v>
      </c>
      <c r="J20" s="35">
        <f>C20*0.2</f>
        <v>57166.258356056191</v>
      </c>
      <c r="K20" s="32">
        <f t="shared" si="4"/>
        <v>5.248965158795954E-2</v>
      </c>
      <c r="L20" s="31">
        <f t="shared" si="5"/>
        <v>285831.29178028094</v>
      </c>
      <c r="M20" s="32">
        <f t="shared" si="6"/>
        <v>0.2624482579397977</v>
      </c>
    </row>
    <row r="21" spans="1:13" x14ac:dyDescent="0.25">
      <c r="A21" s="9" t="s">
        <v>497</v>
      </c>
      <c r="B21" s="12" t="str">
        <f t="shared" si="0"/>
        <v>EMEF "ESMERALDA BERTOLLI LABRONICI"</v>
      </c>
      <c r="C21" s="36">
        <f>'PO EDUCAÇÃO 2026'!I122</f>
        <v>385977.75104418886</v>
      </c>
      <c r="D21" s="35">
        <f>C21*0.5</f>
        <v>192988.87552209443</v>
      </c>
      <c r="E21" s="32">
        <f t="shared" si="1"/>
        <v>0.17720101206227828</v>
      </c>
      <c r="F21" s="35">
        <f>C21*0.5</f>
        <v>192988.87552209443</v>
      </c>
      <c r="G21" s="32">
        <f t="shared" si="2"/>
        <v>0.17720101206227828</v>
      </c>
      <c r="H21" s="9"/>
      <c r="I21" s="32">
        <f t="shared" si="3"/>
        <v>0</v>
      </c>
      <c r="J21" s="9"/>
      <c r="K21" s="32">
        <f t="shared" si="4"/>
        <v>0</v>
      </c>
      <c r="L21" s="31">
        <f t="shared" si="5"/>
        <v>385977.75104418886</v>
      </c>
      <c r="M21" s="32">
        <f t="shared" si="6"/>
        <v>0.35440202412455657</v>
      </c>
    </row>
    <row r="22" spans="1:13" x14ac:dyDescent="0.25">
      <c r="A22" s="9" t="s">
        <v>498</v>
      </c>
      <c r="B22" s="12" t="str">
        <f t="shared" si="0"/>
        <v xml:space="preserve">E.M.E.F. profª. "Iris Castro Amadio" </v>
      </c>
      <c r="C22" s="36">
        <f>'PO EDUCAÇÃO 2026'!I157</f>
        <v>30493.849104089841</v>
      </c>
      <c r="D22" s="35">
        <f>C22*0.5</f>
        <v>15246.92455204492</v>
      </c>
      <c r="E22" s="32">
        <f t="shared" si="1"/>
        <v>1.39996176160436E-2</v>
      </c>
      <c r="F22" s="35">
        <f>C22*0.5</f>
        <v>15246.92455204492</v>
      </c>
      <c r="G22" s="32">
        <f t="shared" si="2"/>
        <v>1.39996176160436E-2</v>
      </c>
      <c r="H22" s="9"/>
      <c r="I22" s="32">
        <f t="shared" si="3"/>
        <v>0</v>
      </c>
      <c r="J22" s="9"/>
      <c r="K22" s="32">
        <f t="shared" si="4"/>
        <v>0</v>
      </c>
      <c r="L22" s="31">
        <f t="shared" si="5"/>
        <v>30493.849104089841</v>
      </c>
      <c r="M22" s="32">
        <f t="shared" si="6"/>
        <v>2.7999235232087201E-2</v>
      </c>
    </row>
    <row r="23" spans="1:13" x14ac:dyDescent="0.25">
      <c r="A23" s="9" t="s">
        <v>499</v>
      </c>
      <c r="B23" s="12" t="str">
        <f t="shared" si="0"/>
        <v>C.E.I. "Josefina Franco Primo" - 23°17'12"S 47°40'08"W</v>
      </c>
      <c r="C23" s="36">
        <f>'PO EDUCAÇÃO 2026'!I170</f>
        <v>62182.387700851999</v>
      </c>
      <c r="D23" s="35">
        <f>C23*0.1</f>
        <v>6218.2387700852005</v>
      </c>
      <c r="E23" s="32">
        <f t="shared" si="1"/>
        <v>5.7095425854110692E-3</v>
      </c>
      <c r="F23" s="35">
        <f>C23*0.1</f>
        <v>6218.2387700852005</v>
      </c>
      <c r="G23" s="32">
        <f t="shared" si="2"/>
        <v>5.7095425854110692E-3</v>
      </c>
      <c r="H23" s="35">
        <f>C23*0.8</f>
        <v>49745.910160681604</v>
      </c>
      <c r="I23" s="32">
        <f t="shared" si="3"/>
        <v>4.5676340683288554E-2</v>
      </c>
      <c r="J23" s="9"/>
      <c r="K23" s="32">
        <f t="shared" si="4"/>
        <v>0</v>
      </c>
      <c r="L23" s="31">
        <f t="shared" si="5"/>
        <v>62182.387700852007</v>
      </c>
      <c r="M23" s="32">
        <f t="shared" si="6"/>
        <v>5.709542585411069E-2</v>
      </c>
    </row>
    <row r="24" spans="1:13" ht="15.75" thickBot="1" x14ac:dyDescent="0.3">
      <c r="A24" s="94" t="s">
        <v>30</v>
      </c>
      <c r="B24" s="95"/>
      <c r="C24" s="37">
        <f>SUM(C18:C23)</f>
        <v>1089095.7860571779</v>
      </c>
      <c r="D24" s="84">
        <f>SUM(D18:D23)</f>
        <v>425024.79308565339</v>
      </c>
      <c r="E24" s="85"/>
      <c r="F24" s="84">
        <f>SUM(F18:F23)</f>
        <v>401464.49977138732</v>
      </c>
      <c r="G24" s="86"/>
      <c r="H24" s="87">
        <f>SUM(H18:H23)</f>
        <v>205440.23484408116</v>
      </c>
      <c r="I24" s="86"/>
      <c r="J24" s="84">
        <f>SUM(J18:J23)</f>
        <v>57166.258356056191</v>
      </c>
      <c r="K24" s="85"/>
      <c r="L24" s="33">
        <f>SUM(L18:L23)</f>
        <v>1089095.7860571779</v>
      </c>
      <c r="M24" s="34">
        <f>SUM(M18:M23)</f>
        <v>1</v>
      </c>
    </row>
    <row r="28" spans="1:13" x14ac:dyDescent="0.25">
      <c r="B28" s="1" t="s">
        <v>504</v>
      </c>
      <c r="E28" s="77" t="s">
        <v>504</v>
      </c>
      <c r="F28" s="77"/>
      <c r="G28" s="77"/>
    </row>
    <row r="29" spans="1:13" x14ac:dyDescent="0.25">
      <c r="B29" s="38" t="s">
        <v>500</v>
      </c>
      <c r="E29" s="82" t="s">
        <v>502</v>
      </c>
      <c r="F29" s="82"/>
      <c r="G29" s="82"/>
    </row>
    <row r="30" spans="1:13" x14ac:dyDescent="0.25">
      <c r="B30" s="39" t="s">
        <v>501</v>
      </c>
      <c r="E30" s="83" t="s">
        <v>503</v>
      </c>
      <c r="F30" s="83"/>
      <c r="G30" s="83"/>
    </row>
  </sheetData>
  <mergeCells count="16">
    <mergeCell ref="A16:A17"/>
    <mergeCell ref="B16:B17"/>
    <mergeCell ref="C16:C17"/>
    <mergeCell ref="J24:K24"/>
    <mergeCell ref="A24:B24"/>
    <mergeCell ref="D16:E16"/>
    <mergeCell ref="F16:G16"/>
    <mergeCell ref="H16:I16"/>
    <mergeCell ref="J16:K16"/>
    <mergeCell ref="L16:M16"/>
    <mergeCell ref="E29:G29"/>
    <mergeCell ref="E30:G30"/>
    <mergeCell ref="D24:E24"/>
    <mergeCell ref="F24:G24"/>
    <mergeCell ref="H24:I24"/>
    <mergeCell ref="E28:G2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PO EDUCAÇÃO 2026</vt:lpstr>
      <vt:lpstr>MC EDUCAÇÃO 2026</vt:lpstr>
      <vt:lpstr>CRONOGRAMA</vt:lpstr>
      <vt:lpstr>'PO EDUCAÇÃO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Altbit</cp:lastModifiedBy>
  <dcterms:created xsi:type="dcterms:W3CDTF">2026-02-09T14:41:58Z</dcterms:created>
  <dcterms:modified xsi:type="dcterms:W3CDTF">2026-05-18T12:47:54Z</dcterms:modified>
</cp:coreProperties>
</file>