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\\Obsobsd-0004\BKP-29-01-20242\Obras 2024\PROJETOS 2024\IBI002_202401-033 - Sistema de Lazer Vila Maria\Licitação\"/>
    </mc:Choice>
  </mc:AlternateContent>
  <xr:revisionPtr revIDLastSave="0" documentId="8_{94A5B4C6-2A75-4E89-B2FD-E54DD357C82B}" xr6:coauthVersionLast="36" xr6:coauthVersionMax="36" xr10:uidLastSave="{00000000-0000-0000-0000-000000000000}"/>
  <bookViews>
    <workbookView xWindow="0" yWindow="0" windowWidth="24000" windowHeight="9405" xr2:uid="{00000000-000D-0000-FFFF-FFFF00000000}"/>
  </bookViews>
  <sheets>
    <sheet name="P.O" sheetId="1" r:id="rId1"/>
  </sheets>
  <definedNames>
    <definedName name="_xlnm.Print_Area" localSheetId="0">P.O!$B$3:$K$106</definedName>
  </definedNames>
  <calcPr calcId="191029"/>
</workbook>
</file>

<file path=xl/calcChain.xml><?xml version="1.0" encoding="utf-8"?>
<calcChain xmlns="http://schemas.openxmlformats.org/spreadsheetml/2006/main">
  <c r="I93" i="1" l="1"/>
  <c r="K93" i="1"/>
  <c r="K92" i="1" l="1"/>
  <c r="K76" i="1"/>
  <c r="K54" i="1"/>
  <c r="K43" i="1"/>
  <c r="K31" i="1"/>
  <c r="K21" i="1"/>
  <c r="I92" i="1" l="1"/>
  <c r="I76" i="1"/>
  <c r="J53" i="1"/>
  <c r="K53" i="1" s="1"/>
  <c r="I53" i="1"/>
  <c r="I52" i="1"/>
  <c r="I51" i="1"/>
  <c r="I50" i="1"/>
  <c r="J50" i="1" s="1"/>
  <c r="K50" i="1" s="1"/>
  <c r="I49" i="1"/>
  <c r="I54" i="1" s="1"/>
  <c r="I48" i="1"/>
  <c r="G47" i="1"/>
  <c r="I47" i="1"/>
  <c r="J47" i="1" s="1"/>
  <c r="K47" i="1" s="1"/>
  <c r="J49" i="1" l="1"/>
  <c r="K49" i="1" s="1"/>
  <c r="K48" i="1"/>
  <c r="J48" i="1"/>
  <c r="J52" i="1"/>
  <c r="K52" i="1" s="1"/>
  <c r="J51" i="1"/>
  <c r="K51" i="1" s="1"/>
  <c r="I91" i="1"/>
  <c r="J91" i="1" s="1"/>
  <c r="K91" i="1" s="1"/>
  <c r="I90" i="1"/>
  <c r="I89" i="1"/>
  <c r="I88" i="1"/>
  <c r="J88" i="1" s="1"/>
  <c r="K88" i="1" s="1"/>
  <c r="I87" i="1"/>
  <c r="J87" i="1" s="1"/>
  <c r="K87" i="1" s="1"/>
  <c r="I86" i="1"/>
  <c r="I85" i="1"/>
  <c r="I84" i="1"/>
  <c r="J84" i="1" s="1"/>
  <c r="K84" i="1" s="1"/>
  <c r="I83" i="1"/>
  <c r="J83" i="1" s="1"/>
  <c r="K83" i="1" s="1"/>
  <c r="I82" i="1"/>
  <c r="I81" i="1"/>
  <c r="I80" i="1"/>
  <c r="J80" i="1" s="1"/>
  <c r="K80" i="1" s="1"/>
  <c r="I75" i="1"/>
  <c r="J75" i="1" s="1"/>
  <c r="K75" i="1" s="1"/>
  <c r="I74" i="1"/>
  <c r="I73" i="1"/>
  <c r="I72" i="1"/>
  <c r="J72" i="1" s="1"/>
  <c r="K72" i="1" s="1"/>
  <c r="I71" i="1"/>
  <c r="J71" i="1" s="1"/>
  <c r="K71" i="1" s="1"/>
  <c r="I70" i="1"/>
  <c r="I69" i="1"/>
  <c r="I68" i="1"/>
  <c r="J68" i="1" s="1"/>
  <c r="K68" i="1" s="1"/>
  <c r="I67" i="1"/>
  <c r="J67" i="1" s="1"/>
  <c r="K67" i="1" s="1"/>
  <c r="I66" i="1"/>
  <c r="I65" i="1"/>
  <c r="I64" i="1"/>
  <c r="J64" i="1" s="1"/>
  <c r="K64" i="1" s="1"/>
  <c r="I63" i="1"/>
  <c r="J63" i="1" s="1"/>
  <c r="K63" i="1" s="1"/>
  <c r="I62" i="1"/>
  <c r="I61" i="1"/>
  <c r="I60" i="1"/>
  <c r="J60" i="1" s="1"/>
  <c r="K60" i="1" s="1"/>
  <c r="I59" i="1"/>
  <c r="J59" i="1" s="1"/>
  <c r="K59" i="1" s="1"/>
  <c r="I58" i="1"/>
  <c r="J58" i="1" s="1"/>
  <c r="K58" i="1" s="1"/>
  <c r="K46" i="1" l="1"/>
  <c r="K94" i="1"/>
  <c r="J82" i="1"/>
  <c r="K82" i="1" s="1"/>
  <c r="J86" i="1"/>
  <c r="K86" i="1" s="1"/>
  <c r="J90" i="1"/>
  <c r="K90" i="1" s="1"/>
  <c r="J81" i="1"/>
  <c r="K81" i="1" s="1"/>
  <c r="J85" i="1"/>
  <c r="K85" i="1" s="1"/>
  <c r="J89" i="1"/>
  <c r="K89" i="1" s="1"/>
  <c r="J62" i="1"/>
  <c r="K62" i="1" s="1"/>
  <c r="J66" i="1"/>
  <c r="K66" i="1" s="1"/>
  <c r="J70" i="1"/>
  <c r="K70" i="1" s="1"/>
  <c r="J74" i="1"/>
  <c r="K74" i="1" s="1"/>
  <c r="J61" i="1"/>
  <c r="K61" i="1" s="1"/>
  <c r="J65" i="1"/>
  <c r="K65" i="1" s="1"/>
  <c r="J69" i="1"/>
  <c r="K69" i="1" s="1"/>
  <c r="J73" i="1"/>
  <c r="K73" i="1" s="1"/>
  <c r="K79" i="1" l="1"/>
  <c r="K57" i="1"/>
  <c r="G35" i="1" l="1"/>
  <c r="G40" i="1"/>
  <c r="I40" i="1" s="1"/>
  <c r="J40" i="1" s="1"/>
  <c r="G30" i="1"/>
  <c r="I30" i="1" s="1"/>
  <c r="G39" i="1"/>
  <c r="I39" i="1" s="1"/>
  <c r="J39" i="1" s="1"/>
  <c r="G38" i="1"/>
  <c r="I38" i="1" s="1"/>
  <c r="J38" i="1" s="1"/>
  <c r="G37" i="1"/>
  <c r="I37" i="1" s="1"/>
  <c r="J37" i="1" s="1"/>
  <c r="G36" i="1"/>
  <c r="I36" i="1" s="1"/>
  <c r="J36" i="1" s="1"/>
  <c r="I35" i="1"/>
  <c r="G25" i="1"/>
  <c r="G27" i="1" s="1"/>
  <c r="I42" i="1"/>
  <c r="J42" i="1" s="1"/>
  <c r="M41" i="1"/>
  <c r="I41" i="1"/>
  <c r="J41" i="1" s="1"/>
  <c r="M40" i="1"/>
  <c r="M39" i="1"/>
  <c r="M38" i="1"/>
  <c r="M37" i="1"/>
  <c r="M36" i="1"/>
  <c r="M30" i="1"/>
  <c r="M29" i="1"/>
  <c r="M26" i="1"/>
  <c r="M25" i="1"/>
  <c r="M20" i="1"/>
  <c r="I20" i="1"/>
  <c r="I19" i="1"/>
  <c r="I18" i="1"/>
  <c r="J18" i="1" s="1"/>
  <c r="K18" i="1" s="1"/>
  <c r="M17" i="1"/>
  <c r="I17" i="1"/>
  <c r="J17" i="1" s="1"/>
  <c r="K17" i="1" s="1"/>
  <c r="M16" i="1"/>
  <c r="I16" i="1"/>
  <c r="J16" i="1" s="1"/>
  <c r="K16" i="1" s="1"/>
  <c r="I15" i="1"/>
  <c r="I14" i="1"/>
  <c r="J14" i="1" s="1"/>
  <c r="M13" i="1"/>
  <c r="M14" i="1" s="1"/>
  <c r="I13" i="1"/>
  <c r="I12" i="1"/>
  <c r="I27" i="1" l="1"/>
  <c r="J27" i="1" s="1"/>
  <c r="K27" i="1" s="1"/>
  <c r="G28" i="1"/>
  <c r="I28" i="1" s="1"/>
  <c r="J28" i="1" s="1"/>
  <c r="K28" i="1" s="1"/>
  <c r="G29" i="1"/>
  <c r="I29" i="1" s="1"/>
  <c r="J29" i="1" s="1"/>
  <c r="K29" i="1" s="1"/>
  <c r="J19" i="1"/>
  <c r="K19" i="1" s="1"/>
  <c r="I25" i="1"/>
  <c r="J25" i="1" s="1"/>
  <c r="G26" i="1"/>
  <c r="I26" i="1" s="1"/>
  <c r="J26" i="1" s="1"/>
  <c r="I43" i="1"/>
  <c r="J30" i="1"/>
  <c r="K30" i="1" s="1"/>
  <c r="J13" i="1"/>
  <c r="K13" i="1" s="1"/>
  <c r="J15" i="1"/>
  <c r="K15" i="1" s="1"/>
  <c r="I21" i="1"/>
  <c r="J12" i="1"/>
  <c r="K12" i="1" s="1"/>
  <c r="K14" i="1"/>
  <c r="J20" i="1"/>
  <c r="K20" i="1" s="1"/>
  <c r="J35" i="1"/>
  <c r="K35" i="1" s="1"/>
  <c r="K36" i="1"/>
  <c r="K37" i="1"/>
  <c r="K38" i="1"/>
  <c r="K39" i="1"/>
  <c r="K40" i="1"/>
  <c r="K41" i="1"/>
  <c r="K42" i="1"/>
  <c r="K26" i="1" l="1"/>
  <c r="I31" i="1"/>
  <c r="I94" i="1" s="1"/>
  <c r="K25" i="1"/>
  <c r="K24" i="1" l="1"/>
  <c r="K34" i="1"/>
  <c r="K11" i="1"/>
  <c r="L93" i="1" l="1"/>
</calcChain>
</file>

<file path=xl/sharedStrings.xml><?xml version="1.0" encoding="utf-8"?>
<sst xmlns="http://schemas.openxmlformats.org/spreadsheetml/2006/main" count="393" uniqueCount="225">
  <si>
    <t xml:space="preserve"> </t>
  </si>
  <si>
    <t>PLANILHA ORÇAMENTÁRIA</t>
  </si>
  <si>
    <t>OBRA :</t>
  </si>
  <si>
    <t>BDI</t>
  </si>
  <si>
    <t>LOCAL :</t>
  </si>
  <si>
    <t>BASE:</t>
  </si>
  <si>
    <t>memorial de cálculo</t>
  </si>
  <si>
    <t>ITEM</t>
  </si>
  <si>
    <t>FONTE</t>
  </si>
  <si>
    <t>CÓDIGO</t>
  </si>
  <si>
    <t>DESCRIÇÃO</t>
  </si>
  <si>
    <t>UNIDADE</t>
  </si>
  <si>
    <t>QUANT.</t>
  </si>
  <si>
    <t>CUSTO UNITÁRIO</t>
  </si>
  <si>
    <t>CUSTO TOTAL</t>
  </si>
  <si>
    <t>CUSTO BDI</t>
  </si>
  <si>
    <t>SOMA DO CUSTO</t>
  </si>
  <si>
    <t>SERVIÇOS PRELIMINARES</t>
  </si>
  <si>
    <t>1.1</t>
  </si>
  <si>
    <t>CDHU</t>
  </si>
  <si>
    <t>02.08.020</t>
  </si>
  <si>
    <t>Placa de identificação para obra</t>
  </si>
  <si>
    <t>m2</t>
  </si>
  <si>
    <t>1.2</t>
  </si>
  <si>
    <t>02.09.040</t>
  </si>
  <si>
    <t>Limpeza mecanizada do terreno, inclusive troncos até 15 cm de diâmetro, com caminhão à disposição dentro e fora da obra, com transporte no raio de até 1 km</t>
  </si>
  <si>
    <t>1.3</t>
  </si>
  <si>
    <t>05.08.080</t>
  </si>
  <si>
    <t>Transporte de entulho, para distâncias superiores ao 5° km até o 10° km</t>
  </si>
  <si>
    <t>m3</t>
  </si>
  <si>
    <t>1.4</t>
  </si>
  <si>
    <t>04.40.030</t>
  </si>
  <si>
    <t>Retirada manual de guia pré-moldada, inclusive limpeza e empilhamento</t>
  </si>
  <si>
    <t>m</t>
  </si>
  <si>
    <t>1.5</t>
  </si>
  <si>
    <t>03.01.270</t>
  </si>
  <si>
    <t>Demolição mecanizada de sarjeta ou sarjetão, inclusive fragmentação e acomodação do material</t>
  </si>
  <si>
    <t>1.6</t>
  </si>
  <si>
    <t>03.01.250</t>
  </si>
  <si>
    <t>Demolição mecanizada de pavimento ou piso em concreto, inclusive fragmentação e acomodação do material (calçada)</t>
  </si>
  <si>
    <t>1.7</t>
  </si>
  <si>
    <t>34.13.011</t>
  </si>
  <si>
    <t>Corte, recorte e remoção de árvore  inclusive as raízes - diâmetro (DAP)&gt;5cm&lt;15cm</t>
  </si>
  <si>
    <t>un</t>
  </si>
  <si>
    <t>1.8</t>
  </si>
  <si>
    <t>34.13.021</t>
  </si>
  <si>
    <t>Corte, recorte e remoção de árvore inclusive as raízes - diâmetro (DAP)&gt;15cm&lt;30cm</t>
  </si>
  <si>
    <t>1.9</t>
  </si>
  <si>
    <t>05.07.050</t>
  </si>
  <si>
    <t>Remoção de entulho de obra com caçamba metálica - material volumoso e misturado por alvenaria, terra, madeira, papel, plástico e metal</t>
  </si>
  <si>
    <t>TOTAL 1</t>
  </si>
  <si>
    <t>ESTACIONAMENTO</t>
  </si>
  <si>
    <t>2.1</t>
  </si>
  <si>
    <t>54.01.400</t>
  </si>
  <si>
    <t>Abertura de caixa até 25 cm, inclui escavação, compactação, transporte e preparo do sub-leito</t>
  </si>
  <si>
    <t>2.2</t>
  </si>
  <si>
    <t>54.01.210</t>
  </si>
  <si>
    <t>Base de brita graduada</t>
  </si>
  <si>
    <t>2.3</t>
  </si>
  <si>
    <t>54.03.240</t>
  </si>
  <si>
    <t>Imprimação betuminosa impermeabilizante</t>
  </si>
  <si>
    <t>2.4</t>
  </si>
  <si>
    <t>54.03.230</t>
  </si>
  <si>
    <t>Imprimação betuminosa ligante</t>
  </si>
  <si>
    <t>2.5</t>
  </si>
  <si>
    <t>54.03.210</t>
  </si>
  <si>
    <t>Camada de rolamento em concreto betuminoso usinado quente - CBUQ</t>
  </si>
  <si>
    <t>2.6</t>
  </si>
  <si>
    <t>70.02.010</t>
  </si>
  <si>
    <t>Sinalização horizontal com tinta vinílica ou acrílica</t>
  </si>
  <si>
    <t>TOTAL 2</t>
  </si>
  <si>
    <t>CALÇADA</t>
  </si>
  <si>
    <t>3.1</t>
  </si>
  <si>
    <t>54.06.040</t>
  </si>
  <si>
    <t>Guia pré-moldada reta tipo PMSP 100 - fck 25 MPa</t>
  </si>
  <si>
    <t>3.2</t>
  </si>
  <si>
    <t>Guia pré-moldada reta tipo PMSP 100 - fck 25 MPa (referência mini-guia)</t>
  </si>
  <si>
    <t>3.3</t>
  </si>
  <si>
    <t>54.06.160</t>
  </si>
  <si>
    <t>Sarjeta ou sarjetão moldado no local, tipo PMSP em concreto com fck 20 MPa</t>
  </si>
  <si>
    <t>3.4</t>
  </si>
  <si>
    <t>11.18.040</t>
  </si>
  <si>
    <t>Lastro de pedra britada</t>
  </si>
  <si>
    <t>3.5</t>
  </si>
  <si>
    <t>17.05.070</t>
  </si>
  <si>
    <t>Piso com requadro em concreto simples com controle de fck= 20 MPa (rampa de acessibilidade)</t>
  </si>
  <si>
    <t>3.6</t>
  </si>
  <si>
    <t>Sinalização horizontal com tinta vinílica ou acrílica (rampa de acessibilidade e guias)</t>
  </si>
  <si>
    <t>3.7</t>
  </si>
  <si>
    <t>30.04.030</t>
  </si>
  <si>
    <t>Piso em ladrilho hidráulico podotátil várias cores (25x25x2,5cm), assentado com argamassa mista</t>
  </si>
  <si>
    <t>M2</t>
  </si>
  <si>
    <t>3.8</t>
  </si>
  <si>
    <t>30.04.070</t>
  </si>
  <si>
    <t>Rejuntamento de piso em ladrilho hidráulico (25x25x2,5cm) com argamassa industrializada para rejunte, juntas de 2 mm</t>
  </si>
  <si>
    <t>TOTAL 3</t>
  </si>
  <si>
    <t>TOTAL</t>
  </si>
  <si>
    <t>faichas do estacionamento e das guias em frente</t>
  </si>
  <si>
    <t>entrada do estacionamento</t>
  </si>
  <si>
    <t>guias altas 30cm e guia rebaixada 10cm</t>
  </si>
  <si>
    <t>guias delimitando os canteiros+ quadra de areia</t>
  </si>
  <si>
    <t>Eletroduto corrugado em polietileno de alta densidade, DN= 40 mm, com acessórios</t>
  </si>
  <si>
    <t>Haste de aterramento de 5/8" x 2,4 m</t>
  </si>
  <si>
    <t>Conector cabo/haste de 3/4´</t>
  </si>
  <si>
    <t>Cabo de cobre flexível de 16 mm², isolamento 0,6/1kV - isolação HEPR 90°C</t>
  </si>
  <si>
    <t>Cabo de cobre de 6 mm², isolamento 0,6/1 kV - isolação em PVC 70°C</t>
  </si>
  <si>
    <t>Cabo de cobre nu, têmpera mole, classe 2, de 16 mm²</t>
  </si>
  <si>
    <t>Escavação manual em solo de 1ª e 2ª categoria em campo aberto</t>
  </si>
  <si>
    <t>Relé fotoelétrico 50/60 Hz, 110/220 V, 1200 VA, completo</t>
  </si>
  <si>
    <t>Cabo de cobre flexível de 3 x 10 mm², isolamento 0,6/1 kV - isolação HEPR 90°C</t>
  </si>
  <si>
    <t>Concreto usinado não estrutural mínimo 150 kg cimento / m³</t>
  </si>
  <si>
    <t>Reaterro manual apiloado sem controle de compactação</t>
  </si>
  <si>
    <t>Poste telecônico reto em aço SAE 1010/1020 galvanizado a fogo, altura de 8,00 m</t>
  </si>
  <si>
    <t>Luminária LED retangular para poste, fluxo luminoso de 14160 a 17475 lm, eficiência mínima de 118 lm/W - potência de 80 W/120 W</t>
  </si>
  <si>
    <t>Contator de potência 16 A - 2na+2nf</t>
  </si>
  <si>
    <t>Disjuntor termomagnético, unipolar 127/220 V, corrente de 10 A até 30 A</t>
  </si>
  <si>
    <t>Disjuntor termomagnético, tripolar 220/380 V, corrente de 60 A até 100 A</t>
  </si>
  <si>
    <t>Quadro de distribuição universal de sobrepor, para disjuntores 16 DIN / 12 Bolt-on - 150 A - sem componentes</t>
  </si>
  <si>
    <t>Caixa subterrânea de entrada de telefonia, tipo R1 (600 x 350 x 500) mm, padrão TELEBRÁS, com tampa</t>
  </si>
  <si>
    <t>M</t>
  </si>
  <si>
    <t>UN</t>
  </si>
  <si>
    <t>M3</t>
  </si>
  <si>
    <t>38.13.016</t>
  </si>
  <si>
    <t>42.05.200</t>
  </si>
  <si>
    <t>42.05.110</t>
  </si>
  <si>
    <t>39.21.060</t>
  </si>
  <si>
    <t>39.03.178</t>
  </si>
  <si>
    <t>39.04.050</t>
  </si>
  <si>
    <t>06.01.020</t>
  </si>
  <si>
    <t>40.11.010</t>
  </si>
  <si>
    <t>39.21.234</t>
  </si>
  <si>
    <t>11.02.020</t>
  </si>
  <si>
    <t>06.11.040</t>
  </si>
  <si>
    <t>41.10.340</t>
  </si>
  <si>
    <t>41.11.703</t>
  </si>
  <si>
    <t>40.10.060</t>
  </si>
  <si>
    <t>37.13.600</t>
  </si>
  <si>
    <t>37.13.660</t>
  </si>
  <si>
    <t>37.04.250</t>
  </si>
  <si>
    <t>69.03.130</t>
  </si>
  <si>
    <t>ILUMINAÇÃO</t>
  </si>
  <si>
    <t>4.1</t>
  </si>
  <si>
    <t>4.2</t>
  </si>
  <si>
    <t>4.3</t>
  </si>
  <si>
    <t>4.4</t>
  </si>
  <si>
    <t>4.5</t>
  </si>
  <si>
    <t>4.6</t>
  </si>
  <si>
    <t>4.7</t>
  </si>
  <si>
    <t>Poste de concreto circular, 200 kg, H = 9,00 m</t>
  </si>
  <si>
    <t>Caixa de medição polifásica (500 x 600 x 200) mm, padrão concessionárias</t>
  </si>
  <si>
    <t>Cabo de cobre nu, têmpera mole, classe 2, de 10 mm²</t>
  </si>
  <si>
    <t>Cabo de cobre de 6 mm², isolamento 750 V - isolação em PVC 70°C</t>
  </si>
  <si>
    <t>Bengala em PVC para ramal de entrada, diâmetro de 32 mm</t>
  </si>
  <si>
    <t>Supressor de surto monofásico, corrente nominal 4 a 11 kA, Imax. de surto 12 até 15 kA</t>
  </si>
  <si>
    <t>Haste de aterramento de 3/4´ x 3 m</t>
  </si>
  <si>
    <t>Caixa de inspeção do terra cilíndrica em PVC rígido, diâmetro de 300 mm - h= 250 mm</t>
  </si>
  <si>
    <t>Isolador roldana em porcelana de 72 x 72 mm</t>
  </si>
  <si>
    <t>68.01.620</t>
  </si>
  <si>
    <t>36.03.020</t>
  </si>
  <si>
    <t>39.04.040</t>
  </si>
  <si>
    <t>39.02.030</t>
  </si>
  <si>
    <t>68.20.120</t>
  </si>
  <si>
    <t>37.24.031</t>
  </si>
  <si>
    <t>42.05.190</t>
  </si>
  <si>
    <t>42.05.310</t>
  </si>
  <si>
    <t>69.20.040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</si>
  <si>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</si>
  <si>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</si>
  <si>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</si>
  <si>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</si>
  <si>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</si>
  <si>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</si>
  <si>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</si>
  <si>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</si>
  <si>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</si>
  <si>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</si>
  <si>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</si>
  <si>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</si>
  <si>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ENTRADA DE ENERGIA</t>
  </si>
  <si>
    <t>grama</t>
  </si>
  <si>
    <t>CDHU 190 (desonerado)</t>
  </si>
  <si>
    <t>11.18.160</t>
  </si>
  <si>
    <t>Enchimento de nichos em geral, com areia</t>
  </si>
  <si>
    <t>34.02.100</t>
  </si>
  <si>
    <t>Plantio de grama esmeralda em placas (jardins e canteiros)</t>
  </si>
  <si>
    <t>JARDIM E MOBILIÁRIOS</t>
  </si>
  <si>
    <t>Banco contínuo em concreto vazado</t>
  </si>
  <si>
    <t>35.04.020</t>
  </si>
  <si>
    <t>35.05.210</t>
  </si>
  <si>
    <t>Balanço duplo em madeira rústica</t>
  </si>
  <si>
    <t>CJ</t>
  </si>
  <si>
    <t>35.05.220</t>
  </si>
  <si>
    <t>Gangorra dupla em madeira rústica</t>
  </si>
  <si>
    <t>35.05.240</t>
  </si>
  <si>
    <t>Gira-gira em ferro com assento de madeira (8 lugares)</t>
  </si>
  <si>
    <t>35.05.200</t>
  </si>
  <si>
    <t>Centro de atividades em madeira rústica</t>
  </si>
  <si>
    <t>5.13</t>
  </si>
  <si>
    <t>5.14</t>
  </si>
  <si>
    <t>5.15</t>
  </si>
  <si>
    <t>5.16</t>
  </si>
  <si>
    <t>5.17</t>
  </si>
  <si>
    <t>5.18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</si>
  <si>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</si>
  <si>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</si>
  <si>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</si>
  <si>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</si>
  <si>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</si>
  <si>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</si>
  <si>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</si>
  <si>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</si>
  <si>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</si>
  <si>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</si>
  <si>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</si>
  <si>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</si>
  <si>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TOTAL 4</t>
  </si>
  <si>
    <t>TOTAL 6</t>
  </si>
  <si>
    <t>TOTAL 5</t>
  </si>
  <si>
    <t>Implantação de praça com sistema de lazer e estacionamento na Vila Maria</t>
  </si>
  <si>
    <t>João Guilherme Hirabahasi</t>
  </si>
  <si>
    <t>Responsável Técnico</t>
  </si>
  <si>
    <r>
      <t xml:space="preserve">Engenheiro Civil - CREASP: </t>
    </r>
    <r>
      <rPr>
        <sz val="11"/>
        <rFont val="Arial"/>
        <family val="2"/>
      </rPr>
      <t>5070185893</t>
    </r>
  </si>
  <si>
    <t>Secretário de Obras Públicas</t>
  </si>
  <si>
    <t>Rua Tofi Kalil Jacobe esquina com Estrada municipal IBG-142, s/n, Conj. Hab. Vila Maria</t>
  </si>
  <si>
    <t>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</si>
</sst>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;#,##0.00&quot; &quot;;&quot;-&quot;#&quot; &quot;;&quot; &quot;@&quot; &quot;"/>
  </numFmts>
  <fonts count="2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Arial"/>
      <family val="2"/>
    </font>
    <font>
      <b/>
      <sz val="10"/>
      <color rgb="FFFFFFFF"/>
      <name val="Times New Roman"/>
      <family val="1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D9D9D9"/>
        <bgColor rgb="FFD9D9D9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2F5597"/>
        <bgColor rgb="FF2F5597"/>
      </patternFill>
    </fill>
    <fill>
      <patternFill patternType="solid">
        <fgColor rgb="FFADB9CA"/>
        <bgColor rgb="FFADB9CA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1" fillId="6" borderId="0"/>
    <xf numFmtId="0" fontId="5" fillId="7" borderId="0"/>
    <xf numFmtId="164" fontId="1" fillId="0" borderId="0"/>
    <xf numFmtId="9" fontId="1" fillId="0" borderId="0"/>
    <xf numFmtId="0" fontId="6" fillId="0" borderId="0"/>
    <xf numFmtId="0" fontId="7" fillId="8" borderId="0"/>
    <xf numFmtId="0" fontId="8" fillId="0" borderId="0"/>
    <xf numFmtId="0" fontId="9" fillId="0" borderId="0"/>
    <xf numFmtId="0" fontId="10" fillId="0" borderId="0"/>
    <xf numFmtId="0" fontId="11" fillId="0" borderId="0"/>
    <xf numFmtId="164" fontId="1" fillId="0" borderId="0"/>
    <xf numFmtId="164" fontId="1" fillId="0" borderId="0"/>
    <xf numFmtId="0" fontId="12" fillId="9" borderId="0"/>
    <xf numFmtId="0" fontId="1" fillId="0" borderId="0"/>
    <xf numFmtId="0" fontId="13" fillId="9" borderId="1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/>
    </xf>
    <xf numFmtId="164" fontId="14" fillId="0" borderId="3" xfId="0" applyNumberFormat="1" applyFont="1" applyBorder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vertical="center"/>
    </xf>
    <xf numFmtId="164" fontId="14" fillId="0" borderId="9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10" fontId="0" fillId="0" borderId="0" xfId="9" applyNumberFormat="1" applyFont="1" applyBorder="1" applyAlignment="1" applyProtection="1">
      <alignment wrapText="1"/>
    </xf>
    <xf numFmtId="0" fontId="18" fillId="10" borderId="11" xfId="0" applyFont="1" applyFill="1" applyBorder="1" applyAlignment="1">
      <alignment horizontal="center" wrapText="1"/>
    </xf>
    <xf numFmtId="0" fontId="18" fillId="10" borderId="11" xfId="0" applyFont="1" applyFill="1" applyBorder="1" applyAlignment="1">
      <alignment wrapText="1"/>
    </xf>
    <xf numFmtId="0" fontId="19" fillId="11" borderId="11" xfId="0" applyFont="1" applyFill="1" applyBorder="1" applyAlignment="1">
      <alignment horizontal="center" wrapText="1"/>
    </xf>
    <xf numFmtId="0" fontId="19" fillId="11" borderId="12" xfId="0" applyFont="1" applyFill="1" applyBorder="1" applyAlignment="1">
      <alignment vertical="center"/>
    </xf>
    <xf numFmtId="0" fontId="19" fillId="11" borderId="13" xfId="0" applyFont="1" applyFill="1" applyBorder="1" applyAlignment="1">
      <alignment vertical="center"/>
    </xf>
    <xf numFmtId="164" fontId="19" fillId="11" borderId="14" xfId="0" applyNumberFormat="1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top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4" fontId="0" fillId="0" borderId="15" xfId="8" applyFont="1" applyBorder="1" applyAlignment="1" applyProtection="1">
      <alignment vertical="center" wrapText="1"/>
    </xf>
    <xf numFmtId="2" fontId="0" fillId="12" borderId="15" xfId="0" applyNumberFormat="1" applyFill="1" applyBorder="1" applyAlignment="1">
      <alignment horizontal="center" vertical="center" wrapText="1"/>
    </xf>
    <xf numFmtId="4" fontId="0" fillId="0" borderId="11" xfId="0" applyNumberFormat="1" applyBorder="1" applyAlignment="1">
      <alignment vertical="center"/>
    </xf>
    <xf numFmtId="0" fontId="20" fillId="12" borderId="11" xfId="0" applyFont="1" applyFill="1" applyBorder="1" applyAlignment="1">
      <alignment horizontal="left" vertical="top" wrapText="1"/>
    </xf>
    <xf numFmtId="0" fontId="20" fillId="12" borderId="11" xfId="0" applyFont="1" applyFill="1" applyBorder="1" applyAlignment="1">
      <alignment horizontal="left" vertical="center" wrapText="1"/>
    </xf>
    <xf numFmtId="0" fontId="19" fillId="0" borderId="11" xfId="0" applyFont="1" applyBorder="1"/>
    <xf numFmtId="164" fontId="19" fillId="0" borderId="11" xfId="0" applyNumberFormat="1" applyFont="1" applyBorder="1"/>
    <xf numFmtId="164" fontId="19" fillId="0" borderId="11" xfId="8" applyFont="1" applyBorder="1" applyAlignment="1" applyProtection="1">
      <alignment vertical="center" wrapText="1"/>
    </xf>
    <xf numFmtId="164" fontId="19" fillId="0" borderId="11" xfId="0" applyNumberFormat="1" applyFont="1" applyBorder="1" applyAlignment="1">
      <alignment vertical="center"/>
    </xf>
    <xf numFmtId="0" fontId="20" fillId="0" borderId="11" xfId="19" applyFont="1" applyBorder="1" applyAlignment="1">
      <alignment wrapText="1"/>
    </xf>
    <xf numFmtId="2" fontId="0" fillId="0" borderId="0" xfId="0" applyNumberForma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19" fillId="0" borderId="12" xfId="0" applyFont="1" applyBorder="1"/>
    <xf numFmtId="0" fontId="19" fillId="0" borderId="0" xfId="0" applyFont="1" applyBorder="1"/>
    <xf numFmtId="164" fontId="19" fillId="0" borderId="0" xfId="0" applyNumberFormat="1" applyFont="1" applyBorder="1"/>
    <xf numFmtId="0" fontId="18" fillId="10" borderId="16" xfId="0" applyFont="1" applyFill="1" applyBorder="1" applyAlignment="1">
      <alignment horizontal="center" wrapText="1"/>
    </xf>
    <xf numFmtId="0" fontId="18" fillId="10" borderId="16" xfId="0" applyFont="1" applyFill="1" applyBorder="1" applyAlignment="1">
      <alignment wrapText="1"/>
    </xf>
    <xf numFmtId="0" fontId="19" fillId="11" borderId="16" xfId="0" applyFont="1" applyFill="1" applyBorder="1" applyAlignment="1">
      <alignment horizontal="center" wrapText="1"/>
    </xf>
    <xf numFmtId="0" fontId="19" fillId="11" borderId="16" xfId="0" applyFont="1" applyFill="1" applyBorder="1" applyAlignment="1">
      <alignment vertical="center"/>
    </xf>
    <xf numFmtId="164" fontId="19" fillId="11" borderId="16" xfId="0" applyNumberFormat="1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4" fontId="0" fillId="0" borderId="16" xfId="0" applyNumberFormat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164" fontId="0" fillId="0" borderId="16" xfId="8" applyFont="1" applyBorder="1" applyAlignment="1" applyProtection="1">
      <alignment vertical="center" wrapText="1"/>
    </xf>
    <xf numFmtId="0" fontId="19" fillId="11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right"/>
    </xf>
    <xf numFmtId="164" fontId="0" fillId="0" borderId="16" xfId="8" applyFont="1" applyBorder="1" applyAlignment="1" applyProtection="1">
      <alignment horizontal="right" vertical="center" wrapText="1"/>
    </xf>
    <xf numFmtId="164" fontId="19" fillId="11" borderId="16" xfId="0" applyNumberFormat="1" applyFont="1" applyFill="1" applyBorder="1" applyAlignment="1">
      <alignment horizontal="right" vertical="center"/>
    </xf>
    <xf numFmtId="4" fontId="21" fillId="0" borderId="16" xfId="0" applyNumberFormat="1" applyFont="1" applyFill="1" applyBorder="1" applyAlignment="1" applyProtection="1">
      <alignment horizontal="right" vertical="center"/>
    </xf>
    <xf numFmtId="164" fontId="19" fillId="0" borderId="16" xfId="0" applyNumberFormat="1" applyFont="1" applyFill="1" applyBorder="1" applyAlignment="1">
      <alignment horizontal="right" vertical="center"/>
    </xf>
    <xf numFmtId="0" fontId="19" fillId="11" borderId="16" xfId="0" applyFont="1" applyFill="1" applyBorder="1" applyAlignment="1">
      <alignment horizontal="left" vertical="center"/>
    </xf>
    <xf numFmtId="4" fontId="0" fillId="0" borderId="0" xfId="0" applyNumberFormat="1"/>
    <xf numFmtId="49" fontId="0" fillId="0" borderId="16" xfId="0" applyNumberFormat="1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/>
    <xf numFmtId="0" fontId="19" fillId="0" borderId="16" xfId="0" applyFont="1" applyBorder="1"/>
    <xf numFmtId="164" fontId="19" fillId="0" borderId="16" xfId="0" applyNumberFormat="1" applyFont="1" applyBorder="1"/>
    <xf numFmtId="0" fontId="0" fillId="0" borderId="16" xfId="0" applyBorder="1" applyAlignment="1">
      <alignment vertical="center" wrapText="1"/>
    </xf>
    <xf numFmtId="164" fontId="19" fillId="0" borderId="16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17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14" fontId="14" fillId="0" borderId="9" xfId="0" applyNumberFormat="1" applyFont="1" applyBorder="1" applyAlignment="1">
      <alignment horizontal="left" vertical="center"/>
    </xf>
  </cellXfs>
  <cellStyles count="2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ConditionalStyle_1" xfId="6" xr:uid="{00000000-0005-0000-0000-000005000000}"/>
    <cellStyle name="Error" xfId="7" xr:uid="{00000000-0005-0000-0000-000006000000}"/>
    <cellStyle name="Excel Built-in Currency" xfId="8" xr:uid="{00000000-0005-0000-0000-000007000000}"/>
    <cellStyle name="Excel Built-in Percent" xfId="9" xr:uid="{00000000-0005-0000-0000-000008000000}"/>
    <cellStyle name="Footnote" xfId="10" xr:uid="{00000000-0005-0000-0000-000009000000}"/>
    <cellStyle name="Good" xfId="11" xr:uid="{00000000-0005-0000-0000-00000A000000}"/>
    <cellStyle name="Heading (user)" xfId="12" xr:uid="{00000000-0005-0000-0000-00000B000000}"/>
    <cellStyle name="Heading 1" xfId="13" xr:uid="{00000000-0005-0000-0000-00000C000000}"/>
    <cellStyle name="Heading 2" xfId="14" xr:uid="{00000000-0005-0000-0000-00000D000000}"/>
    <cellStyle name="Hyperlink" xfId="15" xr:uid="{00000000-0005-0000-0000-00000E000000}"/>
    <cellStyle name="Moeda 2" xfId="16" xr:uid="{00000000-0005-0000-0000-00000F000000}"/>
    <cellStyle name="Moeda 3" xfId="17" xr:uid="{00000000-0005-0000-0000-000010000000}"/>
    <cellStyle name="Neutral" xfId="18" xr:uid="{00000000-0005-0000-0000-000011000000}"/>
    <cellStyle name="Normal" xfId="0" builtinId="0" customBuiltin="1"/>
    <cellStyle name="Normal 2" xfId="19" xr:uid="{00000000-0005-0000-0000-000013000000}"/>
    <cellStyle name="Note" xfId="20" xr:uid="{00000000-0005-0000-0000-000014000000}"/>
    <cellStyle name="Status" xfId="21" xr:uid="{00000000-0005-0000-0000-000015000000}"/>
    <cellStyle name="Text" xfId="22" xr:uid="{00000000-0005-0000-0000-000016000000}"/>
    <cellStyle name="Vírgula 2" xfId="23" xr:uid="{00000000-0005-0000-0000-000017000000}"/>
    <cellStyle name="Vírgula 2 2" xfId="24" xr:uid="{00000000-0005-0000-0000-000018000000}"/>
    <cellStyle name="Vírgula 2 3" xfId="25" xr:uid="{00000000-0005-0000-0000-000019000000}"/>
    <cellStyle name="Vírgula 2 4" xfId="26" xr:uid="{00000000-0005-0000-0000-00001A000000}"/>
    <cellStyle name="Warning" xfId="27" xr:uid="{00000000-0005-0000-0000-00001B000000}"/>
  </cellStyles>
  <dxfs count="3">
    <dxf>
      <fill>
        <patternFill>
          <bgColor theme="0" tint="-0.14996795556505021"/>
        </patternFill>
      </fill>
    </dxf>
    <dxf>
      <font>
        <color rgb="FF000000"/>
        <family val="2"/>
      </font>
      <fill>
        <patternFill patternType="solid">
          <fgColor rgb="FFD9D9D9"/>
          <bgColor rgb="FFD9D9D9"/>
        </patternFill>
      </fill>
    </dxf>
    <dxf>
      <font>
        <color rgb="FF000000"/>
        <family val="2"/>
      </font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06"/>
  <sheetViews>
    <sheetView tabSelected="1" topLeftCell="B88" zoomScaleNormal="100" workbookViewId="0">
      <selection activeCell="E97" sqref="E97"/>
    </sheetView>
  </sheetViews>
  <sheetFormatPr defaultRowHeight="15" x14ac:dyDescent="0.25"/>
  <cols>
    <col min="1" max="1" width="9.140625" customWidth="1"/>
    <col min="2" max="2" width="9.42578125" customWidth="1"/>
    <col min="3" max="3" width="8.7109375" customWidth="1"/>
    <col min="4" max="4" width="10.28515625" customWidth="1"/>
    <col min="5" max="5" width="43.140625" style="1" customWidth="1"/>
    <col min="6" max="6" width="10.5703125" customWidth="1"/>
    <col min="7" max="7" width="8.7109375" customWidth="1"/>
    <col min="8" max="8" width="17.42578125" customWidth="1"/>
    <col min="9" max="9" width="15.140625" customWidth="1"/>
    <col min="10" max="10" width="13.28515625" customWidth="1"/>
    <col min="11" max="11" width="17.28515625" customWidth="1"/>
    <col min="12" max="12" width="13.28515625" customWidth="1"/>
    <col min="13" max="1024" width="9.140625" customWidth="1"/>
  </cols>
  <sheetData>
    <row r="1" spans="2:13" x14ac:dyDescent="0.25">
      <c r="K1" s="2"/>
    </row>
    <row r="3" spans="2:13" x14ac:dyDescent="0.25">
      <c r="B3" s="3" t="s">
        <v>0</v>
      </c>
      <c r="C3" s="4"/>
      <c r="D3" s="4"/>
      <c r="E3" s="5"/>
      <c r="F3" s="4"/>
      <c r="G3" s="6"/>
      <c r="H3" s="7"/>
      <c r="I3" s="8"/>
      <c r="J3" s="8"/>
      <c r="K3" s="9"/>
    </row>
    <row r="4" spans="2:13" ht="15.75" customHeight="1" x14ac:dyDescent="0.25">
      <c r="B4" s="82" t="s">
        <v>1</v>
      </c>
      <c r="C4" s="82"/>
      <c r="D4" s="82"/>
      <c r="E4" s="82"/>
      <c r="F4" s="82"/>
      <c r="G4" s="82"/>
      <c r="H4" s="82"/>
      <c r="I4" s="82"/>
      <c r="J4" s="82"/>
      <c r="K4" s="82"/>
    </row>
    <row r="5" spans="2:13" ht="15.75" customHeight="1" x14ac:dyDescent="0.25"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2:13" ht="18.600000000000001" customHeight="1" x14ac:dyDescent="0.25">
      <c r="B6" s="10" t="s">
        <v>2</v>
      </c>
      <c r="C6" s="84" t="s">
        <v>218</v>
      </c>
      <c r="D6" s="84"/>
      <c r="E6" s="84"/>
      <c r="F6" s="84"/>
      <c r="G6" s="11"/>
      <c r="H6" s="11"/>
      <c r="I6" s="12" t="s">
        <v>3</v>
      </c>
      <c r="J6" s="13">
        <v>0.2452</v>
      </c>
      <c r="K6" s="14"/>
    </row>
    <row r="7" spans="2:13" ht="19.5" customHeight="1" x14ac:dyDescent="0.25">
      <c r="B7" s="10" t="s">
        <v>4</v>
      </c>
      <c r="C7" s="80" t="s">
        <v>223</v>
      </c>
      <c r="D7" s="80"/>
      <c r="E7" s="80"/>
      <c r="F7" s="12"/>
      <c r="G7" s="11"/>
      <c r="H7" s="11"/>
      <c r="I7" s="12" t="s">
        <v>5</v>
      </c>
      <c r="J7" s="15" t="s">
        <v>180</v>
      </c>
      <c r="K7" s="14"/>
    </row>
    <row r="8" spans="2:13" x14ac:dyDescent="0.25">
      <c r="B8" s="16"/>
      <c r="C8" s="17"/>
      <c r="D8" s="18"/>
      <c r="E8" s="19"/>
      <c r="F8" s="18"/>
      <c r="G8" s="20"/>
      <c r="H8" s="21"/>
      <c r="I8" s="18" t="s">
        <v>224</v>
      </c>
      <c r="J8" s="86">
        <v>45414</v>
      </c>
      <c r="K8" s="22"/>
    </row>
    <row r="9" spans="2:13" x14ac:dyDescent="0.25">
      <c r="B9" s="1"/>
      <c r="C9" s="1"/>
      <c r="D9" s="1"/>
      <c r="F9" s="1"/>
      <c r="G9" s="1"/>
      <c r="H9" s="1"/>
      <c r="I9" s="1"/>
      <c r="J9" s="1"/>
      <c r="K9" s="23"/>
      <c r="M9" t="s">
        <v>6</v>
      </c>
    </row>
    <row r="10" spans="2:13" ht="29.85" customHeight="1" x14ac:dyDescent="0.25">
      <c r="B10" s="24" t="s">
        <v>7</v>
      </c>
      <c r="C10" s="24" t="s">
        <v>8</v>
      </c>
      <c r="D10" s="24" t="s">
        <v>9</v>
      </c>
      <c r="E10" s="25" t="s">
        <v>10</v>
      </c>
      <c r="F10" s="24" t="s">
        <v>11</v>
      </c>
      <c r="G10" s="24" t="s">
        <v>12</v>
      </c>
      <c r="H10" s="24" t="s">
        <v>13</v>
      </c>
      <c r="I10" s="24" t="s">
        <v>14</v>
      </c>
      <c r="J10" s="24" t="s">
        <v>15</v>
      </c>
      <c r="K10" s="24" t="s">
        <v>16</v>
      </c>
    </row>
    <row r="11" spans="2:13" ht="15.75" customHeight="1" x14ac:dyDescent="0.25">
      <c r="B11" s="26">
        <v>1</v>
      </c>
      <c r="C11" s="27" t="s">
        <v>17</v>
      </c>
      <c r="D11" s="28"/>
      <c r="E11" s="28"/>
      <c r="F11" s="28"/>
      <c r="G11" s="28"/>
      <c r="H11" s="28"/>
      <c r="I11" s="28"/>
      <c r="J11" s="28"/>
      <c r="K11" s="29">
        <f>K21</f>
        <v>59972.818258759988</v>
      </c>
    </row>
    <row r="12" spans="2:13" ht="16.7" customHeight="1" x14ac:dyDescent="0.25">
      <c r="B12" s="30" t="s">
        <v>18</v>
      </c>
      <c r="C12" s="30" t="s">
        <v>19</v>
      </c>
      <c r="D12" s="31" t="s">
        <v>20</v>
      </c>
      <c r="E12" s="32" t="s">
        <v>21</v>
      </c>
      <c r="F12" s="30" t="s">
        <v>22</v>
      </c>
      <c r="G12" s="33">
        <v>6</v>
      </c>
      <c r="H12" s="34">
        <v>903.22</v>
      </c>
      <c r="I12" s="35">
        <f t="shared" ref="I12:I20" si="0">H12*G12</f>
        <v>5419.32</v>
      </c>
      <c r="J12" s="35">
        <f t="shared" ref="J12:J20" si="1">I12*$J$6</f>
        <v>1328.817264</v>
      </c>
      <c r="K12" s="35">
        <f t="shared" ref="K12:K20" si="2">I12+J12</f>
        <v>6748.137264</v>
      </c>
    </row>
    <row r="13" spans="2:13" ht="51" x14ac:dyDescent="0.25">
      <c r="B13" s="30" t="s">
        <v>23</v>
      </c>
      <c r="C13" s="30" t="s">
        <v>19</v>
      </c>
      <c r="D13" s="31" t="s">
        <v>24</v>
      </c>
      <c r="E13" s="32" t="s">
        <v>25</v>
      </c>
      <c r="F13" s="30" t="s">
        <v>22</v>
      </c>
      <c r="G13" s="36">
        <v>1327.34</v>
      </c>
      <c r="H13" s="37">
        <v>4.2699999999999996</v>
      </c>
      <c r="I13" s="35">
        <f t="shared" si="0"/>
        <v>5667.7417999999989</v>
      </c>
      <c r="J13" s="35">
        <f t="shared" si="1"/>
        <v>1389.7302893599997</v>
      </c>
      <c r="K13" s="35">
        <f t="shared" si="2"/>
        <v>7057.4720893599988</v>
      </c>
      <c r="M13">
        <f>692.88+266.013+368.45</f>
        <v>1327.3430000000001</v>
      </c>
    </row>
    <row r="14" spans="2:13" ht="25.5" x14ac:dyDescent="0.25">
      <c r="B14" s="30" t="s">
        <v>26</v>
      </c>
      <c r="C14" s="30" t="s">
        <v>19</v>
      </c>
      <c r="D14" s="31" t="s">
        <v>27</v>
      </c>
      <c r="E14" s="38" t="s">
        <v>28</v>
      </c>
      <c r="F14" s="30" t="s">
        <v>29</v>
      </c>
      <c r="G14" s="36">
        <v>258.83</v>
      </c>
      <c r="H14" s="37">
        <v>41.14</v>
      </c>
      <c r="I14" s="35">
        <f t="shared" si="0"/>
        <v>10648.2662</v>
      </c>
      <c r="J14" s="35">
        <f t="shared" si="1"/>
        <v>2610.95487224</v>
      </c>
      <c r="K14" s="35">
        <f t="shared" si="2"/>
        <v>13259.22107224</v>
      </c>
      <c r="M14">
        <f>M13*0.15*1.3</f>
        <v>258.831885</v>
      </c>
    </row>
    <row r="15" spans="2:13" ht="25.5" x14ac:dyDescent="0.25">
      <c r="B15" s="30" t="s">
        <v>30</v>
      </c>
      <c r="C15" s="30" t="s">
        <v>19</v>
      </c>
      <c r="D15" s="31" t="s">
        <v>31</v>
      </c>
      <c r="E15" s="32" t="s">
        <v>32</v>
      </c>
      <c r="F15" s="30" t="s">
        <v>33</v>
      </c>
      <c r="G15" s="33">
        <v>230.71</v>
      </c>
      <c r="H15" s="37">
        <v>7.06</v>
      </c>
      <c r="I15" s="35">
        <f t="shared" si="0"/>
        <v>1628.8126</v>
      </c>
      <c r="J15" s="35">
        <f t="shared" si="1"/>
        <v>399.38484951999999</v>
      </c>
      <c r="K15" s="35">
        <f t="shared" si="2"/>
        <v>2028.19744952</v>
      </c>
    </row>
    <row r="16" spans="2:13" ht="38.25" x14ac:dyDescent="0.25">
      <c r="B16" s="30" t="s">
        <v>34</v>
      </c>
      <c r="C16" s="30" t="s">
        <v>19</v>
      </c>
      <c r="D16" s="31" t="s">
        <v>35</v>
      </c>
      <c r="E16" s="32" t="s">
        <v>36</v>
      </c>
      <c r="F16" s="30" t="s">
        <v>29</v>
      </c>
      <c r="G16" s="33">
        <v>5.53</v>
      </c>
      <c r="H16" s="37">
        <v>288.83</v>
      </c>
      <c r="I16" s="35">
        <f t="shared" si="0"/>
        <v>1597.2299</v>
      </c>
      <c r="J16" s="35">
        <f t="shared" si="1"/>
        <v>391.64077148000001</v>
      </c>
      <c r="K16" s="35">
        <f t="shared" si="2"/>
        <v>1988.8706714800001</v>
      </c>
      <c r="M16">
        <f>230.71*0.3*0.08</f>
        <v>5.5370399999999993</v>
      </c>
    </row>
    <row r="17" spans="2:13" ht="38.25" x14ac:dyDescent="0.25">
      <c r="B17" s="30" t="s">
        <v>37</v>
      </c>
      <c r="C17" s="30" t="s">
        <v>19</v>
      </c>
      <c r="D17" s="31" t="s">
        <v>38</v>
      </c>
      <c r="E17" s="32" t="s">
        <v>39</v>
      </c>
      <c r="F17" s="30" t="s">
        <v>22</v>
      </c>
      <c r="G17" s="33">
        <v>44.82</v>
      </c>
      <c r="H17" s="37">
        <v>28.89</v>
      </c>
      <c r="I17" s="35">
        <f t="shared" si="0"/>
        <v>1294.8498</v>
      </c>
      <c r="J17" s="35">
        <f t="shared" si="1"/>
        <v>317.49717096000001</v>
      </c>
      <c r="K17" s="35">
        <f t="shared" si="2"/>
        <v>1612.3469709599999</v>
      </c>
      <c r="M17">
        <f>37.35*1.2</f>
        <v>44.82</v>
      </c>
    </row>
    <row r="18" spans="2:13" ht="25.5" x14ac:dyDescent="0.25">
      <c r="B18" s="30" t="s">
        <v>40</v>
      </c>
      <c r="C18" s="30" t="s">
        <v>19</v>
      </c>
      <c r="D18" s="31" t="s">
        <v>41</v>
      </c>
      <c r="E18" s="38" t="s">
        <v>42</v>
      </c>
      <c r="F18" s="30" t="s">
        <v>43</v>
      </c>
      <c r="G18" s="36">
        <v>9</v>
      </c>
      <c r="H18" s="37">
        <v>237.56</v>
      </c>
      <c r="I18" s="35">
        <f t="shared" si="0"/>
        <v>2138.04</v>
      </c>
      <c r="J18" s="35">
        <f t="shared" si="1"/>
        <v>524.24740799999995</v>
      </c>
      <c r="K18" s="35">
        <f t="shared" si="2"/>
        <v>2662.2874080000001</v>
      </c>
    </row>
    <row r="19" spans="2:13" ht="25.5" x14ac:dyDescent="0.25">
      <c r="B19" s="30" t="s">
        <v>44</v>
      </c>
      <c r="C19" s="30" t="s">
        <v>19</v>
      </c>
      <c r="D19" s="31" t="s">
        <v>45</v>
      </c>
      <c r="E19" s="32" t="s">
        <v>46</v>
      </c>
      <c r="F19" s="30" t="s">
        <v>43</v>
      </c>
      <c r="G19" s="36">
        <v>16</v>
      </c>
      <c r="H19" s="37">
        <v>698.88</v>
      </c>
      <c r="I19" s="35">
        <f t="shared" si="0"/>
        <v>11182.08</v>
      </c>
      <c r="J19" s="35">
        <f t="shared" si="1"/>
        <v>2741.846016</v>
      </c>
      <c r="K19" s="35">
        <f t="shared" si="2"/>
        <v>13923.926015999999</v>
      </c>
    </row>
    <row r="20" spans="2:13" ht="45" customHeight="1" x14ac:dyDescent="0.25">
      <c r="B20" s="30" t="s">
        <v>47</v>
      </c>
      <c r="C20" s="30" t="s">
        <v>19</v>
      </c>
      <c r="D20" s="31" t="s">
        <v>48</v>
      </c>
      <c r="E20" s="39" t="s">
        <v>49</v>
      </c>
      <c r="F20" s="30" t="s">
        <v>29</v>
      </c>
      <c r="G20" s="36">
        <v>71.45</v>
      </c>
      <c r="H20" s="37">
        <v>120.18</v>
      </c>
      <c r="I20" s="35">
        <f t="shared" si="0"/>
        <v>8586.8610000000008</v>
      </c>
      <c r="J20" s="35">
        <f t="shared" si="1"/>
        <v>2105.4983172000002</v>
      </c>
      <c r="K20" s="35">
        <f t="shared" si="2"/>
        <v>10692.3593172</v>
      </c>
      <c r="M20">
        <f>((G16+G17)*1.3)+(G15*0.1*0.2*1.3)</f>
        <v>71.453459999999993</v>
      </c>
    </row>
    <row r="21" spans="2:13" x14ac:dyDescent="0.25">
      <c r="B21" s="1"/>
      <c r="C21" s="1"/>
      <c r="D21" s="1"/>
      <c r="F21" s="1"/>
      <c r="G21" s="1"/>
      <c r="H21" s="40" t="s">
        <v>50</v>
      </c>
      <c r="I21" s="41">
        <f>SUM(I12:I20)</f>
        <v>48163.201300000001</v>
      </c>
      <c r="J21" s="42"/>
      <c r="K21" s="43">
        <f>SUM(K12:K20)</f>
        <v>59972.818258759988</v>
      </c>
    </row>
    <row r="22" spans="2:13" x14ac:dyDescent="0.25">
      <c r="B22" s="1"/>
      <c r="C22" s="1"/>
      <c r="D22" s="1"/>
      <c r="F22" s="1"/>
      <c r="G22" s="1"/>
      <c r="H22" s="1"/>
      <c r="I22" s="1"/>
      <c r="J22" s="1"/>
      <c r="K22" s="23"/>
    </row>
    <row r="23" spans="2:13" ht="27" customHeight="1" x14ac:dyDescent="0.25">
      <c r="B23" s="24" t="s">
        <v>7</v>
      </c>
      <c r="C23" s="24" t="s">
        <v>8</v>
      </c>
      <c r="D23" s="24" t="s">
        <v>9</v>
      </c>
      <c r="E23" s="25" t="s">
        <v>10</v>
      </c>
      <c r="F23" s="24" t="s">
        <v>11</v>
      </c>
      <c r="G23" s="24" t="s">
        <v>12</v>
      </c>
      <c r="H23" s="24" t="s">
        <v>13</v>
      </c>
      <c r="I23" s="24" t="s">
        <v>14</v>
      </c>
      <c r="J23" s="24" t="s">
        <v>15</v>
      </c>
      <c r="K23" s="24" t="s">
        <v>16</v>
      </c>
    </row>
    <row r="24" spans="2:13" ht="15.75" customHeight="1" x14ac:dyDescent="0.25">
      <c r="B24" s="26">
        <v>2</v>
      </c>
      <c r="C24" s="27" t="s">
        <v>51</v>
      </c>
      <c r="D24" s="28"/>
      <c r="E24" s="28"/>
      <c r="F24" s="28"/>
      <c r="G24" s="28"/>
      <c r="H24" s="28"/>
      <c r="I24" s="28"/>
      <c r="J24" s="28"/>
      <c r="K24" s="29">
        <f>K31</f>
        <v>84866.558953853601</v>
      </c>
    </row>
    <row r="25" spans="2:13" ht="38.25" customHeight="1" x14ac:dyDescent="0.25">
      <c r="B25" s="30" t="s">
        <v>52</v>
      </c>
      <c r="C25" s="30" t="s">
        <v>19</v>
      </c>
      <c r="D25" s="31" t="s">
        <v>53</v>
      </c>
      <c r="E25" s="39" t="s">
        <v>54</v>
      </c>
      <c r="F25" s="30" t="s">
        <v>22</v>
      </c>
      <c r="G25" s="33">
        <f>398.39+281.99</f>
        <v>680.38</v>
      </c>
      <c r="H25" s="37">
        <v>24.55</v>
      </c>
      <c r="I25" s="35">
        <f t="shared" ref="I25:I30" si="3">H25*G25</f>
        <v>16703.329000000002</v>
      </c>
      <c r="J25" s="35">
        <f t="shared" ref="J25:J30" si="4">I25*$J$6</f>
        <v>4095.6562708000006</v>
      </c>
      <c r="K25" s="35">
        <f t="shared" ref="K25:K30" si="5">I25+J25</f>
        <v>20798.985270800003</v>
      </c>
      <c r="M25">
        <f>368.45+266.013</f>
        <v>634.46299999999997</v>
      </c>
    </row>
    <row r="26" spans="2:13" x14ac:dyDescent="0.25">
      <c r="B26" s="30" t="s">
        <v>55</v>
      </c>
      <c r="C26" s="30" t="s">
        <v>19</v>
      </c>
      <c r="D26" s="31" t="s">
        <v>56</v>
      </c>
      <c r="E26" s="38" t="s">
        <v>57</v>
      </c>
      <c r="F26" s="30" t="s">
        <v>29</v>
      </c>
      <c r="G26" s="33">
        <f>G25*0.03</f>
        <v>20.4114</v>
      </c>
      <c r="H26" s="37">
        <v>243.03</v>
      </c>
      <c r="I26" s="35">
        <f t="shared" si="3"/>
        <v>4960.5825420000001</v>
      </c>
      <c r="J26" s="35">
        <f t="shared" si="4"/>
        <v>1216.3348392984001</v>
      </c>
      <c r="K26" s="35">
        <f t="shared" si="5"/>
        <v>6176.9173812984</v>
      </c>
      <c r="M26">
        <f>634.46*0.03</f>
        <v>19.033799999999999</v>
      </c>
    </row>
    <row r="27" spans="2:13" x14ac:dyDescent="0.25">
      <c r="B27" s="30" t="s">
        <v>58</v>
      </c>
      <c r="C27" s="30" t="s">
        <v>19</v>
      </c>
      <c r="D27" s="31" t="s">
        <v>59</v>
      </c>
      <c r="E27" s="44" t="s">
        <v>60</v>
      </c>
      <c r="F27" s="30" t="s">
        <v>22</v>
      </c>
      <c r="G27" s="33">
        <f>G25</f>
        <v>680.38</v>
      </c>
      <c r="H27" s="37">
        <v>13.73</v>
      </c>
      <c r="I27" s="35">
        <f t="shared" si="3"/>
        <v>9341.617400000001</v>
      </c>
      <c r="J27" s="35">
        <f t="shared" si="4"/>
        <v>2290.5645864800003</v>
      </c>
      <c r="K27" s="35">
        <f t="shared" si="5"/>
        <v>11632.181986480002</v>
      </c>
    </row>
    <row r="28" spans="2:13" x14ac:dyDescent="0.25">
      <c r="B28" s="30" t="s">
        <v>61</v>
      </c>
      <c r="C28" s="30" t="s">
        <v>19</v>
      </c>
      <c r="D28" s="31" t="s">
        <v>62</v>
      </c>
      <c r="E28" s="44" t="s">
        <v>63</v>
      </c>
      <c r="F28" s="30" t="s">
        <v>22</v>
      </c>
      <c r="G28" s="33">
        <f>G27</f>
        <v>680.38</v>
      </c>
      <c r="H28" s="37">
        <v>7.03</v>
      </c>
      <c r="I28" s="35">
        <f t="shared" si="3"/>
        <v>4783.0713999999998</v>
      </c>
      <c r="J28" s="35">
        <f t="shared" si="4"/>
        <v>1172.80910728</v>
      </c>
      <c r="K28" s="35">
        <f t="shared" si="5"/>
        <v>5955.8805072799996</v>
      </c>
      <c r="M28" s="45"/>
    </row>
    <row r="29" spans="2:13" ht="26.25" x14ac:dyDescent="0.25">
      <c r="B29" s="30" t="s">
        <v>64</v>
      </c>
      <c r="C29" s="30" t="s">
        <v>19</v>
      </c>
      <c r="D29" s="31" t="s">
        <v>65</v>
      </c>
      <c r="E29" s="44" t="s">
        <v>66</v>
      </c>
      <c r="F29" s="30" t="s">
        <v>29</v>
      </c>
      <c r="G29" s="33">
        <f>G27*0.03</f>
        <v>20.4114</v>
      </c>
      <c r="H29" s="37">
        <v>1530.34</v>
      </c>
      <c r="I29" s="35">
        <f t="shared" si="3"/>
        <v>31236.381875999999</v>
      </c>
      <c r="J29" s="35">
        <f t="shared" si="4"/>
        <v>7659.1608359951997</v>
      </c>
      <c r="K29" s="35">
        <f t="shared" si="5"/>
        <v>38895.5427119952</v>
      </c>
      <c r="M29">
        <f>634.46*0.03</f>
        <v>19.033799999999999</v>
      </c>
    </row>
    <row r="30" spans="2:13" ht="26.25" x14ac:dyDescent="0.25">
      <c r="B30" s="30" t="s">
        <v>67</v>
      </c>
      <c r="C30" s="30" t="s">
        <v>19</v>
      </c>
      <c r="D30" s="31" t="s">
        <v>68</v>
      </c>
      <c r="E30" s="44" t="s">
        <v>69</v>
      </c>
      <c r="F30" s="30" t="s">
        <v>22</v>
      </c>
      <c r="G30" s="33">
        <f>185*0.15</f>
        <v>27.75</v>
      </c>
      <c r="H30" s="37">
        <v>40.72</v>
      </c>
      <c r="I30" s="35">
        <f t="shared" si="3"/>
        <v>1129.98</v>
      </c>
      <c r="J30" s="35">
        <f t="shared" si="4"/>
        <v>277.07109600000001</v>
      </c>
      <c r="K30" s="35">
        <f t="shared" si="5"/>
        <v>1407.0510960000001</v>
      </c>
      <c r="L30" t="s">
        <v>97</v>
      </c>
      <c r="M30" s="46">
        <f>(35*7.35*0.1)+(1.35*2)+(2*4)</f>
        <v>36.424999999999997</v>
      </c>
    </row>
    <row r="31" spans="2:13" x14ac:dyDescent="0.25">
      <c r="H31" s="40" t="s">
        <v>70</v>
      </c>
      <c r="I31" s="41">
        <f>SUM(I25:I30)</f>
        <v>68154.962218000001</v>
      </c>
      <c r="J31" s="42"/>
      <c r="K31" s="41">
        <f>SUM(K25:K30)</f>
        <v>84866.558953853601</v>
      </c>
    </row>
    <row r="32" spans="2:13" x14ac:dyDescent="0.25">
      <c r="B32" s="1"/>
      <c r="C32" s="1"/>
      <c r="D32" s="1"/>
      <c r="F32" s="1"/>
      <c r="G32" s="1"/>
      <c r="H32" s="1"/>
      <c r="I32" s="1"/>
      <c r="J32" s="1"/>
      <c r="K32" s="23"/>
    </row>
    <row r="33" spans="2:13" ht="26.1" customHeight="1" x14ac:dyDescent="0.25">
      <c r="B33" s="24" t="s">
        <v>7</v>
      </c>
      <c r="C33" s="24" t="s">
        <v>8</v>
      </c>
      <c r="D33" s="24" t="s">
        <v>9</v>
      </c>
      <c r="E33" s="25" t="s">
        <v>10</v>
      </c>
      <c r="F33" s="24" t="s">
        <v>11</v>
      </c>
      <c r="G33" s="24" t="s">
        <v>12</v>
      </c>
      <c r="H33" s="24" t="s">
        <v>13</v>
      </c>
      <c r="I33" s="24" t="s">
        <v>14</v>
      </c>
      <c r="J33" s="24" t="s">
        <v>15</v>
      </c>
      <c r="K33" s="24" t="s">
        <v>16</v>
      </c>
    </row>
    <row r="34" spans="2:13" x14ac:dyDescent="0.25">
      <c r="B34" s="26">
        <v>3</v>
      </c>
      <c r="C34" s="27" t="s">
        <v>71</v>
      </c>
      <c r="D34" s="28"/>
      <c r="E34" s="28"/>
      <c r="F34" s="28"/>
      <c r="G34" s="28"/>
      <c r="H34" s="28"/>
      <c r="I34" s="28"/>
      <c r="J34" s="28"/>
      <c r="K34" s="29">
        <f>K43</f>
        <v>128871.11267324447</v>
      </c>
    </row>
    <row r="35" spans="2:13" ht="25.5" x14ac:dyDescent="0.25">
      <c r="B35" s="30" t="s">
        <v>72</v>
      </c>
      <c r="C35" s="30" t="s">
        <v>19</v>
      </c>
      <c r="D35" s="31" t="s">
        <v>73</v>
      </c>
      <c r="E35" s="38" t="s">
        <v>74</v>
      </c>
      <c r="F35" s="30" t="s">
        <v>33</v>
      </c>
      <c r="G35" s="33">
        <f>61.79+72.93+71.5+47.06+58.18+45.32+88.66+41.13+73.29+28.8</f>
        <v>588.65999999999985</v>
      </c>
      <c r="H35" s="37">
        <v>53.49</v>
      </c>
      <c r="I35" s="35">
        <f t="shared" ref="I35:I42" si="6">H35*G35</f>
        <v>31487.423399999992</v>
      </c>
      <c r="J35" s="35">
        <f t="shared" ref="J35:J42" si="7">I35*$J$6</f>
        <v>7720.7162176799984</v>
      </c>
      <c r="K35" s="35">
        <f t="shared" ref="K35:K42" si="8">I35+J35</f>
        <v>39208.13961767999</v>
      </c>
      <c r="L35" t="s">
        <v>100</v>
      </c>
    </row>
    <row r="36" spans="2:13" ht="25.5" x14ac:dyDescent="0.25">
      <c r="B36" s="30" t="s">
        <v>75</v>
      </c>
      <c r="C36" s="30" t="s">
        <v>19</v>
      </c>
      <c r="D36" s="31" t="s">
        <v>73</v>
      </c>
      <c r="E36" s="38" t="s">
        <v>76</v>
      </c>
      <c r="F36" s="30" t="s">
        <v>33</v>
      </c>
      <c r="G36" s="33">
        <f>69.06+51.87</f>
        <v>120.93</v>
      </c>
      <c r="H36" s="37">
        <v>53.49</v>
      </c>
      <c r="I36" s="35">
        <f t="shared" si="6"/>
        <v>6468.5457000000006</v>
      </c>
      <c r="J36" s="35">
        <f t="shared" si="7"/>
        <v>1586.08740564</v>
      </c>
      <c r="K36" s="35">
        <f t="shared" si="8"/>
        <v>8054.6331056400004</v>
      </c>
      <c r="L36" t="s">
        <v>98</v>
      </c>
      <c r="M36">
        <f>218.47</f>
        <v>218.47</v>
      </c>
    </row>
    <row r="37" spans="2:13" ht="25.5" x14ac:dyDescent="0.25">
      <c r="B37" s="30" t="s">
        <v>77</v>
      </c>
      <c r="C37" s="30" t="s">
        <v>19</v>
      </c>
      <c r="D37" s="31" t="s">
        <v>78</v>
      </c>
      <c r="E37" s="38" t="s">
        <v>79</v>
      </c>
      <c r="F37" s="30" t="s">
        <v>29</v>
      </c>
      <c r="G37" s="33">
        <f>263.34*0.3*0.08</f>
        <v>6.3201599999999996</v>
      </c>
      <c r="H37" s="37">
        <v>790.84</v>
      </c>
      <c r="I37" s="35">
        <f t="shared" si="6"/>
        <v>4998.2353344000003</v>
      </c>
      <c r="J37" s="35">
        <f t="shared" si="7"/>
        <v>1225.5673039948801</v>
      </c>
      <c r="K37" s="35">
        <f t="shared" si="8"/>
        <v>6223.80263839488</v>
      </c>
      <c r="M37">
        <f>230.71*0.3*0.08</f>
        <v>5.5370399999999993</v>
      </c>
    </row>
    <row r="38" spans="2:13" x14ac:dyDescent="0.25">
      <c r="B38" s="30" t="s">
        <v>80</v>
      </c>
      <c r="C38" s="30" t="s">
        <v>19</v>
      </c>
      <c r="D38" s="31" t="s">
        <v>81</v>
      </c>
      <c r="E38" s="38" t="s">
        <v>82</v>
      </c>
      <c r="F38" s="30" t="s">
        <v>29</v>
      </c>
      <c r="G38" s="33">
        <f>(2409.24-1273.28)*0.03</f>
        <v>34.078799999999994</v>
      </c>
      <c r="H38" s="37">
        <v>179.46</v>
      </c>
      <c r="I38" s="35">
        <f t="shared" si="6"/>
        <v>6115.7814479999988</v>
      </c>
      <c r="J38" s="35">
        <f t="shared" si="7"/>
        <v>1499.5896110495996</v>
      </c>
      <c r="K38" s="35">
        <f t="shared" si="8"/>
        <v>7615.3710590495984</v>
      </c>
      <c r="M38">
        <f>(2299.75-1606.87)*0.03</f>
        <v>20.786400000000004</v>
      </c>
    </row>
    <row r="39" spans="2:13" ht="38.25" x14ac:dyDescent="0.25">
      <c r="B39" s="30" t="s">
        <v>83</v>
      </c>
      <c r="C39" s="30" t="s">
        <v>19</v>
      </c>
      <c r="D39" s="31" t="s">
        <v>84</v>
      </c>
      <c r="E39" s="38" t="s">
        <v>85</v>
      </c>
      <c r="F39" s="30" t="s">
        <v>29</v>
      </c>
      <c r="G39" s="33">
        <f>(2409.04-1273.28)*0.05</f>
        <v>56.788000000000004</v>
      </c>
      <c r="H39" s="37">
        <v>887.6</v>
      </c>
      <c r="I39" s="35">
        <f t="shared" si="6"/>
        <v>50405.028800000007</v>
      </c>
      <c r="J39" s="35">
        <f t="shared" si="7"/>
        <v>12359.313061760002</v>
      </c>
      <c r="K39" s="35">
        <f t="shared" si="8"/>
        <v>62764.341861760011</v>
      </c>
      <c r="M39">
        <f>(2299.75-1606.87)*0.05</f>
        <v>34.644000000000005</v>
      </c>
    </row>
    <row r="40" spans="2:13" ht="26.25" x14ac:dyDescent="0.25">
      <c r="B40" s="30" t="s">
        <v>86</v>
      </c>
      <c r="C40" s="30" t="s">
        <v>19</v>
      </c>
      <c r="D40" s="31" t="s">
        <v>68</v>
      </c>
      <c r="E40" s="44" t="s">
        <v>87</v>
      </c>
      <c r="F40" s="30" t="s">
        <v>22</v>
      </c>
      <c r="G40" s="33">
        <f>(268.04*0.3)+(120.93*0.1)</f>
        <v>92.50500000000001</v>
      </c>
      <c r="H40" s="37">
        <v>40.72</v>
      </c>
      <c r="I40" s="35">
        <f t="shared" si="6"/>
        <v>3766.8036000000002</v>
      </c>
      <c r="J40" s="35">
        <f t="shared" si="7"/>
        <v>923.62024272000008</v>
      </c>
      <c r="K40" s="35">
        <f t="shared" si="8"/>
        <v>4690.4238427199998</v>
      </c>
      <c r="L40" t="s">
        <v>99</v>
      </c>
      <c r="M40">
        <f>(0.3*261.05)+(4*1.2*2.2)</f>
        <v>88.875</v>
      </c>
    </row>
    <row r="41" spans="2:13" ht="45" x14ac:dyDescent="0.25">
      <c r="B41" s="30" t="s">
        <v>88</v>
      </c>
      <c r="C41" s="47" t="s">
        <v>19</v>
      </c>
      <c r="D41" s="47" t="s">
        <v>89</v>
      </c>
      <c r="E41" s="48" t="s">
        <v>90</v>
      </c>
      <c r="F41" s="47" t="s">
        <v>91</v>
      </c>
      <c r="G41" s="33">
        <v>1.75</v>
      </c>
      <c r="H41" s="37">
        <v>129.57</v>
      </c>
      <c r="I41" s="35">
        <f t="shared" si="6"/>
        <v>226.7475</v>
      </c>
      <c r="J41" s="35">
        <f t="shared" si="7"/>
        <v>55.598486999999999</v>
      </c>
      <c r="K41" s="35">
        <f t="shared" si="8"/>
        <v>282.34598699999998</v>
      </c>
      <c r="M41">
        <f>(5*0.25*0.25*4)+(2*0.25*0.25*4)</f>
        <v>1.75</v>
      </c>
    </row>
    <row r="42" spans="2:13" ht="45" x14ac:dyDescent="0.25">
      <c r="B42" s="30" t="s">
        <v>92</v>
      </c>
      <c r="C42" s="30" t="s">
        <v>19</v>
      </c>
      <c r="D42" s="47" t="s">
        <v>93</v>
      </c>
      <c r="E42" s="48" t="s">
        <v>94</v>
      </c>
      <c r="F42" s="47" t="s">
        <v>91</v>
      </c>
      <c r="G42" s="33">
        <v>1.75</v>
      </c>
      <c r="H42" s="37">
        <v>14.71</v>
      </c>
      <c r="I42" s="35">
        <f t="shared" si="6"/>
        <v>25.7425</v>
      </c>
      <c r="J42" s="35">
        <f t="shared" si="7"/>
        <v>6.3120609999999999</v>
      </c>
      <c r="K42" s="35">
        <f t="shared" si="8"/>
        <v>32.054561</v>
      </c>
    </row>
    <row r="43" spans="2:13" x14ac:dyDescent="0.25">
      <c r="H43" s="40" t="s">
        <v>95</v>
      </c>
      <c r="I43" s="41">
        <f>SUM(I35:I42)</f>
        <v>103494.3082824</v>
      </c>
      <c r="J43" s="40"/>
      <c r="K43" s="41">
        <f>SUM(K35:K42)</f>
        <v>128871.11267324447</v>
      </c>
    </row>
    <row r="44" spans="2:13" x14ac:dyDescent="0.25">
      <c r="H44" s="50"/>
      <c r="I44" s="51"/>
      <c r="J44" s="50"/>
      <c r="K44" s="51"/>
    </row>
    <row r="45" spans="2:13" x14ac:dyDescent="0.25">
      <c r="B45" s="52" t="s">
        <v>7</v>
      </c>
      <c r="C45" s="52" t="s">
        <v>8</v>
      </c>
      <c r="D45" s="52" t="s">
        <v>9</v>
      </c>
      <c r="E45" s="53" t="s">
        <v>10</v>
      </c>
      <c r="F45" s="52" t="s">
        <v>11</v>
      </c>
      <c r="G45" s="52" t="s">
        <v>12</v>
      </c>
      <c r="H45" s="52" t="s">
        <v>13</v>
      </c>
      <c r="I45" s="52" t="s">
        <v>14</v>
      </c>
      <c r="J45" s="52" t="s">
        <v>15</v>
      </c>
      <c r="K45" s="52" t="s">
        <v>16</v>
      </c>
    </row>
    <row r="46" spans="2:13" x14ac:dyDescent="0.25">
      <c r="B46" s="54">
        <v>4</v>
      </c>
      <c r="C46" s="55" t="s">
        <v>185</v>
      </c>
      <c r="D46" s="55"/>
      <c r="E46" s="55"/>
      <c r="F46" s="55"/>
      <c r="G46" s="55"/>
      <c r="H46" s="55"/>
      <c r="I46" s="55"/>
      <c r="J46" s="55"/>
      <c r="K46" s="56">
        <f>SUM(K47:K53)</f>
        <v>49384.731167728001</v>
      </c>
    </row>
    <row r="47" spans="2:13" x14ac:dyDescent="0.25">
      <c r="B47" s="62" t="s">
        <v>141</v>
      </c>
      <c r="C47" s="57" t="s">
        <v>19</v>
      </c>
      <c r="D47" s="73" t="s">
        <v>181</v>
      </c>
      <c r="E47" s="59" t="s">
        <v>182</v>
      </c>
      <c r="F47" s="58" t="s">
        <v>121</v>
      </c>
      <c r="G47" s="69">
        <f>50.86*0.3</f>
        <v>15.257999999999999</v>
      </c>
      <c r="H47" s="60">
        <v>249.58</v>
      </c>
      <c r="I47" s="63">
        <f t="shared" ref="I47" si="9">H47*G47</f>
        <v>3808.0916400000001</v>
      </c>
      <c r="J47" s="63">
        <f t="shared" ref="J47" si="10">I47*$J$6</f>
        <v>933.74407012799998</v>
      </c>
      <c r="K47" s="63">
        <f t="shared" ref="K47" si="11">I47+J47</f>
        <v>4741.8357101279998</v>
      </c>
    </row>
    <row r="48" spans="2:13" ht="30" x14ac:dyDescent="0.25">
      <c r="B48" s="62" t="s">
        <v>142</v>
      </c>
      <c r="C48" s="57" t="s">
        <v>19</v>
      </c>
      <c r="D48" s="73" t="s">
        <v>183</v>
      </c>
      <c r="E48" s="59" t="s">
        <v>184</v>
      </c>
      <c r="F48" s="58" t="s">
        <v>91</v>
      </c>
      <c r="G48" s="69">
        <v>1273.28</v>
      </c>
      <c r="H48" s="60">
        <v>16.100000000000001</v>
      </c>
      <c r="I48" s="63">
        <f t="shared" ref="I48:I53" si="12">H48*G48</f>
        <v>20499.808000000001</v>
      </c>
      <c r="J48" s="63">
        <f t="shared" ref="J48:J53" si="13">I48*$J$6</f>
        <v>5026.5529216000004</v>
      </c>
      <c r="K48" s="63">
        <f t="shared" ref="K48:K53" si="14">I48+J48</f>
        <v>25526.3609216</v>
      </c>
    </row>
    <row r="49" spans="2:11" x14ac:dyDescent="0.25">
      <c r="B49" s="62" t="s">
        <v>143</v>
      </c>
      <c r="C49" s="57" t="s">
        <v>19</v>
      </c>
      <c r="D49" s="73" t="s">
        <v>187</v>
      </c>
      <c r="E49" s="74" t="s">
        <v>186</v>
      </c>
      <c r="F49" s="58" t="s">
        <v>119</v>
      </c>
      <c r="G49" s="69">
        <v>16</v>
      </c>
      <c r="H49" s="60">
        <v>205.83</v>
      </c>
      <c r="I49" s="63">
        <f t="shared" si="12"/>
        <v>3293.28</v>
      </c>
      <c r="J49" s="63">
        <f t="shared" si="13"/>
        <v>807.51225600000009</v>
      </c>
      <c r="K49" s="63">
        <f t="shared" si="14"/>
        <v>4100.7922560000006</v>
      </c>
    </row>
    <row r="50" spans="2:11" x14ac:dyDescent="0.25">
      <c r="B50" s="62" t="s">
        <v>144</v>
      </c>
      <c r="C50" s="57" t="s">
        <v>19</v>
      </c>
      <c r="D50" s="73" t="s">
        <v>195</v>
      </c>
      <c r="E50" s="78" t="s">
        <v>196</v>
      </c>
      <c r="F50" s="58" t="s">
        <v>190</v>
      </c>
      <c r="G50" s="69">
        <v>1</v>
      </c>
      <c r="H50" s="60">
        <v>5655.23</v>
      </c>
      <c r="I50" s="63">
        <f t="shared" si="12"/>
        <v>5655.23</v>
      </c>
      <c r="J50" s="63">
        <f t="shared" si="13"/>
        <v>1386.6623959999999</v>
      </c>
      <c r="K50" s="63">
        <f t="shared" si="14"/>
        <v>7041.8923959999993</v>
      </c>
    </row>
    <row r="51" spans="2:11" x14ac:dyDescent="0.25">
      <c r="B51" s="62" t="s">
        <v>145</v>
      </c>
      <c r="C51" s="57" t="s">
        <v>19</v>
      </c>
      <c r="D51" s="73" t="s">
        <v>188</v>
      </c>
      <c r="E51" s="74" t="s">
        <v>189</v>
      </c>
      <c r="F51" s="58" t="s">
        <v>190</v>
      </c>
      <c r="G51" s="69">
        <v>1</v>
      </c>
      <c r="H51" s="60">
        <v>2264.2600000000002</v>
      </c>
      <c r="I51" s="63">
        <f t="shared" si="12"/>
        <v>2264.2600000000002</v>
      </c>
      <c r="J51" s="63">
        <f t="shared" si="13"/>
        <v>555.19655200000011</v>
      </c>
      <c r="K51" s="63">
        <f t="shared" si="14"/>
        <v>2819.4565520000006</v>
      </c>
    </row>
    <row r="52" spans="2:11" x14ac:dyDescent="0.25">
      <c r="B52" s="62" t="s">
        <v>146</v>
      </c>
      <c r="C52" s="57" t="s">
        <v>19</v>
      </c>
      <c r="D52" s="73" t="s">
        <v>191</v>
      </c>
      <c r="E52" s="74" t="s">
        <v>192</v>
      </c>
      <c r="F52" s="58" t="s">
        <v>190</v>
      </c>
      <c r="G52" s="69">
        <v>1</v>
      </c>
      <c r="H52" s="60">
        <v>1615.2</v>
      </c>
      <c r="I52" s="63">
        <f t="shared" si="12"/>
        <v>1615.2</v>
      </c>
      <c r="J52" s="63">
        <f t="shared" si="13"/>
        <v>396.04704000000004</v>
      </c>
      <c r="K52" s="63">
        <f t="shared" si="14"/>
        <v>2011.2470400000002</v>
      </c>
    </row>
    <row r="53" spans="2:11" ht="30" x14ac:dyDescent="0.25">
      <c r="B53" s="62" t="s">
        <v>147</v>
      </c>
      <c r="C53" s="57" t="s">
        <v>19</v>
      </c>
      <c r="D53" s="73" t="s">
        <v>193</v>
      </c>
      <c r="E53" s="74" t="s">
        <v>194</v>
      </c>
      <c r="F53" s="58" t="s">
        <v>190</v>
      </c>
      <c r="G53" s="69">
        <v>1</v>
      </c>
      <c r="H53" s="60">
        <v>2524.21</v>
      </c>
      <c r="I53" s="63">
        <f t="shared" si="12"/>
        <v>2524.21</v>
      </c>
      <c r="J53" s="63">
        <f t="shared" si="13"/>
        <v>618.93629199999998</v>
      </c>
      <c r="K53" s="63">
        <f t="shared" si="14"/>
        <v>3143.1462919999999</v>
      </c>
    </row>
    <row r="54" spans="2:11" x14ac:dyDescent="0.25">
      <c r="H54" s="76" t="s">
        <v>215</v>
      </c>
      <c r="I54" s="77">
        <f>SUM(I47:I53)</f>
        <v>39660.079639999996</v>
      </c>
      <c r="J54" s="76"/>
      <c r="K54" s="77">
        <f>SUM(K47:K53)</f>
        <v>49384.731167728001</v>
      </c>
    </row>
    <row r="55" spans="2:11" x14ac:dyDescent="0.25">
      <c r="H55" s="50"/>
      <c r="I55" s="51"/>
      <c r="J55" s="50"/>
      <c r="K55" s="51"/>
    </row>
    <row r="56" spans="2:11" x14ac:dyDescent="0.25">
      <c r="B56" s="52" t="s">
        <v>7</v>
      </c>
      <c r="C56" s="52" t="s">
        <v>8</v>
      </c>
      <c r="D56" s="52" t="s">
        <v>9</v>
      </c>
      <c r="E56" s="53" t="s">
        <v>10</v>
      </c>
      <c r="F56" s="52" t="s">
        <v>11</v>
      </c>
      <c r="G56" s="52" t="s">
        <v>12</v>
      </c>
      <c r="H56" s="52" t="s">
        <v>13</v>
      </c>
      <c r="I56" s="52" t="s">
        <v>14</v>
      </c>
      <c r="J56" s="52" t="s">
        <v>15</v>
      </c>
      <c r="K56" s="52" t="s">
        <v>16</v>
      </c>
    </row>
    <row r="57" spans="2:11" x14ac:dyDescent="0.25">
      <c r="B57" s="54">
        <v>5</v>
      </c>
      <c r="C57" s="55" t="s">
        <v>140</v>
      </c>
      <c r="D57" s="55"/>
      <c r="E57" s="55"/>
      <c r="F57" s="55"/>
      <c r="G57" s="55"/>
      <c r="H57" s="55"/>
      <c r="I57" s="55"/>
      <c r="J57" s="55"/>
      <c r="K57" s="56">
        <f>SUM(K58:K75)</f>
        <v>70275.103360000008</v>
      </c>
    </row>
    <row r="58" spans="2:11" ht="30" x14ac:dyDescent="0.25">
      <c r="B58" s="62" t="s">
        <v>166</v>
      </c>
      <c r="C58" s="57" t="s">
        <v>19</v>
      </c>
      <c r="D58" s="58" t="s">
        <v>122</v>
      </c>
      <c r="E58" s="59" t="s">
        <v>101</v>
      </c>
      <c r="F58" s="58" t="s">
        <v>119</v>
      </c>
      <c r="G58" s="69">
        <v>150</v>
      </c>
      <c r="H58" s="60">
        <v>9</v>
      </c>
      <c r="I58" s="63">
        <f t="shared" ref="I58" si="15">H58*G58</f>
        <v>1350</v>
      </c>
      <c r="J58" s="63">
        <f t="shared" ref="J58:J75" si="16">I58*$J$6</f>
        <v>331.02</v>
      </c>
      <c r="K58" s="63">
        <f t="shared" ref="K58" si="17">I58+J58</f>
        <v>1681.02</v>
      </c>
    </row>
    <row r="59" spans="2:11" x14ac:dyDescent="0.25">
      <c r="B59" s="62" t="s">
        <v>167</v>
      </c>
      <c r="C59" s="57" t="s">
        <v>19</v>
      </c>
      <c r="D59" s="58" t="s">
        <v>123</v>
      </c>
      <c r="E59" s="59" t="s">
        <v>102</v>
      </c>
      <c r="F59" s="58" t="s">
        <v>120</v>
      </c>
      <c r="G59" s="69">
        <v>6</v>
      </c>
      <c r="H59" s="60">
        <v>203.79</v>
      </c>
      <c r="I59" s="63">
        <f t="shared" ref="I59:I75" si="18">H59*G59</f>
        <v>1222.74</v>
      </c>
      <c r="J59" s="63">
        <f t="shared" si="16"/>
        <v>299.81584800000002</v>
      </c>
      <c r="K59" s="63">
        <f t="shared" ref="K59:K75" si="19">I59+J59</f>
        <v>1522.555848</v>
      </c>
    </row>
    <row r="60" spans="2:11" x14ac:dyDescent="0.25">
      <c r="B60" s="62" t="s">
        <v>168</v>
      </c>
      <c r="C60" s="57" t="s">
        <v>19</v>
      </c>
      <c r="D60" s="58" t="s">
        <v>124</v>
      </c>
      <c r="E60" s="59" t="s">
        <v>103</v>
      </c>
      <c r="F60" s="58" t="s">
        <v>120</v>
      </c>
      <c r="G60" s="69">
        <v>6</v>
      </c>
      <c r="H60" s="60">
        <v>24.93</v>
      </c>
      <c r="I60" s="63">
        <f t="shared" si="18"/>
        <v>149.57999999999998</v>
      </c>
      <c r="J60" s="63">
        <f t="shared" si="16"/>
        <v>36.677015999999995</v>
      </c>
      <c r="K60" s="63">
        <f t="shared" si="19"/>
        <v>186.25701599999996</v>
      </c>
    </row>
    <row r="61" spans="2:11" ht="30" x14ac:dyDescent="0.25">
      <c r="B61" s="62" t="s">
        <v>169</v>
      </c>
      <c r="C61" s="57" t="s">
        <v>19</v>
      </c>
      <c r="D61" s="58" t="s">
        <v>125</v>
      </c>
      <c r="E61" s="59" t="s">
        <v>104</v>
      </c>
      <c r="F61" s="58" t="s">
        <v>119</v>
      </c>
      <c r="G61" s="69">
        <v>150</v>
      </c>
      <c r="H61" s="60">
        <v>15.95</v>
      </c>
      <c r="I61" s="63">
        <f t="shared" si="18"/>
        <v>2392.5</v>
      </c>
      <c r="J61" s="63">
        <f t="shared" si="16"/>
        <v>586.64099999999996</v>
      </c>
      <c r="K61" s="63">
        <f t="shared" si="19"/>
        <v>2979.1410000000001</v>
      </c>
    </row>
    <row r="62" spans="2:11" ht="30" x14ac:dyDescent="0.25">
      <c r="B62" s="62" t="s">
        <v>170</v>
      </c>
      <c r="C62" s="57" t="s">
        <v>19</v>
      </c>
      <c r="D62" s="58" t="s">
        <v>126</v>
      </c>
      <c r="E62" s="59" t="s">
        <v>105</v>
      </c>
      <c r="F62" s="58" t="s">
        <v>119</v>
      </c>
      <c r="G62" s="69">
        <v>300</v>
      </c>
      <c r="H62" s="60">
        <v>8.25</v>
      </c>
      <c r="I62" s="63">
        <f t="shared" si="18"/>
        <v>2475</v>
      </c>
      <c r="J62" s="63">
        <f t="shared" si="16"/>
        <v>606.87</v>
      </c>
      <c r="K62" s="63">
        <f t="shared" si="19"/>
        <v>3081.87</v>
      </c>
    </row>
    <row r="63" spans="2:11" ht="30" x14ac:dyDescent="0.25">
      <c r="B63" s="62" t="s">
        <v>171</v>
      </c>
      <c r="C63" s="57" t="s">
        <v>19</v>
      </c>
      <c r="D63" s="58" t="s">
        <v>127</v>
      </c>
      <c r="E63" s="59" t="s">
        <v>106</v>
      </c>
      <c r="F63" s="58" t="s">
        <v>119</v>
      </c>
      <c r="G63" s="69">
        <v>100</v>
      </c>
      <c r="H63" s="60">
        <v>15.69</v>
      </c>
      <c r="I63" s="63">
        <f t="shared" si="18"/>
        <v>1569</v>
      </c>
      <c r="J63" s="63">
        <f t="shared" si="16"/>
        <v>384.71879999999999</v>
      </c>
      <c r="K63" s="63">
        <f t="shared" si="19"/>
        <v>1953.7188000000001</v>
      </c>
    </row>
    <row r="64" spans="2:11" ht="30" x14ac:dyDescent="0.25">
      <c r="B64" s="62" t="s">
        <v>172</v>
      </c>
      <c r="C64" s="57" t="s">
        <v>19</v>
      </c>
      <c r="D64" s="58" t="s">
        <v>128</v>
      </c>
      <c r="E64" s="59" t="s">
        <v>107</v>
      </c>
      <c r="F64" s="58" t="s">
        <v>121</v>
      </c>
      <c r="G64" s="69">
        <v>3</v>
      </c>
      <c r="H64" s="60">
        <v>44.1</v>
      </c>
      <c r="I64" s="63">
        <f t="shared" si="18"/>
        <v>132.30000000000001</v>
      </c>
      <c r="J64" s="63">
        <f t="shared" si="16"/>
        <v>32.439960000000006</v>
      </c>
      <c r="K64" s="63">
        <f t="shared" si="19"/>
        <v>164.73996000000002</v>
      </c>
    </row>
    <row r="65" spans="2:11" ht="30" x14ac:dyDescent="0.25">
      <c r="B65" s="62" t="s">
        <v>173</v>
      </c>
      <c r="C65" s="57" t="s">
        <v>19</v>
      </c>
      <c r="D65" s="58" t="s">
        <v>129</v>
      </c>
      <c r="E65" s="59" t="s">
        <v>108</v>
      </c>
      <c r="F65" s="58" t="s">
        <v>120</v>
      </c>
      <c r="G65" s="69">
        <v>18</v>
      </c>
      <c r="H65" s="60">
        <v>89.56</v>
      </c>
      <c r="I65" s="63">
        <f t="shared" si="18"/>
        <v>1612.08</v>
      </c>
      <c r="J65" s="63">
        <f t="shared" si="16"/>
        <v>395.282016</v>
      </c>
      <c r="K65" s="63">
        <f t="shared" si="19"/>
        <v>2007.362016</v>
      </c>
    </row>
    <row r="66" spans="2:11" ht="30" x14ac:dyDescent="0.25">
      <c r="B66" s="62" t="s">
        <v>174</v>
      </c>
      <c r="C66" s="57" t="s">
        <v>19</v>
      </c>
      <c r="D66" s="58" t="s">
        <v>130</v>
      </c>
      <c r="E66" s="59" t="s">
        <v>109</v>
      </c>
      <c r="F66" s="58" t="s">
        <v>119</v>
      </c>
      <c r="G66" s="69">
        <v>100</v>
      </c>
      <c r="H66" s="60">
        <v>30.52</v>
      </c>
      <c r="I66" s="63">
        <f t="shared" si="18"/>
        <v>3052</v>
      </c>
      <c r="J66" s="63">
        <f t="shared" si="16"/>
        <v>748.35040000000004</v>
      </c>
      <c r="K66" s="63">
        <f t="shared" si="19"/>
        <v>3800.3504000000003</v>
      </c>
    </row>
    <row r="67" spans="2:11" ht="30" x14ac:dyDescent="0.25">
      <c r="B67" s="62" t="s">
        <v>175</v>
      </c>
      <c r="C67" s="57" t="s">
        <v>19</v>
      </c>
      <c r="D67" s="58" t="s">
        <v>131</v>
      </c>
      <c r="E67" s="59" t="s">
        <v>110</v>
      </c>
      <c r="F67" s="58" t="s">
        <v>121</v>
      </c>
      <c r="G67" s="69">
        <v>2</v>
      </c>
      <c r="H67" s="60">
        <v>473.17</v>
      </c>
      <c r="I67" s="63">
        <f t="shared" si="18"/>
        <v>946.34</v>
      </c>
      <c r="J67" s="63">
        <f t="shared" si="16"/>
        <v>232.04256800000002</v>
      </c>
      <c r="K67" s="63">
        <f t="shared" si="19"/>
        <v>1178.382568</v>
      </c>
    </row>
    <row r="68" spans="2:11" ht="30" x14ac:dyDescent="0.25">
      <c r="B68" s="62" t="s">
        <v>176</v>
      </c>
      <c r="C68" s="57" t="s">
        <v>19</v>
      </c>
      <c r="D68" s="58" t="s">
        <v>132</v>
      </c>
      <c r="E68" s="59" t="s">
        <v>111</v>
      </c>
      <c r="F68" s="58" t="s">
        <v>121</v>
      </c>
      <c r="G68" s="69">
        <v>2</v>
      </c>
      <c r="H68" s="60">
        <v>16.46</v>
      </c>
      <c r="I68" s="63">
        <f t="shared" si="18"/>
        <v>32.92</v>
      </c>
      <c r="J68" s="63">
        <f t="shared" si="16"/>
        <v>8.0719840000000005</v>
      </c>
      <c r="K68" s="63">
        <f t="shared" si="19"/>
        <v>40.991984000000002</v>
      </c>
    </row>
    <row r="69" spans="2:11" ht="30" x14ac:dyDescent="0.25">
      <c r="B69" s="62" t="s">
        <v>177</v>
      </c>
      <c r="C69" s="57" t="s">
        <v>19</v>
      </c>
      <c r="D69" s="58" t="s">
        <v>133</v>
      </c>
      <c r="E69" s="59" t="s">
        <v>112</v>
      </c>
      <c r="F69" s="58" t="s">
        <v>120</v>
      </c>
      <c r="G69" s="69">
        <v>6</v>
      </c>
      <c r="H69" s="60">
        <v>2209.61</v>
      </c>
      <c r="I69" s="63">
        <f t="shared" si="18"/>
        <v>13257.66</v>
      </c>
      <c r="J69" s="63">
        <f t="shared" si="16"/>
        <v>3250.7782320000001</v>
      </c>
      <c r="K69" s="63">
        <f t="shared" si="19"/>
        <v>16508.438232</v>
      </c>
    </row>
    <row r="70" spans="2:11" ht="45" x14ac:dyDescent="0.25">
      <c r="B70" s="62" t="s">
        <v>197</v>
      </c>
      <c r="C70" s="57" t="s">
        <v>19</v>
      </c>
      <c r="D70" s="58" t="s">
        <v>134</v>
      </c>
      <c r="E70" s="59" t="s">
        <v>113</v>
      </c>
      <c r="F70" s="58" t="s">
        <v>120</v>
      </c>
      <c r="G70" s="69">
        <v>18</v>
      </c>
      <c r="H70" s="60">
        <v>1358.55</v>
      </c>
      <c r="I70" s="63">
        <f t="shared" si="18"/>
        <v>24453.899999999998</v>
      </c>
      <c r="J70" s="63">
        <f t="shared" si="16"/>
        <v>5996.0962799999998</v>
      </c>
      <c r="K70" s="63">
        <f t="shared" si="19"/>
        <v>30449.996279999999</v>
      </c>
    </row>
    <row r="71" spans="2:11" x14ac:dyDescent="0.25">
      <c r="B71" s="62" t="s">
        <v>198</v>
      </c>
      <c r="C71" s="57" t="s">
        <v>19</v>
      </c>
      <c r="D71" s="58" t="s">
        <v>135</v>
      </c>
      <c r="E71" s="59" t="s">
        <v>114</v>
      </c>
      <c r="F71" s="58" t="s">
        <v>120</v>
      </c>
      <c r="G71" s="69">
        <v>1</v>
      </c>
      <c r="H71" s="60">
        <v>319.64</v>
      </c>
      <c r="I71" s="63">
        <f t="shared" si="18"/>
        <v>319.64</v>
      </c>
      <c r="J71" s="63">
        <f t="shared" si="16"/>
        <v>78.375727999999995</v>
      </c>
      <c r="K71" s="63">
        <f t="shared" si="19"/>
        <v>398.01572799999997</v>
      </c>
    </row>
    <row r="72" spans="2:11" ht="30" x14ac:dyDescent="0.25">
      <c r="B72" s="62" t="s">
        <v>199</v>
      </c>
      <c r="C72" s="57" t="s">
        <v>19</v>
      </c>
      <c r="D72" s="58" t="s">
        <v>136</v>
      </c>
      <c r="E72" s="59" t="s">
        <v>115</v>
      </c>
      <c r="F72" s="58" t="s">
        <v>120</v>
      </c>
      <c r="G72" s="69">
        <v>2</v>
      </c>
      <c r="H72" s="60">
        <v>22.42</v>
      </c>
      <c r="I72" s="63">
        <f t="shared" si="18"/>
        <v>44.84</v>
      </c>
      <c r="J72" s="63">
        <f t="shared" si="16"/>
        <v>10.994768000000001</v>
      </c>
      <c r="K72" s="63">
        <f t="shared" si="19"/>
        <v>55.834768000000004</v>
      </c>
    </row>
    <row r="73" spans="2:11" ht="30" x14ac:dyDescent="0.25">
      <c r="B73" s="62" t="s">
        <v>200</v>
      </c>
      <c r="C73" s="57" t="s">
        <v>19</v>
      </c>
      <c r="D73" s="58" t="s">
        <v>137</v>
      </c>
      <c r="E73" s="59" t="s">
        <v>116</v>
      </c>
      <c r="F73" s="58" t="s">
        <v>120</v>
      </c>
      <c r="G73" s="69">
        <v>1</v>
      </c>
      <c r="H73" s="60">
        <v>205.96</v>
      </c>
      <c r="I73" s="63">
        <f t="shared" si="18"/>
        <v>205.96</v>
      </c>
      <c r="J73" s="63">
        <f t="shared" si="16"/>
        <v>50.501392000000003</v>
      </c>
      <c r="K73" s="63">
        <f t="shared" si="19"/>
        <v>256.46139199999999</v>
      </c>
    </row>
    <row r="74" spans="2:11" ht="45" x14ac:dyDescent="0.25">
      <c r="B74" s="62" t="s">
        <v>201</v>
      </c>
      <c r="C74" s="57" t="s">
        <v>19</v>
      </c>
      <c r="D74" s="58" t="s">
        <v>138</v>
      </c>
      <c r="E74" s="59" t="s">
        <v>117</v>
      </c>
      <c r="F74" s="58" t="s">
        <v>120</v>
      </c>
      <c r="G74" s="69">
        <v>1</v>
      </c>
      <c r="H74" s="60">
        <v>729.26</v>
      </c>
      <c r="I74" s="63">
        <f t="shared" si="18"/>
        <v>729.26</v>
      </c>
      <c r="J74" s="63">
        <f t="shared" si="16"/>
        <v>178.81455199999999</v>
      </c>
      <c r="K74" s="63">
        <f t="shared" si="19"/>
        <v>908.07455200000004</v>
      </c>
    </row>
    <row r="75" spans="2:11" ht="45" x14ac:dyDescent="0.25">
      <c r="B75" s="62" t="s">
        <v>202</v>
      </c>
      <c r="C75" s="57" t="s">
        <v>19</v>
      </c>
      <c r="D75" s="58" t="s">
        <v>139</v>
      </c>
      <c r="E75" s="59" t="s">
        <v>118</v>
      </c>
      <c r="F75" s="58" t="s">
        <v>120</v>
      </c>
      <c r="G75" s="69">
        <v>6</v>
      </c>
      <c r="H75" s="60">
        <v>415.18</v>
      </c>
      <c r="I75" s="63">
        <f t="shared" si="18"/>
        <v>2491.08</v>
      </c>
      <c r="J75" s="63">
        <f t="shared" si="16"/>
        <v>610.812816</v>
      </c>
      <c r="K75" s="63">
        <f t="shared" si="19"/>
        <v>3101.892816</v>
      </c>
    </row>
    <row r="76" spans="2:11" x14ac:dyDescent="0.25">
      <c r="H76" s="76" t="s">
        <v>217</v>
      </c>
      <c r="I76" s="79">
        <f>SUM(I58:I75)</f>
        <v>56436.799999999996</v>
      </c>
      <c r="J76" s="75"/>
      <c r="K76" s="79">
        <f>SUM(K58:K75)</f>
        <v>70275.103360000008</v>
      </c>
    </row>
    <row r="78" spans="2:11" x14ac:dyDescent="0.25">
      <c r="B78" s="52" t="s">
        <v>7</v>
      </c>
      <c r="C78" s="52" t="s">
        <v>8</v>
      </c>
      <c r="D78" s="52" t="s">
        <v>9</v>
      </c>
      <c r="E78" s="52" t="s">
        <v>10</v>
      </c>
      <c r="F78" s="52" t="s">
        <v>11</v>
      </c>
      <c r="G78" s="52" t="s">
        <v>12</v>
      </c>
      <c r="H78" s="52" t="s">
        <v>13</v>
      </c>
      <c r="I78" s="52" t="s">
        <v>14</v>
      </c>
      <c r="J78" s="52" t="s">
        <v>15</v>
      </c>
      <c r="K78" s="52" t="s">
        <v>16</v>
      </c>
    </row>
    <row r="79" spans="2:11" x14ac:dyDescent="0.25">
      <c r="B79" s="54">
        <v>6</v>
      </c>
      <c r="C79" s="71" t="s">
        <v>178</v>
      </c>
      <c r="D79" s="64"/>
      <c r="E79" s="64"/>
      <c r="F79" s="64"/>
      <c r="G79" s="64"/>
      <c r="H79" s="64"/>
      <c r="I79" s="64"/>
      <c r="J79" s="64"/>
      <c r="K79" s="68">
        <f>SUM(K80:K91)</f>
        <v>4583.506488</v>
      </c>
    </row>
    <row r="80" spans="2:11" x14ac:dyDescent="0.25">
      <c r="B80" s="61" t="s">
        <v>203</v>
      </c>
      <c r="C80" s="61" t="s">
        <v>19</v>
      </c>
      <c r="D80" s="61" t="s">
        <v>157</v>
      </c>
      <c r="E80" s="65" t="s">
        <v>148</v>
      </c>
      <c r="F80" s="61" t="s">
        <v>120</v>
      </c>
      <c r="G80" s="66">
        <v>1</v>
      </c>
      <c r="H80" s="66">
        <v>1700.53</v>
      </c>
      <c r="I80" s="67">
        <f t="shared" ref="I80:I91" si="20">H80*G80</f>
        <v>1700.53</v>
      </c>
      <c r="J80" s="67">
        <f t="shared" ref="J80:J91" si="21">I80*$J$6</f>
        <v>416.96995599999997</v>
      </c>
      <c r="K80" s="67">
        <f t="shared" ref="K80:K91" si="22">I80+J80</f>
        <v>2117.4999560000001</v>
      </c>
    </row>
    <row r="81" spans="2:14" ht="30" x14ac:dyDescent="0.25">
      <c r="B81" s="61" t="s">
        <v>204</v>
      </c>
      <c r="C81" s="61" t="s">
        <v>19</v>
      </c>
      <c r="D81" s="61" t="s">
        <v>158</v>
      </c>
      <c r="E81" s="65" t="s">
        <v>149</v>
      </c>
      <c r="F81" s="61" t="s">
        <v>120</v>
      </c>
      <c r="G81" s="66">
        <v>1</v>
      </c>
      <c r="H81" s="66">
        <v>361.79</v>
      </c>
      <c r="I81" s="67">
        <f t="shared" si="20"/>
        <v>361.79</v>
      </c>
      <c r="J81" s="67">
        <f t="shared" si="21"/>
        <v>88.710908000000003</v>
      </c>
      <c r="K81" s="67">
        <f t="shared" si="22"/>
        <v>450.50090800000004</v>
      </c>
    </row>
    <row r="82" spans="2:14" ht="30" x14ac:dyDescent="0.25">
      <c r="B82" s="61" t="s">
        <v>205</v>
      </c>
      <c r="C82" s="61" t="s">
        <v>19</v>
      </c>
      <c r="D82" s="61" t="s">
        <v>137</v>
      </c>
      <c r="E82" s="65" t="s">
        <v>116</v>
      </c>
      <c r="F82" s="61" t="s">
        <v>120</v>
      </c>
      <c r="G82" s="66">
        <v>1</v>
      </c>
      <c r="H82" s="66">
        <v>205.96</v>
      </c>
      <c r="I82" s="67">
        <f t="shared" si="20"/>
        <v>205.96</v>
      </c>
      <c r="J82" s="67">
        <f t="shared" si="21"/>
        <v>50.501392000000003</v>
      </c>
      <c r="K82" s="67">
        <f t="shared" si="22"/>
        <v>256.46139199999999</v>
      </c>
    </row>
    <row r="83" spans="2:14" ht="30" x14ac:dyDescent="0.25">
      <c r="B83" s="61" t="s">
        <v>206</v>
      </c>
      <c r="C83" s="61" t="s">
        <v>19</v>
      </c>
      <c r="D83" s="61" t="s">
        <v>159</v>
      </c>
      <c r="E83" s="65" t="s">
        <v>150</v>
      </c>
      <c r="F83" s="61" t="s">
        <v>119</v>
      </c>
      <c r="G83" s="66">
        <v>7</v>
      </c>
      <c r="H83" s="66">
        <v>10.33</v>
      </c>
      <c r="I83" s="67">
        <f t="shared" si="20"/>
        <v>72.31</v>
      </c>
      <c r="J83" s="67">
        <f t="shared" si="21"/>
        <v>17.730412000000001</v>
      </c>
      <c r="K83" s="67">
        <f t="shared" si="22"/>
        <v>90.040412000000003</v>
      </c>
    </row>
    <row r="84" spans="2:14" ht="30" x14ac:dyDescent="0.25">
      <c r="B84" s="61" t="s">
        <v>207</v>
      </c>
      <c r="C84" s="61" t="s">
        <v>19</v>
      </c>
      <c r="D84" s="61" t="s">
        <v>160</v>
      </c>
      <c r="E84" s="65" t="s">
        <v>151</v>
      </c>
      <c r="F84" s="61" t="s">
        <v>119</v>
      </c>
      <c r="G84" s="66">
        <v>1.5</v>
      </c>
      <c r="H84" s="66">
        <v>8.7799999999999994</v>
      </c>
      <c r="I84" s="67">
        <f t="shared" si="20"/>
        <v>13.169999999999998</v>
      </c>
      <c r="J84" s="67">
        <f t="shared" si="21"/>
        <v>3.2292839999999994</v>
      </c>
      <c r="K84" s="67">
        <f t="shared" si="22"/>
        <v>16.399283999999998</v>
      </c>
    </row>
    <row r="85" spans="2:14" ht="30" x14ac:dyDescent="0.25">
      <c r="B85" s="61" t="s">
        <v>208</v>
      </c>
      <c r="C85" s="61" t="s">
        <v>19</v>
      </c>
      <c r="D85" s="61" t="s">
        <v>125</v>
      </c>
      <c r="E85" s="65" t="s">
        <v>104</v>
      </c>
      <c r="F85" s="61" t="s">
        <v>119</v>
      </c>
      <c r="G85" s="66">
        <v>44</v>
      </c>
      <c r="H85" s="66">
        <v>15.95</v>
      </c>
      <c r="I85" s="67">
        <f t="shared" si="20"/>
        <v>701.8</v>
      </c>
      <c r="J85" s="67">
        <f t="shared" si="21"/>
        <v>172.08135999999999</v>
      </c>
      <c r="K85" s="67">
        <f t="shared" si="22"/>
        <v>873.88135999999997</v>
      </c>
    </row>
    <row r="86" spans="2:14" ht="30" x14ac:dyDescent="0.25">
      <c r="B86" s="61" t="s">
        <v>209</v>
      </c>
      <c r="C86" s="61" t="s">
        <v>19</v>
      </c>
      <c r="D86" s="61" t="s">
        <v>161</v>
      </c>
      <c r="E86" s="65" t="s">
        <v>152</v>
      </c>
      <c r="F86" s="61" t="s">
        <v>120</v>
      </c>
      <c r="G86" s="66">
        <v>1</v>
      </c>
      <c r="H86" s="66">
        <v>64.650000000000006</v>
      </c>
      <c r="I86" s="67">
        <f t="shared" si="20"/>
        <v>64.650000000000006</v>
      </c>
      <c r="J86" s="67">
        <f t="shared" si="21"/>
        <v>15.852180000000001</v>
      </c>
      <c r="K86" s="67">
        <f t="shared" si="22"/>
        <v>80.50218000000001</v>
      </c>
    </row>
    <row r="87" spans="2:14" ht="30" x14ac:dyDescent="0.25">
      <c r="B87" s="61" t="s">
        <v>210</v>
      </c>
      <c r="C87" s="61" t="s">
        <v>19</v>
      </c>
      <c r="D87" s="61" t="s">
        <v>162</v>
      </c>
      <c r="E87" s="65" t="s">
        <v>153</v>
      </c>
      <c r="F87" s="61" t="s">
        <v>120</v>
      </c>
      <c r="G87" s="66">
        <v>3</v>
      </c>
      <c r="H87" s="66">
        <v>72.36</v>
      </c>
      <c r="I87" s="67">
        <f t="shared" si="20"/>
        <v>217.07999999999998</v>
      </c>
      <c r="J87" s="67">
        <f t="shared" si="21"/>
        <v>53.228015999999997</v>
      </c>
      <c r="K87" s="67">
        <f t="shared" si="22"/>
        <v>270.30801599999995</v>
      </c>
    </row>
    <row r="88" spans="2:14" x14ac:dyDescent="0.25">
      <c r="B88" s="61" t="s">
        <v>211</v>
      </c>
      <c r="C88" s="61" t="s">
        <v>19</v>
      </c>
      <c r="D88" s="61" t="s">
        <v>124</v>
      </c>
      <c r="E88" s="65" t="s">
        <v>103</v>
      </c>
      <c r="F88" s="61" t="s">
        <v>120</v>
      </c>
      <c r="G88" s="66">
        <v>1</v>
      </c>
      <c r="H88" s="66">
        <v>24.93</v>
      </c>
      <c r="I88" s="67">
        <f t="shared" si="20"/>
        <v>24.93</v>
      </c>
      <c r="J88" s="67">
        <f t="shared" si="21"/>
        <v>6.1128359999999997</v>
      </c>
      <c r="K88" s="67">
        <f t="shared" si="22"/>
        <v>31.042836000000001</v>
      </c>
    </row>
    <row r="89" spans="2:14" x14ac:dyDescent="0.25">
      <c r="B89" s="61" t="s">
        <v>212</v>
      </c>
      <c r="C89" s="61" t="s">
        <v>19</v>
      </c>
      <c r="D89" s="61" t="s">
        <v>163</v>
      </c>
      <c r="E89" s="65" t="s">
        <v>154</v>
      </c>
      <c r="F89" s="61" t="s">
        <v>120</v>
      </c>
      <c r="G89" s="66">
        <v>1</v>
      </c>
      <c r="H89" s="66">
        <v>278.43</v>
      </c>
      <c r="I89" s="67">
        <f t="shared" si="20"/>
        <v>278.43</v>
      </c>
      <c r="J89" s="67">
        <f t="shared" si="21"/>
        <v>68.271035999999995</v>
      </c>
      <c r="K89" s="67">
        <f t="shared" si="22"/>
        <v>346.70103599999999</v>
      </c>
    </row>
    <row r="90" spans="2:14" ht="30" x14ac:dyDescent="0.25">
      <c r="B90" s="61" t="s">
        <v>213</v>
      </c>
      <c r="C90" s="61" t="s">
        <v>19</v>
      </c>
      <c r="D90" s="61" t="s">
        <v>164</v>
      </c>
      <c r="E90" s="65" t="s">
        <v>155</v>
      </c>
      <c r="F90" s="61" t="s">
        <v>120</v>
      </c>
      <c r="G90" s="66">
        <v>1</v>
      </c>
      <c r="H90" s="66">
        <v>25.87</v>
      </c>
      <c r="I90" s="67">
        <f t="shared" si="20"/>
        <v>25.87</v>
      </c>
      <c r="J90" s="67">
        <f t="shared" si="21"/>
        <v>6.343324</v>
      </c>
      <c r="K90" s="67">
        <f t="shared" si="22"/>
        <v>32.213324</v>
      </c>
    </row>
    <row r="91" spans="2:14" x14ac:dyDescent="0.25">
      <c r="B91" s="61" t="s">
        <v>214</v>
      </c>
      <c r="C91" s="61" t="s">
        <v>19</v>
      </c>
      <c r="D91" s="61" t="s">
        <v>165</v>
      </c>
      <c r="E91" s="65" t="s">
        <v>156</v>
      </c>
      <c r="F91" s="61" t="s">
        <v>120</v>
      </c>
      <c r="G91" s="66">
        <v>1</v>
      </c>
      <c r="H91" s="66">
        <v>14.42</v>
      </c>
      <c r="I91" s="67">
        <f t="shared" si="20"/>
        <v>14.42</v>
      </c>
      <c r="J91" s="67">
        <f t="shared" si="21"/>
        <v>3.535784</v>
      </c>
      <c r="K91" s="67">
        <f t="shared" si="22"/>
        <v>17.955784000000001</v>
      </c>
    </row>
    <row r="92" spans="2:14" x14ac:dyDescent="0.25">
      <c r="H92" s="76" t="s">
        <v>216</v>
      </c>
      <c r="I92" s="70">
        <f>SUM(I80:I91)</f>
        <v>3680.94</v>
      </c>
      <c r="J92" s="75"/>
      <c r="K92" s="70">
        <f>SUM(K80:K91)</f>
        <v>4583.506488</v>
      </c>
      <c r="M92" t="s">
        <v>179</v>
      </c>
      <c r="N92">
        <v>25000</v>
      </c>
    </row>
    <row r="93" spans="2:14" x14ac:dyDescent="0.25">
      <c r="I93" s="72">
        <f>I43+I31+I21</f>
        <v>219812.4718004</v>
      </c>
      <c r="K93" s="72">
        <f>K43+K31+K21+K54</f>
        <v>323095.22105358605</v>
      </c>
      <c r="L93" s="72">
        <f>K93+25000</f>
        <v>348095.22105358605</v>
      </c>
    </row>
    <row r="94" spans="2:14" x14ac:dyDescent="0.25">
      <c r="H94" s="49" t="s">
        <v>96</v>
      </c>
      <c r="I94" s="41">
        <f>I21+I31+I43</f>
        <v>219812.4718004</v>
      </c>
      <c r="J94" s="41"/>
      <c r="K94" s="41">
        <f>K21+K31+K43+K54+K76+K92</f>
        <v>397953.83090158604</v>
      </c>
    </row>
    <row r="96" spans="2:14" x14ac:dyDescent="0.25">
      <c r="K96" s="72"/>
    </row>
    <row r="97" spans="5:11" x14ac:dyDescent="0.25">
      <c r="K97" s="72"/>
    </row>
    <row r="98" spans="5:11" x14ac:dyDescent="0.25">
      <c r="K98" s="72"/>
    </row>
    <row r="99" spans="5:11" x14ac:dyDescent="0.25">
      <c r="K99" s="72"/>
    </row>
    <row r="100" spans="5:11" x14ac:dyDescent="0.25">
      <c r="K100" s="72"/>
    </row>
    <row r="101" spans="5:11" x14ac:dyDescent="0.25">
      <c r="K101" s="72"/>
    </row>
    <row r="103" spans="5:11" x14ac:dyDescent="0.25">
      <c r="E103" s="85" t="s">
        <v>219</v>
      </c>
      <c r="F103" s="85"/>
      <c r="G103" s="85"/>
      <c r="H103" s="85"/>
    </row>
    <row r="104" spans="5:11" x14ac:dyDescent="0.25">
      <c r="E104" s="81" t="s">
        <v>220</v>
      </c>
      <c r="F104" s="81"/>
      <c r="G104" s="81"/>
      <c r="H104" s="81"/>
    </row>
    <row r="105" spans="5:11" x14ac:dyDescent="0.25">
      <c r="E105" s="81" t="s">
        <v>221</v>
      </c>
      <c r="F105" s="81"/>
      <c r="G105" s="81"/>
      <c r="H105" s="81"/>
    </row>
    <row r="106" spans="5:11" x14ac:dyDescent="0.25">
      <c r="E106" s="81" t="s">
        <v>222</v>
      </c>
      <c r="F106" s="81"/>
      <c r="G106" s="81"/>
      <c r="H106" s="81"/>
    </row>
  </sheetData>
  <mergeCells count="7">
    <mergeCell ref="E104:H104"/>
    <mergeCell ref="E105:H105"/>
    <mergeCell ref="E106:H106"/>
    <mergeCell ref="B4:K4"/>
    <mergeCell ref="B5:K5"/>
    <mergeCell ref="C6:F6"/>
    <mergeCell ref="E103:H103"/>
  </mergeCells>
  <conditionalFormatting sqref="H13:H20 H25:H30 H35:H42">
    <cfRule type="expression" dxfId="2" priority="13" stopIfTrue="1">
      <formula>I13&lt;6</formula>
    </cfRule>
  </conditionalFormatting>
  <conditionalFormatting sqref="H58:H75">
    <cfRule type="expression" dxfId="1" priority="12" stopIfTrue="1">
      <formula>I58&lt;6</formula>
    </cfRule>
  </conditionalFormatting>
  <conditionalFormatting sqref="E50">
    <cfRule type="expression" dxfId="0" priority="4" stopIfTrue="1">
      <formula>J50&lt;6</formula>
    </cfRule>
  </conditionalFormatting>
  <printOptions horizontalCentered="1" verticalCentered="1"/>
  <pageMargins left="0.51181102362204722" right="0.51181102362204722" top="3.1496062992125986" bottom="2.3622047244094491" header="1.5748031496062993" footer="1.1811023622047245"/>
  <pageSetup paperSize="9" scale="55" fitToWidth="0" fitToHeight="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P.O</vt:lpstr>
      <vt:lpstr>P.O!Area_de_impressao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Guilherme Henrique de Souza</cp:lastModifiedBy>
  <cp:revision>45</cp:revision>
  <cp:lastPrinted>2024-05-02T13:23:47Z</cp:lastPrinted>
  <dcterms:created xsi:type="dcterms:W3CDTF">2018-06-04T12:37:24Z</dcterms:created>
  <dcterms:modified xsi:type="dcterms:W3CDTF">2024-05-02T13:24:21Z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