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pmeti\c_ompras$\2025\PREGÃO\Pregão xxx - Coleta de lixo\"/>
    </mc:Choice>
  </mc:AlternateContent>
  <xr:revisionPtr revIDLastSave="0" documentId="13_ncr:1_{804961DC-A8D7-4267-A7E5-E2662BA0F9E7}" xr6:coauthVersionLast="36" xr6:coauthVersionMax="47" xr10:uidLastSave="{00000000-0000-0000-0000-000000000000}"/>
  <bookViews>
    <workbookView xWindow="0" yWindow="0" windowWidth="28800" windowHeight="11808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637" i="1"/>
  <c r="C431" i="1" l="1"/>
  <c r="D420" i="1"/>
  <c r="D315" i="1"/>
  <c r="D411" i="1" l="1"/>
  <c r="D246" i="1" l="1"/>
  <c r="D243" i="1"/>
  <c r="D376" i="1"/>
  <c r="D364" i="1"/>
  <c r="D362" i="1"/>
  <c r="D306" i="1"/>
  <c r="D575" i="1"/>
  <c r="D329" i="1"/>
  <c r="D328" i="1"/>
  <c r="D54" i="1"/>
  <c r="D174" i="1"/>
  <c r="D91" i="1"/>
  <c r="E91" i="1" s="1"/>
  <c r="D56" i="1"/>
  <c r="E56" i="1" s="1"/>
  <c r="D90" i="1"/>
  <c r="D372" i="1"/>
  <c r="D370" i="1"/>
  <c r="D393" i="1"/>
  <c r="D392" i="1"/>
  <c r="D68" i="1" l="1"/>
  <c r="D384" i="1"/>
  <c r="C246" i="1"/>
  <c r="C377" i="1"/>
  <c r="D101" i="1" l="1"/>
  <c r="E101" i="1" s="1"/>
  <c r="E68" i="1"/>
  <c r="C232" i="1"/>
  <c r="A46" i="1" l="1"/>
  <c r="E22" i="1" l="1"/>
  <c r="E20" i="1"/>
  <c r="E19" i="1"/>
  <c r="D374" i="1" l="1"/>
  <c r="C575" i="1" l="1"/>
  <c r="C601" i="1"/>
  <c r="C600" i="1"/>
  <c r="D385" i="1"/>
  <c r="D77" i="1" l="1"/>
  <c r="E77" i="1" s="1"/>
  <c r="D111" i="1"/>
  <c r="E111" i="1" s="1"/>
  <c r="D183" i="1"/>
  <c r="D185" i="1" s="1"/>
  <c r="C187" i="1"/>
  <c r="C189" i="1"/>
  <c r="E196" i="1"/>
  <c r="C197" i="1"/>
  <c r="C200" i="1"/>
  <c r="C212" i="1" s="1"/>
  <c r="C210" i="1"/>
  <c r="E220" i="1"/>
  <c r="D225" i="1"/>
  <c r="E225" i="1" s="1"/>
  <c r="C226" i="1"/>
  <c r="D80" i="1" l="1"/>
  <c r="E80" i="1" s="1"/>
  <c r="D79" i="1"/>
  <c r="E79" i="1" s="1"/>
  <c r="D78" i="1"/>
  <c r="E78" i="1" s="1"/>
  <c r="D114" i="1"/>
  <c r="E114" i="1" s="1"/>
  <c r="D112" i="1"/>
  <c r="E112" i="1" s="1"/>
  <c r="D186" i="1"/>
  <c r="E186" i="1" s="1"/>
  <c r="E183" i="1"/>
  <c r="D187" i="1"/>
  <c r="E187" i="1" s="1"/>
  <c r="D184" i="1"/>
  <c r="D207" i="1"/>
  <c r="E207" i="1" s="1"/>
  <c r="D197" i="1"/>
  <c r="E197" i="1" s="1"/>
  <c r="D198" i="1"/>
  <c r="D226" i="1"/>
  <c r="E226" i="1" s="1"/>
  <c r="D227" i="1" s="1"/>
  <c r="E227" i="1" s="1"/>
  <c r="F228" i="1" s="1"/>
  <c r="D219" i="1"/>
  <c r="E219" i="1" s="1"/>
  <c r="F221" i="1" s="1"/>
  <c r="E440" i="1"/>
  <c r="D442" i="1" s="1"/>
  <c r="C441" i="1"/>
  <c r="E441" i="1" s="1"/>
  <c r="C442" i="1"/>
  <c r="C444" i="1"/>
  <c r="C450" i="1"/>
  <c r="C506" i="1" s="1"/>
  <c r="C455" i="1"/>
  <c r="D455" i="1"/>
  <c r="C456" i="1"/>
  <c r="D456" i="1"/>
  <c r="C457" i="1"/>
  <c r="D457" i="1"/>
  <c r="E463" i="1"/>
  <c r="C465" i="1"/>
  <c r="E465" i="1" s="1"/>
  <c r="C467" i="1"/>
  <c r="E467" i="1" s="1"/>
  <c r="C469" i="1"/>
  <c r="E469" i="1" s="1"/>
  <c r="C471" i="1"/>
  <c r="E471" i="1" s="1"/>
  <c r="C476" i="1"/>
  <c r="E476" i="1" s="1"/>
  <c r="C477" i="1"/>
  <c r="E477" i="1" s="1"/>
  <c r="C479" i="1"/>
  <c r="E484" i="1"/>
  <c r="C485" i="1"/>
  <c r="E485" i="1" s="1"/>
  <c r="C487" i="1"/>
  <c r="E495" i="1"/>
  <c r="D498" i="1" s="1"/>
  <c r="E498" i="1" s="1"/>
  <c r="C496" i="1"/>
  <c r="E496" i="1" s="1"/>
  <c r="E497" i="1"/>
  <c r="C511" i="1"/>
  <c r="D511" i="1"/>
  <c r="C512" i="1"/>
  <c r="D512" i="1"/>
  <c r="C513" i="1"/>
  <c r="D513" i="1"/>
  <c r="D519" i="1"/>
  <c r="D520" i="1" s="1"/>
  <c r="E520" i="1" s="1"/>
  <c r="D521" i="1"/>
  <c r="D522" i="1" s="1"/>
  <c r="C522" i="1"/>
  <c r="D523" i="1"/>
  <c r="D524" i="1" s="1"/>
  <c r="C524" i="1"/>
  <c r="D525" i="1"/>
  <c r="D526" i="1" s="1"/>
  <c r="C526" i="1"/>
  <c r="D527" i="1"/>
  <c r="D528" i="1" s="1"/>
  <c r="C528" i="1"/>
  <c r="C533" i="1"/>
  <c r="D533" i="1"/>
  <c r="D534" i="1"/>
  <c r="D535" i="1"/>
  <c r="E535" i="1" s="1"/>
  <c r="D542" i="1"/>
  <c r="E542" i="1" s="1"/>
  <c r="C543" i="1"/>
  <c r="C545" i="1"/>
  <c r="D135" i="1"/>
  <c r="E135" i="1" s="1"/>
  <c r="C136" i="1"/>
  <c r="D138" i="1"/>
  <c r="C141" i="1"/>
  <c r="E81" i="1" l="1"/>
  <c r="D82" i="1" s="1"/>
  <c r="D208" i="1"/>
  <c r="D209" i="1"/>
  <c r="D210" i="1"/>
  <c r="E210" i="1" s="1"/>
  <c r="C208" i="1"/>
  <c r="C184" i="1"/>
  <c r="E184" i="1" s="1"/>
  <c r="E512" i="1"/>
  <c r="E457" i="1"/>
  <c r="E456" i="1"/>
  <c r="E513" i="1"/>
  <c r="C534" i="1"/>
  <c r="E534" i="1" s="1"/>
  <c r="E511" i="1"/>
  <c r="E533" i="1"/>
  <c r="E455" i="1"/>
  <c r="D499" i="1"/>
  <c r="E499" i="1" s="1"/>
  <c r="D500" i="1" s="1"/>
  <c r="E500" i="1" s="1"/>
  <c r="F472" i="1"/>
  <c r="E528" i="1"/>
  <c r="E524" i="1"/>
  <c r="E442" i="1"/>
  <c r="D478" i="1"/>
  <c r="E478" i="1" s="1"/>
  <c r="D479" i="1" s="1"/>
  <c r="E479" i="1" s="1"/>
  <c r="F480" i="1" s="1"/>
  <c r="E526" i="1"/>
  <c r="E522" i="1"/>
  <c r="D486" i="1"/>
  <c r="E486" i="1" s="1"/>
  <c r="D487" i="1" s="1"/>
  <c r="E487" i="1" s="1"/>
  <c r="F488" i="1" s="1"/>
  <c r="D449" i="1"/>
  <c r="E449" i="1" s="1"/>
  <c r="D450" i="1" s="1"/>
  <c r="E450" i="1" s="1"/>
  <c r="F451" i="1" s="1"/>
  <c r="D443" i="1"/>
  <c r="E443" i="1" s="1"/>
  <c r="D505" i="1"/>
  <c r="E505" i="1" s="1"/>
  <c r="D506" i="1" s="1"/>
  <c r="E506" i="1" s="1"/>
  <c r="F507" i="1" s="1"/>
  <c r="D139" i="1"/>
  <c r="E139" i="1" s="1"/>
  <c r="D136" i="1"/>
  <c r="E136" i="1" s="1"/>
  <c r="D137" i="1"/>
  <c r="C710" i="1"/>
  <c r="C642" i="1" s="1"/>
  <c r="B694" i="1"/>
  <c r="B690" i="1"/>
  <c r="B685" i="1"/>
  <c r="B679" i="1"/>
  <c r="C628" i="1"/>
  <c r="E628" i="1" s="1"/>
  <c r="E625" i="1"/>
  <c r="E624" i="1"/>
  <c r="D599" i="1"/>
  <c r="C599" i="1"/>
  <c r="C588" i="1"/>
  <c r="E586" i="1"/>
  <c r="D593" i="1" s="1"/>
  <c r="E593" i="1" s="1"/>
  <c r="D594" i="1" s="1"/>
  <c r="E594" i="1" s="1"/>
  <c r="F595" i="1" s="1"/>
  <c r="E575" i="1"/>
  <c r="D576" i="1" s="1"/>
  <c r="E576" i="1" s="1"/>
  <c r="D577" i="1" s="1"/>
  <c r="E577" i="1" s="1"/>
  <c r="F578" i="1" s="1"/>
  <c r="E562" i="1"/>
  <c r="E556" i="1"/>
  <c r="E555" i="1"/>
  <c r="E554" i="1"/>
  <c r="E553" i="1"/>
  <c r="E428" i="1"/>
  <c r="C422" i="1"/>
  <c r="D421" i="1"/>
  <c r="D422" i="1" s="1"/>
  <c r="E420" i="1"/>
  <c r="C413" i="1"/>
  <c r="D412" i="1"/>
  <c r="C412" i="1"/>
  <c r="C411" i="1"/>
  <c r="C405" i="1"/>
  <c r="C404" i="1"/>
  <c r="E403" i="1"/>
  <c r="D404" i="1" s="1"/>
  <c r="C395" i="1"/>
  <c r="C393" i="1"/>
  <c r="E392" i="1"/>
  <c r="C387" i="1"/>
  <c r="C386" i="1"/>
  <c r="C384" i="1"/>
  <c r="C379" i="1"/>
  <c r="D378" i="1"/>
  <c r="D379" i="1" s="1"/>
  <c r="D377" i="1"/>
  <c r="C375" i="1"/>
  <c r="D375" i="1"/>
  <c r="C373" i="1"/>
  <c r="D373" i="1"/>
  <c r="D371" i="1"/>
  <c r="E371" i="1" s="1"/>
  <c r="C364" i="1"/>
  <c r="D363" i="1"/>
  <c r="C363" i="1"/>
  <c r="C362" i="1"/>
  <c r="C357" i="1"/>
  <c r="C350" i="1"/>
  <c r="C349" i="1"/>
  <c r="C348" i="1"/>
  <c r="C347" i="1"/>
  <c r="C385" i="1" s="1"/>
  <c r="E346" i="1"/>
  <c r="D348" i="1" s="1"/>
  <c r="C339" i="1"/>
  <c r="D543" i="1"/>
  <c r="E543" i="1" s="1"/>
  <c r="D544" i="1" s="1"/>
  <c r="E544" i="1" s="1"/>
  <c r="D545" i="1" s="1"/>
  <c r="E545" i="1" s="1"/>
  <c r="F546" i="1" s="1"/>
  <c r="C337" i="1"/>
  <c r="E336" i="1"/>
  <c r="C328" i="1"/>
  <c r="D323" i="1"/>
  <c r="C323" i="1"/>
  <c r="D321" i="1"/>
  <c r="C321" i="1"/>
  <c r="D319" i="1"/>
  <c r="C319" i="1"/>
  <c r="D317" i="1"/>
  <c r="C317" i="1"/>
  <c r="E315" i="1"/>
  <c r="C308" i="1"/>
  <c r="E308" i="1" s="1"/>
  <c r="C307" i="1"/>
  <c r="E307" i="1" s="1"/>
  <c r="C306" i="1"/>
  <c r="C329" i="1"/>
  <c r="E288" i="1"/>
  <c r="D290" i="1" s="1"/>
  <c r="E290" i="1" s="1"/>
  <c r="C278" i="1"/>
  <c r="D277" i="1"/>
  <c r="E277" i="1" s="1"/>
  <c r="D276" i="1"/>
  <c r="E276" i="1" s="1"/>
  <c r="D275" i="1"/>
  <c r="E275" i="1" s="1"/>
  <c r="D274" i="1"/>
  <c r="E274" i="1" s="1"/>
  <c r="D273" i="1"/>
  <c r="E273" i="1" s="1"/>
  <c r="D272" i="1"/>
  <c r="E272" i="1" s="1"/>
  <c r="C266" i="1"/>
  <c r="E265" i="1"/>
  <c r="E264" i="1"/>
  <c r="E263" i="1"/>
  <c r="E262" i="1"/>
  <c r="E261" i="1"/>
  <c r="E260" i="1"/>
  <c r="E259" i="1"/>
  <c r="E258" i="1"/>
  <c r="E257" i="1"/>
  <c r="E256" i="1"/>
  <c r="E246" i="1"/>
  <c r="A246" i="1"/>
  <c r="E245" i="1"/>
  <c r="E244" i="1"/>
  <c r="C243" i="1"/>
  <c r="E243" i="1" s="1"/>
  <c r="E242" i="1"/>
  <c r="C241" i="1"/>
  <c r="E241" i="1" s="1"/>
  <c r="A241" i="1"/>
  <c r="C233" i="1"/>
  <c r="C176" i="1"/>
  <c r="E174" i="1"/>
  <c r="D173" i="1"/>
  <c r="D172" i="1"/>
  <c r="C172" i="1"/>
  <c r="E171" i="1"/>
  <c r="C164" i="1"/>
  <c r="C162" i="1"/>
  <c r="D162" i="1"/>
  <c r="C152" i="1"/>
  <c r="D150" i="1"/>
  <c r="D149" i="1"/>
  <c r="C160" i="1"/>
  <c r="E148" i="1"/>
  <c r="C128" i="1"/>
  <c r="C138" i="1"/>
  <c r="E138" i="1" s="1"/>
  <c r="D125" i="1"/>
  <c r="C125" i="1"/>
  <c r="C198" i="1" s="1"/>
  <c r="E198" i="1" s="1"/>
  <c r="E199" i="1" s="1"/>
  <c r="D124" i="1"/>
  <c r="E124" i="1" s="1"/>
  <c r="E123" i="1"/>
  <c r="C104" i="1"/>
  <c r="D113" i="1"/>
  <c r="E113" i="1" s="1"/>
  <c r="E115" i="1" s="1"/>
  <c r="C93" i="1"/>
  <c r="E90" i="1"/>
  <c r="E89" i="1"/>
  <c r="E88" i="1"/>
  <c r="D233" i="1" s="1"/>
  <c r="C71" i="1"/>
  <c r="D65" i="1"/>
  <c r="D67" i="1" s="1"/>
  <c r="E55" i="1"/>
  <c r="E53" i="1"/>
  <c r="D232" i="1" s="1"/>
  <c r="E47" i="1"/>
  <c r="A47" i="1"/>
  <c r="E46" i="1"/>
  <c r="E45" i="1"/>
  <c r="B45" i="1"/>
  <c r="A45" i="1"/>
  <c r="E44" i="1"/>
  <c r="B44" i="1"/>
  <c r="A44" i="1"/>
  <c r="E43" i="1"/>
  <c r="A43" i="1"/>
  <c r="E42" i="1"/>
  <c r="A42" i="1"/>
  <c r="E41" i="1"/>
  <c r="A41" i="1"/>
  <c r="E40" i="1"/>
  <c r="A40" i="1"/>
  <c r="A39" i="1"/>
  <c r="E35" i="1"/>
  <c r="A35" i="1"/>
  <c r="E34" i="1"/>
  <c r="B34" i="1"/>
  <c r="E33" i="1"/>
  <c r="B33" i="1"/>
  <c r="A33" i="1"/>
  <c r="A34" i="1" s="1"/>
  <c r="E32" i="1"/>
  <c r="A32" i="1"/>
  <c r="E31" i="1"/>
  <c r="A31" i="1"/>
  <c r="E30" i="1"/>
  <c r="A30" i="1"/>
  <c r="A29" i="1"/>
  <c r="E28" i="1"/>
  <c r="A28" i="1"/>
  <c r="E27" i="1"/>
  <c r="A27" i="1"/>
  <c r="E26" i="1"/>
  <c r="A26" i="1"/>
  <c r="A25" i="1"/>
  <c r="E24" i="1"/>
  <c r="A24" i="1"/>
  <c r="E23" i="1"/>
  <c r="A23" i="1"/>
  <c r="A22" i="1"/>
  <c r="E21" i="1"/>
  <c r="A21" i="1"/>
  <c r="A20" i="1"/>
  <c r="A19" i="1"/>
  <c r="A13" i="1"/>
  <c r="A11" i="1"/>
  <c r="A10" i="1"/>
  <c r="A9" i="1"/>
  <c r="A8" i="1"/>
  <c r="A7" i="1"/>
  <c r="E348" i="1" l="1"/>
  <c r="E208" i="1"/>
  <c r="D266" i="1"/>
  <c r="E266" i="1" s="1"/>
  <c r="F267" i="1" s="1"/>
  <c r="D563" i="1"/>
  <c r="E563" i="1" s="1"/>
  <c r="D564" i="1" s="1"/>
  <c r="E564" i="1" s="1"/>
  <c r="F565" i="1" s="1"/>
  <c r="D569" i="1"/>
  <c r="E569" i="1" s="1"/>
  <c r="D570" i="1" s="1"/>
  <c r="E570" i="1" s="1"/>
  <c r="F571" i="1" s="1"/>
  <c r="E54" i="1"/>
  <c r="E57" i="1" s="1"/>
  <c r="D58" i="1" s="1"/>
  <c r="C116" i="1"/>
  <c r="C82" i="1"/>
  <c r="E82" i="1" s="1"/>
  <c r="E83" i="1" s="1"/>
  <c r="D84" i="1" s="1"/>
  <c r="E84" i="1" s="1"/>
  <c r="F85" i="1" s="1"/>
  <c r="D116" i="1"/>
  <c r="D200" i="1"/>
  <c r="E200" i="1" s="1"/>
  <c r="E201" i="1" s="1"/>
  <c r="D202" i="1" s="1"/>
  <c r="E202" i="1" s="1"/>
  <c r="F203" i="1" s="1"/>
  <c r="C137" i="1"/>
  <c r="D458" i="1"/>
  <c r="E458" i="1" s="1"/>
  <c r="F459" i="1" s="1"/>
  <c r="D536" i="1"/>
  <c r="E536" i="1" s="1"/>
  <c r="D537" i="1" s="1"/>
  <c r="E537" i="1" s="1"/>
  <c r="D444" i="1"/>
  <c r="E444" i="1" s="1"/>
  <c r="F445" i="1" s="1"/>
  <c r="D514" i="1"/>
  <c r="E514" i="1" s="1"/>
  <c r="F515" i="1" s="1"/>
  <c r="F529" i="1"/>
  <c r="E319" i="1"/>
  <c r="D100" i="1"/>
  <c r="E100" i="1" s="1"/>
  <c r="E337" i="1"/>
  <c r="D338" i="1" s="1"/>
  <c r="E338" i="1" s="1"/>
  <c r="D339" i="1" s="1"/>
  <c r="E339" i="1" s="1"/>
  <c r="F340" i="1" s="1"/>
  <c r="B693" i="1"/>
  <c r="B696" i="1" s="1"/>
  <c r="E126" i="1"/>
  <c r="E347" i="1"/>
  <c r="E385" i="1"/>
  <c r="E317" i="1"/>
  <c r="E411" i="1"/>
  <c r="E413" i="1"/>
  <c r="E323" i="1"/>
  <c r="E364" i="1"/>
  <c r="E36" i="1"/>
  <c r="E233" i="1"/>
  <c r="E65" i="1"/>
  <c r="E172" i="1"/>
  <c r="E306" i="1"/>
  <c r="E363" i="1"/>
  <c r="E412" i="1"/>
  <c r="E362" i="1"/>
  <c r="E328" i="1"/>
  <c r="C615" i="1"/>
  <c r="E615" i="1" s="1"/>
  <c r="D69" i="1"/>
  <c r="E69" i="1" s="1"/>
  <c r="D161" i="1"/>
  <c r="E321" i="1"/>
  <c r="E377" i="1"/>
  <c r="E384" i="1"/>
  <c r="E393" i="1"/>
  <c r="D394" i="1" s="1"/>
  <c r="E394" i="1" s="1"/>
  <c r="D395" i="1" s="1"/>
  <c r="E395" i="1" s="1"/>
  <c r="F396" i="1" s="1"/>
  <c r="E404" i="1"/>
  <c r="D405" i="1" s="1"/>
  <c r="E599" i="1"/>
  <c r="D600" i="1" s="1"/>
  <c r="E600" i="1" s="1"/>
  <c r="D601" i="1" s="1"/>
  <c r="E601" i="1" s="1"/>
  <c r="F602" i="1" s="1"/>
  <c r="E329" i="1"/>
  <c r="E375" i="1"/>
  <c r="E422" i="1"/>
  <c r="D587" i="1"/>
  <c r="E587" i="1" s="1"/>
  <c r="D588" i="1" s="1"/>
  <c r="E588" i="1" s="1"/>
  <c r="F589" i="1" s="1"/>
  <c r="E67" i="1"/>
  <c r="D160" i="1"/>
  <c r="E160" i="1" s="1"/>
  <c r="E236" i="1"/>
  <c r="E379" i="1"/>
  <c r="E429" i="1"/>
  <c r="D430" i="1" s="1"/>
  <c r="E430" i="1" s="1"/>
  <c r="E235" i="1"/>
  <c r="E373" i="1"/>
  <c r="C623" i="1"/>
  <c r="E162" i="1"/>
  <c r="C612" i="1"/>
  <c r="F247" i="1"/>
  <c r="D278" i="1"/>
  <c r="E278" i="1" s="1"/>
  <c r="F279" i="1" s="1"/>
  <c r="F557" i="1"/>
  <c r="D102" i="1"/>
  <c r="E102" i="1" s="1"/>
  <c r="E99" i="1"/>
  <c r="E234" i="1"/>
  <c r="E92" i="1"/>
  <c r="D93" i="1" s="1"/>
  <c r="E232" i="1"/>
  <c r="E66" i="1"/>
  <c r="E149" i="1"/>
  <c r="C611" i="1"/>
  <c r="E611" i="1" s="1"/>
  <c r="C173" i="1"/>
  <c r="E173" i="1" s="1"/>
  <c r="E289" i="1"/>
  <c r="D291" i="1" s="1"/>
  <c r="E291" i="1" s="1"/>
  <c r="D292" i="1" s="1"/>
  <c r="E125" i="1"/>
  <c r="E159" i="1"/>
  <c r="C614" i="1"/>
  <c r="E614" i="1" s="1"/>
  <c r="B580" i="1" l="1"/>
  <c r="D431" i="1"/>
  <c r="E431" i="1" s="1"/>
  <c r="F432" i="1" s="1"/>
  <c r="D349" i="1"/>
  <c r="E349" i="1" s="1"/>
  <c r="D350" i="1" s="1"/>
  <c r="E350" i="1" s="1"/>
  <c r="F351" i="1" s="1"/>
  <c r="D309" i="1"/>
  <c r="E309" i="1" s="1"/>
  <c r="F310" i="1" s="1"/>
  <c r="E58" i="1"/>
  <c r="E59" i="1" s="1"/>
  <c r="D60" i="1"/>
  <c r="E116" i="1"/>
  <c r="E117" i="1" s="1"/>
  <c r="D118" i="1" s="1"/>
  <c r="E118" i="1" s="1"/>
  <c r="F119" i="1" s="1"/>
  <c r="C209" i="1"/>
  <c r="E209" i="1" s="1"/>
  <c r="E211" i="1" s="1"/>
  <c r="D212" i="1" s="1"/>
  <c r="E212" i="1" s="1"/>
  <c r="C185" i="1"/>
  <c r="E185" i="1" s="1"/>
  <c r="E188" i="1" s="1"/>
  <c r="E137" i="1"/>
  <c r="E140" i="1" s="1"/>
  <c r="D141" i="1" s="1"/>
  <c r="E141" i="1" s="1"/>
  <c r="E142" i="1" s="1"/>
  <c r="D143" i="1" s="1"/>
  <c r="E143" i="1" s="1"/>
  <c r="F144" i="1" s="1"/>
  <c r="B490" i="1"/>
  <c r="E405" i="1"/>
  <c r="F406" i="1" s="1"/>
  <c r="D414" i="1"/>
  <c r="E414" i="1" s="1"/>
  <c r="F415" i="1" s="1"/>
  <c r="D386" i="1"/>
  <c r="E386" i="1" s="1"/>
  <c r="D387" i="1" s="1"/>
  <c r="E387" i="1" s="1"/>
  <c r="F388" i="1" s="1"/>
  <c r="D356" i="1"/>
  <c r="E356" i="1" s="1"/>
  <c r="D357" i="1" s="1"/>
  <c r="E357" i="1" s="1"/>
  <c r="F358" i="1" s="1"/>
  <c r="E175" i="1"/>
  <c r="E127" i="1"/>
  <c r="D128" i="1" s="1"/>
  <c r="F324" i="1"/>
  <c r="D365" i="1"/>
  <c r="E365" i="1" s="1"/>
  <c r="F366" i="1" s="1"/>
  <c r="E70" i="1"/>
  <c r="D71" i="1" s="1"/>
  <c r="F281" i="1"/>
  <c r="D8" i="1" s="1"/>
  <c r="D330" i="1"/>
  <c r="E330" i="1" s="1"/>
  <c r="D331" i="1" s="1"/>
  <c r="E331" i="1" s="1"/>
  <c r="F332" i="1" s="1"/>
  <c r="E150" i="1"/>
  <c r="E151" i="1" s="1"/>
  <c r="D152" i="1" s="1"/>
  <c r="E152" i="1" s="1"/>
  <c r="E153" i="1" s="1"/>
  <c r="D154" i="1" s="1"/>
  <c r="E154" i="1" s="1"/>
  <c r="F155" i="1" s="1"/>
  <c r="C161" i="1"/>
  <c r="E161" i="1" s="1"/>
  <c r="E163" i="1" s="1"/>
  <c r="F423" i="1"/>
  <c r="F380" i="1"/>
  <c r="B604" i="1"/>
  <c r="E93" i="1"/>
  <c r="E94" i="1" s="1"/>
  <c r="D95" i="1" s="1"/>
  <c r="E95" i="1" s="1"/>
  <c r="F96" i="1" s="1"/>
  <c r="C627" i="1"/>
  <c r="E627" i="1" s="1"/>
  <c r="E623" i="1"/>
  <c r="E626" i="1" s="1"/>
  <c r="F237" i="1"/>
  <c r="D298" i="1"/>
  <c r="E298" i="1" s="1"/>
  <c r="D299" i="1" s="1"/>
  <c r="E299" i="1" s="1"/>
  <c r="F300" i="1" s="1"/>
  <c r="E292" i="1"/>
  <c r="F293" i="1" s="1"/>
  <c r="E103" i="1"/>
  <c r="D104" i="1" s="1"/>
  <c r="C613" i="1"/>
  <c r="E613" i="1" s="1"/>
  <c r="E612" i="1"/>
  <c r="B434" i="1" l="1"/>
  <c r="D176" i="1"/>
  <c r="E176" i="1" s="1"/>
  <c r="E177" i="1" s="1"/>
  <c r="D178" i="1" s="1"/>
  <c r="E178" i="1" s="1"/>
  <c r="F179" i="1" s="1"/>
  <c r="D629" i="1"/>
  <c r="E629" i="1" s="1"/>
  <c r="F630" i="1" s="1"/>
  <c r="D11" i="1" s="1"/>
  <c r="E71" i="1"/>
  <c r="E72" i="1" s="1"/>
  <c r="D73" i="1" s="1"/>
  <c r="E73" i="1" s="1"/>
  <c r="F74" i="1" s="1"/>
  <c r="E60" i="1"/>
  <c r="F61" i="1" s="1"/>
  <c r="E128" i="1"/>
  <c r="E129" i="1" s="1"/>
  <c r="D130" i="1" s="1"/>
  <c r="E130" i="1" s="1"/>
  <c r="F131" i="1" s="1"/>
  <c r="D189" i="1"/>
  <c r="E189" i="1" s="1"/>
  <c r="E190" i="1" s="1"/>
  <c r="D191" i="1" s="1"/>
  <c r="E191" i="1" s="1"/>
  <c r="F192" i="1" s="1"/>
  <c r="E213" i="1"/>
  <c r="D214" i="1" s="1"/>
  <c r="E214" i="1" s="1"/>
  <c r="F215" i="1" s="1"/>
  <c r="F616" i="1"/>
  <c r="F618" i="1" s="1"/>
  <c r="D10" i="1" s="1"/>
  <c r="B548" i="1"/>
  <c r="B398" i="1"/>
  <c r="B341" i="1"/>
  <c r="F606" i="1"/>
  <c r="D164" i="1"/>
  <c r="E164" i="1" s="1"/>
  <c r="E165" i="1" s="1"/>
  <c r="D166" i="1" s="1"/>
  <c r="E166" i="1" s="1"/>
  <c r="F167" i="1" s="1"/>
  <c r="E104" i="1"/>
  <c r="E105" i="1" s="1"/>
  <c r="D106" i="1" s="1"/>
  <c r="E106" i="1" s="1"/>
  <c r="F107" i="1" s="1"/>
  <c r="E662" i="1" l="1"/>
  <c r="D9" i="1"/>
  <c r="F249" i="1"/>
  <c r="D7" i="1" l="1"/>
  <c r="D642" i="1" l="1"/>
  <c r="E642" i="1" s="1"/>
  <c r="F643" i="1" s="1"/>
  <c r="F645" i="1" s="1"/>
  <c r="F647" i="1" s="1"/>
  <c r="F12" i="1" s="1"/>
  <c r="D13" i="1" l="1"/>
  <c r="D14" i="1" s="1"/>
  <c r="D653" i="1" l="1"/>
  <c r="F657" i="1" s="1"/>
  <c r="F13" i="1"/>
  <c r="F9" i="1"/>
  <c r="F11" i="1"/>
  <c r="F662" i="1"/>
  <c r="F10" i="1"/>
  <c r="F7" i="1"/>
  <c r="F8" i="1"/>
  <c r="E663" i="1" l="1"/>
  <c r="F14" i="1"/>
</calcChain>
</file>

<file path=xl/sharedStrings.xml><?xml version="1.0" encoding="utf-8"?>
<sst xmlns="http://schemas.openxmlformats.org/spreadsheetml/2006/main" count="1095" uniqueCount="267">
  <si>
    <t>Coleta de Resíduos Domiciliares</t>
  </si>
  <si>
    <t>Síntese dos custos</t>
  </si>
  <si>
    <t>Item</t>
  </si>
  <si>
    <t>Custo (R$/mês)</t>
  </si>
  <si>
    <t>%</t>
  </si>
  <si>
    <t>CUSTO TOTAL MENSAL COM A COLETA DOMICILIAR</t>
  </si>
  <si>
    <t>Síntese de quantitativos</t>
  </si>
  <si>
    <t>Mão-de-obra</t>
  </si>
  <si>
    <t>Quantidade</t>
  </si>
  <si>
    <t>Total de mão-de-obra (postos de trabalho)</t>
  </si>
  <si>
    <t>Veículos e Equipamentos</t>
  </si>
  <si>
    <t>1. Mão-de-obra</t>
  </si>
  <si>
    <t>1.1. Coletor Turno do Dia (Coleta domiciliar e coleta de resíduos públicos)</t>
  </si>
  <si>
    <t>Discriminação</t>
  </si>
  <si>
    <t>Unidade</t>
  </si>
  <si>
    <t>Preço unitário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</si>
  <si>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</si>
  <si>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</si>
  <si>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Salário Normal</t>
  </si>
  <si>
    <t>mês</t>
  </si>
  <si>
    <t>Horas Extras (100%)</t>
  </si>
  <si>
    <t>hora</t>
  </si>
  <si>
    <t>Horas Extras (50%)</t>
  </si>
  <si>
    <t>Adicional de Insalubridade</t>
  </si>
  <si>
    <t>Soma</t>
  </si>
  <si>
    <t>Encargos Sociais</t>
  </si>
  <si>
    <t>Total por Coletor</t>
  </si>
  <si>
    <t>Total do Efetivo</t>
  </si>
  <si>
    <t>homem</t>
  </si>
  <si>
    <t>1.2. Coletor Turno da Intermediária (Coleta domiciliar e coleta de resíduos públicos)</t>
  </si>
  <si>
    <t>Horas Extras Noturnas (100%)</t>
  </si>
  <si>
    <t>Adicional Noturno</t>
  </si>
  <si>
    <t>1.3. Coletor Turno da Madrugada (Coleta de resíduos públicos)</t>
  </si>
  <si>
    <t>1.4. Motorista Turno do Dia (Coleta domiciliar e coleta de resíduos públicos)</t>
  </si>
  <si>
    <t>Total por Motorista</t>
  </si>
  <si>
    <t>1.5. Motorista Turno da Intermediária (Coleta domiciliar e coleta de resíduos públicos)</t>
  </si>
  <si>
    <t>1.6. Motorista Turno da Madrugada (Coleta de resíduos públicos)</t>
  </si>
  <si>
    <t>1.7. Fiscal Turno do Dia</t>
  </si>
  <si>
    <t>Total por Fiscal</t>
  </si>
  <si>
    <t>1.8. Fiscal Turno da Noite</t>
  </si>
  <si>
    <t>Horas Extras Noturnas (50%)</t>
  </si>
  <si>
    <t>Total por Supervisor</t>
  </si>
  <si>
    <t>1.10. Supervisor Turno da Noite</t>
  </si>
  <si>
    <t>1.11. Técnico em Segurança do Trabalho Turno do Dia</t>
  </si>
  <si>
    <t>Total por Técnico</t>
  </si>
  <si>
    <t>1.12. Técnico em Segurança do Trabalho Turno da Noite</t>
  </si>
  <si>
    <t>1.13. Auxiliar Operacional Turno do Dia</t>
  </si>
  <si>
    <t>Total por Auxiliar Operacional</t>
  </si>
  <si>
    <t>1.14. Auxiliar Operacional Turno da Noite</t>
  </si>
  <si>
    <t>1.15. Outras especialidades (SESMT)</t>
  </si>
  <si>
    <t>Engenheiro de Segurança do Trabalho</t>
  </si>
  <si>
    <t>posto</t>
  </si>
  <si>
    <t>Médico do Trabalho</t>
  </si>
  <si>
    <t>1.16. Gerente Operacional</t>
  </si>
  <si>
    <t>Total por Gerente Operacional</t>
  </si>
  <si>
    <t>1.17. Vale Transporte</t>
  </si>
  <si>
    <t>Coletor</t>
  </si>
  <si>
    <t>vale</t>
  </si>
  <si>
    <t>Motorista</t>
  </si>
  <si>
    <t>Fiscal</t>
  </si>
  <si>
    <t>Técnicos em Segurança do Trabalho</t>
  </si>
  <si>
    <t>Auxiliar Operacional</t>
  </si>
  <si>
    <t>Supervisor</t>
  </si>
  <si>
    <t>Téc. Segurança do Trabalho</t>
  </si>
  <si>
    <t>Aux. Operacional</t>
  </si>
  <si>
    <t>Custo Mensal com Mão-de-obra (R$/mês) ..............................................................................................</t>
  </si>
  <si>
    <t>2. Uniformes e Equipamentos de Proteção Individual</t>
  </si>
  <si>
    <t>2.1. Uniformes e EPI's para Coletor</t>
  </si>
  <si>
    <t>Jaqueta com reflexivo (NBR 15.292)</t>
  </si>
  <si>
    <t>unidade</t>
  </si>
  <si>
    <t>Calça</t>
  </si>
  <si>
    <t>Camiseta de algodão</t>
  </si>
  <si>
    <t>Boné</t>
  </si>
  <si>
    <t>par</t>
  </si>
  <si>
    <t>Capa de chuva amarela com reflexivo</t>
  </si>
  <si>
    <t>Colete reflexivo</t>
  </si>
  <si>
    <t>Luva de proteção</t>
  </si>
  <si>
    <t>Protetor solar FPS 30</t>
  </si>
  <si>
    <t>frasco 120g</t>
  </si>
  <si>
    <t>2.2. Uniformes e EPI's para Motorista, Fiscal, Supervisor e Técnico Seg. Trabalho</t>
  </si>
  <si>
    <t>Camiseta</t>
  </si>
  <si>
    <t>Botina de segurança c/ palmilha aço</t>
  </si>
  <si>
    <t>Custo Mensal com Uniformes e EPI's (R$/mês) .........................................................................</t>
  </si>
  <si>
    <t>3. Veículos e Equipamentos</t>
  </si>
  <si>
    <t>3.1. Veículo Coletor com capacidade 15m³</t>
  </si>
  <si>
    <t>3.1.1. Depreciação</t>
  </si>
  <si>
    <t>Custo de aquisição dos chassis ¹</t>
  </si>
  <si>
    <t>Custo de aquisição dos compactadores</t>
  </si>
  <si>
    <t>Depreciação dos chassis (60 meses)</t>
  </si>
  <si>
    <r>
      <t>Depr. compactadores disp.</t>
    </r>
    <r>
      <rPr>
        <i/>
        <sz val="10"/>
        <rFont val="Arial"/>
        <family val="2"/>
      </rPr>
      <t xml:space="preserve"> </t>
    </r>
    <r>
      <rPr>
        <sz val="9"/>
        <rFont val="Arial"/>
        <family val="2"/>
      </rPr>
      <t>(60 meses)</t>
    </r>
  </si>
  <si>
    <t>Depreciação mensal veículos coletores</t>
  </si>
  <si>
    <t>¹ Os chassis cotados possuem cabine para 4 (quatro) tripulantes. Caso a licitante opte por chassis com cabine para 3 (três) tripulantes, deverá prever o custo com transporte para os tripulantes excedentes (Composição das equipes de coleta: Motorista + 3 (três) Coletores).</t>
  </si>
  <si>
    <t>3.1.2. Remuneração do Capital  Investido</t>
  </si>
  <si>
    <t>Custo dos veículos coletores</t>
  </si>
  <si>
    <t>Remuneração mensal de capital</t>
  </si>
  <si>
    <t>3.1.3. Impostos e Seguros</t>
  </si>
  <si>
    <t>IPVA</t>
  </si>
  <si>
    <t>Seguro obrigatório</t>
  </si>
  <si>
    <t>Seguro contra terceiros</t>
  </si>
  <si>
    <t>Impostos e seguros mensais</t>
  </si>
  <si>
    <t>3.1.4. Consumos</t>
  </si>
  <si>
    <t>Custo de óleo diesel / km rodado</t>
  </si>
  <si>
    <t>km/l</t>
  </si>
  <si>
    <t>Custo mensal com óleo diesel</t>
  </si>
  <si>
    <t>km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</si>
  <si>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</si>
  <si>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</si>
  <si>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</si>
  <si>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</si>
  <si>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</si>
  <si>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</si>
  <si>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</si>
  <si>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</si>
  <si>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</si>
  <si>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</si>
  <si>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3.1.5. Manutenção</t>
  </si>
  <si>
    <t>Custo de aquisição dos chassis</t>
  </si>
  <si>
    <t>Custo estim. c/manutenção (60 meses)</t>
  </si>
  <si>
    <t>Custo mensal com manutenção</t>
  </si>
  <si>
    <t>3.1.6. Pneus</t>
  </si>
  <si>
    <t>Custo do jogo de pneus 275/80 R 22,5</t>
  </si>
  <si>
    <t>Custo de recapagem</t>
  </si>
  <si>
    <t>Custo jg. compl. + recap. / km rodado</t>
  </si>
  <si>
    <t>km/jogo</t>
  </si>
  <si>
    <t>Custo mensal com pneus</t>
  </si>
  <si>
    <t>Total do Item 3.1</t>
  </si>
  <si>
    <t>3.2. Veículo Coletor com capacidade de 19m³</t>
  </si>
  <si>
    <t>3.2.1. Depreciação</t>
  </si>
  <si>
    <r>
      <t xml:space="preserve">Depreciação compactadores </t>
    </r>
    <r>
      <rPr>
        <sz val="9"/>
        <rFont val="Arial"/>
        <family val="2"/>
      </rPr>
      <t>(60 meses)</t>
    </r>
  </si>
  <si>
    <t>3.2.2.  Remuneração do Capital  Investido</t>
  </si>
  <si>
    <t>3.2.3. Impostos e Seguros</t>
  </si>
  <si>
    <t>3.2.4. Consumos</t>
  </si>
  <si>
    <t>3.2.5. Manutenção</t>
  </si>
  <si>
    <t>3.2.6. Pneus</t>
  </si>
  <si>
    <t>Total do Item 3.2</t>
  </si>
  <si>
    <t>3.3.1. Depreciação</t>
  </si>
  <si>
    <t>Custo do jogo de pneus 215/75</t>
  </si>
  <si>
    <t>Total do Item 3.3</t>
  </si>
  <si>
    <t>3.4. Veículo de Pequeno Porte (tração 4x4), com caçamba basculante metálica de 4m³</t>
  </si>
  <si>
    <t>3.4.1. Depreciação</t>
  </si>
  <si>
    <t>Custo de aquisição das caçambas</t>
  </si>
  <si>
    <t>Deprec. das caçambas (60 meses)</t>
  </si>
  <si>
    <t>3.4.2. Remuneração do Capital  Investido</t>
  </si>
  <si>
    <t xml:space="preserve">Custo dos veículos </t>
  </si>
  <si>
    <t>3.4.3. Impostos e Seguros</t>
  </si>
  <si>
    <t>3.4.4. Consumos</t>
  </si>
  <si>
    <t>3.4.5. Manutenção</t>
  </si>
  <si>
    <t>3.4.6. Pneus</t>
  </si>
  <si>
    <t>Total do Item 3.4</t>
  </si>
  <si>
    <t>3.5. Veículo Coletor Compactador Toco (Coleta de resíduos públicos)</t>
  </si>
  <si>
    <t>3.5.1. Depreciação</t>
  </si>
  <si>
    <t>Custo aquis. equip. bascul. contêineres</t>
  </si>
  <si>
    <t>3.5.2. Remuneração do Capital  Investido</t>
  </si>
  <si>
    <t>3.5.3. Impostos e Seguros</t>
  </si>
  <si>
    <t>3.5.4. Consumos</t>
  </si>
  <si>
    <t>3.5.5. Manutenção</t>
  </si>
  <si>
    <t xml:space="preserve">C. de aquis. equip. basc. contêineres </t>
  </si>
  <si>
    <t>3.5.6. Pneus</t>
  </si>
  <si>
    <t>Total do Item 3.5</t>
  </si>
  <si>
    <t>3.6. Veículos e Equipamentos</t>
  </si>
  <si>
    <t>(Apoio Operacional)</t>
  </si>
  <si>
    <t>Automóvel 5 passageiros</t>
  </si>
  <si>
    <t>Automóvel utilitário</t>
  </si>
  <si>
    <t>litro</t>
  </si>
  <si>
    <t>Comunicação móvel</t>
  </si>
  <si>
    <t>3.7. Contêiner em PEAD capacidade 1.000L (um mil litros)</t>
  </si>
  <si>
    <t>3.7.1. Depreciação</t>
  </si>
  <si>
    <t>Custo de aquisição dos contêineres</t>
  </si>
  <si>
    <t>Depreciação contêineres (60 meses)</t>
  </si>
  <si>
    <t>Depreciação mensal dos contêineres</t>
  </si>
  <si>
    <t>3.7.2. Remuneração do Capital  Investido</t>
  </si>
  <si>
    <t>Custo dos contêineres</t>
  </si>
  <si>
    <t>3.7.3. Manutenção e Reposição de Perdas</t>
  </si>
  <si>
    <t>Custo est. manut./reposição (60 meses)</t>
  </si>
  <si>
    <t>Custo mensal com manut./reposição</t>
  </si>
  <si>
    <t>Total do Item 3.7</t>
  </si>
  <si>
    <t>3.8. Conteiner metálico com rodas e capacidade mínima de 1.200 litros - tipo canguru</t>
  </si>
  <si>
    <t>3.8.1. Depreciação</t>
  </si>
  <si>
    <t>3.8.2. Remuneração do Capital  Investido</t>
  </si>
  <si>
    <t>3.8.3. Manutenção e Reposição de Perdas</t>
  </si>
  <si>
    <t>Total do Item 3.8</t>
  </si>
  <si>
    <t>Custo Mensal com Veículos e Equipamentos (R$/mês) ................................................................................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</si>
  <si>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</si>
  <si>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</si>
  <si>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</si>
  <si>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</si>
  <si>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</si>
  <si>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</si>
  <si>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</si>
  <si>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 ..............................................</t>
  </si>
  <si>
    <t>5. Monitoramento da Frota</t>
  </si>
  <si>
    <t>Implantação dos equipamentos "GPS"</t>
  </si>
  <si>
    <t>Implantação sistema de GPS</t>
  </si>
  <si>
    <t>serviço</t>
  </si>
  <si>
    <t>Kit de câmera, monitor e gravador</t>
  </si>
  <si>
    <t>Custo mensal com implantação</t>
  </si>
  <si>
    <t>Manutenção dos equipamentos "GPS"</t>
  </si>
  <si>
    <t>Manutenção do sistema de câmeras</t>
  </si>
  <si>
    <t>Custo Mensal com Monitoramento da Frota (R$/mês) ............................................................</t>
  </si>
  <si>
    <t>CUSTO TOTAL MENSAL COM DESPESAS OPERACIONAIS (R$/mês) ........................................................................................................</t>
  </si>
  <si>
    <t>Benefícios e despesas indiretas</t>
  </si>
  <si>
    <t>Custo Mensal com BDI (R$/mês) .............................................................................................</t>
  </si>
  <si>
    <t>CUSTOS MENSAL TOTAL (R$/mês) ....................................................................................................</t>
  </si>
  <si>
    <t>RATEIO DOS CUSTOS MENSAIS</t>
  </si>
  <si>
    <t>(A) Total de custos mensais:</t>
  </si>
  <si>
    <t>R$</t>
  </si>
  <si>
    <t xml:space="preserve">(B) Quantidade média de resíduos coletados por mês: </t>
  </si>
  <si>
    <t>toneladas</t>
  </si>
  <si>
    <t>PREÇO POR TONELADA COLETADA:  [A/B]</t>
  </si>
  <si>
    <t>R$/tonelada</t>
  </si>
  <si>
    <t>Informações para fins de dedução no cálculo da retenção de INSS</t>
  </si>
  <si>
    <t>Total com materiais e equipamentos, exceto os equipamentos manuais (R$/mês).............................................</t>
  </si>
  <si>
    <t>Unitário com materiais e equipamentos, exceto os equipamentos manuais (R$/ton).............................................</t>
  </si>
  <si>
    <t>Grupo A</t>
  </si>
  <si>
    <t>INSS</t>
  </si>
  <si>
    <t>FGTS</t>
  </si>
  <si>
    <t>Seg. Acid. Trabalho</t>
  </si>
  <si>
    <t>Salário Educação</t>
  </si>
  <si>
    <t>Sebrae</t>
  </si>
  <si>
    <t>Sesi/Sesc/DPC/Faer</t>
  </si>
  <si>
    <t>Senai/Senac/DPC/Faer</t>
  </si>
  <si>
    <t>Incra</t>
  </si>
  <si>
    <t>Sub-total</t>
  </si>
  <si>
    <t>Grupo B</t>
  </si>
  <si>
    <t>Férias</t>
  </si>
  <si>
    <t>Aviso Prévio</t>
  </si>
  <si>
    <t>Auxílio Doença</t>
  </si>
  <si>
    <t>Grupo C</t>
  </si>
  <si>
    <t>13° Salário</t>
  </si>
  <si>
    <t>50% FGTS (rescisões)</t>
  </si>
  <si>
    <t>Incidência cumulativa</t>
  </si>
  <si>
    <t>Grupo A sobre Grupo B</t>
  </si>
  <si>
    <t>FGTS sobre  Aviso Prévio</t>
  </si>
  <si>
    <t>Total para Encargos Sociais</t>
  </si>
  <si>
    <t>Composição do BDI - Benefícios e Despesas Indiretas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</si>
  <si>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</si>
  <si>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</si>
  <si>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</si>
  <si>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</si>
  <si>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</si>
  <si>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</si>
  <si>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</si>
  <si>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</si>
  <si>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</si>
  <si>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</si>
  <si>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</si>
  <si>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</si>
  <si>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</si>
  <si>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</si>
  <si>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 xml:space="preserve">1.18. Vale Alimentação </t>
  </si>
  <si>
    <t>Adici. de Insalubridade (40% sal. Mínimo)</t>
  </si>
  <si>
    <t>Botina de segurança</t>
  </si>
  <si>
    <t>Meia de cano alto</t>
  </si>
  <si>
    <t>Horas Extras (60%)</t>
  </si>
  <si>
    <t>1.9. Supervisor/fiscal Turno do Dia</t>
  </si>
  <si>
    <t>Combustível (etanol)</t>
  </si>
  <si>
    <t xml:space="preserve">Custo do jogo de pneus </t>
  </si>
  <si>
    <t>3.3. Veículo utilitário</t>
  </si>
  <si>
    <t>Custo de aquisição do veículo</t>
  </si>
  <si>
    <t>Depreciação do veículo (60 meses)</t>
  </si>
  <si>
    <t>3.3.2. Impostos e Seguros</t>
  </si>
  <si>
    <t>3.3.3. Consumos</t>
  </si>
  <si>
    <t>3.3.4. Pneus</t>
  </si>
  <si>
    <t>6. Custos com locação e manutenção de garagem dos veículos</t>
  </si>
  <si>
    <t>7. Benefícios e Despesas Indiretas - BDI</t>
  </si>
  <si>
    <t>Valor Mensal com locação e manutenção de garagem (R$/mês) ..........................................</t>
  </si>
  <si>
    <t xml:space="preserve">ANEXO VIII - Planilha de Composição de Custos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</si>
</sst>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&quot;R$ &quot;#,##0.00"/>
    <numFmt numFmtId="167" formatCode="&quot;R$ &quot;#,##0.00_);\(&quot;R$ &quot;#,##0.00\)"/>
    <numFmt numFmtId="168" formatCode="_(* #,##0_);_(* \(#,##0\);_(* &quot;-&quot;??_);_(@_)"/>
    <numFmt numFmtId="169" formatCode="_(* #,##0.000_);_(* \(#,##0.000\);_(* &quot;-&quot;??_);_(@_)"/>
    <numFmt numFmtId="170" formatCode="_(* #,##0.00000_);_(* \(#,##0.00000\);_(* &quot;-&quot;??_);_(@_)"/>
    <numFmt numFmtId="171" formatCode="_-* #,##0.000_-;\-* #,##0.000_-;_-* &quot;-&quot;?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43" fontId="0" fillId="0" borderId="0" xfId="1" applyFont="1" applyFill="1" applyAlignment="1" applyProtection="1">
      <alignment vertical="center"/>
    </xf>
    <xf numFmtId="43" fontId="4" fillId="0" borderId="0" xfId="1" applyFont="1" applyAlignment="1" applyProtection="1">
      <alignment vertical="center"/>
    </xf>
    <xf numFmtId="43" fontId="5" fillId="0" borderId="2" xfId="1" applyFont="1" applyBorder="1" applyAlignment="1" applyProtection="1">
      <alignment horizontal="center" vertical="center"/>
    </xf>
    <xf numFmtId="43" fontId="0" fillId="0" borderId="3" xfId="1" applyFont="1" applyBorder="1" applyAlignment="1" applyProtection="1">
      <alignment vertical="center"/>
    </xf>
    <xf numFmtId="43" fontId="0" fillId="0" borderId="4" xfId="1" applyFont="1" applyBorder="1" applyAlignment="1" applyProtection="1">
      <alignment vertical="center"/>
    </xf>
    <xf numFmtId="43" fontId="5" fillId="0" borderId="6" xfId="1" applyFont="1" applyBorder="1" applyAlignment="1" applyProtection="1">
      <alignment horizontal="center" vertical="center"/>
    </xf>
    <xf numFmtId="43" fontId="0" fillId="0" borderId="7" xfId="1" applyFont="1" applyBorder="1" applyAlignment="1" applyProtection="1">
      <alignment vertical="center"/>
    </xf>
    <xf numFmtId="165" fontId="0" fillId="0" borderId="8" xfId="0" applyNumberFormat="1" applyBorder="1" applyAlignment="1">
      <alignment vertical="center"/>
    </xf>
    <xf numFmtId="43" fontId="0" fillId="0" borderId="8" xfId="1" applyFont="1" applyBorder="1" applyAlignment="1" applyProtection="1">
      <alignment vertical="center"/>
    </xf>
    <xf numFmtId="10" fontId="0" fillId="0" borderId="11" xfId="2" applyNumberFormat="1" applyFont="1" applyBorder="1" applyAlignment="1" applyProtection="1">
      <alignment vertical="center"/>
    </xf>
    <xf numFmtId="43" fontId="3" fillId="0" borderId="7" xfId="1" applyFont="1" applyBorder="1" applyAlignment="1" applyProtection="1">
      <alignment horizontal="left" vertical="center"/>
    </xf>
    <xf numFmtId="4" fontId="0" fillId="0" borderId="8" xfId="0" applyNumberFormat="1" applyBorder="1" applyAlignment="1">
      <alignment horizontal="centerContinuous" vertical="center"/>
    </xf>
    <xf numFmtId="43" fontId="0" fillId="0" borderId="7" xfId="1" applyFont="1" applyBorder="1" applyAlignment="1" applyProtection="1">
      <alignment horizontal="left" vertical="center"/>
    </xf>
    <xf numFmtId="43" fontId="5" fillId="0" borderId="12" xfId="1" applyFont="1" applyBorder="1" applyAlignment="1" applyProtection="1">
      <alignment horizontal="left" vertical="center"/>
    </xf>
    <xf numFmtId="4" fontId="5" fillId="0" borderId="13" xfId="0" applyNumberFormat="1" applyFont="1" applyBorder="1" applyAlignment="1">
      <alignment horizontal="centerContinuous" vertical="center"/>
    </xf>
    <xf numFmtId="43" fontId="5" fillId="0" borderId="13" xfId="1" applyFont="1" applyBorder="1" applyAlignment="1" applyProtection="1">
      <alignment vertical="center"/>
    </xf>
    <xf numFmtId="10" fontId="5" fillId="0" borderId="16" xfId="2" applyNumberFormat="1" applyFont="1" applyBorder="1" applyAlignment="1" applyProtection="1">
      <alignment vertical="center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center"/>
    </xf>
    <xf numFmtId="43" fontId="0" fillId="2" borderId="0" xfId="1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Alignment="1" applyProtection="1">
      <alignment vertical="center"/>
    </xf>
    <xf numFmtId="43" fontId="5" fillId="0" borderId="17" xfId="1" applyFont="1" applyBorder="1" applyAlignment="1" applyProtection="1">
      <alignment horizontal="right" vertical="center"/>
    </xf>
    <xf numFmtId="43" fontId="6" fillId="0" borderId="2" xfId="1" applyFont="1" applyBorder="1" applyAlignment="1" applyProtection="1">
      <alignment vertical="center"/>
    </xf>
    <xf numFmtId="43" fontId="6" fillId="0" borderId="3" xfId="1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1" fontId="6" fillId="0" borderId="6" xfId="1" applyNumberFormat="1" applyFont="1" applyBorder="1" applyAlignment="1" applyProtection="1">
      <alignment horizontal="center" vertical="center"/>
    </xf>
    <xf numFmtId="43" fontId="7" fillId="0" borderId="7" xfId="1" applyFont="1" applyBorder="1" applyAlignment="1" applyProtection="1">
      <alignment vertical="center"/>
    </xf>
    <xf numFmtId="43" fontId="6" fillId="0" borderId="8" xfId="1" applyFont="1" applyBorder="1" applyAlignment="1" applyProtection="1">
      <alignment vertical="center"/>
    </xf>
    <xf numFmtId="0" fontId="0" fillId="0" borderId="8" xfId="0" applyBorder="1" applyAlignment="1">
      <alignment vertical="center"/>
    </xf>
    <xf numFmtId="1" fontId="6" fillId="0" borderId="18" xfId="1" applyNumberFormat="1" applyFont="1" applyBorder="1" applyAlignment="1" applyProtection="1">
      <alignment horizontal="center" vertical="center"/>
    </xf>
    <xf numFmtId="43" fontId="6" fillId="0" borderId="7" xfId="1" applyFont="1" applyBorder="1" applyAlignment="1" applyProtection="1">
      <alignment vertical="center"/>
    </xf>
    <xf numFmtId="43" fontId="7" fillId="0" borderId="8" xfId="1" applyFont="1" applyBorder="1" applyAlignment="1" applyProtection="1">
      <alignment vertical="center"/>
    </xf>
    <xf numFmtId="43" fontId="6" fillId="0" borderId="19" xfId="1" applyFont="1" applyBorder="1" applyAlignment="1" applyProtection="1">
      <alignment vertical="center"/>
    </xf>
    <xf numFmtId="43" fontId="6" fillId="0" borderId="20" xfId="1" applyFont="1" applyBorder="1" applyAlignment="1" applyProtection="1">
      <alignment vertical="center"/>
    </xf>
    <xf numFmtId="0" fontId="0" fillId="0" borderId="20" xfId="0" applyBorder="1" applyAlignment="1">
      <alignment vertical="center"/>
    </xf>
    <xf numFmtId="1" fontId="6" fillId="0" borderId="21" xfId="1" applyNumberFormat="1" applyFont="1" applyBorder="1" applyAlignment="1" applyProtection="1">
      <alignment horizontal="center" vertical="center"/>
    </xf>
    <xf numFmtId="43" fontId="5" fillId="0" borderId="22" xfId="1" applyFont="1" applyBorder="1" applyAlignment="1" applyProtection="1">
      <alignment vertical="center"/>
    </xf>
    <xf numFmtId="4" fontId="5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1" fontId="5" fillId="0" borderId="24" xfId="1" applyNumberFormat="1" applyFont="1" applyBorder="1" applyAlignment="1" applyProtection="1">
      <alignment horizontal="center" vertical="center"/>
    </xf>
    <xf numFmtId="43" fontId="5" fillId="0" borderId="0" xfId="1" applyFont="1" applyAlignment="1" applyProtection="1">
      <alignment vertical="center"/>
    </xf>
    <xf numFmtId="4" fontId="5" fillId="0" borderId="0" xfId="0" applyNumberFormat="1" applyFont="1" applyAlignment="1">
      <alignment vertical="center"/>
    </xf>
    <xf numFmtId="0" fontId="6" fillId="0" borderId="8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43" fontId="7" fillId="0" borderId="27" xfId="1" applyFont="1" applyBorder="1" applyAlignment="1" applyProtection="1">
      <alignment vertical="center"/>
    </xf>
    <xf numFmtId="43" fontId="6" fillId="0" borderId="28" xfId="1" applyFont="1" applyBorder="1" applyAlignment="1" applyProtection="1">
      <alignment vertical="center"/>
    </xf>
    <xf numFmtId="0" fontId="6" fillId="0" borderId="28" xfId="0" applyFont="1" applyBorder="1" applyAlignment="1">
      <alignment vertical="center"/>
    </xf>
    <xf numFmtId="1" fontId="6" fillId="0" borderId="29" xfId="1" applyNumberFormat="1" applyFont="1" applyBorder="1" applyAlignment="1" applyProtection="1">
      <alignment horizontal="center" vertical="center"/>
    </xf>
    <xf numFmtId="43" fontId="6" fillId="0" borderId="27" xfId="1" applyFont="1" applyBorder="1" applyAlignment="1" applyProtection="1">
      <alignment vertical="center"/>
    </xf>
    <xf numFmtId="0" fontId="6" fillId="0" borderId="20" xfId="0" applyFont="1" applyBorder="1" applyAlignment="1">
      <alignment vertical="center"/>
    </xf>
    <xf numFmtId="43" fontId="6" fillId="0" borderId="0" xfId="1" applyFont="1" applyBorder="1" applyAlignment="1" applyProtection="1">
      <alignment vertical="center"/>
    </xf>
    <xf numFmtId="168" fontId="6" fillId="0" borderId="0" xfId="1" applyNumberFormat="1" applyFont="1" applyBorder="1" applyAlignment="1" applyProtection="1">
      <alignment horizontal="center"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3" fontId="6" fillId="2" borderId="0" xfId="1" applyFont="1" applyFill="1" applyAlignment="1" applyProtection="1">
      <alignment vertical="center"/>
    </xf>
    <xf numFmtId="0" fontId="5" fillId="0" borderId="0" xfId="0" applyFont="1" applyAlignment="1">
      <alignment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43" fontId="8" fillId="3" borderId="31" xfId="1" applyFont="1" applyFill="1" applyBorder="1" applyAlignment="1" applyProtection="1">
      <alignment horizontal="center" vertical="center"/>
    </xf>
    <xf numFmtId="43" fontId="8" fillId="3" borderId="32" xfId="1" applyFont="1" applyFill="1" applyBorder="1" applyAlignment="1" applyProtection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43" fontId="6" fillId="0" borderId="33" xfId="1" applyFont="1" applyBorder="1" applyAlignment="1" applyProtection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43" fontId="6" fillId="0" borderId="34" xfId="1" applyFont="1" applyBorder="1" applyAlignment="1" applyProtection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 applyProtection="1">
      <alignment horizontal="center" vertical="center"/>
    </xf>
    <xf numFmtId="43" fontId="6" fillId="0" borderId="35" xfId="1" applyFont="1" applyBorder="1" applyAlignment="1" applyProtection="1">
      <alignment horizontal="center" vertical="center"/>
    </xf>
    <xf numFmtId="43" fontId="5" fillId="3" borderId="36" xfId="1" applyFont="1" applyFill="1" applyBorder="1" applyAlignment="1" applyProtection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3" fontId="6" fillId="0" borderId="8" xfId="1" applyFont="1" applyBorder="1" applyAlignment="1" applyProtection="1">
      <alignment horizontal="center" vertical="center"/>
    </xf>
    <xf numFmtId="168" fontId="6" fillId="0" borderId="34" xfId="1" applyNumberFormat="1" applyFont="1" applyFill="1" applyBorder="1" applyAlignment="1" applyProtection="1">
      <alignment vertical="center"/>
    </xf>
    <xf numFmtId="43" fontId="6" fillId="0" borderId="33" xfId="1" applyFont="1" applyFill="1" applyBorder="1" applyAlignment="1" applyProtection="1">
      <alignment horizontal="center" vertical="center"/>
    </xf>
    <xf numFmtId="43" fontId="6" fillId="0" borderId="34" xfId="1" applyFont="1" applyFill="1" applyBorder="1" applyAlignment="1" applyProtection="1">
      <alignment horizontal="center" vertical="center"/>
    </xf>
    <xf numFmtId="43" fontId="6" fillId="0" borderId="0" xfId="1" applyFont="1" applyFill="1" applyAlignment="1" applyProtection="1">
      <alignment vertical="center"/>
    </xf>
    <xf numFmtId="43" fontId="5" fillId="0" borderId="36" xfId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165" fontId="6" fillId="0" borderId="34" xfId="1" applyNumberFormat="1" applyFont="1" applyFill="1" applyBorder="1" applyAlignment="1" applyProtection="1">
      <alignment horizontal="center" vertical="center"/>
      <protection locked="0"/>
    </xf>
    <xf numFmtId="43" fontId="6" fillId="0" borderId="34" xfId="1" applyFont="1" applyFill="1" applyBorder="1" applyAlignment="1" applyProtection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3" fontId="5" fillId="0" borderId="16" xfId="1" applyFont="1" applyBorder="1" applyAlignment="1" applyProtection="1">
      <alignment vertical="center"/>
    </xf>
    <xf numFmtId="43" fontId="5" fillId="3" borderId="36" xfId="1" applyFont="1" applyFill="1" applyBorder="1" applyAlignment="1" applyProtection="1">
      <alignment vertical="center"/>
    </xf>
    <xf numFmtId="13" fontId="6" fillId="0" borderId="34" xfId="0" applyNumberFormat="1" applyFont="1" applyBorder="1" applyAlignment="1">
      <alignment horizontal="center" vertical="center"/>
    </xf>
    <xf numFmtId="1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/>
    <xf numFmtId="0" fontId="6" fillId="0" borderId="34" xfId="0" applyFont="1" applyBorder="1" applyAlignment="1">
      <alignment horizontal="center"/>
    </xf>
    <xf numFmtId="43" fontId="6" fillId="0" borderId="0" xfId="1" applyFont="1" applyProtection="1"/>
    <xf numFmtId="0" fontId="6" fillId="0" borderId="13" xfId="0" applyFont="1" applyBorder="1" applyAlignment="1">
      <alignment vertical="center"/>
    </xf>
    <xf numFmtId="43" fontId="6" fillId="0" borderId="13" xfId="1" applyFont="1" applyBorder="1" applyAlignment="1" applyProtection="1">
      <alignment vertical="center"/>
    </xf>
    <xf numFmtId="43" fontId="6" fillId="0" borderId="16" xfId="1" applyFont="1" applyBorder="1" applyAlignment="1" applyProtection="1">
      <alignment vertical="center"/>
    </xf>
    <xf numFmtId="43" fontId="6" fillId="0" borderId="34" xfId="1" applyFont="1" applyFill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  <xf numFmtId="3" fontId="6" fillId="0" borderId="0" xfId="0" applyNumberFormat="1" applyFont="1" applyAlignment="1">
      <alignment vertical="center"/>
    </xf>
    <xf numFmtId="4" fontId="6" fillId="0" borderId="33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43" fontId="5" fillId="0" borderId="0" xfId="1" applyFont="1" applyFill="1" applyBorder="1" applyAlignment="1" applyProtection="1">
      <alignment horizontal="center" vertical="center"/>
    </xf>
    <xf numFmtId="169" fontId="6" fillId="0" borderId="33" xfId="1" applyNumberFormat="1" applyFont="1" applyBorder="1" applyAlignment="1" applyProtection="1">
      <alignment horizontal="center" vertical="center"/>
    </xf>
    <xf numFmtId="0" fontId="6" fillId="0" borderId="33" xfId="0" applyFont="1" applyBorder="1"/>
    <xf numFmtId="0" fontId="7" fillId="0" borderId="34" xfId="0" applyFont="1" applyBorder="1" applyAlignment="1">
      <alignment vertical="center"/>
    </xf>
    <xf numFmtId="0" fontId="6" fillId="0" borderId="34" xfId="1" applyNumberFormat="1" applyFont="1" applyBorder="1" applyAlignment="1" applyProtection="1">
      <alignment horizontal="center" vertical="center"/>
    </xf>
    <xf numFmtId="43" fontId="5" fillId="0" borderId="0" xfId="1" applyFont="1" applyBorder="1" applyAlignment="1" applyProtection="1">
      <alignment vertical="center"/>
    </xf>
    <xf numFmtId="12" fontId="6" fillId="0" borderId="34" xfId="0" applyNumberFormat="1" applyFont="1" applyBorder="1" applyAlignment="1">
      <alignment horizontal="center" vertical="center"/>
    </xf>
    <xf numFmtId="43" fontId="6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Border="1" applyAlignment="1" applyProtection="1">
      <alignment vertical="center"/>
    </xf>
    <xf numFmtId="0" fontId="12" fillId="0" borderId="3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43" fontId="2" fillId="0" borderId="38" xfId="1" applyFont="1" applyBorder="1" applyAlignment="1" applyProtection="1">
      <alignment vertical="center"/>
    </xf>
    <xf numFmtId="43" fontId="12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169" fontId="12" fillId="0" borderId="8" xfId="1" applyNumberFormat="1" applyFont="1" applyBorder="1" applyAlignment="1" applyProtection="1">
      <alignment vertical="center"/>
    </xf>
    <xf numFmtId="43" fontId="12" fillId="0" borderId="38" xfId="1" applyFont="1" applyBorder="1" applyAlignment="1" applyProtection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4" fillId="0" borderId="13" xfId="1" applyFont="1" applyBorder="1" applyAlignment="1" applyProtection="1">
      <alignment vertical="center"/>
    </xf>
    <xf numFmtId="43" fontId="4" fillId="0" borderId="16" xfId="1" applyFont="1" applyBorder="1" applyAlignment="1" applyProtection="1">
      <alignment horizontal="right" vertical="center"/>
    </xf>
    <xf numFmtId="43" fontId="4" fillId="3" borderId="36" xfId="1" applyFont="1" applyFill="1" applyBorder="1" applyAlignment="1" applyProtection="1">
      <alignment vertical="center"/>
    </xf>
    <xf numFmtId="0" fontId="7" fillId="0" borderId="37" xfId="0" applyFont="1" applyBorder="1" applyAlignment="1">
      <alignment vertical="center"/>
    </xf>
    <xf numFmtId="43" fontId="6" fillId="0" borderId="34" xfId="1" applyFont="1" applyBorder="1" applyAlignment="1" applyProtection="1">
      <alignment vertical="center"/>
    </xf>
    <xf numFmtId="10" fontId="6" fillId="0" borderId="0" xfId="2" applyNumberFormat="1" applyFont="1" applyBorder="1" applyAlignment="1" applyProtection="1">
      <alignment vertical="center"/>
    </xf>
    <xf numFmtId="10" fontId="5" fillId="0" borderId="0" xfId="2" applyNumberFormat="1" applyFont="1" applyBorder="1" applyAlignment="1" applyProtection="1">
      <alignment vertical="center"/>
    </xf>
    <xf numFmtId="43" fontId="13" fillId="0" borderId="0" xfId="1" applyFont="1" applyBorder="1" applyAlignment="1" applyProtection="1">
      <alignment vertical="center"/>
    </xf>
    <xf numFmtId="9" fontId="13" fillId="0" borderId="0" xfId="2" applyFont="1" applyBorder="1" applyAlignment="1" applyProtection="1">
      <alignment vertical="center"/>
    </xf>
    <xf numFmtId="43" fontId="13" fillId="0" borderId="0" xfId="1" applyFont="1" applyAlignment="1" applyProtection="1">
      <alignment vertical="center"/>
    </xf>
    <xf numFmtId="10" fontId="6" fillId="0" borderId="34" xfId="2" applyNumberFormat="1" applyFont="1" applyBorder="1" applyAlignment="1" applyProtection="1">
      <alignment vertical="center"/>
    </xf>
    <xf numFmtId="43" fontId="5" fillId="0" borderId="34" xfId="1" applyFont="1" applyBorder="1" applyAlignment="1" applyProtection="1">
      <alignment vertical="center"/>
    </xf>
    <xf numFmtId="10" fontId="5" fillId="0" borderId="34" xfId="2" applyNumberFormat="1" applyFont="1" applyBorder="1" applyAlignment="1" applyProtection="1">
      <alignment vertical="center"/>
    </xf>
    <xf numFmtId="10" fontId="13" fillId="0" borderId="0" xfId="2" applyNumberFormat="1" applyFont="1" applyBorder="1" applyAlignment="1" applyProtection="1">
      <alignment vertical="center"/>
    </xf>
    <xf numFmtId="43" fontId="0" fillId="0" borderId="0" xfId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left" vertical="center"/>
    </xf>
    <xf numFmtId="10" fontId="6" fillId="0" borderId="18" xfId="0" applyNumberFormat="1" applyFont="1" applyBorder="1" applyAlignment="1" applyProtection="1">
      <alignment horizontal="center" vertical="center"/>
      <protection locked="0"/>
    </xf>
    <xf numFmtId="43" fontId="7" fillId="0" borderId="0" xfId="1" applyFont="1" applyAlignment="1" applyProtection="1">
      <alignment vertical="center"/>
    </xf>
    <xf numFmtId="0" fontId="6" fillId="0" borderId="41" xfId="0" applyFont="1" applyBorder="1" applyAlignment="1">
      <alignment horizontal="left" vertical="center"/>
    </xf>
    <xf numFmtId="1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10" fontId="6" fillId="0" borderId="45" xfId="0" applyNumberFormat="1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6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10" fontId="5" fillId="0" borderId="1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0" fontId="5" fillId="0" borderId="0" xfId="0" applyNumberFormat="1" applyFont="1" applyAlignment="1">
      <alignment horizontal="center" vertical="center" wrapText="1"/>
    </xf>
    <xf numFmtId="43" fontId="6" fillId="4" borderId="34" xfId="1" applyFont="1" applyFill="1" applyBorder="1" applyAlignment="1" applyProtection="1">
      <alignment horizontal="center" vertical="center"/>
      <protection locked="0"/>
    </xf>
    <xf numFmtId="43" fontId="6" fillId="4" borderId="33" xfId="1" applyFont="1" applyFill="1" applyBorder="1" applyAlignment="1" applyProtection="1">
      <alignment horizontal="center" vertical="center"/>
    </xf>
    <xf numFmtId="43" fontId="6" fillId="4" borderId="34" xfId="1" applyFont="1" applyFill="1" applyBorder="1" applyAlignment="1" applyProtection="1">
      <alignment horizontal="center" vertical="center"/>
    </xf>
    <xf numFmtId="0" fontId="6" fillId="4" borderId="0" xfId="0" applyFont="1" applyFill="1" applyAlignment="1">
      <alignment vertical="center"/>
    </xf>
    <xf numFmtId="43" fontId="6" fillId="4" borderId="0" xfId="1" applyFont="1" applyFill="1" applyAlignment="1" applyProtection="1">
      <alignment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43" fontId="8" fillId="4" borderId="31" xfId="1" applyFont="1" applyFill="1" applyBorder="1" applyAlignment="1" applyProtection="1">
      <alignment horizontal="center" vertical="center"/>
    </xf>
    <xf numFmtId="43" fontId="8" fillId="4" borderId="32" xfId="1" applyFont="1" applyFill="1" applyBorder="1" applyAlignment="1" applyProtection="1">
      <alignment horizontal="center" vertical="center"/>
    </xf>
    <xf numFmtId="0" fontId="6" fillId="4" borderId="33" xfId="0" applyFont="1" applyFill="1" applyBorder="1"/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vertical="center"/>
    </xf>
    <xf numFmtId="0" fontId="6" fillId="4" borderId="34" xfId="0" applyFont="1" applyFill="1" applyBorder="1" applyAlignment="1">
      <alignment horizontal="center" vertical="center"/>
    </xf>
    <xf numFmtId="3" fontId="6" fillId="4" borderId="34" xfId="0" applyNumberFormat="1" applyFont="1" applyFill="1" applyBorder="1" applyAlignment="1">
      <alignment horizontal="center" vertical="center"/>
    </xf>
    <xf numFmtId="169" fontId="6" fillId="4" borderId="34" xfId="1" applyNumberFormat="1" applyFont="1" applyFill="1" applyBorder="1" applyAlignment="1" applyProtection="1">
      <alignment horizontal="center" vertical="center"/>
      <protection locked="0"/>
    </xf>
    <xf numFmtId="165" fontId="6" fillId="4" borderId="34" xfId="1" applyNumberFormat="1" applyFont="1" applyFill="1" applyBorder="1" applyAlignment="1" applyProtection="1">
      <alignment horizontal="center" vertical="center"/>
      <protection locked="0"/>
    </xf>
    <xf numFmtId="165" fontId="6" fillId="4" borderId="34" xfId="1" applyNumberFormat="1" applyFont="1" applyFill="1" applyBorder="1" applyAlignment="1" applyProtection="1">
      <alignment horizontal="center" vertical="center"/>
    </xf>
    <xf numFmtId="170" fontId="6" fillId="4" borderId="0" xfId="1" applyNumberFormat="1" applyFont="1" applyFill="1" applyAlignment="1" applyProtection="1">
      <alignment vertical="center"/>
    </xf>
    <xf numFmtId="43" fontId="5" fillId="4" borderId="36" xfId="1" applyFont="1" applyFill="1" applyBorder="1" applyAlignment="1" applyProtection="1">
      <alignment horizontal="center" vertical="center"/>
    </xf>
    <xf numFmtId="164" fontId="0" fillId="0" borderId="0" xfId="4" applyFont="1"/>
    <xf numFmtId="43" fontId="6" fillId="4" borderId="33" xfId="1" applyFont="1" applyFill="1" applyBorder="1" applyAlignment="1" applyProtection="1">
      <alignment horizontal="center" vertical="center"/>
      <protection locked="0"/>
    </xf>
    <xf numFmtId="43" fontId="6" fillId="0" borderId="0" xfId="1" applyFont="1" applyBorder="1" applyAlignment="1" applyProtection="1">
      <alignment horizontal="center" vertical="center"/>
    </xf>
    <xf numFmtId="0" fontId="6" fillId="0" borderId="37" xfId="0" applyFont="1" applyBorder="1" applyAlignment="1">
      <alignment horizontal="center" vertical="center"/>
    </xf>
    <xf numFmtId="43" fontId="6" fillId="0" borderId="0" xfId="1" applyFont="1" applyFill="1" applyBorder="1" applyAlignment="1" applyProtection="1"/>
    <xf numFmtId="168" fontId="6" fillId="4" borderId="34" xfId="1" applyNumberFormat="1" applyFont="1" applyFill="1" applyBorder="1" applyAlignment="1" applyProtection="1">
      <alignment vertical="center"/>
    </xf>
    <xf numFmtId="43" fontId="6" fillId="5" borderId="33" xfId="1" applyFont="1" applyFill="1" applyBorder="1" applyAlignment="1" applyProtection="1">
      <alignment horizontal="center" vertical="center"/>
      <protection locked="0"/>
    </xf>
    <xf numFmtId="43" fontId="6" fillId="5" borderId="33" xfId="1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>
      <alignment vertical="center"/>
    </xf>
    <xf numFmtId="0" fontId="6" fillId="6" borderId="33" xfId="0" applyFont="1" applyFill="1" applyBorder="1" applyAlignment="1">
      <alignment horizontal="center" vertical="center"/>
    </xf>
    <xf numFmtId="4" fontId="6" fillId="6" borderId="33" xfId="0" applyNumberFormat="1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>
      <alignment vertical="center"/>
    </xf>
    <xf numFmtId="0" fontId="6" fillId="6" borderId="34" xfId="0" applyFont="1" applyFill="1" applyBorder="1" applyAlignment="1">
      <alignment horizontal="center" vertical="center"/>
    </xf>
    <xf numFmtId="4" fontId="6" fillId="6" borderId="34" xfId="0" applyNumberFormat="1" applyFont="1" applyFill="1" applyBorder="1" applyAlignment="1">
      <alignment horizontal="center" vertical="center"/>
    </xf>
    <xf numFmtId="4" fontId="6" fillId="6" borderId="33" xfId="0" applyNumberFormat="1" applyFont="1" applyFill="1" applyBorder="1" applyAlignment="1">
      <alignment horizontal="center" vertical="center"/>
    </xf>
    <xf numFmtId="43" fontId="14" fillId="0" borderId="0" xfId="1" applyFont="1" applyFill="1" applyAlignment="1" applyProtection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3" fontId="8" fillId="0" borderId="31" xfId="1" applyFont="1" applyFill="1" applyBorder="1" applyAlignment="1" applyProtection="1">
      <alignment horizontal="center" vertical="center"/>
    </xf>
    <xf numFmtId="43" fontId="8" fillId="0" borderId="32" xfId="1" applyFont="1" applyFill="1" applyBorder="1" applyAlignment="1" applyProtection="1">
      <alignment horizontal="center" vertical="center"/>
    </xf>
    <xf numFmtId="168" fontId="6" fillId="0" borderId="33" xfId="1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165" fontId="5" fillId="0" borderId="36" xfId="1" applyNumberFormat="1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horizontal="center" vertical="center"/>
    </xf>
    <xf numFmtId="43" fontId="6" fillId="0" borderId="33" xfId="1" applyFont="1" applyFill="1" applyBorder="1" applyAlignment="1" applyProtection="1">
      <alignment horizontal="center" vertical="center"/>
      <protection locked="0"/>
    </xf>
    <xf numFmtId="43" fontId="6" fillId="0" borderId="0" xfId="1" applyFont="1" applyFill="1" applyAlignment="1" applyProtection="1">
      <alignment horizontal="center" vertical="center"/>
    </xf>
    <xf numFmtId="169" fontId="6" fillId="0" borderId="33" xfId="1" applyNumberFormat="1" applyFont="1" applyFill="1" applyBorder="1" applyAlignment="1" applyProtection="1">
      <alignment horizontal="center" vertical="center"/>
      <protection locked="0"/>
    </xf>
    <xf numFmtId="169" fontId="6" fillId="0" borderId="33" xfId="1" applyNumberFormat="1" applyFont="1" applyFill="1" applyBorder="1" applyAlignment="1" applyProtection="1">
      <alignment horizontal="center" vertical="center"/>
    </xf>
    <xf numFmtId="171" fontId="0" fillId="0" borderId="0" xfId="0" applyNumberFormat="1"/>
    <xf numFmtId="0" fontId="0" fillId="0" borderId="0" xfId="0" applyFill="1"/>
    <xf numFmtId="165" fontId="5" fillId="0" borderId="0" xfId="1" applyNumberFormat="1" applyFont="1" applyFill="1" applyBorder="1" applyAlignment="1" applyProtection="1">
      <alignment horizontal="center" vertical="center"/>
    </xf>
    <xf numFmtId="164" fontId="5" fillId="0" borderId="13" xfId="4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3" fontId="5" fillId="0" borderId="13" xfId="1" applyFont="1" applyFill="1" applyBorder="1" applyAlignment="1" applyProtection="1">
      <alignment vertical="center"/>
    </xf>
    <xf numFmtId="43" fontId="5" fillId="0" borderId="16" xfId="1" applyFont="1" applyFill="1" applyBorder="1" applyAlignment="1" applyProtection="1">
      <alignment vertical="center"/>
    </xf>
    <xf numFmtId="43" fontId="3" fillId="0" borderId="7" xfId="1" applyFont="1" applyBorder="1" applyAlignment="1" applyProtection="1">
      <alignment horizontal="left" vertical="center"/>
    </xf>
    <xf numFmtId="43" fontId="3" fillId="0" borderId="8" xfId="1" applyFont="1" applyBorder="1" applyAlignment="1" applyProtection="1">
      <alignment horizontal="left" vertical="center"/>
    </xf>
    <xf numFmtId="166" fontId="0" fillId="0" borderId="9" xfId="0" applyNumberFormat="1" applyBorder="1" applyAlignment="1">
      <alignment horizontal="right" vertical="center"/>
    </xf>
    <xf numFmtId="166" fontId="0" fillId="0" borderId="10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5" xfId="1" applyFont="1" applyBorder="1" applyAlignment="1" applyProtection="1">
      <alignment horizontal="center" vertical="center"/>
    </xf>
    <xf numFmtId="43" fontId="5" fillId="0" borderId="13" xfId="1" applyFont="1" applyBorder="1" applyAlignment="1" applyProtection="1">
      <alignment horizontal="center" vertical="center"/>
    </xf>
    <xf numFmtId="43" fontId="5" fillId="0" borderId="16" xfId="1" applyFont="1" applyBorder="1" applyAlignment="1" applyProtection="1">
      <alignment horizontal="center" vertical="center"/>
    </xf>
    <xf numFmtId="167" fontId="5" fillId="0" borderId="14" xfId="0" applyNumberFormat="1" applyFont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43" fontId="5" fillId="0" borderId="12" xfId="1" applyFont="1" applyBorder="1" applyAlignment="1" applyProtection="1">
      <alignment horizontal="center" vertical="center"/>
    </xf>
    <xf numFmtId="43" fontId="5" fillId="0" borderId="15" xfId="1" applyFont="1" applyBorder="1" applyAlignment="1" applyProtection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6" fontId="0" fillId="0" borderId="37" xfId="0" applyNumberFormat="1" applyBorder="1" applyAlignment="1">
      <alignment vertical="center"/>
    </xf>
    <xf numFmtId="166" fontId="0" fillId="0" borderId="38" xfId="0" applyNumberForma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</cellXfs>
  <cellStyles count="5">
    <cellStyle name="Moeda" xfId="4" builtinId="4"/>
    <cellStyle name="Moeda 3" xfId="3" xr:uid="{00000000-0005-0000-0000-000001000000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1"/>
  <sheetViews>
    <sheetView tabSelected="1" workbookViewId="0">
      <selection activeCell="A3" sqref="A3:F3"/>
    </sheetView>
  </sheetViews>
  <sheetFormatPr defaultRowHeight="14.4" x14ac:dyDescent="0.3"/>
  <cols>
    <col min="1" max="1" width="35.109375" style="25" customWidth="1"/>
    <col min="2" max="2" width="11.6640625" style="25" customWidth="1"/>
    <col min="3" max="3" width="9.44140625" style="25" customWidth="1"/>
    <col min="4" max="4" width="14.6640625" style="26" customWidth="1"/>
    <col min="5" max="5" width="13.5546875" style="26" customWidth="1"/>
    <col min="6" max="6" width="13.33203125" style="26" customWidth="1"/>
    <col min="8" max="8" width="13.88671875" bestFit="1" customWidth="1"/>
  </cols>
  <sheetData>
    <row r="1" spans="1:6" x14ac:dyDescent="0.3">
      <c r="A1" s="1"/>
      <c r="B1" s="2"/>
      <c r="C1" s="2"/>
      <c r="D1" s="3"/>
      <c r="E1" s="3"/>
      <c r="F1" s="3"/>
    </row>
    <row r="2" spans="1:6" x14ac:dyDescent="0.3">
      <c r="A2" s="220" t="s">
        <v>0</v>
      </c>
      <c r="B2" s="220"/>
      <c r="C2" s="220"/>
      <c r="D2" s="220"/>
      <c r="E2" s="220"/>
      <c r="F2" s="220"/>
    </row>
    <row r="3" spans="1:6" x14ac:dyDescent="0.3">
      <c r="A3" s="221" t="s">
        <v>266</v>
      </c>
      <c r="B3" s="221"/>
      <c r="C3" s="221"/>
      <c r="D3" s="221"/>
      <c r="E3" s="221"/>
      <c r="F3" s="221"/>
    </row>
    <row r="4" spans="1:6" x14ac:dyDescent="0.3">
      <c r="A4" s="4"/>
      <c r="B4" s="2"/>
      <c r="C4" s="2"/>
      <c r="D4" s="5"/>
      <c r="E4" s="5"/>
      <c r="F4" s="5"/>
    </row>
    <row r="5" spans="1:6" ht="16.2" thickBot="1" x14ac:dyDescent="0.35">
      <c r="A5" s="6" t="s">
        <v>1</v>
      </c>
      <c r="B5" s="3"/>
      <c r="C5" s="3"/>
      <c r="D5" s="3"/>
      <c r="E5" s="3"/>
      <c r="F5" s="3"/>
    </row>
    <row r="6" spans="1:6" x14ac:dyDescent="0.3">
      <c r="A6" s="7" t="s">
        <v>2</v>
      </c>
      <c r="B6" s="8"/>
      <c r="C6" s="9"/>
      <c r="D6" s="222" t="s">
        <v>3</v>
      </c>
      <c r="E6" s="222"/>
      <c r="F6" s="10" t="s">
        <v>4</v>
      </c>
    </row>
    <row r="7" spans="1:6" x14ac:dyDescent="0.3">
      <c r="A7" s="11" t="str">
        <f>+A49</f>
        <v>1. Mão-de-obra</v>
      </c>
      <c r="B7" s="12"/>
      <c r="C7" s="13"/>
      <c r="D7" s="218">
        <f>+F249</f>
        <v>134086.11697174318</v>
      </c>
      <c r="E7" s="219"/>
      <c r="F7" s="14">
        <f t="shared" ref="F7:F13" si="0">+D7/F$647</f>
        <v>0.36888279686596798</v>
      </c>
    </row>
    <row r="8" spans="1:6" x14ac:dyDescent="0.3">
      <c r="A8" s="216" t="str">
        <f>+A251</f>
        <v>2. Uniformes e Equipamentos de Proteção Individual</v>
      </c>
      <c r="B8" s="217"/>
      <c r="C8" s="217"/>
      <c r="D8" s="218">
        <f>+F281</f>
        <v>3861.0633333333335</v>
      </c>
      <c r="E8" s="219"/>
      <c r="F8" s="14">
        <f t="shared" si="0"/>
        <v>1.0622127580715793E-2</v>
      </c>
    </row>
    <row r="9" spans="1:6" x14ac:dyDescent="0.3">
      <c r="A9" s="15" t="str">
        <f>+A283</f>
        <v>3. Veículos e Equipamentos</v>
      </c>
      <c r="B9" s="16"/>
      <c r="C9" s="13"/>
      <c r="D9" s="218">
        <f>+F606</f>
        <v>174152.46863252376</v>
      </c>
      <c r="E9" s="219"/>
      <c r="F9" s="14">
        <f t="shared" si="0"/>
        <v>0.47910888286679382</v>
      </c>
    </row>
    <row r="10" spans="1:6" x14ac:dyDescent="0.3">
      <c r="A10" s="17" t="str">
        <f>+A608</f>
        <v>4. Ferramentas e Materiais de Consumo</v>
      </c>
      <c r="B10" s="16"/>
      <c r="C10" s="13"/>
      <c r="D10" s="218">
        <f>+F618</f>
        <v>449.89833333333331</v>
      </c>
      <c r="E10" s="219"/>
      <c r="F10" s="14">
        <f t="shared" si="0"/>
        <v>1.2377102063468009E-3</v>
      </c>
    </row>
    <row r="11" spans="1:6" x14ac:dyDescent="0.3">
      <c r="A11" s="17" t="str">
        <f>+A620</f>
        <v>5. Monitoramento da Frota</v>
      </c>
      <c r="B11" s="16"/>
      <c r="C11" s="13"/>
      <c r="D11" s="218">
        <f>F630</f>
        <v>800.83333333333337</v>
      </c>
      <c r="E11" s="219"/>
      <c r="F11" s="14">
        <f t="shared" si="0"/>
        <v>2.2031635078652509E-3</v>
      </c>
    </row>
    <row r="12" spans="1:6" x14ac:dyDescent="0.3">
      <c r="A12" s="25" t="s">
        <v>263</v>
      </c>
      <c r="B12" s="16"/>
      <c r="C12" s="13"/>
      <c r="D12" s="233">
        <f>F633</f>
        <v>5000</v>
      </c>
      <c r="E12" s="234"/>
      <c r="F12" s="14">
        <f>+D12/F$647</f>
        <v>1.3755443337348079E-2</v>
      </c>
    </row>
    <row r="13" spans="1:6" ht="15" thickBot="1" x14ac:dyDescent="0.35">
      <c r="A13" s="17" t="str">
        <f>+A639</f>
        <v>7. Benefícios e Despesas Indiretas - BDI</v>
      </c>
      <c r="B13" s="16"/>
      <c r="C13" s="13"/>
      <c r="D13" s="218">
        <f>+F645</f>
        <v>45142.083969685053</v>
      </c>
      <c r="E13" s="219"/>
      <c r="F13" s="14">
        <f t="shared" si="0"/>
        <v>0.12418987563496235</v>
      </c>
    </row>
    <row r="14" spans="1:6" ht="15" thickBot="1" x14ac:dyDescent="0.35">
      <c r="A14" s="18" t="s">
        <v>5</v>
      </c>
      <c r="B14" s="19"/>
      <c r="C14" s="20"/>
      <c r="D14" s="225">
        <f>SUM(D7:E13)</f>
        <v>363492.46457395196</v>
      </c>
      <c r="E14" s="226"/>
      <c r="F14" s="21">
        <f>SUM(F7:F13)</f>
        <v>1</v>
      </c>
    </row>
    <row r="15" spans="1:6" x14ac:dyDescent="0.3">
      <c r="A15" s="22"/>
      <c r="B15" s="23"/>
      <c r="C15" s="23"/>
      <c r="D15" s="24"/>
      <c r="E15" s="24"/>
      <c r="F15" s="24"/>
    </row>
    <row r="17" spans="1:5" ht="16.2" thickBot="1" x14ac:dyDescent="0.35">
      <c r="A17" s="6" t="s">
        <v>6</v>
      </c>
      <c r="B17" s="26"/>
      <c r="C17" s="26"/>
    </row>
    <row r="18" spans="1:5" ht="15" thickBot="1" x14ac:dyDescent="0.35">
      <c r="A18" s="227" t="s">
        <v>7</v>
      </c>
      <c r="B18" s="223"/>
      <c r="C18" s="223"/>
      <c r="D18" s="228"/>
      <c r="E18" s="27" t="s">
        <v>8</v>
      </c>
    </row>
    <row r="19" spans="1:5" x14ac:dyDescent="0.3">
      <c r="A19" s="28" t="str">
        <f>+A51</f>
        <v>1.1. Coletor Turno do Dia (Coleta domiciliar e coleta de resíduos públicos)</v>
      </c>
      <c r="B19" s="29"/>
      <c r="C19" s="29"/>
      <c r="D19" s="30"/>
      <c r="E19" s="31">
        <f>+C60</f>
        <v>11</v>
      </c>
    </row>
    <row r="20" spans="1:5" x14ac:dyDescent="0.3">
      <c r="A20" s="32" t="str">
        <f>+A63</f>
        <v>1.2. Coletor Turno da Intermediária (Coleta domiciliar e coleta de resíduos públicos)</v>
      </c>
      <c r="B20" s="33"/>
      <c r="C20" s="33"/>
      <c r="D20" s="34"/>
      <c r="E20" s="35">
        <f>+C73</f>
        <v>3</v>
      </c>
    </row>
    <row r="21" spans="1:5" x14ac:dyDescent="0.3">
      <c r="A21" s="36" t="str">
        <f>+A75</f>
        <v>1.3. Coletor Turno da Madrugada (Coleta de resíduos públicos)</v>
      </c>
      <c r="B21" s="33"/>
      <c r="C21" s="33"/>
      <c r="D21" s="34"/>
      <c r="E21" s="35">
        <f>+C84</f>
        <v>0</v>
      </c>
    </row>
    <row r="22" spans="1:5" x14ac:dyDescent="0.3">
      <c r="A22" s="36" t="str">
        <f>+A86</f>
        <v>1.4. Motorista Turno do Dia (Coleta domiciliar e coleta de resíduos públicos)</v>
      </c>
      <c r="B22" s="33"/>
      <c r="C22" s="33"/>
      <c r="D22" s="34"/>
      <c r="E22" s="35">
        <f>+C95</f>
        <v>4</v>
      </c>
    </row>
    <row r="23" spans="1:5" x14ac:dyDescent="0.3">
      <c r="A23" s="32" t="str">
        <f>+A97</f>
        <v>1.5. Motorista Turno da Intermediária (Coleta domiciliar e coleta de resíduos públicos)</v>
      </c>
      <c r="B23" s="33"/>
      <c r="C23" s="33"/>
      <c r="D23" s="34"/>
      <c r="E23" s="35">
        <f>+C106</f>
        <v>1</v>
      </c>
    </row>
    <row r="24" spans="1:5" x14ac:dyDescent="0.3">
      <c r="A24" s="36" t="str">
        <f>+A109</f>
        <v>1.6. Motorista Turno da Madrugada (Coleta de resíduos públicos)</v>
      </c>
      <c r="B24" s="33"/>
      <c r="C24" s="33"/>
      <c r="D24" s="34"/>
      <c r="E24" s="35">
        <f>+C118</f>
        <v>0</v>
      </c>
    </row>
    <row r="25" spans="1:5" x14ac:dyDescent="0.3">
      <c r="A25" s="36" t="str">
        <f>+A121</f>
        <v>1.7. Fiscal Turno do Dia</v>
      </c>
      <c r="B25" s="33"/>
      <c r="C25" s="33"/>
      <c r="D25" s="34"/>
      <c r="E25" s="35">
        <v>0</v>
      </c>
    </row>
    <row r="26" spans="1:5" x14ac:dyDescent="0.3">
      <c r="A26" s="36" t="str">
        <f>+A133</f>
        <v>1.8. Fiscal Turno da Noite</v>
      </c>
      <c r="B26" s="33"/>
      <c r="C26" s="33"/>
      <c r="D26" s="34"/>
      <c r="E26" s="35">
        <f>+C143</f>
        <v>0</v>
      </c>
    </row>
    <row r="27" spans="1:5" x14ac:dyDescent="0.3">
      <c r="A27" s="36" t="str">
        <f>+A146</f>
        <v>1.9. Supervisor/fiscal Turno do Dia</v>
      </c>
      <c r="B27" s="33"/>
      <c r="C27" s="33"/>
      <c r="D27" s="34"/>
      <c r="E27" s="35">
        <f>+C154</f>
        <v>1</v>
      </c>
    </row>
    <row r="28" spans="1:5" x14ac:dyDescent="0.3">
      <c r="A28" s="36" t="str">
        <f>+A157</f>
        <v>1.10. Supervisor Turno da Noite</v>
      </c>
      <c r="B28" s="33"/>
      <c r="C28" s="33"/>
      <c r="D28" s="34"/>
      <c r="E28" s="35">
        <f>+C166</f>
        <v>0</v>
      </c>
    </row>
    <row r="29" spans="1:5" x14ac:dyDescent="0.3">
      <c r="A29" s="36" t="str">
        <f>+A169</f>
        <v>1.11. Técnico em Segurança do Trabalho Turno do Dia</v>
      </c>
      <c r="B29" s="33"/>
      <c r="C29" s="33"/>
      <c r="D29" s="34"/>
      <c r="E29" s="35">
        <v>0</v>
      </c>
    </row>
    <row r="30" spans="1:5" x14ac:dyDescent="0.3">
      <c r="A30" s="36" t="str">
        <f>+A181</f>
        <v>1.12. Técnico em Segurança do Trabalho Turno da Noite</v>
      </c>
      <c r="B30" s="33"/>
      <c r="C30" s="33"/>
      <c r="D30" s="34"/>
      <c r="E30" s="35">
        <f>+C191</f>
        <v>0</v>
      </c>
    </row>
    <row r="31" spans="1:5" x14ac:dyDescent="0.3">
      <c r="A31" s="36" t="str">
        <f>+A194</f>
        <v>1.13. Auxiliar Operacional Turno do Dia</v>
      </c>
      <c r="B31" s="33"/>
      <c r="C31" s="33"/>
      <c r="D31" s="34"/>
      <c r="E31" s="35">
        <f>+C202</f>
        <v>0</v>
      </c>
    </row>
    <row r="32" spans="1:5" x14ac:dyDescent="0.3">
      <c r="A32" s="36" t="str">
        <f>+A205</f>
        <v>1.14. Auxiliar Operacional Turno da Noite</v>
      </c>
      <c r="B32" s="33"/>
      <c r="C32" s="33"/>
      <c r="D32" s="34"/>
      <c r="E32" s="35">
        <f>+C214</f>
        <v>0</v>
      </c>
    </row>
    <row r="33" spans="1:6" x14ac:dyDescent="0.3">
      <c r="A33" s="32" t="str">
        <f>+A217</f>
        <v>1.15. Outras especialidades (SESMT)</v>
      </c>
      <c r="B33" s="37" t="str">
        <f>+A219</f>
        <v>Engenheiro de Segurança do Trabalho</v>
      </c>
      <c r="C33" s="37"/>
      <c r="D33" s="34"/>
      <c r="E33" s="35">
        <f>+C219</f>
        <v>0</v>
      </c>
    </row>
    <row r="34" spans="1:6" x14ac:dyDescent="0.3">
      <c r="A34" s="32" t="str">
        <f>+A33</f>
        <v>1.15. Outras especialidades (SESMT)</v>
      </c>
      <c r="B34" s="37" t="str">
        <f>+A220</f>
        <v>Médico do Trabalho</v>
      </c>
      <c r="C34" s="37"/>
      <c r="D34" s="34"/>
      <c r="E34" s="35">
        <f>+C220</f>
        <v>0</v>
      </c>
    </row>
    <row r="35" spans="1:6" ht="15" thickBot="1" x14ac:dyDescent="0.35">
      <c r="A35" s="38" t="str">
        <f>+A223</f>
        <v>1.16. Gerente Operacional</v>
      </c>
      <c r="B35" s="39"/>
      <c r="C35" s="39"/>
      <c r="D35" s="40"/>
      <c r="E35" s="41">
        <f>+C227</f>
        <v>0</v>
      </c>
    </row>
    <row r="36" spans="1:6" ht="15" thickBot="1" x14ac:dyDescent="0.35">
      <c r="A36" s="42" t="s">
        <v>9</v>
      </c>
      <c r="B36" s="43"/>
      <c r="C36" s="43"/>
      <c r="D36" s="44"/>
      <c r="E36" s="45">
        <f>SUM(E19:E35)</f>
        <v>20</v>
      </c>
    </row>
    <row r="37" spans="1:6" ht="15" thickBot="1" x14ac:dyDescent="0.35">
      <c r="A37" s="46"/>
      <c r="B37" s="47"/>
      <c r="C37" s="26"/>
    </row>
    <row r="38" spans="1:6" x14ac:dyDescent="0.3">
      <c r="A38" s="229" t="s">
        <v>10</v>
      </c>
      <c r="B38" s="230"/>
      <c r="C38" s="230"/>
      <c r="D38" s="230"/>
      <c r="E38" s="27" t="s">
        <v>8</v>
      </c>
      <c r="F38" s="25"/>
    </row>
    <row r="39" spans="1:6" x14ac:dyDescent="0.3">
      <c r="A39" s="36" t="str">
        <f>+A284</f>
        <v>3.1. Veículo Coletor com capacidade 15m³</v>
      </c>
      <c r="B39" s="33"/>
      <c r="C39" s="33"/>
      <c r="D39" s="48"/>
      <c r="E39" s="35">
        <v>4</v>
      </c>
      <c r="F39" s="25"/>
    </row>
    <row r="40" spans="1:6" x14ac:dyDescent="0.3">
      <c r="A40" s="36" t="str">
        <f>+A343</f>
        <v>3.2. Veículo Coletor com capacidade de 19m³</v>
      </c>
      <c r="B40" s="33"/>
      <c r="C40" s="33"/>
      <c r="D40" s="48"/>
      <c r="E40" s="35">
        <f>+C346</f>
        <v>2</v>
      </c>
      <c r="F40" s="25"/>
    </row>
    <row r="41" spans="1:6" x14ac:dyDescent="0.3">
      <c r="A41" s="36" t="str">
        <f>+A400</f>
        <v>3.3. Veículo utilitário</v>
      </c>
      <c r="B41" s="33"/>
      <c r="C41" s="33"/>
      <c r="D41" s="48"/>
      <c r="E41" s="35">
        <f>+C403</f>
        <v>1</v>
      </c>
      <c r="F41" s="49"/>
    </row>
    <row r="42" spans="1:6" x14ac:dyDescent="0.3">
      <c r="A42" s="32" t="str">
        <f>+A436</f>
        <v>3.4. Veículo de Pequeno Porte (tração 4x4), com caçamba basculante metálica de 4m³</v>
      </c>
      <c r="B42" s="33"/>
      <c r="C42" s="33"/>
      <c r="D42" s="48"/>
      <c r="E42" s="35">
        <f>+C440</f>
        <v>0</v>
      </c>
      <c r="F42" s="25"/>
    </row>
    <row r="43" spans="1:6" x14ac:dyDescent="0.3">
      <c r="A43" s="50" t="str">
        <f>+A492</f>
        <v>3.5. Veículo Coletor Compactador Toco (Coleta de resíduos públicos)</v>
      </c>
      <c r="B43" s="51"/>
      <c r="C43" s="51"/>
      <c r="D43" s="52"/>
      <c r="E43" s="53">
        <f>+C495</f>
        <v>0</v>
      </c>
      <c r="F43" s="25"/>
    </row>
    <row r="44" spans="1:6" x14ac:dyDescent="0.3">
      <c r="A44" s="54" t="str">
        <f>+A550</f>
        <v>3.6. Veículos e Equipamentos</v>
      </c>
      <c r="B44" s="51" t="str">
        <f>+A553</f>
        <v>Automóvel 5 passageiros</v>
      </c>
      <c r="C44" s="51"/>
      <c r="D44" s="52"/>
      <c r="E44" s="53">
        <f>+C553</f>
        <v>1</v>
      </c>
      <c r="F44" s="25"/>
    </row>
    <row r="45" spans="1:6" x14ac:dyDescent="0.3">
      <c r="A45" s="54" t="str">
        <f>+A550</f>
        <v>3.6. Veículos e Equipamentos</v>
      </c>
      <c r="B45" s="51" t="str">
        <f>+A554</f>
        <v>Automóvel utilitário</v>
      </c>
      <c r="C45" s="51"/>
      <c r="D45" s="52"/>
      <c r="E45" s="53">
        <f>+C554</f>
        <v>1</v>
      </c>
      <c r="F45" s="49"/>
    </row>
    <row r="46" spans="1:6" x14ac:dyDescent="0.3">
      <c r="A46" s="54" t="str">
        <f>+A559</f>
        <v>3.7. Contêiner em PEAD capacidade 1.000L (um mil litros)</v>
      </c>
      <c r="B46" s="51"/>
      <c r="C46" s="51"/>
      <c r="D46" s="52"/>
      <c r="E46" s="53">
        <f>+C562</f>
        <v>150</v>
      </c>
      <c r="F46" s="49"/>
    </row>
    <row r="47" spans="1:6" ht="15" thickBot="1" x14ac:dyDescent="0.35">
      <c r="A47" s="38" t="str">
        <f>+A582</f>
        <v>3.8. Conteiner metálico com rodas e capacidade mínima de 1.200 litros - tipo canguru</v>
      </c>
      <c r="B47" s="39"/>
      <c r="C47" s="39"/>
      <c r="D47" s="55"/>
      <c r="E47" s="41">
        <f>+C586</f>
        <v>30</v>
      </c>
      <c r="F47" s="49"/>
    </row>
    <row r="48" spans="1:6" x14ac:dyDescent="0.3">
      <c r="A48" s="56"/>
      <c r="B48" s="56"/>
      <c r="C48" s="56"/>
      <c r="D48" s="25"/>
      <c r="E48" s="57"/>
      <c r="F48" s="25"/>
    </row>
    <row r="49" spans="1:6" x14ac:dyDescent="0.3">
      <c r="A49" s="61" t="s">
        <v>11</v>
      </c>
    </row>
    <row r="51" spans="1:6" ht="15" thickBot="1" x14ac:dyDescent="0.35">
      <c r="A51" s="25" t="s">
        <v>12</v>
      </c>
    </row>
    <row r="52" spans="1:6" ht="15" thickBot="1" x14ac:dyDescent="0.35">
      <c r="A52" s="62" t="s">
        <v>13</v>
      </c>
      <c r="B52" s="63" t="s">
        <v>14</v>
      </c>
      <c r="C52" s="63" t="s">
        <v>8</v>
      </c>
      <c r="D52" s="64" t="s">
        <v>15</v>
      </c>
      <c r="E52" s="64" t="s">
        <v>16</v>
      </c>
      <c r="F52" s="65" t="s">
        <v>17</v>
      </c>
    </row>
    <row r="53" spans="1:6" x14ac:dyDescent="0.3">
      <c r="A53" s="66" t="s">
        <v>18</v>
      </c>
      <c r="B53" s="67" t="s">
        <v>19</v>
      </c>
      <c r="C53" s="67">
        <v>1</v>
      </c>
      <c r="D53" s="205">
        <v>1634.5</v>
      </c>
      <c r="E53" s="68">
        <f>C53*D53</f>
        <v>1634.5</v>
      </c>
    </row>
    <row r="54" spans="1:6" x14ac:dyDescent="0.3">
      <c r="A54" s="69" t="s">
        <v>22</v>
      </c>
      <c r="B54" s="70" t="s">
        <v>21</v>
      </c>
      <c r="C54" s="71">
        <v>10</v>
      </c>
      <c r="D54" s="83">
        <f>(D53/220)*1.5</f>
        <v>11.144318181818182</v>
      </c>
      <c r="E54" s="72">
        <f>C54*D54</f>
        <v>111.44318181818181</v>
      </c>
    </row>
    <row r="55" spans="1:6" x14ac:dyDescent="0.3">
      <c r="A55" s="69" t="s">
        <v>30</v>
      </c>
      <c r="B55" s="70" t="s">
        <v>21</v>
      </c>
      <c r="C55" s="71"/>
      <c r="D55" s="83"/>
      <c r="E55" s="72">
        <f>C55*D55</f>
        <v>0</v>
      </c>
    </row>
    <row r="56" spans="1:6" x14ac:dyDescent="0.3">
      <c r="A56" s="69" t="s">
        <v>250</v>
      </c>
      <c r="B56" s="70" t="s">
        <v>4</v>
      </c>
      <c r="C56" s="70">
        <v>40</v>
      </c>
      <c r="D56" s="83">
        <f>0.4*1518</f>
        <v>607.20000000000005</v>
      </c>
      <c r="E56" s="72">
        <f>D56</f>
        <v>607.20000000000005</v>
      </c>
    </row>
    <row r="57" spans="1:6" x14ac:dyDescent="0.3">
      <c r="A57" s="73" t="s">
        <v>24</v>
      </c>
      <c r="B57" s="74"/>
      <c r="C57" s="74"/>
      <c r="D57" s="206"/>
      <c r="E57" s="76">
        <f>SUM(E53:E56)</f>
        <v>2353.1431818181818</v>
      </c>
    </row>
    <row r="58" spans="1:6" x14ac:dyDescent="0.3">
      <c r="A58" s="69" t="s">
        <v>25</v>
      </c>
      <c r="B58" s="70" t="s">
        <v>4</v>
      </c>
      <c r="C58" s="70">
        <v>97.09</v>
      </c>
      <c r="D58" s="83">
        <f>E57</f>
        <v>2353.1431818181818</v>
      </c>
      <c r="E58" s="72">
        <f>D58*C58/100</f>
        <v>2284.6667152272726</v>
      </c>
    </row>
    <row r="59" spans="1:6" x14ac:dyDescent="0.3">
      <c r="A59" s="73" t="s">
        <v>26</v>
      </c>
      <c r="B59" s="74"/>
      <c r="C59" s="74"/>
      <c r="D59" s="206"/>
      <c r="E59" s="76">
        <f>E57+E58</f>
        <v>4637.8098970454539</v>
      </c>
    </row>
    <row r="60" spans="1:6" ht="15" thickBot="1" x14ac:dyDescent="0.35">
      <c r="A60" s="69" t="s">
        <v>27</v>
      </c>
      <c r="B60" s="70" t="s">
        <v>28</v>
      </c>
      <c r="C60" s="70">
        <v>11</v>
      </c>
      <c r="D60" s="83">
        <f>SUM(D53:D59)</f>
        <v>4605.9875000000002</v>
      </c>
      <c r="E60" s="72">
        <f>C60*D60</f>
        <v>50665.862500000003</v>
      </c>
    </row>
    <row r="61" spans="1:6" ht="15" thickBot="1" x14ac:dyDescent="0.35">
      <c r="F61" s="77">
        <f>E60</f>
        <v>50665.862500000003</v>
      </c>
    </row>
    <row r="63" spans="1:6" ht="15" thickBot="1" x14ac:dyDescent="0.35">
      <c r="A63" s="25" t="s">
        <v>29</v>
      </c>
    </row>
    <row r="64" spans="1:6" ht="15" thickBot="1" x14ac:dyDescent="0.35">
      <c r="A64" s="62" t="s">
        <v>13</v>
      </c>
      <c r="B64" s="63" t="s">
        <v>14</v>
      </c>
      <c r="C64" s="63" t="s">
        <v>8</v>
      </c>
      <c r="D64" s="64" t="s">
        <v>15</v>
      </c>
      <c r="E64" s="64" t="s">
        <v>16</v>
      </c>
      <c r="F64" s="65" t="s">
        <v>17</v>
      </c>
    </row>
    <row r="65" spans="1:6" x14ac:dyDescent="0.3">
      <c r="A65" s="66" t="s">
        <v>18</v>
      </c>
      <c r="B65" s="67" t="s">
        <v>19</v>
      </c>
      <c r="C65" s="67">
        <v>1</v>
      </c>
      <c r="D65" s="82">
        <f>D53</f>
        <v>1634.5</v>
      </c>
      <c r="E65" s="68">
        <f>C65*D65</f>
        <v>1634.5</v>
      </c>
    </row>
    <row r="66" spans="1:6" x14ac:dyDescent="0.3">
      <c r="A66" s="69" t="s">
        <v>22</v>
      </c>
      <c r="B66" s="70" t="s">
        <v>21</v>
      </c>
      <c r="C66" s="70"/>
      <c r="D66" s="83"/>
      <c r="E66" s="72">
        <f>C66*D66</f>
        <v>0</v>
      </c>
    </row>
    <row r="67" spans="1:6" x14ac:dyDescent="0.3">
      <c r="A67" s="69" t="s">
        <v>30</v>
      </c>
      <c r="B67" s="70" t="s">
        <v>21</v>
      </c>
      <c r="C67" s="70">
        <v>10</v>
      </c>
      <c r="D67" s="83">
        <f>(D65/220)*2</f>
        <v>14.859090909090909</v>
      </c>
      <c r="E67" s="72">
        <f>C67*D67</f>
        <v>148.59090909090909</v>
      </c>
    </row>
    <row r="68" spans="1:6" x14ac:dyDescent="0.3">
      <c r="A68" s="69" t="s">
        <v>23</v>
      </c>
      <c r="B68" s="70" t="s">
        <v>4</v>
      </c>
      <c r="C68" s="70">
        <v>40</v>
      </c>
      <c r="D68" s="83">
        <f>D56</f>
        <v>607.20000000000005</v>
      </c>
      <c r="E68" s="72">
        <f>D68</f>
        <v>607.20000000000005</v>
      </c>
    </row>
    <row r="69" spans="1:6" x14ac:dyDescent="0.3">
      <c r="A69" s="69" t="s">
        <v>31</v>
      </c>
      <c r="B69" s="70" t="s">
        <v>21</v>
      </c>
      <c r="C69" s="71">
        <v>79.63</v>
      </c>
      <c r="D69" s="83">
        <f>D65/220*0.2</f>
        <v>1.4859090909090911</v>
      </c>
      <c r="E69" s="72">
        <f>C69*D69</f>
        <v>118.32294090909092</v>
      </c>
    </row>
    <row r="70" spans="1:6" x14ac:dyDescent="0.3">
      <c r="A70" s="73" t="s">
        <v>24</v>
      </c>
      <c r="B70" s="74"/>
      <c r="C70" s="74"/>
      <c r="D70" s="72">
        <v>0</v>
      </c>
      <c r="E70" s="76">
        <f>SUM(E65:E69)</f>
        <v>2508.6138499999997</v>
      </c>
    </row>
    <row r="71" spans="1:6" x14ac:dyDescent="0.3">
      <c r="A71" s="69" t="s">
        <v>25</v>
      </c>
      <c r="B71" s="70" t="s">
        <v>4</v>
      </c>
      <c r="C71" s="184">
        <f>+C58</f>
        <v>97.09</v>
      </c>
      <c r="D71" s="72">
        <f>E70</f>
        <v>2508.6138499999997</v>
      </c>
      <c r="E71" s="72">
        <f>D71*C71/100</f>
        <v>2435.6131869649998</v>
      </c>
    </row>
    <row r="72" spans="1:6" x14ac:dyDescent="0.3">
      <c r="A72" s="73" t="s">
        <v>26</v>
      </c>
      <c r="B72" s="74"/>
      <c r="C72" s="74"/>
      <c r="D72" s="72"/>
      <c r="E72" s="76">
        <f>E70+E71</f>
        <v>4944.2270369649996</v>
      </c>
    </row>
    <row r="73" spans="1:6" ht="15" thickBot="1" x14ac:dyDescent="0.35">
      <c r="A73" s="69" t="s">
        <v>27</v>
      </c>
      <c r="B73" s="70" t="s">
        <v>28</v>
      </c>
      <c r="C73" s="70">
        <v>3</v>
      </c>
      <c r="D73" s="72">
        <f>E72</f>
        <v>4944.2270369649996</v>
      </c>
      <c r="E73" s="72">
        <f>C73*D73</f>
        <v>14832.681110894999</v>
      </c>
    </row>
    <row r="74" spans="1:6" ht="15" thickBot="1" x14ac:dyDescent="0.35">
      <c r="F74" s="77">
        <f>E73</f>
        <v>14832.681110894999</v>
      </c>
    </row>
    <row r="75" spans="1:6" hidden="1" x14ac:dyDescent="0.3">
      <c r="A75" s="25" t="s">
        <v>32</v>
      </c>
    </row>
    <row r="76" spans="1:6" ht="15" hidden="1" thickBot="1" x14ac:dyDescent="0.35">
      <c r="A76" s="62" t="s">
        <v>13</v>
      </c>
      <c r="B76" s="63" t="s">
        <v>14</v>
      </c>
      <c r="C76" s="63" t="s">
        <v>8</v>
      </c>
      <c r="D76" s="64" t="s">
        <v>15</v>
      </c>
      <c r="E76" s="64" t="s">
        <v>16</v>
      </c>
      <c r="F76" s="65" t="s">
        <v>17</v>
      </c>
    </row>
    <row r="77" spans="1:6" hidden="1" x14ac:dyDescent="0.3">
      <c r="A77" s="66" t="s">
        <v>18</v>
      </c>
      <c r="B77" s="67" t="s">
        <v>19</v>
      </c>
      <c r="C77" s="67">
        <v>1</v>
      </c>
      <c r="D77" s="68">
        <f>D53</f>
        <v>1634.5</v>
      </c>
      <c r="E77" s="68">
        <f>C77*D77</f>
        <v>1634.5</v>
      </c>
    </row>
    <row r="78" spans="1:6" hidden="1" x14ac:dyDescent="0.3">
      <c r="A78" s="69" t="s">
        <v>20</v>
      </c>
      <c r="B78" s="70" t="s">
        <v>21</v>
      </c>
      <c r="C78" s="78">
        <v>8</v>
      </c>
      <c r="D78" s="72">
        <f>D77/220*2</f>
        <v>14.859090909090909</v>
      </c>
      <c r="E78" s="72">
        <f>C78*D78</f>
        <v>118.87272727272727</v>
      </c>
    </row>
    <row r="79" spans="1:6" hidden="1" x14ac:dyDescent="0.3">
      <c r="A79" s="69" t="s">
        <v>23</v>
      </c>
      <c r="B79" s="70" t="s">
        <v>4</v>
      </c>
      <c r="C79" s="70">
        <v>40</v>
      </c>
      <c r="D79" s="72">
        <f>D77</f>
        <v>1634.5</v>
      </c>
      <c r="E79" s="72">
        <f>C79*D79/100</f>
        <v>653.79999999999995</v>
      </c>
    </row>
    <row r="80" spans="1:6" hidden="1" x14ac:dyDescent="0.3">
      <c r="A80" s="69" t="s">
        <v>31</v>
      </c>
      <c r="B80" s="70" t="s">
        <v>21</v>
      </c>
      <c r="C80" s="71">
        <v>163.43</v>
      </c>
      <c r="D80" s="72">
        <f>D77/220*0.2</f>
        <v>1.4859090909090911</v>
      </c>
      <c r="E80" s="72">
        <f>C80*D80</f>
        <v>242.84212272727277</v>
      </c>
    </row>
    <row r="81" spans="1:6" hidden="1" x14ac:dyDescent="0.3">
      <c r="A81" s="73" t="s">
        <v>24</v>
      </c>
      <c r="B81" s="74"/>
      <c r="C81" s="74"/>
      <c r="D81" s="75"/>
      <c r="E81" s="76">
        <f>SUM(E77:E80)</f>
        <v>2650.0148500000005</v>
      </c>
    </row>
    <row r="82" spans="1:6" hidden="1" x14ac:dyDescent="0.3">
      <c r="A82" s="69" t="s">
        <v>25</v>
      </c>
      <c r="B82" s="70" t="s">
        <v>4</v>
      </c>
      <c r="C82" s="70">
        <f>+C71</f>
        <v>97.09</v>
      </c>
      <c r="D82" s="72">
        <f>E81</f>
        <v>2650.0148500000005</v>
      </c>
      <c r="E82" s="72">
        <f>D82*C82/100</f>
        <v>2572.8994178650005</v>
      </c>
    </row>
    <row r="83" spans="1:6" hidden="1" x14ac:dyDescent="0.3">
      <c r="A83" s="73" t="s">
        <v>26</v>
      </c>
      <c r="B83" s="74"/>
      <c r="C83" s="74"/>
      <c r="D83" s="75"/>
      <c r="E83" s="76">
        <f>E81+E82</f>
        <v>5222.9142678650005</v>
      </c>
    </row>
    <row r="84" spans="1:6" hidden="1" x14ac:dyDescent="0.3">
      <c r="A84" s="69" t="s">
        <v>27</v>
      </c>
      <c r="B84" s="70" t="s">
        <v>28</v>
      </c>
      <c r="C84" s="70">
        <v>0</v>
      </c>
      <c r="D84" s="72">
        <f>E83</f>
        <v>5222.9142678650005</v>
      </c>
      <c r="E84" s="72">
        <f>C84*D84</f>
        <v>0</v>
      </c>
    </row>
    <row r="85" spans="1:6" ht="15" hidden="1" thickBot="1" x14ac:dyDescent="0.35">
      <c r="F85" s="77">
        <f>E84</f>
        <v>0</v>
      </c>
    </row>
    <row r="86" spans="1:6" ht="15" thickBot="1" x14ac:dyDescent="0.35">
      <c r="A86" s="25" t="s">
        <v>33</v>
      </c>
    </row>
    <row r="87" spans="1:6" ht="15" thickBot="1" x14ac:dyDescent="0.35">
      <c r="A87" s="62" t="s">
        <v>13</v>
      </c>
      <c r="B87" s="63" t="s">
        <v>14</v>
      </c>
      <c r="C87" s="63" t="s">
        <v>8</v>
      </c>
      <c r="D87" s="64" t="s">
        <v>15</v>
      </c>
      <c r="E87" s="64" t="s">
        <v>16</v>
      </c>
      <c r="F87" s="65" t="s">
        <v>17</v>
      </c>
    </row>
    <row r="88" spans="1:6" x14ac:dyDescent="0.3">
      <c r="A88" s="66" t="s">
        <v>18</v>
      </c>
      <c r="B88" s="67" t="s">
        <v>19</v>
      </c>
      <c r="C88" s="67">
        <v>1</v>
      </c>
      <c r="D88" s="205">
        <v>2399</v>
      </c>
      <c r="E88" s="68">
        <f>C88*D88</f>
        <v>2399</v>
      </c>
    </row>
    <row r="89" spans="1:6" x14ac:dyDescent="0.3">
      <c r="A89" s="69" t="s">
        <v>22</v>
      </c>
      <c r="B89" s="70" t="s">
        <v>21</v>
      </c>
      <c r="C89" s="71"/>
      <c r="D89" s="83"/>
      <c r="E89" s="72">
        <f>C89*D89</f>
        <v>0</v>
      </c>
    </row>
    <row r="90" spans="1:6" x14ac:dyDescent="0.3">
      <c r="A90" s="69" t="s">
        <v>253</v>
      </c>
      <c r="B90" s="70" t="s">
        <v>21</v>
      </c>
      <c r="C90" s="71">
        <v>10</v>
      </c>
      <c r="D90" s="83">
        <f>D88/220*1.6</f>
        <v>17.447272727272729</v>
      </c>
      <c r="E90" s="72">
        <f>C90*D90</f>
        <v>174.4727272727273</v>
      </c>
    </row>
    <row r="91" spans="1:6" x14ac:dyDescent="0.3">
      <c r="A91" s="69" t="s">
        <v>23</v>
      </c>
      <c r="B91" s="70" t="s">
        <v>4</v>
      </c>
      <c r="C91" s="70">
        <v>20</v>
      </c>
      <c r="D91" s="83">
        <f>0.2*1518</f>
        <v>303.60000000000002</v>
      </c>
      <c r="E91" s="72">
        <f>D91</f>
        <v>303.60000000000002</v>
      </c>
    </row>
    <row r="92" spans="1:6" x14ac:dyDescent="0.3">
      <c r="A92" s="69" t="s">
        <v>24</v>
      </c>
      <c r="B92" s="74"/>
      <c r="C92" s="74"/>
      <c r="D92" s="206"/>
      <c r="E92" s="72">
        <f>SUM(E88:E91)</f>
        <v>2877.0727272727272</v>
      </c>
    </row>
    <row r="93" spans="1:6" x14ac:dyDescent="0.3">
      <c r="A93" s="69" t="s">
        <v>25</v>
      </c>
      <c r="B93" s="70" t="s">
        <v>4</v>
      </c>
      <c r="C93" s="70">
        <f>+C58</f>
        <v>97.09</v>
      </c>
      <c r="D93" s="72">
        <f>E92</f>
        <v>2877.0727272727272</v>
      </c>
      <c r="E93" s="72">
        <f>D93*C93/100</f>
        <v>2793.3499109090912</v>
      </c>
    </row>
    <row r="94" spans="1:6" x14ac:dyDescent="0.3">
      <c r="A94" s="69" t="s">
        <v>34</v>
      </c>
      <c r="B94" s="79"/>
      <c r="C94" s="79"/>
      <c r="D94" s="80"/>
      <c r="E94" s="72">
        <f>E92+E93</f>
        <v>5670.4226381818189</v>
      </c>
    </row>
    <row r="95" spans="1:6" ht="15" thickBot="1" x14ac:dyDescent="0.35">
      <c r="A95" s="69" t="s">
        <v>27</v>
      </c>
      <c r="B95" s="70" t="s">
        <v>28</v>
      </c>
      <c r="C95" s="70">
        <v>4</v>
      </c>
      <c r="D95" s="72">
        <f>E94</f>
        <v>5670.4226381818189</v>
      </c>
      <c r="E95" s="72">
        <f>C95*D95</f>
        <v>22681.690552727276</v>
      </c>
    </row>
    <row r="96" spans="1:6" ht="15" thickBot="1" x14ac:dyDescent="0.35">
      <c r="F96" s="77">
        <f>E95</f>
        <v>22681.690552727276</v>
      </c>
    </row>
    <row r="97" spans="1:6" ht="15" thickBot="1" x14ac:dyDescent="0.35">
      <c r="A97" s="25" t="s">
        <v>35</v>
      </c>
    </row>
    <row r="98" spans="1:6" ht="15" thickBot="1" x14ac:dyDescent="0.35">
      <c r="A98" s="62" t="s">
        <v>13</v>
      </c>
      <c r="B98" s="63" t="s">
        <v>14</v>
      </c>
      <c r="C98" s="63" t="s">
        <v>8</v>
      </c>
      <c r="D98" s="64" t="s">
        <v>15</v>
      </c>
      <c r="E98" s="64" t="s">
        <v>16</v>
      </c>
      <c r="F98" s="65" t="s">
        <v>17</v>
      </c>
    </row>
    <row r="99" spans="1:6" x14ac:dyDescent="0.3">
      <c r="A99" s="66" t="s">
        <v>18</v>
      </c>
      <c r="B99" s="67" t="s">
        <v>19</v>
      </c>
      <c r="C99" s="67">
        <v>1</v>
      </c>
      <c r="D99" s="82">
        <v>2399</v>
      </c>
      <c r="E99" s="68">
        <f>C99*D99</f>
        <v>2399</v>
      </c>
    </row>
    <row r="100" spans="1:6" x14ac:dyDescent="0.3">
      <c r="A100" s="69" t="s">
        <v>20</v>
      </c>
      <c r="B100" s="70" t="s">
        <v>21</v>
      </c>
      <c r="C100" s="78">
        <v>10</v>
      </c>
      <c r="D100" s="83">
        <f>D99/220*2</f>
        <v>21.809090909090909</v>
      </c>
      <c r="E100" s="72">
        <f>C100*D100</f>
        <v>218.09090909090909</v>
      </c>
    </row>
    <row r="101" spans="1:6" x14ac:dyDescent="0.3">
      <c r="A101" s="69" t="s">
        <v>23</v>
      </c>
      <c r="B101" s="70" t="s">
        <v>4</v>
      </c>
      <c r="C101" s="70">
        <v>20</v>
      </c>
      <c r="D101" s="83">
        <f>D91</f>
        <v>303.60000000000002</v>
      </c>
      <c r="E101" s="72">
        <f>D101</f>
        <v>303.60000000000002</v>
      </c>
    </row>
    <row r="102" spans="1:6" x14ac:dyDescent="0.3">
      <c r="A102" s="69" t="s">
        <v>31</v>
      </c>
      <c r="B102" s="70" t="s">
        <v>21</v>
      </c>
      <c r="C102" s="71">
        <v>72.63</v>
      </c>
      <c r="D102" s="83">
        <f>D99/220*0.2</f>
        <v>2.1809090909090911</v>
      </c>
      <c r="E102" s="72">
        <f>C102*D102</f>
        <v>158.39942727272728</v>
      </c>
    </row>
    <row r="103" spans="1:6" x14ac:dyDescent="0.3">
      <c r="A103" s="73" t="s">
        <v>24</v>
      </c>
      <c r="B103" s="74"/>
      <c r="C103" s="74"/>
      <c r="D103" s="75"/>
      <c r="E103" s="76">
        <f>SUM(E99:E102)</f>
        <v>3079.0903363636362</v>
      </c>
    </row>
    <row r="104" spans="1:6" x14ac:dyDescent="0.3">
      <c r="A104" s="69" t="s">
        <v>25</v>
      </c>
      <c r="B104" s="70" t="s">
        <v>4</v>
      </c>
      <c r="C104" s="70">
        <f>+C58</f>
        <v>97.09</v>
      </c>
      <c r="D104" s="72">
        <f>E103</f>
        <v>3079.0903363636362</v>
      </c>
      <c r="E104" s="72">
        <f>D104*C104/100</f>
        <v>2989.4888075754548</v>
      </c>
    </row>
    <row r="105" spans="1:6" x14ac:dyDescent="0.3">
      <c r="A105" s="73" t="s">
        <v>34</v>
      </c>
      <c r="B105" s="74"/>
      <c r="C105" s="74"/>
      <c r="D105" s="75"/>
      <c r="E105" s="76">
        <f>E103+E104</f>
        <v>6068.5791439390905</v>
      </c>
    </row>
    <row r="106" spans="1:6" ht="15" thickBot="1" x14ac:dyDescent="0.35">
      <c r="A106" s="69" t="s">
        <v>27</v>
      </c>
      <c r="B106" s="70" t="s">
        <v>28</v>
      </c>
      <c r="C106" s="70">
        <v>1</v>
      </c>
      <c r="D106" s="72">
        <f>E105</f>
        <v>6068.5791439390905</v>
      </c>
      <c r="E106" s="72">
        <f>C106*D106</f>
        <v>6068.5791439390905</v>
      </c>
    </row>
    <row r="107" spans="1:6" ht="15" thickBot="1" x14ac:dyDescent="0.35">
      <c r="F107" s="77">
        <f>E106</f>
        <v>6068.5791439390905</v>
      </c>
    </row>
    <row r="109" spans="1:6" hidden="1" x14ac:dyDescent="0.3">
      <c r="A109" s="25" t="s">
        <v>36</v>
      </c>
    </row>
    <row r="110" spans="1:6" ht="15" hidden="1" thickBot="1" x14ac:dyDescent="0.35">
      <c r="A110" s="62" t="s">
        <v>13</v>
      </c>
      <c r="B110" s="63" t="s">
        <v>14</v>
      </c>
      <c r="C110" s="63" t="s">
        <v>8</v>
      </c>
      <c r="D110" s="64" t="s">
        <v>15</v>
      </c>
      <c r="E110" s="64" t="s">
        <v>16</v>
      </c>
      <c r="F110" s="65" t="s">
        <v>17</v>
      </c>
    </row>
    <row r="111" spans="1:6" hidden="1" x14ac:dyDescent="0.3">
      <c r="A111" s="66" t="s">
        <v>18</v>
      </c>
      <c r="B111" s="67" t="s">
        <v>19</v>
      </c>
      <c r="C111" s="67">
        <v>1</v>
      </c>
      <c r="D111" s="68">
        <f>D88</f>
        <v>2399</v>
      </c>
      <c r="E111" s="68">
        <f>C111*D111</f>
        <v>2399</v>
      </c>
    </row>
    <row r="112" spans="1:6" hidden="1" x14ac:dyDescent="0.3">
      <c r="A112" s="69" t="s">
        <v>20</v>
      </c>
      <c r="B112" s="70" t="s">
        <v>21</v>
      </c>
      <c r="C112" s="78">
        <v>8</v>
      </c>
      <c r="D112" s="72">
        <f>D111/220*2</f>
        <v>21.809090909090909</v>
      </c>
      <c r="E112" s="72">
        <f>C112*D112</f>
        <v>174.47272727272727</v>
      </c>
    </row>
    <row r="113" spans="1:6" hidden="1" x14ac:dyDescent="0.3">
      <c r="A113" s="69" t="s">
        <v>23</v>
      </c>
      <c r="B113" s="70" t="s">
        <v>4</v>
      </c>
      <c r="C113" s="70">
        <v>40</v>
      </c>
      <c r="D113" s="72">
        <f>D99</f>
        <v>2399</v>
      </c>
      <c r="E113" s="72">
        <f>C113*D113/100</f>
        <v>959.6</v>
      </c>
    </row>
    <row r="114" spans="1:6" hidden="1" x14ac:dyDescent="0.3">
      <c r="A114" s="69" t="s">
        <v>31</v>
      </c>
      <c r="B114" s="70" t="s">
        <v>21</v>
      </c>
      <c r="C114" s="71">
        <v>163</v>
      </c>
      <c r="D114" s="72">
        <f>D111/220*0.2</f>
        <v>2.1809090909090911</v>
      </c>
      <c r="E114" s="72">
        <f>C114*D114</f>
        <v>355.48818181818183</v>
      </c>
    </row>
    <row r="115" spans="1:6" hidden="1" x14ac:dyDescent="0.3">
      <c r="A115" s="73" t="s">
        <v>24</v>
      </c>
      <c r="B115" s="74"/>
      <c r="C115" s="74"/>
      <c r="D115" s="75"/>
      <c r="E115" s="76">
        <f>SUM(E111:E114)</f>
        <v>3888.5609090909093</v>
      </c>
    </row>
    <row r="116" spans="1:6" hidden="1" x14ac:dyDescent="0.3">
      <c r="A116" s="69" t="s">
        <v>25</v>
      </c>
      <c r="B116" s="70" t="s">
        <v>4</v>
      </c>
      <c r="C116" s="70">
        <f>+C71</f>
        <v>97.09</v>
      </c>
      <c r="D116" s="72">
        <f>E115</f>
        <v>3888.5609090909093</v>
      </c>
      <c r="E116" s="72">
        <f>D116*C116/100</f>
        <v>3775.4037866363637</v>
      </c>
    </row>
    <row r="117" spans="1:6" hidden="1" x14ac:dyDescent="0.3">
      <c r="A117" s="73" t="s">
        <v>34</v>
      </c>
      <c r="B117" s="74"/>
      <c r="C117" s="74"/>
      <c r="D117" s="75"/>
      <c r="E117" s="76">
        <f>E115+E116</f>
        <v>7663.9646957272726</v>
      </c>
    </row>
    <row r="118" spans="1:6" hidden="1" x14ac:dyDescent="0.3">
      <c r="A118" s="69" t="s">
        <v>27</v>
      </c>
      <c r="B118" s="70" t="s">
        <v>28</v>
      </c>
      <c r="C118" s="70">
        <v>0</v>
      </c>
      <c r="D118" s="72">
        <f>E117</f>
        <v>7663.9646957272726</v>
      </c>
      <c r="E118" s="72">
        <f>C118*D118</f>
        <v>0</v>
      </c>
    </row>
    <row r="119" spans="1:6" ht="15" hidden="1" thickBot="1" x14ac:dyDescent="0.35">
      <c r="F119" s="77">
        <f>E118</f>
        <v>0</v>
      </c>
    </row>
    <row r="120" spans="1:6" hidden="1" x14ac:dyDescent="0.3"/>
    <row r="121" spans="1:6" ht="15" hidden="1" thickBot="1" x14ac:dyDescent="0.35">
      <c r="A121" s="25" t="s">
        <v>37</v>
      </c>
    </row>
    <row r="122" spans="1:6" ht="15" hidden="1" thickBot="1" x14ac:dyDescent="0.35">
      <c r="A122" s="62" t="s">
        <v>13</v>
      </c>
      <c r="B122" s="63" t="s">
        <v>14</v>
      </c>
      <c r="C122" s="63" t="s">
        <v>8</v>
      </c>
      <c r="D122" s="64" t="s">
        <v>15</v>
      </c>
      <c r="E122" s="64" t="s">
        <v>16</v>
      </c>
      <c r="F122" s="65" t="s">
        <v>17</v>
      </c>
    </row>
    <row r="123" spans="1:6" hidden="1" x14ac:dyDescent="0.3">
      <c r="A123" s="66" t="s">
        <v>18</v>
      </c>
      <c r="B123" s="67" t="s">
        <v>19</v>
      </c>
      <c r="C123" s="67">
        <v>1</v>
      </c>
      <c r="D123" s="182">
        <v>3199.13</v>
      </c>
      <c r="E123" s="68">
        <f>C123*D123</f>
        <v>3199.13</v>
      </c>
    </row>
    <row r="124" spans="1:6" hidden="1" x14ac:dyDescent="0.3">
      <c r="A124" s="69" t="s">
        <v>20</v>
      </c>
      <c r="B124" s="70" t="s">
        <v>21</v>
      </c>
      <c r="C124" s="70">
        <v>8</v>
      </c>
      <c r="D124" s="72">
        <f>D123/220*2</f>
        <v>29.083000000000002</v>
      </c>
      <c r="E124" s="72">
        <f>C124*D124</f>
        <v>232.66400000000002</v>
      </c>
    </row>
    <row r="125" spans="1:6" hidden="1" x14ac:dyDescent="0.3">
      <c r="A125" s="69" t="s">
        <v>22</v>
      </c>
      <c r="B125" s="70" t="s">
        <v>21</v>
      </c>
      <c r="C125" s="70">
        <f>4*4</f>
        <v>16</v>
      </c>
      <c r="D125" s="72">
        <f>D123/220*1.5</f>
        <v>21.812250000000002</v>
      </c>
      <c r="E125" s="72">
        <f>C125*D125</f>
        <v>348.99600000000004</v>
      </c>
    </row>
    <row r="126" spans="1:6" hidden="1" x14ac:dyDescent="0.3">
      <c r="A126" s="69" t="s">
        <v>23</v>
      </c>
      <c r="B126" s="70" t="s">
        <v>4</v>
      </c>
      <c r="C126" s="70">
        <v>40</v>
      </c>
      <c r="D126" s="164">
        <v>440</v>
      </c>
      <c r="E126" s="72">
        <f>C126*D126/100</f>
        <v>176</v>
      </c>
    </row>
    <row r="127" spans="1:6" hidden="1" x14ac:dyDescent="0.3">
      <c r="A127" s="73" t="s">
        <v>24</v>
      </c>
      <c r="B127" s="74"/>
      <c r="C127" s="74"/>
      <c r="D127" s="75"/>
      <c r="E127" s="76">
        <f>SUM(E123:E126)</f>
        <v>3956.7900000000004</v>
      </c>
    </row>
    <row r="128" spans="1:6" hidden="1" x14ac:dyDescent="0.3">
      <c r="A128" s="69" t="s">
        <v>25</v>
      </c>
      <c r="B128" s="70" t="s">
        <v>4</v>
      </c>
      <c r="C128" s="70">
        <f>+C58</f>
        <v>97.09</v>
      </c>
      <c r="D128" s="72">
        <f>E127</f>
        <v>3956.7900000000004</v>
      </c>
      <c r="E128" s="72">
        <f>D128*C128/100</f>
        <v>3841.6474110000004</v>
      </c>
    </row>
    <row r="129" spans="1:6" hidden="1" x14ac:dyDescent="0.3">
      <c r="A129" s="73" t="s">
        <v>38</v>
      </c>
      <c r="B129" s="74"/>
      <c r="C129" s="74"/>
      <c r="D129" s="75"/>
      <c r="E129" s="76">
        <f>E127+E128</f>
        <v>7798.4374110000008</v>
      </c>
    </row>
    <row r="130" spans="1:6" ht="15" hidden="1" thickBot="1" x14ac:dyDescent="0.35">
      <c r="A130" s="69" t="s">
        <v>27</v>
      </c>
      <c r="B130" s="70" t="s">
        <v>28</v>
      </c>
      <c r="C130" s="70">
        <v>1</v>
      </c>
      <c r="D130" s="72">
        <f>E129</f>
        <v>7798.4374110000008</v>
      </c>
      <c r="E130" s="72">
        <f>C130*D130</f>
        <v>7798.4374110000008</v>
      </c>
    </row>
    <row r="131" spans="1:6" ht="15" hidden="1" thickBot="1" x14ac:dyDescent="0.35">
      <c r="F131" s="77">
        <f>E130</f>
        <v>7798.4374110000008</v>
      </c>
    </row>
    <row r="132" spans="1:6" hidden="1" x14ac:dyDescent="0.3"/>
    <row r="133" spans="1:6" hidden="1" x14ac:dyDescent="0.3">
      <c r="A133" s="25" t="s">
        <v>39</v>
      </c>
    </row>
    <row r="134" spans="1:6" ht="15" hidden="1" thickBot="1" x14ac:dyDescent="0.35">
      <c r="A134" s="62" t="s">
        <v>13</v>
      </c>
      <c r="B134" s="63" t="s">
        <v>14</v>
      </c>
      <c r="C134" s="63" t="s">
        <v>8</v>
      </c>
      <c r="D134" s="64" t="s">
        <v>15</v>
      </c>
      <c r="E134" s="64" t="s">
        <v>16</v>
      </c>
      <c r="F134" s="65" t="s">
        <v>17</v>
      </c>
    </row>
    <row r="135" spans="1:6" hidden="1" x14ac:dyDescent="0.3">
      <c r="A135" s="66" t="s">
        <v>18</v>
      </c>
      <c r="B135" s="67" t="s">
        <v>19</v>
      </c>
      <c r="C135" s="67">
        <v>1</v>
      </c>
      <c r="D135" s="68">
        <f>+D123</f>
        <v>3199.13</v>
      </c>
      <c r="E135" s="68">
        <f>C135*D135</f>
        <v>3199.13</v>
      </c>
    </row>
    <row r="136" spans="1:6" hidden="1" x14ac:dyDescent="0.3">
      <c r="A136" s="69" t="s">
        <v>20</v>
      </c>
      <c r="B136" s="70" t="s">
        <v>21</v>
      </c>
      <c r="C136" s="70">
        <f>+C124</f>
        <v>8</v>
      </c>
      <c r="D136" s="72">
        <f>D135/220*2</f>
        <v>29.083000000000002</v>
      </c>
      <c r="E136" s="72">
        <f>C136*D136</f>
        <v>232.66400000000002</v>
      </c>
    </row>
    <row r="137" spans="1:6" hidden="1" x14ac:dyDescent="0.3">
      <c r="A137" s="69" t="s">
        <v>40</v>
      </c>
      <c r="B137" s="70" t="s">
        <v>21</v>
      </c>
      <c r="C137" s="70">
        <f>+C125</f>
        <v>16</v>
      </c>
      <c r="D137" s="72">
        <f>D135/220*1.5*1.2</f>
        <v>26.174700000000001</v>
      </c>
      <c r="E137" s="72">
        <f>C137*D137</f>
        <v>418.79520000000002</v>
      </c>
    </row>
    <row r="138" spans="1:6" hidden="1" x14ac:dyDescent="0.3">
      <c r="A138" s="69" t="s">
        <v>23</v>
      </c>
      <c r="B138" s="70" t="s">
        <v>4</v>
      </c>
      <c r="C138" s="70">
        <f>+C126</f>
        <v>40</v>
      </c>
      <c r="D138" s="72">
        <f>+D123</f>
        <v>3199.13</v>
      </c>
      <c r="E138" s="72">
        <f>C138*D138/100</f>
        <v>1279.652</v>
      </c>
    </row>
    <row r="139" spans="1:6" hidden="1" x14ac:dyDescent="0.3">
      <c r="A139" s="69" t="s">
        <v>31</v>
      </c>
      <c r="B139" s="70" t="s">
        <v>21</v>
      </c>
      <c r="C139" s="71">
        <v>84.19</v>
      </c>
      <c r="D139" s="72">
        <f>D135/220*0.2</f>
        <v>2.9083000000000006</v>
      </c>
      <c r="E139" s="72">
        <f>C139*D139</f>
        <v>244.84977700000005</v>
      </c>
    </row>
    <row r="140" spans="1:6" hidden="1" x14ac:dyDescent="0.3">
      <c r="A140" s="73" t="s">
        <v>24</v>
      </c>
      <c r="B140" s="74"/>
      <c r="C140" s="74"/>
      <c r="D140" s="75"/>
      <c r="E140" s="76">
        <f>SUM(E135:E139)</f>
        <v>5375.0909770000007</v>
      </c>
    </row>
    <row r="141" spans="1:6" hidden="1" x14ac:dyDescent="0.3">
      <c r="A141" s="69" t="s">
        <v>25</v>
      </c>
      <c r="B141" s="70" t="s">
        <v>4</v>
      </c>
      <c r="C141" s="70">
        <f>+C58</f>
        <v>97.09</v>
      </c>
      <c r="D141" s="72">
        <f>E140</f>
        <v>5375.0909770000007</v>
      </c>
      <c r="E141" s="72">
        <f>D141*C141/100</f>
        <v>5218.6758295693007</v>
      </c>
    </row>
    <row r="142" spans="1:6" hidden="1" x14ac:dyDescent="0.3">
      <c r="A142" s="69" t="s">
        <v>38</v>
      </c>
      <c r="B142" s="79"/>
      <c r="C142" s="79"/>
      <c r="D142" s="80"/>
      <c r="E142" s="72">
        <f>E140+E141</f>
        <v>10593.766806569301</v>
      </c>
    </row>
    <row r="143" spans="1:6" hidden="1" x14ac:dyDescent="0.3">
      <c r="A143" s="69" t="s">
        <v>27</v>
      </c>
      <c r="B143" s="70" t="s">
        <v>28</v>
      </c>
      <c r="C143" s="70">
        <v>0</v>
      </c>
      <c r="D143" s="72">
        <f>E142</f>
        <v>10593.766806569301</v>
      </c>
      <c r="E143" s="72">
        <f>C143*D143</f>
        <v>0</v>
      </c>
    </row>
    <row r="144" spans="1:6" ht="15" hidden="1" thickBot="1" x14ac:dyDescent="0.35">
      <c r="F144" s="77">
        <f>E143</f>
        <v>0</v>
      </c>
    </row>
    <row r="146" spans="1:6" ht="15" thickBot="1" x14ac:dyDescent="0.35">
      <c r="A146" s="25" t="s">
        <v>254</v>
      </c>
    </row>
    <row r="147" spans="1:6" ht="15" thickBot="1" x14ac:dyDescent="0.35">
      <c r="A147" s="62" t="s">
        <v>13</v>
      </c>
      <c r="B147" s="63" t="s">
        <v>14</v>
      </c>
      <c r="C147" s="63" t="s">
        <v>8</v>
      </c>
      <c r="D147" s="64" t="s">
        <v>15</v>
      </c>
      <c r="E147" s="64" t="s">
        <v>16</v>
      </c>
      <c r="F147" s="65" t="s">
        <v>17</v>
      </c>
    </row>
    <row r="148" spans="1:6" x14ac:dyDescent="0.3">
      <c r="A148" s="66" t="s">
        <v>18</v>
      </c>
      <c r="B148" s="67" t="s">
        <v>19</v>
      </c>
      <c r="C148" s="67">
        <v>1</v>
      </c>
      <c r="D148" s="205">
        <v>4200</v>
      </c>
      <c r="E148" s="68">
        <f>C148*D148</f>
        <v>4200</v>
      </c>
    </row>
    <row r="149" spans="1:6" x14ac:dyDescent="0.3">
      <c r="A149" s="69" t="s">
        <v>20</v>
      </c>
      <c r="B149" s="70" t="s">
        <v>21</v>
      </c>
      <c r="C149" s="70">
        <v>2</v>
      </c>
      <c r="D149" s="83">
        <f>D148/220*2</f>
        <v>38.18181818181818</v>
      </c>
      <c r="E149" s="72">
        <f>C149*D149</f>
        <v>76.36363636363636</v>
      </c>
    </row>
    <row r="150" spans="1:6" x14ac:dyDescent="0.3">
      <c r="A150" s="69" t="s">
        <v>22</v>
      </c>
      <c r="B150" s="70" t="s">
        <v>21</v>
      </c>
      <c r="C150" s="70">
        <v>5</v>
      </c>
      <c r="D150" s="83">
        <f>D148/220*1.5</f>
        <v>28.636363636363633</v>
      </c>
      <c r="E150" s="72">
        <f>C150*D150</f>
        <v>143.18181818181816</v>
      </c>
    </row>
    <row r="151" spans="1:6" x14ac:dyDescent="0.3">
      <c r="A151" s="73" t="s">
        <v>24</v>
      </c>
      <c r="B151" s="74"/>
      <c r="C151" s="74"/>
      <c r="D151" s="206"/>
      <c r="E151" s="76">
        <f>SUM(E148:E150)</f>
        <v>4419.545454545454</v>
      </c>
    </row>
    <row r="152" spans="1:6" x14ac:dyDescent="0.3">
      <c r="A152" s="69" t="s">
        <v>25</v>
      </c>
      <c r="B152" s="70" t="s">
        <v>4</v>
      </c>
      <c r="C152" s="70">
        <f>+C58</f>
        <v>97.09</v>
      </c>
      <c r="D152" s="83">
        <f>E151</f>
        <v>4419.545454545454</v>
      </c>
      <c r="E152" s="72">
        <f>D152*C152/100</f>
        <v>4290.9366818181816</v>
      </c>
    </row>
    <row r="153" spans="1:6" x14ac:dyDescent="0.3">
      <c r="A153" s="73" t="s">
        <v>41</v>
      </c>
      <c r="B153" s="74"/>
      <c r="C153" s="74"/>
      <c r="D153" s="206"/>
      <c r="E153" s="76">
        <f>E151+E152</f>
        <v>8710.4821363636365</v>
      </c>
    </row>
    <row r="154" spans="1:6" ht="15" thickBot="1" x14ac:dyDescent="0.35">
      <c r="A154" s="69" t="s">
        <v>27</v>
      </c>
      <c r="B154" s="70" t="s">
        <v>28</v>
      </c>
      <c r="C154" s="70">
        <v>1</v>
      </c>
      <c r="D154" s="72">
        <f>E153</f>
        <v>8710.4821363636365</v>
      </c>
      <c r="E154" s="72">
        <f>C154*D154</f>
        <v>8710.4821363636365</v>
      </c>
    </row>
    <row r="155" spans="1:6" ht="15" thickBot="1" x14ac:dyDescent="0.35">
      <c r="F155" s="77">
        <f>E154</f>
        <v>8710.4821363636365</v>
      </c>
    </row>
    <row r="157" spans="1:6" ht="15" hidden="1" thickBot="1" x14ac:dyDescent="0.35">
      <c r="A157" s="25" t="s">
        <v>42</v>
      </c>
    </row>
    <row r="158" spans="1:6" ht="15" hidden="1" thickBot="1" x14ac:dyDescent="0.35">
      <c r="A158" s="62" t="s">
        <v>13</v>
      </c>
      <c r="B158" s="63" t="s">
        <v>14</v>
      </c>
      <c r="C158" s="63" t="s">
        <v>8</v>
      </c>
      <c r="D158" s="64" t="s">
        <v>15</v>
      </c>
      <c r="E158" s="64" t="s">
        <v>16</v>
      </c>
      <c r="F158" s="65" t="s">
        <v>17</v>
      </c>
    </row>
    <row r="159" spans="1:6" hidden="1" x14ac:dyDescent="0.3">
      <c r="A159" s="66" t="s">
        <v>18</v>
      </c>
      <c r="B159" s="67" t="s">
        <v>19</v>
      </c>
      <c r="C159" s="67">
        <v>1</v>
      </c>
      <c r="D159" s="68">
        <v>3856.69</v>
      </c>
      <c r="E159" s="68">
        <f>C159*D159</f>
        <v>3856.69</v>
      </c>
    </row>
    <row r="160" spans="1:6" hidden="1" x14ac:dyDescent="0.3">
      <c r="A160" s="69" t="s">
        <v>20</v>
      </c>
      <c r="B160" s="70" t="s">
        <v>21</v>
      </c>
      <c r="C160" s="70">
        <f>+C149</f>
        <v>2</v>
      </c>
      <c r="D160" s="72">
        <f>D159/220*2</f>
        <v>35.060818181818185</v>
      </c>
      <c r="E160" s="72">
        <f>C160*D160</f>
        <v>70.12163636363637</v>
      </c>
    </row>
    <row r="161" spans="1:6" hidden="1" x14ac:dyDescent="0.3">
      <c r="A161" s="69" t="s">
        <v>40</v>
      </c>
      <c r="B161" s="70" t="s">
        <v>21</v>
      </c>
      <c r="C161" s="70">
        <f>+C150</f>
        <v>5</v>
      </c>
      <c r="D161" s="72">
        <f>D159/220*1.5*1.2</f>
        <v>31.554736363636366</v>
      </c>
      <c r="E161" s="72">
        <f>C161*D161</f>
        <v>157.77368181818184</v>
      </c>
    </row>
    <row r="162" spans="1:6" hidden="1" x14ac:dyDescent="0.3">
      <c r="A162" s="69" t="s">
        <v>31</v>
      </c>
      <c r="B162" s="70" t="s">
        <v>21</v>
      </c>
      <c r="C162" s="71">
        <f>+C139</f>
        <v>84.19</v>
      </c>
      <c r="D162" s="72">
        <f>D159/220*0.2</f>
        <v>3.5060818181818187</v>
      </c>
      <c r="E162" s="72">
        <f>C162*D162</f>
        <v>295.17702827272728</v>
      </c>
    </row>
    <row r="163" spans="1:6" hidden="1" x14ac:dyDescent="0.3">
      <c r="A163" s="73" t="s">
        <v>24</v>
      </c>
      <c r="B163" s="74"/>
      <c r="C163" s="74"/>
      <c r="D163" s="75"/>
      <c r="E163" s="76">
        <f>SUM(E159:E162)</f>
        <v>4379.7623464545459</v>
      </c>
    </row>
    <row r="164" spans="1:6" hidden="1" x14ac:dyDescent="0.3">
      <c r="A164" s="69" t="s">
        <v>25</v>
      </c>
      <c r="B164" s="70" t="s">
        <v>4</v>
      </c>
      <c r="C164" s="70">
        <f>+C58</f>
        <v>97.09</v>
      </c>
      <c r="D164" s="72">
        <f>E163</f>
        <v>4379.7623464545459</v>
      </c>
      <c r="E164" s="72">
        <f>D164*C164/100</f>
        <v>4252.3112621727187</v>
      </c>
    </row>
    <row r="165" spans="1:6" hidden="1" x14ac:dyDescent="0.3">
      <c r="A165" s="73" t="s">
        <v>41</v>
      </c>
      <c r="B165" s="74"/>
      <c r="C165" s="74"/>
      <c r="D165" s="75"/>
      <c r="E165" s="76">
        <f>E163+E164</f>
        <v>8632.0736086272645</v>
      </c>
    </row>
    <row r="166" spans="1:6" ht="15" hidden="1" thickBot="1" x14ac:dyDescent="0.35">
      <c r="A166" s="69" t="s">
        <v>27</v>
      </c>
      <c r="B166" s="70" t="s">
        <v>28</v>
      </c>
      <c r="C166" s="70">
        <v>0</v>
      </c>
      <c r="D166" s="72">
        <f>E165</f>
        <v>8632.0736086272645</v>
      </c>
      <c r="E166" s="72">
        <f>C166*D166</f>
        <v>0</v>
      </c>
    </row>
    <row r="167" spans="1:6" ht="15" hidden="1" thickBot="1" x14ac:dyDescent="0.35">
      <c r="F167" s="77">
        <f>E166</f>
        <v>0</v>
      </c>
    </row>
    <row r="168" spans="1:6" hidden="1" x14ac:dyDescent="0.3"/>
    <row r="169" spans="1:6" ht="15" hidden="1" thickBot="1" x14ac:dyDescent="0.35">
      <c r="A169" s="25" t="s">
        <v>43</v>
      </c>
    </row>
    <row r="170" spans="1:6" ht="15" hidden="1" thickBot="1" x14ac:dyDescent="0.35">
      <c r="A170" s="62" t="s">
        <v>13</v>
      </c>
      <c r="B170" s="63" t="s">
        <v>14</v>
      </c>
      <c r="C170" s="63" t="s">
        <v>8</v>
      </c>
      <c r="D170" s="64" t="s">
        <v>15</v>
      </c>
      <c r="E170" s="64" t="s">
        <v>16</v>
      </c>
      <c r="F170" s="65" t="s">
        <v>17</v>
      </c>
    </row>
    <row r="171" spans="1:6" hidden="1" x14ac:dyDescent="0.3">
      <c r="A171" s="66" t="s">
        <v>18</v>
      </c>
      <c r="B171" s="67" t="s">
        <v>19</v>
      </c>
      <c r="C171" s="67">
        <v>1</v>
      </c>
      <c r="D171" s="182">
        <v>3466.69</v>
      </c>
      <c r="E171" s="68">
        <f>C171*D171</f>
        <v>3466.69</v>
      </c>
    </row>
    <row r="172" spans="1:6" hidden="1" x14ac:dyDescent="0.3">
      <c r="A172" s="69" t="s">
        <v>20</v>
      </c>
      <c r="B172" s="70" t="s">
        <v>21</v>
      </c>
      <c r="C172" s="70">
        <f>+C124</f>
        <v>8</v>
      </c>
      <c r="D172" s="72">
        <f>D171/220*2</f>
        <v>31.515363636363638</v>
      </c>
      <c r="E172" s="72">
        <f>C172*D172</f>
        <v>252.1229090909091</v>
      </c>
    </row>
    <row r="173" spans="1:6" hidden="1" x14ac:dyDescent="0.3">
      <c r="A173" s="69" t="s">
        <v>22</v>
      </c>
      <c r="B173" s="70" t="s">
        <v>21</v>
      </c>
      <c r="C173" s="70">
        <f>+C125</f>
        <v>16</v>
      </c>
      <c r="D173" s="72">
        <f>D171/220*1.5</f>
        <v>23.636522727272727</v>
      </c>
      <c r="E173" s="72">
        <f>C173*D173</f>
        <v>378.18436363636363</v>
      </c>
    </row>
    <row r="174" spans="1:6" hidden="1" x14ac:dyDescent="0.3">
      <c r="A174" s="69" t="s">
        <v>23</v>
      </c>
      <c r="B174" s="70" t="s">
        <v>4</v>
      </c>
      <c r="C174" s="70">
        <v>40</v>
      </c>
      <c r="D174" s="164">
        <f>0.4*1518</f>
        <v>607.20000000000005</v>
      </c>
      <c r="E174" s="83">
        <f>C174*D174/100</f>
        <v>242.88</v>
      </c>
      <c r="F174" s="196"/>
    </row>
    <row r="175" spans="1:6" hidden="1" x14ac:dyDescent="0.3">
      <c r="A175" s="73" t="s">
        <v>24</v>
      </c>
      <c r="B175" s="74"/>
      <c r="C175" s="74"/>
      <c r="D175" s="75"/>
      <c r="E175" s="76">
        <f>SUM(E171:E174)</f>
        <v>4339.8772727272726</v>
      </c>
    </row>
    <row r="176" spans="1:6" hidden="1" x14ac:dyDescent="0.3">
      <c r="A176" s="69" t="s">
        <v>25</v>
      </c>
      <c r="B176" s="70" t="s">
        <v>4</v>
      </c>
      <c r="C176" s="70">
        <f>+C58</f>
        <v>97.09</v>
      </c>
      <c r="D176" s="72">
        <f>E175</f>
        <v>4339.8772727272726</v>
      </c>
      <c r="E176" s="72">
        <f>D176*C176/100</f>
        <v>4213.5868440909089</v>
      </c>
    </row>
    <row r="177" spans="1:6" hidden="1" x14ac:dyDescent="0.3">
      <c r="A177" s="73" t="s">
        <v>44</v>
      </c>
      <c r="B177" s="74"/>
      <c r="C177" s="74"/>
      <c r="D177" s="75"/>
      <c r="E177" s="76">
        <f>E175+E176</f>
        <v>8553.4641168181806</v>
      </c>
    </row>
    <row r="178" spans="1:6" ht="15" hidden="1" thickBot="1" x14ac:dyDescent="0.35">
      <c r="A178" s="69" t="s">
        <v>27</v>
      </c>
      <c r="B178" s="70" t="s">
        <v>28</v>
      </c>
      <c r="C178" s="70">
        <v>1</v>
      </c>
      <c r="D178" s="72">
        <f>E177</f>
        <v>8553.4641168181806</v>
      </c>
      <c r="E178" s="72">
        <f>C178*D178</f>
        <v>8553.4641168181806</v>
      </c>
    </row>
    <row r="179" spans="1:6" ht="15" hidden="1" thickBot="1" x14ac:dyDescent="0.35">
      <c r="F179" s="77">
        <f>E178</f>
        <v>8553.4641168181806</v>
      </c>
    </row>
    <row r="180" spans="1:6" hidden="1" x14ac:dyDescent="0.3"/>
    <row r="181" spans="1:6" ht="15" hidden="1" thickBot="1" x14ac:dyDescent="0.35">
      <c r="A181" s="25" t="s">
        <v>45</v>
      </c>
    </row>
    <row r="182" spans="1:6" ht="15" hidden="1" thickBot="1" x14ac:dyDescent="0.35">
      <c r="A182" s="62" t="s">
        <v>13</v>
      </c>
      <c r="B182" s="63" t="s">
        <v>14</v>
      </c>
      <c r="C182" s="63" t="s">
        <v>8</v>
      </c>
      <c r="D182" s="64" t="s">
        <v>15</v>
      </c>
      <c r="E182" s="64" t="s">
        <v>16</v>
      </c>
      <c r="F182" s="65" t="s">
        <v>17</v>
      </c>
    </row>
    <row r="183" spans="1:6" hidden="1" x14ac:dyDescent="0.3">
      <c r="A183" s="66" t="s">
        <v>18</v>
      </c>
      <c r="B183" s="67" t="s">
        <v>19</v>
      </c>
      <c r="C183" s="67">
        <v>1</v>
      </c>
      <c r="D183" s="68">
        <f>+D171</f>
        <v>3466.69</v>
      </c>
      <c r="E183" s="68">
        <f>C183*D183</f>
        <v>3466.69</v>
      </c>
    </row>
    <row r="184" spans="1:6" hidden="1" x14ac:dyDescent="0.3">
      <c r="A184" s="69" t="s">
        <v>20</v>
      </c>
      <c r="B184" s="70" t="s">
        <v>21</v>
      </c>
      <c r="C184" s="70">
        <f>+C136</f>
        <v>8</v>
      </c>
      <c r="D184" s="72">
        <f>D183/220*2</f>
        <v>31.515363636363638</v>
      </c>
      <c r="E184" s="72">
        <f>C184*D184</f>
        <v>252.1229090909091</v>
      </c>
    </row>
    <row r="185" spans="1:6" hidden="1" x14ac:dyDescent="0.3">
      <c r="A185" s="69" t="s">
        <v>40</v>
      </c>
      <c r="B185" s="70" t="s">
        <v>21</v>
      </c>
      <c r="C185" s="70">
        <f>+C137</f>
        <v>16</v>
      </c>
      <c r="D185" s="72">
        <f>D183/220*1.5*1.2</f>
        <v>28.363827272727271</v>
      </c>
      <c r="E185" s="72">
        <f>C185*D185</f>
        <v>453.82123636363633</v>
      </c>
    </row>
    <row r="186" spans="1:6" hidden="1" x14ac:dyDescent="0.3">
      <c r="A186" s="69" t="s">
        <v>23</v>
      </c>
      <c r="B186" s="70" t="s">
        <v>4</v>
      </c>
      <c r="C186" s="70">
        <v>40</v>
      </c>
      <c r="D186" s="72">
        <f>+D183</f>
        <v>3466.69</v>
      </c>
      <c r="E186" s="72">
        <f>C186*D186/100</f>
        <v>1386.6760000000002</v>
      </c>
    </row>
    <row r="187" spans="1:6" hidden="1" x14ac:dyDescent="0.3">
      <c r="A187" s="69" t="s">
        <v>31</v>
      </c>
      <c r="B187" s="70" t="s">
        <v>21</v>
      </c>
      <c r="C187" s="71">
        <f>+C139</f>
        <v>84.19</v>
      </c>
      <c r="D187" s="72">
        <f>D183/220*0.2</f>
        <v>3.1515363636363638</v>
      </c>
      <c r="E187" s="72">
        <f>C187*D187</f>
        <v>265.32784645454547</v>
      </c>
    </row>
    <row r="188" spans="1:6" hidden="1" x14ac:dyDescent="0.3">
      <c r="A188" s="73" t="s">
        <v>24</v>
      </c>
      <c r="B188" s="74"/>
      <c r="C188" s="74"/>
      <c r="D188" s="75"/>
      <c r="E188" s="76">
        <f>SUM(E183:E187)</f>
        <v>5824.6379919090914</v>
      </c>
    </row>
    <row r="189" spans="1:6" hidden="1" x14ac:dyDescent="0.3">
      <c r="A189" s="69" t="s">
        <v>25</v>
      </c>
      <c r="B189" s="70" t="s">
        <v>4</v>
      </c>
      <c r="C189" s="70">
        <f>+C58</f>
        <v>97.09</v>
      </c>
      <c r="D189" s="72">
        <f>E188</f>
        <v>5824.6379919090914</v>
      </c>
      <c r="E189" s="72">
        <f>D189*C189/100</f>
        <v>5655.1410263445368</v>
      </c>
    </row>
    <row r="190" spans="1:6" hidden="1" x14ac:dyDescent="0.3">
      <c r="A190" s="73" t="s">
        <v>44</v>
      </c>
      <c r="B190" s="74"/>
      <c r="C190" s="74"/>
      <c r="D190" s="75"/>
      <c r="E190" s="76">
        <f>E188+E189</f>
        <v>11479.779018253628</v>
      </c>
    </row>
    <row r="191" spans="1:6" ht="15" hidden="1" thickBot="1" x14ac:dyDescent="0.35">
      <c r="A191" s="69" t="s">
        <v>27</v>
      </c>
      <c r="B191" s="70" t="s">
        <v>28</v>
      </c>
      <c r="C191" s="70">
        <v>0</v>
      </c>
      <c r="D191" s="72">
        <f>E190</f>
        <v>11479.779018253628</v>
      </c>
      <c r="E191" s="72">
        <f>C191*D191</f>
        <v>0</v>
      </c>
    </row>
    <row r="192" spans="1:6" ht="15" hidden="1" thickBot="1" x14ac:dyDescent="0.35">
      <c r="F192" s="77">
        <f>E191</f>
        <v>0</v>
      </c>
    </row>
    <row r="193" spans="1:6" hidden="1" x14ac:dyDescent="0.3"/>
    <row r="194" spans="1:6" ht="15" hidden="1" thickBot="1" x14ac:dyDescent="0.35">
      <c r="A194" s="25" t="s">
        <v>46</v>
      </c>
    </row>
    <row r="195" spans="1:6" ht="15" hidden="1" thickBot="1" x14ac:dyDescent="0.35">
      <c r="A195" s="62" t="s">
        <v>13</v>
      </c>
      <c r="B195" s="63" t="s">
        <v>14</v>
      </c>
      <c r="C195" s="63" t="s">
        <v>8</v>
      </c>
      <c r="D195" s="64" t="s">
        <v>15</v>
      </c>
      <c r="E195" s="64" t="s">
        <v>16</v>
      </c>
      <c r="F195" s="65" t="s">
        <v>17</v>
      </c>
    </row>
    <row r="196" spans="1:6" hidden="1" x14ac:dyDescent="0.3">
      <c r="A196" s="66" t="s">
        <v>18</v>
      </c>
      <c r="B196" s="67" t="s">
        <v>19</v>
      </c>
      <c r="C196" s="67">
        <v>0</v>
      </c>
      <c r="D196" s="68">
        <v>4556.25</v>
      </c>
      <c r="E196" s="68">
        <f>C196*D196</f>
        <v>0</v>
      </c>
    </row>
    <row r="197" spans="1:6" hidden="1" x14ac:dyDescent="0.3">
      <c r="A197" s="69" t="s">
        <v>20</v>
      </c>
      <c r="B197" s="70" t="s">
        <v>21</v>
      </c>
      <c r="C197" s="70">
        <f>+C124</f>
        <v>8</v>
      </c>
      <c r="D197" s="72">
        <f>D196/220*2</f>
        <v>41.420454545454547</v>
      </c>
      <c r="E197" s="72">
        <f>C197*D197</f>
        <v>331.36363636363637</v>
      </c>
    </row>
    <row r="198" spans="1:6" hidden="1" x14ac:dyDescent="0.3">
      <c r="A198" s="69" t="s">
        <v>22</v>
      </c>
      <c r="B198" s="70" t="s">
        <v>21</v>
      </c>
      <c r="C198" s="70">
        <f>+C125</f>
        <v>16</v>
      </c>
      <c r="D198" s="72">
        <f>D196/220*1.5</f>
        <v>31.06534090909091</v>
      </c>
      <c r="E198" s="72">
        <f>C198*D198</f>
        <v>497.04545454545456</v>
      </c>
    </row>
    <row r="199" spans="1:6" hidden="1" x14ac:dyDescent="0.3">
      <c r="A199" s="73" t="s">
        <v>24</v>
      </c>
      <c r="B199" s="74"/>
      <c r="C199" s="74"/>
      <c r="D199" s="75"/>
      <c r="E199" s="76">
        <f>SUM(E196:E198)</f>
        <v>828.40909090909099</v>
      </c>
    </row>
    <row r="200" spans="1:6" hidden="1" x14ac:dyDescent="0.3">
      <c r="A200" s="69" t="s">
        <v>25</v>
      </c>
      <c r="B200" s="70" t="s">
        <v>4</v>
      </c>
      <c r="C200" s="70">
        <f>+C58</f>
        <v>97.09</v>
      </c>
      <c r="D200" s="72">
        <f>E199</f>
        <v>828.40909090909099</v>
      </c>
      <c r="E200" s="72">
        <f>D200*C200/100</f>
        <v>804.30238636363651</v>
      </c>
    </row>
    <row r="201" spans="1:6" hidden="1" x14ac:dyDescent="0.3">
      <c r="A201" s="73" t="s">
        <v>47</v>
      </c>
      <c r="B201" s="74"/>
      <c r="C201" s="74"/>
      <c r="D201" s="75"/>
      <c r="E201" s="76">
        <f>E199+E200</f>
        <v>1632.7114772727275</v>
      </c>
    </row>
    <row r="202" spans="1:6" ht="15" hidden="1" thickBot="1" x14ac:dyDescent="0.35">
      <c r="A202" s="69" t="s">
        <v>27</v>
      </c>
      <c r="B202" s="70" t="s">
        <v>28</v>
      </c>
      <c r="C202" s="70">
        <v>0</v>
      </c>
      <c r="D202" s="72">
        <f>E201</f>
        <v>1632.7114772727275</v>
      </c>
      <c r="E202" s="72">
        <f>C202*D202</f>
        <v>0</v>
      </c>
    </row>
    <row r="203" spans="1:6" ht="15" hidden="1" thickBot="1" x14ac:dyDescent="0.35">
      <c r="F203" s="77">
        <f>E202</f>
        <v>0</v>
      </c>
    </row>
    <row r="204" spans="1:6" hidden="1" x14ac:dyDescent="0.3"/>
    <row r="205" spans="1:6" ht="15" hidden="1" thickBot="1" x14ac:dyDescent="0.35">
      <c r="A205" s="25" t="s">
        <v>48</v>
      </c>
    </row>
    <row r="206" spans="1:6" ht="15" hidden="1" thickBot="1" x14ac:dyDescent="0.35">
      <c r="A206" s="62" t="s">
        <v>13</v>
      </c>
      <c r="B206" s="63" t="s">
        <v>14</v>
      </c>
      <c r="C206" s="63" t="s">
        <v>8</v>
      </c>
      <c r="D206" s="64" t="s">
        <v>15</v>
      </c>
      <c r="E206" s="64" t="s">
        <v>16</v>
      </c>
      <c r="F206" s="65" t="s">
        <v>17</v>
      </c>
    </row>
    <row r="207" spans="1:6" hidden="1" x14ac:dyDescent="0.3">
      <c r="A207" s="66" t="s">
        <v>18</v>
      </c>
      <c r="B207" s="67" t="s">
        <v>19</v>
      </c>
      <c r="C207" s="67">
        <v>0</v>
      </c>
      <c r="D207" s="68">
        <f>+D196</f>
        <v>4556.25</v>
      </c>
      <c r="E207" s="68">
        <f>C207*D207</f>
        <v>0</v>
      </c>
    </row>
    <row r="208" spans="1:6" hidden="1" x14ac:dyDescent="0.3">
      <c r="A208" s="69" t="s">
        <v>20</v>
      </c>
      <c r="B208" s="70" t="s">
        <v>21</v>
      </c>
      <c r="C208" s="70">
        <f>+C136</f>
        <v>8</v>
      </c>
      <c r="D208" s="72">
        <f>D207/220*2</f>
        <v>41.420454545454547</v>
      </c>
      <c r="E208" s="72">
        <f>C208*D208</f>
        <v>331.36363636363637</v>
      </c>
    </row>
    <row r="209" spans="1:6" hidden="1" x14ac:dyDescent="0.3">
      <c r="A209" s="69" t="s">
        <v>40</v>
      </c>
      <c r="B209" s="70" t="s">
        <v>21</v>
      </c>
      <c r="C209" s="70">
        <f>+C137</f>
        <v>16</v>
      </c>
      <c r="D209" s="72">
        <f>D207/220*1.5*1.2</f>
        <v>37.278409090909093</v>
      </c>
      <c r="E209" s="72">
        <f>C209*D209</f>
        <v>596.4545454545455</v>
      </c>
    </row>
    <row r="210" spans="1:6" hidden="1" x14ac:dyDescent="0.3">
      <c r="A210" s="69" t="s">
        <v>31</v>
      </c>
      <c r="B210" s="70" t="s">
        <v>21</v>
      </c>
      <c r="C210" s="71">
        <f>+C139</f>
        <v>84.19</v>
      </c>
      <c r="D210" s="72">
        <f>D207/220*0.2</f>
        <v>4.142045454545455</v>
      </c>
      <c r="E210" s="72">
        <f>C210*D210</f>
        <v>348.71880681818186</v>
      </c>
    </row>
    <row r="211" spans="1:6" hidden="1" x14ac:dyDescent="0.3">
      <c r="A211" s="73" t="s">
        <v>24</v>
      </c>
      <c r="B211" s="74"/>
      <c r="C211" s="74"/>
      <c r="D211" s="75"/>
      <c r="E211" s="76">
        <f>SUM(E207:E210)</f>
        <v>1276.5369886363637</v>
      </c>
    </row>
    <row r="212" spans="1:6" hidden="1" x14ac:dyDescent="0.3">
      <c r="A212" s="69" t="s">
        <v>25</v>
      </c>
      <c r="B212" s="70" t="s">
        <v>4</v>
      </c>
      <c r="C212" s="70">
        <f>+C200</f>
        <v>97.09</v>
      </c>
      <c r="D212" s="72">
        <f>E211</f>
        <v>1276.5369886363637</v>
      </c>
      <c r="E212" s="72">
        <f>D212*C212/100</f>
        <v>1239.3897622670456</v>
      </c>
    </row>
    <row r="213" spans="1:6" hidden="1" x14ac:dyDescent="0.3">
      <c r="A213" s="73" t="s">
        <v>47</v>
      </c>
      <c r="B213" s="74"/>
      <c r="C213" s="74"/>
      <c r="D213" s="75"/>
      <c r="E213" s="76">
        <f>E211+E212</f>
        <v>2515.9267509034094</v>
      </c>
    </row>
    <row r="214" spans="1:6" ht="15" hidden="1" thickBot="1" x14ac:dyDescent="0.35">
      <c r="A214" s="69" t="s">
        <v>27</v>
      </c>
      <c r="B214" s="70" t="s">
        <v>28</v>
      </c>
      <c r="C214" s="70">
        <v>0</v>
      </c>
      <c r="D214" s="72">
        <f>E213</f>
        <v>2515.9267509034094</v>
      </c>
      <c r="E214" s="72">
        <f>C214*D214</f>
        <v>0</v>
      </c>
    </row>
    <row r="215" spans="1:6" ht="15" hidden="1" thickBot="1" x14ac:dyDescent="0.35">
      <c r="F215" s="77">
        <f>E214</f>
        <v>0</v>
      </c>
    </row>
    <row r="216" spans="1:6" hidden="1" x14ac:dyDescent="0.3"/>
    <row r="217" spans="1:6" ht="15" hidden="1" thickBot="1" x14ac:dyDescent="0.35">
      <c r="A217" s="25" t="s">
        <v>49</v>
      </c>
    </row>
    <row r="218" spans="1:6" ht="15" hidden="1" thickBot="1" x14ac:dyDescent="0.35">
      <c r="A218" s="62" t="s">
        <v>13</v>
      </c>
      <c r="B218" s="63" t="s">
        <v>14</v>
      </c>
      <c r="C218" s="63" t="s">
        <v>8</v>
      </c>
      <c r="D218" s="64" t="s">
        <v>15</v>
      </c>
      <c r="E218" s="64" t="s">
        <v>16</v>
      </c>
      <c r="F218" s="65" t="s">
        <v>17</v>
      </c>
    </row>
    <row r="219" spans="1:6" hidden="1" x14ac:dyDescent="0.3">
      <c r="A219" s="66" t="s">
        <v>50</v>
      </c>
      <c r="B219" s="67" t="s">
        <v>51</v>
      </c>
      <c r="C219" s="67">
        <v>0</v>
      </c>
      <c r="D219" s="68">
        <f>+ROUND(D225/176*(1+C226/100),0)*80</f>
        <v>2320</v>
      </c>
      <c r="E219" s="68">
        <f>C219*D219</f>
        <v>0</v>
      </c>
    </row>
    <row r="220" spans="1:6" ht="15" hidden="1" thickBot="1" x14ac:dyDescent="0.35">
      <c r="A220" s="69" t="s">
        <v>52</v>
      </c>
      <c r="B220" s="70" t="s">
        <v>51</v>
      </c>
      <c r="C220" s="70">
        <v>0</v>
      </c>
      <c r="D220" s="72">
        <v>9813</v>
      </c>
      <c r="E220" s="68">
        <f>C220*D220</f>
        <v>0</v>
      </c>
    </row>
    <row r="221" spans="1:6" ht="15" hidden="1" thickBot="1" x14ac:dyDescent="0.35">
      <c r="F221" s="77">
        <f>SUM(E219:E220)</f>
        <v>0</v>
      </c>
    </row>
    <row r="222" spans="1:6" hidden="1" x14ac:dyDescent="0.3"/>
    <row r="223" spans="1:6" ht="15" hidden="1" thickBot="1" x14ac:dyDescent="0.35">
      <c r="A223" s="25" t="s">
        <v>53</v>
      </c>
    </row>
    <row r="224" spans="1:6" ht="15" hidden="1" thickBot="1" x14ac:dyDescent="0.35">
      <c r="A224" s="62" t="s">
        <v>13</v>
      </c>
      <c r="B224" s="63" t="s">
        <v>14</v>
      </c>
      <c r="C224" s="63" t="s">
        <v>8</v>
      </c>
      <c r="D224" s="64" t="s">
        <v>15</v>
      </c>
      <c r="E224" s="64" t="s">
        <v>16</v>
      </c>
      <c r="F224" s="65" t="s">
        <v>17</v>
      </c>
    </row>
    <row r="225" spans="1:6" hidden="1" x14ac:dyDescent="0.3">
      <c r="A225" s="66" t="s">
        <v>18</v>
      </c>
      <c r="B225" s="67" t="s">
        <v>19</v>
      </c>
      <c r="C225" s="67">
        <v>1</v>
      </c>
      <c r="D225" s="68">
        <f>8.5*D91</f>
        <v>2580.6000000000004</v>
      </c>
      <c r="E225" s="68">
        <f>C225*D225</f>
        <v>2580.6000000000004</v>
      </c>
    </row>
    <row r="226" spans="1:6" hidden="1" x14ac:dyDescent="0.3">
      <c r="A226" s="69" t="s">
        <v>25</v>
      </c>
      <c r="B226" s="70" t="s">
        <v>4</v>
      </c>
      <c r="C226" s="70">
        <f>+C58</f>
        <v>97.09</v>
      </c>
      <c r="D226" s="72">
        <f>E225</f>
        <v>2580.6000000000004</v>
      </c>
      <c r="E226" s="72">
        <f>C226*D226/100</f>
        <v>2505.5045400000004</v>
      </c>
    </row>
    <row r="227" spans="1:6" ht="15" hidden="1" thickBot="1" x14ac:dyDescent="0.35">
      <c r="A227" s="69" t="s">
        <v>54</v>
      </c>
      <c r="B227" s="70" t="s">
        <v>28</v>
      </c>
      <c r="C227" s="70">
        <v>0</v>
      </c>
      <c r="D227" s="72">
        <f>E225+E226</f>
        <v>5086.1045400000003</v>
      </c>
      <c r="E227" s="72">
        <f>C227*D227</f>
        <v>0</v>
      </c>
    </row>
    <row r="228" spans="1:6" ht="15" hidden="1" thickBot="1" x14ac:dyDescent="0.35">
      <c r="F228" s="77">
        <f>E227</f>
        <v>0</v>
      </c>
    </row>
    <row r="229" spans="1:6" hidden="1" x14ac:dyDescent="0.3"/>
    <row r="230" spans="1:6" ht="15" thickBot="1" x14ac:dyDescent="0.35">
      <c r="A230" s="25" t="s">
        <v>55</v>
      </c>
      <c r="D230" s="84"/>
      <c r="E230" s="84"/>
      <c r="F230" s="84"/>
    </row>
    <row r="231" spans="1:6" ht="15" thickBot="1" x14ac:dyDescent="0.35">
      <c r="A231" s="197" t="s">
        <v>13</v>
      </c>
      <c r="B231" s="198" t="s">
        <v>14</v>
      </c>
      <c r="C231" s="198" t="s">
        <v>8</v>
      </c>
      <c r="D231" s="199" t="s">
        <v>15</v>
      </c>
      <c r="E231" s="199" t="s">
        <v>16</v>
      </c>
      <c r="F231" s="200" t="s">
        <v>17</v>
      </c>
    </row>
    <row r="232" spans="1:6" x14ac:dyDescent="0.3">
      <c r="A232" s="69" t="s">
        <v>56</v>
      </c>
      <c r="B232" s="70" t="s">
        <v>57</v>
      </c>
      <c r="C232" s="81">
        <f>(C60+C73+C84)*52</f>
        <v>728</v>
      </c>
      <c r="D232" s="82">
        <f>((52*3.2)-(E53*0.06))/52</f>
        <v>1.3140384615384617</v>
      </c>
      <c r="E232" s="83">
        <f>C232*D232</f>
        <v>956.62000000000012</v>
      </c>
      <c r="F232" s="84"/>
    </row>
    <row r="233" spans="1:6" ht="15" thickBot="1" x14ac:dyDescent="0.35">
      <c r="A233" s="66" t="s">
        <v>58</v>
      </c>
      <c r="B233" s="67" t="s">
        <v>57</v>
      </c>
      <c r="C233" s="201">
        <f>(C95+C106+C118)*52</f>
        <v>260</v>
      </c>
      <c r="D233" s="82">
        <f>((52*3.2)-(E88*0.06))/52</f>
        <v>0.43192307692307708</v>
      </c>
      <c r="E233" s="82">
        <f>C233*D233</f>
        <v>112.30000000000004</v>
      </c>
      <c r="F233" s="84"/>
    </row>
    <row r="234" spans="1:6" hidden="1" x14ac:dyDescent="0.3">
      <c r="A234" s="173" t="s">
        <v>59</v>
      </c>
      <c r="B234" s="174" t="s">
        <v>57</v>
      </c>
      <c r="C234" s="186"/>
      <c r="D234" s="163"/>
      <c r="E234" s="164">
        <f>C234*D234</f>
        <v>0</v>
      </c>
      <c r="F234" s="84"/>
    </row>
    <row r="235" spans="1:6" hidden="1" x14ac:dyDescent="0.3">
      <c r="A235" s="173" t="s">
        <v>60</v>
      </c>
      <c r="B235" s="174" t="s">
        <v>57</v>
      </c>
      <c r="C235" s="186"/>
      <c r="D235" s="163"/>
      <c r="E235" s="164">
        <f>C235*D235</f>
        <v>0</v>
      </c>
      <c r="F235" s="84"/>
    </row>
    <row r="236" spans="1:6" ht="15" hidden="1" thickBot="1" x14ac:dyDescent="0.35">
      <c r="A236" s="173" t="s">
        <v>61</v>
      </c>
      <c r="B236" s="174" t="s">
        <v>57</v>
      </c>
      <c r="C236" s="186"/>
      <c r="D236" s="163"/>
      <c r="E236" s="164">
        <f>C236*D236</f>
        <v>0</v>
      </c>
      <c r="F236" s="84"/>
    </row>
    <row r="237" spans="1:6" ht="15" thickBot="1" x14ac:dyDescent="0.35">
      <c r="D237" s="84"/>
      <c r="E237" s="84"/>
      <c r="F237" s="85">
        <f>SUM(E232:E236)</f>
        <v>1068.92</v>
      </c>
    </row>
    <row r="239" spans="1:6" ht="15" thickBot="1" x14ac:dyDescent="0.35">
      <c r="A239" s="25" t="s">
        <v>249</v>
      </c>
      <c r="F239" s="86"/>
    </row>
    <row r="240" spans="1:6" ht="15" thickBot="1" x14ac:dyDescent="0.35">
      <c r="A240" s="62" t="s">
        <v>13</v>
      </c>
      <c r="B240" s="63" t="s">
        <v>14</v>
      </c>
      <c r="C240" s="63" t="s">
        <v>8</v>
      </c>
      <c r="D240" s="64" t="s">
        <v>15</v>
      </c>
      <c r="E240" s="64" t="s">
        <v>16</v>
      </c>
      <c r="F240" s="65" t="s">
        <v>17</v>
      </c>
    </row>
    <row r="241" spans="1:6" x14ac:dyDescent="0.3">
      <c r="A241" s="69" t="str">
        <f>+A232</f>
        <v>Coletor</v>
      </c>
      <c r="B241" s="70" t="s">
        <v>57</v>
      </c>
      <c r="C241" s="81">
        <f>C60+C73+C84</f>
        <v>14</v>
      </c>
      <c r="D241" s="87">
        <v>685.3</v>
      </c>
      <c r="E241" s="88">
        <f t="shared" ref="E241:E246" si="1">C241*D241</f>
        <v>9594.1999999999989</v>
      </c>
      <c r="F241" s="86"/>
    </row>
    <row r="242" spans="1:6" x14ac:dyDescent="0.3">
      <c r="A242" s="69" t="s">
        <v>59</v>
      </c>
      <c r="B242" s="70" t="s">
        <v>57</v>
      </c>
      <c r="C242" s="81"/>
      <c r="D242" s="87"/>
      <c r="E242" s="88">
        <f t="shared" si="1"/>
        <v>0</v>
      </c>
      <c r="F242" s="86"/>
    </row>
    <row r="243" spans="1:6" x14ac:dyDescent="0.3">
      <c r="A243" s="69" t="s">
        <v>62</v>
      </c>
      <c r="B243" s="70" t="s">
        <v>57</v>
      </c>
      <c r="C243" s="81">
        <f>C154+C166</f>
        <v>1</v>
      </c>
      <c r="D243" s="87">
        <f>D241</f>
        <v>685.3</v>
      </c>
      <c r="E243" s="88">
        <f t="shared" si="1"/>
        <v>685.3</v>
      </c>
      <c r="F243" s="86"/>
    </row>
    <row r="244" spans="1:6" x14ac:dyDescent="0.3">
      <c r="A244" s="69" t="s">
        <v>63</v>
      </c>
      <c r="B244" s="70" t="s">
        <v>57</v>
      </c>
      <c r="C244" s="81"/>
      <c r="D244" s="87"/>
      <c r="E244" s="88">
        <f t="shared" si="1"/>
        <v>0</v>
      </c>
      <c r="F244" s="86"/>
    </row>
    <row r="245" spans="1:6" x14ac:dyDescent="0.3">
      <c r="A245" s="69" t="s">
        <v>64</v>
      </c>
      <c r="B245" s="70" t="s">
        <v>57</v>
      </c>
      <c r="C245" s="81">
        <v>0</v>
      </c>
      <c r="D245" s="87"/>
      <c r="E245" s="88">
        <f t="shared" si="1"/>
        <v>0</v>
      </c>
      <c r="F245" s="86"/>
    </row>
    <row r="246" spans="1:6" ht="15" thickBot="1" x14ac:dyDescent="0.35">
      <c r="A246" s="69" t="str">
        <f>+A233</f>
        <v>Motorista</v>
      </c>
      <c r="B246" s="70" t="s">
        <v>57</v>
      </c>
      <c r="C246" s="81">
        <f>(C95+C106+C118)</f>
        <v>5</v>
      </c>
      <c r="D246" s="87">
        <f>D241</f>
        <v>685.3</v>
      </c>
      <c r="E246" s="88">
        <f t="shared" si="1"/>
        <v>3426.5</v>
      </c>
      <c r="F246" s="86"/>
    </row>
    <row r="247" spans="1:6" ht="15" thickBot="1" x14ac:dyDescent="0.35">
      <c r="D247" s="84"/>
      <c r="E247" s="84"/>
      <c r="F247" s="85">
        <f>SUM(E241:E246)</f>
        <v>13705.999999999998</v>
      </c>
    </row>
    <row r="248" spans="1:6" ht="15" thickBot="1" x14ac:dyDescent="0.35"/>
    <row r="249" spans="1:6" ht="15" thickBot="1" x14ac:dyDescent="0.35">
      <c r="A249" s="89" t="s">
        <v>65</v>
      </c>
      <c r="B249" s="90"/>
      <c r="C249" s="90"/>
      <c r="D249" s="20"/>
      <c r="E249" s="91"/>
      <c r="F249" s="92">
        <f>SUM(F53:F247)</f>
        <v>134086.11697174318</v>
      </c>
    </row>
    <row r="251" spans="1:6" x14ac:dyDescent="0.3">
      <c r="A251" s="61" t="s">
        <v>66</v>
      </c>
    </row>
    <row r="253" spans="1:6" x14ac:dyDescent="0.3">
      <c r="A253" s="25" t="s">
        <v>67</v>
      </c>
    </row>
    <row r="254" spans="1:6" ht="15" thickBot="1" x14ac:dyDescent="0.35"/>
    <row r="255" spans="1:6" ht="15" thickBot="1" x14ac:dyDescent="0.35">
      <c r="A255" s="62" t="s">
        <v>13</v>
      </c>
      <c r="B255" s="63" t="s">
        <v>14</v>
      </c>
      <c r="C255" s="63" t="s">
        <v>8</v>
      </c>
      <c r="D255" s="64" t="s">
        <v>15</v>
      </c>
      <c r="E255" s="64" t="s">
        <v>16</v>
      </c>
      <c r="F255" s="65" t="s">
        <v>17</v>
      </c>
    </row>
    <row r="256" spans="1:6" x14ac:dyDescent="0.3">
      <c r="A256" s="66" t="s">
        <v>68</v>
      </c>
      <c r="B256" s="67" t="s">
        <v>69</v>
      </c>
      <c r="C256" s="93">
        <v>0.16666666666666666</v>
      </c>
      <c r="D256" s="205">
        <v>149.27000000000001</v>
      </c>
      <c r="E256" s="68">
        <f>C256*D256</f>
        <v>24.878333333333334</v>
      </c>
    </row>
    <row r="257" spans="1:6" x14ac:dyDescent="0.3">
      <c r="A257" s="69" t="s">
        <v>70</v>
      </c>
      <c r="B257" s="70" t="s">
        <v>69</v>
      </c>
      <c r="C257" s="93">
        <v>0.33333333333333331</v>
      </c>
      <c r="D257" s="101">
        <v>63.23</v>
      </c>
      <c r="E257" s="72">
        <f>C257*D257</f>
        <v>21.076666666666664</v>
      </c>
    </row>
    <row r="258" spans="1:6" x14ac:dyDescent="0.3">
      <c r="A258" s="69" t="s">
        <v>71</v>
      </c>
      <c r="B258" s="70" t="s">
        <v>69</v>
      </c>
      <c r="C258" s="94">
        <v>1</v>
      </c>
      <c r="D258" s="101">
        <v>35.57</v>
      </c>
      <c r="E258" s="72">
        <f t="shared" ref="E258:E265" si="2">C258*D258</f>
        <v>35.57</v>
      </c>
    </row>
    <row r="259" spans="1:6" x14ac:dyDescent="0.3">
      <c r="A259" s="69" t="s">
        <v>72</v>
      </c>
      <c r="B259" s="70" t="s">
        <v>69</v>
      </c>
      <c r="C259" s="93">
        <v>0.33333333333333331</v>
      </c>
      <c r="D259" s="101">
        <v>19.989999999999998</v>
      </c>
      <c r="E259" s="72">
        <f t="shared" si="2"/>
        <v>6.6633333333333322</v>
      </c>
    </row>
    <row r="260" spans="1:6" x14ac:dyDescent="0.3">
      <c r="A260" s="69" t="s">
        <v>251</v>
      </c>
      <c r="B260" s="70" t="s">
        <v>73</v>
      </c>
      <c r="C260" s="93">
        <v>0.5</v>
      </c>
      <c r="D260" s="101">
        <v>67.569999999999993</v>
      </c>
      <c r="E260" s="72">
        <f t="shared" si="2"/>
        <v>33.784999999999997</v>
      </c>
    </row>
    <row r="261" spans="1:6" x14ac:dyDescent="0.3">
      <c r="A261" s="69" t="s">
        <v>252</v>
      </c>
      <c r="B261" s="70" t="s">
        <v>73</v>
      </c>
      <c r="C261" s="94">
        <v>1</v>
      </c>
      <c r="D261" s="101">
        <v>13.92</v>
      </c>
      <c r="E261" s="72">
        <f t="shared" si="2"/>
        <v>13.92</v>
      </c>
    </row>
    <row r="262" spans="1:6" x14ac:dyDescent="0.3">
      <c r="A262" s="69" t="s">
        <v>74</v>
      </c>
      <c r="B262" s="70" t="s">
        <v>69</v>
      </c>
      <c r="C262" s="93">
        <v>0.16666666666666666</v>
      </c>
      <c r="D262" s="101">
        <v>191.42</v>
      </c>
      <c r="E262" s="72">
        <f t="shared" si="2"/>
        <v>31.903333333333329</v>
      </c>
    </row>
    <row r="263" spans="1:6" x14ac:dyDescent="0.3">
      <c r="A263" s="95" t="s">
        <v>75</v>
      </c>
      <c r="B263" s="96" t="s">
        <v>69</v>
      </c>
      <c r="C263" s="93">
        <v>0.16666666666666666</v>
      </c>
      <c r="D263" s="101">
        <v>28.07</v>
      </c>
      <c r="E263" s="72">
        <f t="shared" si="2"/>
        <v>4.6783333333333328</v>
      </c>
      <c r="F263" s="97"/>
    </row>
    <row r="264" spans="1:6" x14ac:dyDescent="0.3">
      <c r="A264" s="69" t="s">
        <v>76</v>
      </c>
      <c r="B264" s="70" t="s">
        <v>73</v>
      </c>
      <c r="C264" s="93">
        <v>1</v>
      </c>
      <c r="D264" s="101">
        <v>14.08</v>
      </c>
      <c r="E264" s="72">
        <f t="shared" si="2"/>
        <v>14.08</v>
      </c>
    </row>
    <row r="265" spans="1:6" x14ac:dyDescent="0.3">
      <c r="A265" s="69" t="s">
        <v>77</v>
      </c>
      <c r="B265" s="70" t="s">
        <v>78</v>
      </c>
      <c r="C265" s="78">
        <v>2</v>
      </c>
      <c r="D265" s="101">
        <v>18.149999999999999</v>
      </c>
      <c r="E265" s="72">
        <f t="shared" si="2"/>
        <v>36.299999999999997</v>
      </c>
    </row>
    <row r="266" spans="1:6" ht="15" thickBot="1" x14ac:dyDescent="0.35">
      <c r="A266" s="69" t="s">
        <v>27</v>
      </c>
      <c r="B266" s="70" t="s">
        <v>28</v>
      </c>
      <c r="C266" s="78">
        <f>+C60+C73+C84</f>
        <v>14</v>
      </c>
      <c r="D266" s="72">
        <f>+SUM(E256:E265)</f>
        <v>222.85500000000002</v>
      </c>
      <c r="E266" s="72">
        <f>C266*D266</f>
        <v>3119.9700000000003</v>
      </c>
    </row>
    <row r="267" spans="1:6" ht="15" thickBot="1" x14ac:dyDescent="0.35">
      <c r="F267" s="92">
        <f>+E266</f>
        <v>3119.9700000000003</v>
      </c>
    </row>
    <row r="269" spans="1:6" x14ac:dyDescent="0.3">
      <c r="A269" s="25" t="s">
        <v>79</v>
      </c>
    </row>
    <row r="270" spans="1:6" ht="15" thickBot="1" x14ac:dyDescent="0.35"/>
    <row r="271" spans="1:6" ht="15" thickBot="1" x14ac:dyDescent="0.35">
      <c r="A271" s="62" t="s">
        <v>13</v>
      </c>
      <c r="B271" s="63" t="s">
        <v>14</v>
      </c>
      <c r="C271" s="63" t="s">
        <v>8</v>
      </c>
      <c r="D271" s="64" t="s">
        <v>15</v>
      </c>
      <c r="E271" s="64" t="s">
        <v>16</v>
      </c>
      <c r="F271" s="65" t="s">
        <v>17</v>
      </c>
    </row>
    <row r="272" spans="1:6" x14ac:dyDescent="0.3">
      <c r="A272" s="66" t="s">
        <v>68</v>
      </c>
      <c r="B272" s="67" t="s">
        <v>69</v>
      </c>
      <c r="C272" s="93">
        <v>0.16666666666666666</v>
      </c>
      <c r="D272" s="205">
        <f>+D256</f>
        <v>149.27000000000001</v>
      </c>
      <c r="E272" s="68">
        <f t="shared" ref="E272:E277" si="3">C272*D272</f>
        <v>24.878333333333334</v>
      </c>
    </row>
    <row r="273" spans="1:8" x14ac:dyDescent="0.3">
      <c r="A273" s="69" t="s">
        <v>70</v>
      </c>
      <c r="B273" s="70" t="s">
        <v>69</v>
      </c>
      <c r="C273" s="93">
        <v>0.16666666666666666</v>
      </c>
      <c r="D273" s="101">
        <f>+D257</f>
        <v>63.23</v>
      </c>
      <c r="E273" s="72">
        <f t="shared" si="3"/>
        <v>10.538333333333332</v>
      </c>
    </row>
    <row r="274" spans="1:8" x14ac:dyDescent="0.3">
      <c r="A274" s="69" t="s">
        <v>80</v>
      </c>
      <c r="B274" s="70" t="s">
        <v>69</v>
      </c>
      <c r="C274" s="93">
        <v>0.33333333333333331</v>
      </c>
      <c r="D274" s="101">
        <f>+D258</f>
        <v>35.57</v>
      </c>
      <c r="E274" s="72">
        <f t="shared" si="3"/>
        <v>11.856666666666666</v>
      </c>
    </row>
    <row r="275" spans="1:8" x14ac:dyDescent="0.3">
      <c r="A275" s="69" t="s">
        <v>81</v>
      </c>
      <c r="B275" s="70" t="s">
        <v>73</v>
      </c>
      <c r="C275" s="93">
        <v>0.16666666666666666</v>
      </c>
      <c r="D275" s="101">
        <f>+D260</f>
        <v>67.569999999999993</v>
      </c>
      <c r="E275" s="72">
        <f t="shared" si="3"/>
        <v>11.261666666666665</v>
      </c>
    </row>
    <row r="276" spans="1:8" x14ac:dyDescent="0.3">
      <c r="A276" s="69" t="s">
        <v>74</v>
      </c>
      <c r="B276" s="70" t="s">
        <v>69</v>
      </c>
      <c r="C276" s="93">
        <v>8.3333333333333329E-2</v>
      </c>
      <c r="D276" s="101">
        <f>+D262</f>
        <v>191.42</v>
      </c>
      <c r="E276" s="72">
        <f t="shared" si="3"/>
        <v>15.951666666666664</v>
      </c>
    </row>
    <row r="277" spans="1:8" x14ac:dyDescent="0.3">
      <c r="A277" s="69" t="s">
        <v>77</v>
      </c>
      <c r="B277" s="70" t="s">
        <v>78</v>
      </c>
      <c r="C277" s="78">
        <v>1</v>
      </c>
      <c r="D277" s="101">
        <f>+D265</f>
        <v>18.149999999999999</v>
      </c>
      <c r="E277" s="72">
        <f t="shared" si="3"/>
        <v>18.149999999999999</v>
      </c>
    </row>
    <row r="278" spans="1:8" ht="15" thickBot="1" x14ac:dyDescent="0.35">
      <c r="A278" s="69" t="s">
        <v>27</v>
      </c>
      <c r="B278" s="70" t="s">
        <v>28</v>
      </c>
      <c r="C278" s="78">
        <f>+C95+C106+C118+C130+C143+C154+C166+C178+C191</f>
        <v>8</v>
      </c>
      <c r="D278" s="72">
        <f>+SUM(E272:E277)</f>
        <v>92.636666666666656</v>
      </c>
      <c r="E278" s="72">
        <f>C278*D278</f>
        <v>741.09333333333325</v>
      </c>
    </row>
    <row r="279" spans="1:8" ht="15" thickBot="1" x14ac:dyDescent="0.35">
      <c r="F279" s="92">
        <f>+E278</f>
        <v>741.09333333333325</v>
      </c>
    </row>
    <row r="280" spans="1:8" ht="15" thickBot="1" x14ac:dyDescent="0.35"/>
    <row r="281" spans="1:8" ht="15" thickBot="1" x14ac:dyDescent="0.35">
      <c r="A281" s="89" t="s">
        <v>82</v>
      </c>
      <c r="B281" s="98"/>
      <c r="C281" s="98"/>
      <c r="D281" s="99"/>
      <c r="E281" s="100"/>
      <c r="F281" s="77">
        <f>+F267+F279</f>
        <v>3861.0633333333335</v>
      </c>
    </row>
    <row r="283" spans="1:8" x14ac:dyDescent="0.3">
      <c r="A283" s="61" t="s">
        <v>83</v>
      </c>
    </row>
    <row r="284" spans="1:8" x14ac:dyDescent="0.3">
      <c r="A284" s="25" t="s">
        <v>84</v>
      </c>
    </row>
    <row r="286" spans="1:8" ht="15" thickBot="1" x14ac:dyDescent="0.35">
      <c r="A286" s="25" t="s">
        <v>85</v>
      </c>
    </row>
    <row r="287" spans="1:8" ht="15" thickBot="1" x14ac:dyDescent="0.35">
      <c r="A287" s="62" t="s">
        <v>13</v>
      </c>
      <c r="B287" s="63" t="s">
        <v>14</v>
      </c>
      <c r="C287" s="63" t="s">
        <v>8</v>
      </c>
      <c r="D287" s="64" t="s">
        <v>15</v>
      </c>
      <c r="E287" s="64" t="s">
        <v>16</v>
      </c>
      <c r="F287" s="65" t="s">
        <v>17</v>
      </c>
    </row>
    <row r="288" spans="1:8" x14ac:dyDescent="0.3">
      <c r="A288" s="66" t="s">
        <v>86</v>
      </c>
      <c r="B288" s="67" t="s">
        <v>69</v>
      </c>
      <c r="C288" s="67">
        <v>3</v>
      </c>
      <c r="D288" s="205">
        <v>501242.75</v>
      </c>
      <c r="E288" s="68">
        <f>C288*D288</f>
        <v>1503728.25</v>
      </c>
      <c r="H288" s="181"/>
    </row>
    <row r="289" spans="1:6" x14ac:dyDescent="0.3">
      <c r="A289" s="69" t="s">
        <v>87</v>
      </c>
      <c r="B289" s="70" t="s">
        <v>69</v>
      </c>
      <c r="C289" s="70">
        <v>3</v>
      </c>
      <c r="D289" s="101">
        <v>190000</v>
      </c>
      <c r="E289" s="83">
        <f>C289*D289</f>
        <v>570000</v>
      </c>
      <c r="F289" s="84"/>
    </row>
    <row r="290" spans="1:6" x14ac:dyDescent="0.3">
      <c r="A290" s="69" t="s">
        <v>88</v>
      </c>
      <c r="B290" s="70" t="s">
        <v>4</v>
      </c>
      <c r="C290" s="70">
        <v>30</v>
      </c>
      <c r="D290" s="83">
        <f>E288</f>
        <v>1503728.25</v>
      </c>
      <c r="E290" s="112">
        <f>C290*D290/100</f>
        <v>451118.47499999998</v>
      </c>
    </row>
    <row r="291" spans="1:6" x14ac:dyDescent="0.3">
      <c r="A291" s="69" t="s">
        <v>89</v>
      </c>
      <c r="B291" s="70" t="s">
        <v>4</v>
      </c>
      <c r="C291" s="70">
        <v>30</v>
      </c>
      <c r="D291" s="72">
        <f>E289</f>
        <v>570000</v>
      </c>
      <c r="E291" s="72">
        <f>C291*D291/100</f>
        <v>171000</v>
      </c>
    </row>
    <row r="292" spans="1:6" ht="15" thickBot="1" x14ac:dyDescent="0.35">
      <c r="A292" s="69" t="s">
        <v>90</v>
      </c>
      <c r="B292" s="70" t="s">
        <v>19</v>
      </c>
      <c r="C292" s="70">
        <v>60</v>
      </c>
      <c r="D292" s="72">
        <f>E290+E291</f>
        <v>622118.47499999998</v>
      </c>
      <c r="E292" s="72">
        <f>D292/C292</f>
        <v>10368.641249999999</v>
      </c>
    </row>
    <row r="293" spans="1:6" ht="15" thickBot="1" x14ac:dyDescent="0.35">
      <c r="A293" s="231" t="s">
        <v>91</v>
      </c>
      <c r="B293" s="231"/>
      <c r="C293" s="231"/>
      <c r="D293" s="231"/>
      <c r="F293" s="77">
        <f>E292</f>
        <v>10368.641249999999</v>
      </c>
    </row>
    <row r="294" spans="1:6" x14ac:dyDescent="0.3">
      <c r="A294" s="232"/>
      <c r="B294" s="232"/>
      <c r="C294" s="232"/>
      <c r="D294" s="232"/>
    </row>
    <row r="296" spans="1:6" ht="15" thickBot="1" x14ac:dyDescent="0.35">
      <c r="A296" s="25" t="s">
        <v>92</v>
      </c>
    </row>
    <row r="297" spans="1:6" ht="15" thickBot="1" x14ac:dyDescent="0.35">
      <c r="A297" s="62" t="s">
        <v>13</v>
      </c>
      <c r="B297" s="63" t="s">
        <v>14</v>
      </c>
      <c r="C297" s="63" t="s">
        <v>8</v>
      </c>
      <c r="D297" s="64" t="s">
        <v>15</v>
      </c>
      <c r="E297" s="64" t="s">
        <v>16</v>
      </c>
      <c r="F297" s="65" t="s">
        <v>17</v>
      </c>
    </row>
    <row r="298" spans="1:6" x14ac:dyDescent="0.3">
      <c r="A298" s="66" t="s">
        <v>93</v>
      </c>
      <c r="B298" s="67" t="s">
        <v>69</v>
      </c>
      <c r="C298" s="67">
        <v>1</v>
      </c>
      <c r="D298" s="68">
        <f>E288+E289</f>
        <v>2073728.25</v>
      </c>
      <c r="E298" s="68">
        <f>C298*D298</f>
        <v>2073728.25</v>
      </c>
      <c r="F298" s="75"/>
    </row>
    <row r="299" spans="1:6" ht="15" thickBot="1" x14ac:dyDescent="0.35">
      <c r="A299" s="69" t="s">
        <v>94</v>
      </c>
      <c r="B299" s="70" t="s">
        <v>4</v>
      </c>
      <c r="C299" s="70">
        <v>0.5</v>
      </c>
      <c r="D299" s="72">
        <f>E298</f>
        <v>2073728.25</v>
      </c>
      <c r="E299" s="72">
        <f>C299*D299/100</f>
        <v>10368.641250000001</v>
      </c>
      <c r="F299" s="75"/>
    </row>
    <row r="300" spans="1:6" ht="15" thickBot="1" x14ac:dyDescent="0.35">
      <c r="C300" s="74"/>
      <c r="D300" s="75"/>
      <c r="E300" s="75"/>
      <c r="F300" s="77">
        <f>E299</f>
        <v>10368.641250000001</v>
      </c>
    </row>
    <row r="301" spans="1:6" x14ac:dyDescent="0.3">
      <c r="C301" s="74"/>
      <c r="D301" s="75"/>
      <c r="E301" s="183"/>
      <c r="F301" s="185"/>
    </row>
    <row r="302" spans="1:6" hidden="1" x14ac:dyDescent="0.3">
      <c r="C302" s="74"/>
      <c r="D302" s="75"/>
      <c r="E302" s="183"/>
      <c r="F302" s="185"/>
    </row>
    <row r="304" spans="1:6" ht="15" thickBot="1" x14ac:dyDescent="0.35">
      <c r="A304" s="25" t="s">
        <v>95</v>
      </c>
    </row>
    <row r="305" spans="1:6" ht="15" thickBot="1" x14ac:dyDescent="0.35">
      <c r="A305" s="62" t="s">
        <v>13</v>
      </c>
      <c r="B305" s="63" t="s">
        <v>14</v>
      </c>
      <c r="C305" s="63" t="s">
        <v>8</v>
      </c>
      <c r="D305" s="64" t="s">
        <v>15</v>
      </c>
      <c r="E305" s="64" t="s">
        <v>16</v>
      </c>
      <c r="F305" s="65" t="s">
        <v>17</v>
      </c>
    </row>
    <row r="306" spans="1:6" x14ac:dyDescent="0.3">
      <c r="A306" s="66" t="s">
        <v>96</v>
      </c>
      <c r="B306" s="67" t="s">
        <v>69</v>
      </c>
      <c r="C306" s="67">
        <f>C288</f>
        <v>3</v>
      </c>
      <c r="D306" s="205">
        <f>D288*1.5%</f>
        <v>7518.6412499999997</v>
      </c>
      <c r="E306" s="68">
        <f>C306*D306</f>
        <v>22555.923749999998</v>
      </c>
    </row>
    <row r="307" spans="1:6" x14ac:dyDescent="0.3">
      <c r="A307" s="69" t="s">
        <v>97</v>
      </c>
      <c r="B307" s="70" t="s">
        <v>69</v>
      </c>
      <c r="C307" s="70">
        <f>C288</f>
        <v>3</v>
      </c>
      <c r="D307" s="101"/>
      <c r="E307" s="72">
        <f>C307*D307</f>
        <v>0</v>
      </c>
    </row>
    <row r="308" spans="1:6" x14ac:dyDescent="0.3">
      <c r="A308" s="69" t="s">
        <v>98</v>
      </c>
      <c r="B308" s="70" t="s">
        <v>69</v>
      </c>
      <c r="C308" s="70">
        <f>C288</f>
        <v>3</v>
      </c>
      <c r="D308" s="101">
        <v>9700</v>
      </c>
      <c r="E308" s="72">
        <f>C308*D308</f>
        <v>29100</v>
      </c>
      <c r="F308" s="102"/>
    </row>
    <row r="309" spans="1:6" ht="15" thickBot="1" x14ac:dyDescent="0.35">
      <c r="A309" s="69" t="s">
        <v>99</v>
      </c>
      <c r="B309" s="70" t="s">
        <v>19</v>
      </c>
      <c r="C309" s="70">
        <v>12</v>
      </c>
      <c r="D309" s="72">
        <f>SUM(E306:E308)</f>
        <v>51655.923750000002</v>
      </c>
      <c r="E309" s="72">
        <f>D309/C309</f>
        <v>4304.6603125000001</v>
      </c>
    </row>
    <row r="310" spans="1:6" ht="15" thickBot="1" x14ac:dyDescent="0.35">
      <c r="F310" s="77">
        <f>E309</f>
        <v>4304.6603125000001</v>
      </c>
    </row>
    <row r="312" spans="1:6" ht="15" thickBot="1" x14ac:dyDescent="0.35">
      <c r="A312" s="25" t="s">
        <v>100</v>
      </c>
      <c r="B312" s="103"/>
    </row>
    <row r="313" spans="1:6" ht="15" thickBot="1" x14ac:dyDescent="0.35">
      <c r="A313" s="62" t="s">
        <v>13</v>
      </c>
      <c r="B313" s="63" t="s">
        <v>14</v>
      </c>
      <c r="C313" s="63" t="s">
        <v>8</v>
      </c>
      <c r="D313" s="64" t="s">
        <v>15</v>
      </c>
      <c r="E313" s="64" t="s">
        <v>16</v>
      </c>
      <c r="F313" s="65" t="s">
        <v>17</v>
      </c>
    </row>
    <row r="314" spans="1:6" x14ac:dyDescent="0.3">
      <c r="A314" s="189" t="s">
        <v>101</v>
      </c>
      <c r="B314" s="190" t="s">
        <v>102</v>
      </c>
      <c r="C314" s="195">
        <v>1.9</v>
      </c>
      <c r="D314" s="207">
        <v>6.33</v>
      </c>
      <c r="E314" s="82"/>
      <c r="F314" s="84"/>
    </row>
    <row r="315" spans="1:6" x14ac:dyDescent="0.3">
      <c r="A315" s="69" t="s">
        <v>103</v>
      </c>
      <c r="B315" s="70" t="s">
        <v>104</v>
      </c>
      <c r="C315" s="105">
        <v>7490</v>
      </c>
      <c r="D315" s="82">
        <f>+D314/C314</f>
        <v>3.3315789473684214</v>
      </c>
      <c r="E315" s="83">
        <f>C315*D315</f>
        <v>24953.526315789477</v>
      </c>
      <c r="F315" s="84"/>
    </row>
    <row r="316" spans="1:6" x14ac:dyDescent="0.3">
      <c r="A316" s="192" t="s">
        <v>105</v>
      </c>
      <c r="B316" s="193" t="s">
        <v>106</v>
      </c>
      <c r="C316" s="194">
        <v>6</v>
      </c>
      <c r="D316" s="101">
        <v>21.9</v>
      </c>
      <c r="E316" s="83"/>
      <c r="F316" s="84"/>
    </row>
    <row r="317" spans="1:6" x14ac:dyDescent="0.3">
      <c r="A317" s="69" t="s">
        <v>107</v>
      </c>
      <c r="B317" s="70" t="s">
        <v>104</v>
      </c>
      <c r="C317" s="105">
        <f>C315</f>
        <v>7490</v>
      </c>
      <c r="D317" s="83">
        <f>+C316*D316</f>
        <v>131.39999999999998</v>
      </c>
      <c r="E317" s="83">
        <f>C317*D317/1000</f>
        <v>984.18599999999992</v>
      </c>
      <c r="F317" s="84"/>
    </row>
    <row r="318" spans="1:6" x14ac:dyDescent="0.3">
      <c r="A318" s="69" t="s">
        <v>108</v>
      </c>
      <c r="B318" s="70" t="s">
        <v>106</v>
      </c>
      <c r="C318" s="106">
        <v>0.85</v>
      </c>
      <c r="D318" s="101">
        <v>30.74</v>
      </c>
      <c r="E318" s="83"/>
      <c r="F318" s="84"/>
    </row>
    <row r="319" spans="1:6" x14ac:dyDescent="0.3">
      <c r="A319" s="69" t="s">
        <v>109</v>
      </c>
      <c r="B319" s="70" t="s">
        <v>104</v>
      </c>
      <c r="C319" s="105">
        <f>C315</f>
        <v>7490</v>
      </c>
      <c r="D319" s="83">
        <f>+C318*D318</f>
        <v>26.128999999999998</v>
      </c>
      <c r="E319" s="83">
        <f>C319*D319/1000</f>
        <v>195.70621</v>
      </c>
      <c r="F319" s="84"/>
    </row>
    <row r="320" spans="1:6" x14ac:dyDescent="0.3">
      <c r="A320" s="69" t="s">
        <v>110</v>
      </c>
      <c r="B320" s="70" t="s">
        <v>106</v>
      </c>
      <c r="C320" s="106">
        <v>5</v>
      </c>
      <c r="D320" s="101">
        <v>18.84</v>
      </c>
      <c r="E320" s="83"/>
      <c r="F320" s="84"/>
    </row>
    <row r="321" spans="1:8" x14ac:dyDescent="0.3">
      <c r="A321" s="69" t="s">
        <v>111</v>
      </c>
      <c r="B321" s="70" t="s">
        <v>104</v>
      </c>
      <c r="C321" s="105">
        <f>C315</f>
        <v>7490</v>
      </c>
      <c r="D321" s="83">
        <f>+C320*D320</f>
        <v>94.2</v>
      </c>
      <c r="E321" s="83">
        <f>C321*D321/1000</f>
        <v>705.55799999999999</v>
      </c>
      <c r="F321" s="84"/>
    </row>
    <row r="322" spans="1:8" x14ac:dyDescent="0.3">
      <c r="A322" s="69" t="s">
        <v>112</v>
      </c>
      <c r="B322" s="70" t="s">
        <v>113</v>
      </c>
      <c r="C322" s="70">
        <v>2</v>
      </c>
      <c r="D322" s="101">
        <v>16.95</v>
      </c>
      <c r="E322" s="83"/>
      <c r="F322" s="84"/>
    </row>
    <row r="323" spans="1:8" ht="15" thickBot="1" x14ac:dyDescent="0.35">
      <c r="A323" s="69" t="s">
        <v>114</v>
      </c>
      <c r="B323" s="70" t="s">
        <v>104</v>
      </c>
      <c r="C323" s="105">
        <f>C315</f>
        <v>7490</v>
      </c>
      <c r="D323" s="83">
        <f>+C322*D322</f>
        <v>33.9</v>
      </c>
      <c r="E323" s="83">
        <f>C323*D323/1000</f>
        <v>253.911</v>
      </c>
      <c r="F323" s="84"/>
    </row>
    <row r="324" spans="1:8" ht="15" thickBot="1" x14ac:dyDescent="0.35">
      <c r="F324" s="77">
        <f>SUM(E314:E323)</f>
        <v>27092.88752578948</v>
      </c>
    </row>
    <row r="326" spans="1:8" ht="15" thickBot="1" x14ac:dyDescent="0.35">
      <c r="A326" s="25" t="s">
        <v>115</v>
      </c>
    </row>
    <row r="327" spans="1:8" ht="15" thickBot="1" x14ac:dyDescent="0.35">
      <c r="A327" s="62" t="s">
        <v>13</v>
      </c>
      <c r="B327" s="63" t="s">
        <v>14</v>
      </c>
      <c r="C327" s="63" t="s">
        <v>8</v>
      </c>
      <c r="D327" s="64" t="s">
        <v>15</v>
      </c>
      <c r="E327" s="64" t="s">
        <v>16</v>
      </c>
      <c r="F327" s="65" t="s">
        <v>17</v>
      </c>
    </row>
    <row r="328" spans="1:8" x14ac:dyDescent="0.3">
      <c r="A328" s="66" t="s">
        <v>116</v>
      </c>
      <c r="B328" s="67" t="s">
        <v>69</v>
      </c>
      <c r="C328" s="67">
        <f>C288</f>
        <v>3</v>
      </c>
      <c r="D328" s="205">
        <f>D288</f>
        <v>501242.75</v>
      </c>
      <c r="E328" s="68">
        <f>C328*D328</f>
        <v>1503728.25</v>
      </c>
      <c r="H328" s="181"/>
    </row>
    <row r="329" spans="1:8" x14ac:dyDescent="0.3">
      <c r="A329" s="69" t="s">
        <v>87</v>
      </c>
      <c r="B329" s="70" t="s">
        <v>69</v>
      </c>
      <c r="C329" s="70">
        <f>C289</f>
        <v>3</v>
      </c>
      <c r="D329" s="101">
        <f>D289</f>
        <v>190000</v>
      </c>
      <c r="E329" s="72">
        <f>C329*D329</f>
        <v>570000</v>
      </c>
    </row>
    <row r="330" spans="1:8" x14ac:dyDescent="0.3">
      <c r="A330" s="69" t="s">
        <v>117</v>
      </c>
      <c r="B330" s="70" t="s">
        <v>4</v>
      </c>
      <c r="C330" s="70">
        <v>85</v>
      </c>
      <c r="D330" s="83">
        <f>E328+E329</f>
        <v>2073728.25</v>
      </c>
      <c r="E330" s="72">
        <f>C330*D330/100</f>
        <v>1762669.0125</v>
      </c>
    </row>
    <row r="331" spans="1:8" ht="15" thickBot="1" x14ac:dyDescent="0.35">
      <c r="A331" s="69" t="s">
        <v>118</v>
      </c>
      <c r="B331" s="70" t="s">
        <v>19</v>
      </c>
      <c r="C331" s="70">
        <v>60</v>
      </c>
      <c r="D331" s="72">
        <f>E330</f>
        <v>1762669.0125</v>
      </c>
      <c r="E331" s="72">
        <f>D331/C331</f>
        <v>29377.816875</v>
      </c>
    </row>
    <row r="332" spans="1:8" ht="15" thickBot="1" x14ac:dyDescent="0.35">
      <c r="F332" s="77">
        <f>E331</f>
        <v>29377.816875</v>
      </c>
    </row>
    <row r="334" spans="1:8" ht="15" thickBot="1" x14ac:dyDescent="0.35">
      <c r="A334" s="25" t="s">
        <v>119</v>
      </c>
    </row>
    <row r="335" spans="1:8" ht="15" thickBot="1" x14ac:dyDescent="0.35">
      <c r="A335" s="62" t="s">
        <v>13</v>
      </c>
      <c r="B335" s="63" t="s">
        <v>14</v>
      </c>
      <c r="C335" s="63" t="s">
        <v>8</v>
      </c>
      <c r="D335" s="64" t="s">
        <v>15</v>
      </c>
      <c r="E335" s="64" t="s">
        <v>16</v>
      </c>
      <c r="F335" s="65" t="s">
        <v>17</v>
      </c>
    </row>
    <row r="336" spans="1:8" x14ac:dyDescent="0.3">
      <c r="A336" s="66" t="s">
        <v>120</v>
      </c>
      <c r="B336" s="67" t="s">
        <v>69</v>
      </c>
      <c r="C336" s="67">
        <v>18</v>
      </c>
      <c r="D336" s="205">
        <v>1594.99</v>
      </c>
      <c r="E336" s="68">
        <f>C336*D336</f>
        <v>28709.82</v>
      </c>
    </row>
    <row r="337" spans="1:8" x14ac:dyDescent="0.3">
      <c r="A337" s="66" t="s">
        <v>121</v>
      </c>
      <c r="B337" s="67" t="s">
        <v>69</v>
      </c>
      <c r="C337" s="67">
        <f>C336</f>
        <v>18</v>
      </c>
      <c r="D337" s="82">
        <v>822.6</v>
      </c>
      <c r="E337" s="68">
        <f>C337*D337</f>
        <v>14806.800000000001</v>
      </c>
    </row>
    <row r="338" spans="1:8" x14ac:dyDescent="0.3">
      <c r="A338" s="69" t="s">
        <v>122</v>
      </c>
      <c r="B338" s="70" t="s">
        <v>123</v>
      </c>
      <c r="C338" s="105">
        <v>70000</v>
      </c>
      <c r="D338" s="72">
        <f>E336+E337</f>
        <v>43516.62</v>
      </c>
      <c r="E338" s="72">
        <f>D338/C338</f>
        <v>0.62166600000000005</v>
      </c>
    </row>
    <row r="339" spans="1:8" ht="15" thickBot="1" x14ac:dyDescent="0.35">
      <c r="A339" s="69" t="s">
        <v>124</v>
      </c>
      <c r="B339" s="70" t="s">
        <v>104</v>
      </c>
      <c r="C339" s="105">
        <f>C315</f>
        <v>7490</v>
      </c>
      <c r="D339" s="72">
        <f>E338</f>
        <v>0.62166600000000005</v>
      </c>
      <c r="E339" s="72">
        <f>C339*D339</f>
        <v>4656.2783400000008</v>
      </c>
    </row>
    <row r="340" spans="1:8" ht="15" thickBot="1" x14ac:dyDescent="0.35">
      <c r="F340" s="77">
        <f>E339</f>
        <v>4656.2783400000008</v>
      </c>
    </row>
    <row r="341" spans="1:8" ht="15" thickBot="1" x14ac:dyDescent="0.35">
      <c r="A341" s="107" t="s">
        <v>125</v>
      </c>
      <c r="B341" s="223">
        <f>F340+F332+F324+F310+F300+F293</f>
        <v>86168.925553289475</v>
      </c>
      <c r="C341" s="224"/>
      <c r="F341" s="108"/>
    </row>
    <row r="343" spans="1:8" x14ac:dyDescent="0.3">
      <c r="A343" s="25" t="s">
        <v>126</v>
      </c>
    </row>
    <row r="344" spans="1:8" ht="15" thickBot="1" x14ac:dyDescent="0.35">
      <c r="A344" s="25" t="s">
        <v>127</v>
      </c>
    </row>
    <row r="345" spans="1:8" ht="15" thickBot="1" x14ac:dyDescent="0.35">
      <c r="A345" s="62" t="s">
        <v>13</v>
      </c>
      <c r="B345" s="63" t="s">
        <v>14</v>
      </c>
      <c r="C345" s="63" t="s">
        <v>8</v>
      </c>
      <c r="D345" s="64" t="s">
        <v>15</v>
      </c>
      <c r="E345" s="64" t="s">
        <v>16</v>
      </c>
      <c r="F345" s="65" t="s">
        <v>17</v>
      </c>
    </row>
    <row r="346" spans="1:8" x14ac:dyDescent="0.3">
      <c r="A346" s="66" t="s">
        <v>86</v>
      </c>
      <c r="B346" s="67" t="s">
        <v>69</v>
      </c>
      <c r="C346" s="67">
        <v>2</v>
      </c>
      <c r="D346" s="205">
        <v>556677.67000000004</v>
      </c>
      <c r="E346" s="68">
        <f>C346*D346</f>
        <v>1113355.3400000001</v>
      </c>
      <c r="H346" s="181"/>
    </row>
    <row r="347" spans="1:8" x14ac:dyDescent="0.3">
      <c r="A347" s="69" t="s">
        <v>87</v>
      </c>
      <c r="B347" s="70" t="s">
        <v>69</v>
      </c>
      <c r="C347" s="70">
        <f>+C346</f>
        <v>2</v>
      </c>
      <c r="D347" s="101">
        <v>207500</v>
      </c>
      <c r="E347" s="83">
        <f>C347*D347</f>
        <v>415000</v>
      </c>
      <c r="F347" s="84"/>
    </row>
    <row r="348" spans="1:8" x14ac:dyDescent="0.3">
      <c r="A348" s="69" t="s">
        <v>88</v>
      </c>
      <c r="B348" s="70" t="s">
        <v>4</v>
      </c>
      <c r="C348" s="70">
        <f>+C$290</f>
        <v>30</v>
      </c>
      <c r="D348" s="72">
        <f>E346</f>
        <v>1113355.3400000001</v>
      </c>
      <c r="E348" s="72">
        <f>C348*D348/100</f>
        <v>334006.60200000001</v>
      </c>
    </row>
    <row r="349" spans="1:8" x14ac:dyDescent="0.3">
      <c r="A349" s="69" t="s">
        <v>128</v>
      </c>
      <c r="B349" s="70" t="s">
        <v>4</v>
      </c>
      <c r="C349" s="70">
        <f>+C$291</f>
        <v>30</v>
      </c>
      <c r="D349" s="72">
        <f>E347</f>
        <v>415000</v>
      </c>
      <c r="E349" s="72">
        <f>C349*D349/100</f>
        <v>124500</v>
      </c>
    </row>
    <row r="350" spans="1:8" ht="15" thickBot="1" x14ac:dyDescent="0.35">
      <c r="A350" s="69" t="s">
        <v>90</v>
      </c>
      <c r="B350" s="70" t="s">
        <v>19</v>
      </c>
      <c r="C350" s="70">
        <f>+C$292</f>
        <v>60</v>
      </c>
      <c r="D350" s="72">
        <f>E348+E349</f>
        <v>458506.60200000001</v>
      </c>
      <c r="E350" s="72">
        <f>D350/C350</f>
        <v>7641.7767000000003</v>
      </c>
    </row>
    <row r="351" spans="1:8" ht="15" thickBot="1" x14ac:dyDescent="0.35">
      <c r="A351" s="231" t="s">
        <v>91</v>
      </c>
      <c r="B351" s="231"/>
      <c r="C351" s="231"/>
      <c r="D351" s="231"/>
      <c r="F351" s="77">
        <f>E350</f>
        <v>7641.7767000000003</v>
      </c>
    </row>
    <row r="352" spans="1:8" x14ac:dyDescent="0.3">
      <c r="A352" s="232"/>
      <c r="B352" s="232"/>
      <c r="C352" s="232"/>
      <c r="D352" s="232"/>
    </row>
    <row r="354" spans="1:6" ht="15" thickBot="1" x14ac:dyDescent="0.35">
      <c r="A354" s="25" t="s">
        <v>129</v>
      </c>
    </row>
    <row r="355" spans="1:6" ht="15" thickBot="1" x14ac:dyDescent="0.35">
      <c r="A355" s="62" t="s">
        <v>13</v>
      </c>
      <c r="B355" s="63" t="s">
        <v>14</v>
      </c>
      <c r="C355" s="63" t="s">
        <v>8</v>
      </c>
      <c r="D355" s="64" t="s">
        <v>15</v>
      </c>
      <c r="E355" s="64" t="s">
        <v>16</v>
      </c>
      <c r="F355" s="65" t="s">
        <v>17</v>
      </c>
    </row>
    <row r="356" spans="1:6" x14ac:dyDescent="0.3">
      <c r="A356" s="66" t="s">
        <v>93</v>
      </c>
      <c r="B356" s="67" t="s">
        <v>69</v>
      </c>
      <c r="C356" s="67">
        <v>1</v>
      </c>
      <c r="D356" s="68">
        <f>E346+E347</f>
        <v>1528355.34</v>
      </c>
      <c r="E356" s="68">
        <f>+D356*C356</f>
        <v>1528355.34</v>
      </c>
      <c r="F356" s="75"/>
    </row>
    <row r="357" spans="1:6" ht="15" thickBot="1" x14ac:dyDescent="0.35">
      <c r="A357" s="69" t="s">
        <v>94</v>
      </c>
      <c r="B357" s="70" t="s">
        <v>4</v>
      </c>
      <c r="C357" s="70">
        <f>+C$299</f>
        <v>0.5</v>
      </c>
      <c r="D357" s="72">
        <f>E356</f>
        <v>1528355.34</v>
      </c>
      <c r="E357" s="72">
        <f>C357*D357/100</f>
        <v>7641.7767000000003</v>
      </c>
      <c r="F357" s="75"/>
    </row>
    <row r="358" spans="1:6" ht="15" thickBot="1" x14ac:dyDescent="0.35">
      <c r="C358" s="74"/>
      <c r="D358" s="75"/>
      <c r="E358" s="75"/>
      <c r="F358" s="77">
        <f>E357</f>
        <v>7641.7767000000003</v>
      </c>
    </row>
    <row r="360" spans="1:6" ht="15" thickBot="1" x14ac:dyDescent="0.35">
      <c r="A360" s="25" t="s">
        <v>130</v>
      </c>
    </row>
    <row r="361" spans="1:6" ht="15" thickBot="1" x14ac:dyDescent="0.35">
      <c r="A361" s="62" t="s">
        <v>13</v>
      </c>
      <c r="B361" s="63" t="s">
        <v>14</v>
      </c>
      <c r="C361" s="63" t="s">
        <v>8</v>
      </c>
      <c r="D361" s="64" t="s">
        <v>15</v>
      </c>
      <c r="E361" s="64" t="s">
        <v>16</v>
      </c>
      <c r="F361" s="65" t="s">
        <v>17</v>
      </c>
    </row>
    <row r="362" spans="1:6" x14ac:dyDescent="0.3">
      <c r="A362" s="66" t="s">
        <v>96</v>
      </c>
      <c r="B362" s="67" t="s">
        <v>69</v>
      </c>
      <c r="C362" s="67">
        <f>C346</f>
        <v>2</v>
      </c>
      <c r="D362" s="205">
        <f>D346*1.5%</f>
        <v>8350.1650499999996</v>
      </c>
      <c r="E362" s="68">
        <f>C362*D362</f>
        <v>16700.330099999999</v>
      </c>
    </row>
    <row r="363" spans="1:6" x14ac:dyDescent="0.3">
      <c r="A363" s="69" t="s">
        <v>97</v>
      </c>
      <c r="B363" s="70" t="s">
        <v>69</v>
      </c>
      <c r="C363" s="70">
        <f>C346</f>
        <v>2</v>
      </c>
      <c r="D363" s="101">
        <f>+D$307</f>
        <v>0</v>
      </c>
      <c r="E363" s="72">
        <f>C363*D363</f>
        <v>0</v>
      </c>
    </row>
    <row r="364" spans="1:6" x14ac:dyDescent="0.3">
      <c r="A364" s="69" t="s">
        <v>98</v>
      </c>
      <c r="B364" s="70" t="s">
        <v>69</v>
      </c>
      <c r="C364" s="70">
        <f>C346</f>
        <v>2</v>
      </c>
      <c r="D364" s="101">
        <f>+D$308</f>
        <v>9700</v>
      </c>
      <c r="E364" s="72">
        <f>C364*D364</f>
        <v>19400</v>
      </c>
      <c r="F364" s="102"/>
    </row>
    <row r="365" spans="1:6" ht="15" thickBot="1" x14ac:dyDescent="0.35">
      <c r="A365" s="69" t="s">
        <v>99</v>
      </c>
      <c r="B365" s="70" t="s">
        <v>19</v>
      </c>
      <c r="C365" s="70">
        <v>12</v>
      </c>
      <c r="D365" s="72">
        <f>SUM(E362:E364)</f>
        <v>36100.330099999999</v>
      </c>
      <c r="E365" s="72">
        <f>D365/C365</f>
        <v>3008.3608416666666</v>
      </c>
    </row>
    <row r="366" spans="1:6" ht="15" thickBot="1" x14ac:dyDescent="0.35">
      <c r="F366" s="77">
        <f>E365</f>
        <v>3008.3608416666666</v>
      </c>
    </row>
    <row r="368" spans="1:6" ht="15" thickBot="1" x14ac:dyDescent="0.35">
      <c r="A368" s="25" t="s">
        <v>131</v>
      </c>
      <c r="B368" s="103"/>
    </row>
    <row r="369" spans="1:6" ht="15" thickBot="1" x14ac:dyDescent="0.35">
      <c r="A369" s="62" t="s">
        <v>13</v>
      </c>
      <c r="B369" s="63" t="s">
        <v>14</v>
      </c>
      <c r="C369" s="63" t="s">
        <v>8</v>
      </c>
      <c r="D369" s="64" t="s">
        <v>15</v>
      </c>
      <c r="E369" s="64" t="s">
        <v>16</v>
      </c>
      <c r="F369" s="65" t="s">
        <v>17</v>
      </c>
    </row>
    <row r="370" spans="1:6" x14ac:dyDescent="0.3">
      <c r="A370" s="189" t="s">
        <v>101</v>
      </c>
      <c r="B370" s="190" t="s">
        <v>102</v>
      </c>
      <c r="C370" s="191">
        <v>1.85</v>
      </c>
      <c r="D370" s="208">
        <f>D314</f>
        <v>6.33</v>
      </c>
      <c r="E370" s="68"/>
    </row>
    <row r="371" spans="1:6" x14ac:dyDescent="0.3">
      <c r="A371" s="69" t="s">
        <v>103</v>
      </c>
      <c r="B371" s="70" t="s">
        <v>104</v>
      </c>
      <c r="C371" s="105">
        <v>2940</v>
      </c>
      <c r="D371" s="82">
        <f>+D370/C370</f>
        <v>3.4216216216216213</v>
      </c>
      <c r="E371" s="72">
        <f>C371*D371</f>
        <v>10059.567567567567</v>
      </c>
    </row>
    <row r="372" spans="1:6" x14ac:dyDescent="0.3">
      <c r="A372" s="192" t="s">
        <v>105</v>
      </c>
      <c r="B372" s="193" t="s">
        <v>106</v>
      </c>
      <c r="C372" s="194">
        <v>6</v>
      </c>
      <c r="D372" s="83">
        <f>D316</f>
        <v>21.9</v>
      </c>
      <c r="E372" s="72"/>
    </row>
    <row r="373" spans="1:6" x14ac:dyDescent="0.3">
      <c r="A373" s="69" t="s">
        <v>107</v>
      </c>
      <c r="B373" s="70" t="s">
        <v>104</v>
      </c>
      <c r="C373" s="105">
        <f>C371</f>
        <v>2940</v>
      </c>
      <c r="D373" s="83">
        <f>+C372*D372</f>
        <v>131.39999999999998</v>
      </c>
      <c r="E373" s="72">
        <f>C373*D373/1000</f>
        <v>386.31599999999992</v>
      </c>
    </row>
    <row r="374" spans="1:6" x14ac:dyDescent="0.3">
      <c r="A374" s="69" t="s">
        <v>108</v>
      </c>
      <c r="B374" s="70" t="s">
        <v>106</v>
      </c>
      <c r="C374" s="106">
        <v>0.85</v>
      </c>
      <c r="D374" s="83">
        <f>+D$318</f>
        <v>30.74</v>
      </c>
      <c r="E374" s="72"/>
    </row>
    <row r="375" spans="1:6" x14ac:dyDescent="0.3">
      <c r="A375" s="69" t="s">
        <v>109</v>
      </c>
      <c r="B375" s="70" t="s">
        <v>104</v>
      </c>
      <c r="C375" s="105">
        <f>C371</f>
        <v>2940</v>
      </c>
      <c r="D375" s="83">
        <f>+C374*D374</f>
        <v>26.128999999999998</v>
      </c>
      <c r="E375" s="72">
        <f>C375*D375/1000</f>
        <v>76.81926</v>
      </c>
    </row>
    <row r="376" spans="1:6" x14ac:dyDescent="0.3">
      <c r="A376" s="69" t="s">
        <v>110</v>
      </c>
      <c r="B376" s="70" t="s">
        <v>106</v>
      </c>
      <c r="C376" s="106">
        <v>5</v>
      </c>
      <c r="D376" s="83">
        <f>+D$320</f>
        <v>18.84</v>
      </c>
      <c r="E376" s="72"/>
    </row>
    <row r="377" spans="1:6" x14ac:dyDescent="0.3">
      <c r="A377" s="69" t="s">
        <v>111</v>
      </c>
      <c r="B377" s="70" t="s">
        <v>104</v>
      </c>
      <c r="C377" s="105">
        <f>C371</f>
        <v>2940</v>
      </c>
      <c r="D377" s="83">
        <f>+C376*D376</f>
        <v>94.2</v>
      </c>
      <c r="E377" s="72">
        <f>C377*D377/1000</f>
        <v>276.94799999999998</v>
      </c>
    </row>
    <row r="378" spans="1:6" x14ac:dyDescent="0.3">
      <c r="A378" s="69" t="s">
        <v>112</v>
      </c>
      <c r="B378" s="70" t="s">
        <v>113</v>
      </c>
      <c r="C378" s="70">
        <v>2</v>
      </c>
      <c r="D378" s="83">
        <f>+D$322</f>
        <v>16.95</v>
      </c>
      <c r="E378" s="72"/>
    </row>
    <row r="379" spans="1:6" ht="15" thickBot="1" x14ac:dyDescent="0.35">
      <c r="A379" s="69" t="s">
        <v>114</v>
      </c>
      <c r="B379" s="70" t="s">
        <v>104</v>
      </c>
      <c r="C379" s="105">
        <f>C371</f>
        <v>2940</v>
      </c>
      <c r="D379" s="83">
        <f>+C378*D378</f>
        <v>33.9</v>
      </c>
      <c r="E379" s="72">
        <f>C379*D379/1000</f>
        <v>99.665999999999997</v>
      </c>
    </row>
    <row r="380" spans="1:6" ht="15" thickBot="1" x14ac:dyDescent="0.35">
      <c r="F380" s="77">
        <f>SUM(E370:E379)</f>
        <v>10899.316827567567</v>
      </c>
    </row>
    <row r="382" spans="1:6" ht="15" thickBot="1" x14ac:dyDescent="0.35">
      <c r="A382" s="25" t="s">
        <v>132</v>
      </c>
    </row>
    <row r="383" spans="1:6" ht="15" thickBot="1" x14ac:dyDescent="0.35">
      <c r="A383" s="62" t="s">
        <v>13</v>
      </c>
      <c r="B383" s="63" t="s">
        <v>14</v>
      </c>
      <c r="C383" s="63" t="s">
        <v>8</v>
      </c>
      <c r="D383" s="64" t="s">
        <v>15</v>
      </c>
      <c r="E383" s="64" t="s">
        <v>16</v>
      </c>
      <c r="F383" s="65" t="s">
        <v>17</v>
      </c>
    </row>
    <row r="384" spans="1:6" x14ac:dyDescent="0.3">
      <c r="A384" s="66" t="s">
        <v>116</v>
      </c>
      <c r="B384" s="67" t="s">
        <v>69</v>
      </c>
      <c r="C384" s="67">
        <f>C346</f>
        <v>2</v>
      </c>
      <c r="D384" s="68">
        <f>D346</f>
        <v>556677.67000000004</v>
      </c>
      <c r="E384" s="68">
        <f>C384*D384</f>
        <v>1113355.3400000001</v>
      </c>
    </row>
    <row r="385" spans="1:7" x14ac:dyDescent="0.3">
      <c r="A385" s="69" t="s">
        <v>87</v>
      </c>
      <c r="B385" s="70" t="s">
        <v>69</v>
      </c>
      <c r="C385" s="70">
        <f>C347</f>
        <v>2</v>
      </c>
      <c r="D385" s="83">
        <f>D347</f>
        <v>207500</v>
      </c>
      <c r="E385" s="72">
        <f>C385*D385</f>
        <v>415000</v>
      </c>
    </row>
    <row r="386" spans="1:7" x14ac:dyDescent="0.3">
      <c r="A386" s="69" t="s">
        <v>117</v>
      </c>
      <c r="B386" s="70" t="s">
        <v>4</v>
      </c>
      <c r="C386" s="70">
        <f>+C$330</f>
        <v>85</v>
      </c>
      <c r="D386" s="72">
        <f>SUM(E384:E385)</f>
        <v>1528355.34</v>
      </c>
      <c r="E386" s="72">
        <f>C386*D386/100</f>
        <v>1299102.0390000001</v>
      </c>
    </row>
    <row r="387" spans="1:7" ht="15" thickBot="1" x14ac:dyDescent="0.35">
      <c r="A387" s="69" t="s">
        <v>118</v>
      </c>
      <c r="B387" s="70" t="s">
        <v>19</v>
      </c>
      <c r="C387" s="70">
        <f>+C$331</f>
        <v>60</v>
      </c>
      <c r="D387" s="72">
        <f>E386</f>
        <v>1299102.0390000001</v>
      </c>
      <c r="E387" s="72">
        <f>D387/C387</f>
        <v>21651.700650000002</v>
      </c>
    </row>
    <row r="388" spans="1:7" ht="15" thickBot="1" x14ac:dyDescent="0.35">
      <c r="F388" s="77">
        <f>E387</f>
        <v>21651.700650000002</v>
      </c>
    </row>
    <row r="390" spans="1:7" ht="15" thickBot="1" x14ac:dyDescent="0.35">
      <c r="A390" s="25" t="s">
        <v>133</v>
      </c>
    </row>
    <row r="391" spans="1:7" ht="15" thickBot="1" x14ac:dyDescent="0.35">
      <c r="A391" s="62" t="s">
        <v>13</v>
      </c>
      <c r="B391" s="63" t="s">
        <v>14</v>
      </c>
      <c r="C391" s="63" t="s">
        <v>8</v>
      </c>
      <c r="D391" s="64" t="s">
        <v>15</v>
      </c>
      <c r="E391" s="64" t="s">
        <v>16</v>
      </c>
      <c r="F391" s="65" t="s">
        <v>17</v>
      </c>
    </row>
    <row r="392" spans="1:7" x14ac:dyDescent="0.3">
      <c r="A392" s="189" t="s">
        <v>120</v>
      </c>
      <c r="B392" s="190" t="s">
        <v>69</v>
      </c>
      <c r="C392" s="190">
        <v>12</v>
      </c>
      <c r="D392" s="82">
        <f>D336</f>
        <v>1594.99</v>
      </c>
      <c r="E392" s="68">
        <f>C392*D392</f>
        <v>19139.88</v>
      </c>
    </row>
    <row r="393" spans="1:7" x14ac:dyDescent="0.3">
      <c r="A393" s="189" t="s">
        <v>121</v>
      </c>
      <c r="B393" s="190" t="s">
        <v>69</v>
      </c>
      <c r="C393" s="190">
        <f>C392</f>
        <v>12</v>
      </c>
      <c r="D393" s="82">
        <f>D337</f>
        <v>822.6</v>
      </c>
      <c r="E393" s="68">
        <f>C393*D393</f>
        <v>9871.2000000000007</v>
      </c>
    </row>
    <row r="394" spans="1:7" x14ac:dyDescent="0.3">
      <c r="A394" s="69" t="s">
        <v>122</v>
      </c>
      <c r="B394" s="70" t="s">
        <v>123</v>
      </c>
      <c r="C394" s="105">
        <v>70000</v>
      </c>
      <c r="D394" s="72">
        <f>E392+E393</f>
        <v>29011.08</v>
      </c>
      <c r="E394" s="72">
        <f>D394/C394</f>
        <v>0.41444400000000003</v>
      </c>
    </row>
    <row r="395" spans="1:7" ht="15" thickBot="1" x14ac:dyDescent="0.35">
      <c r="A395" s="69" t="s">
        <v>124</v>
      </c>
      <c r="B395" s="70" t="s">
        <v>104</v>
      </c>
      <c r="C395" s="105">
        <f>C371</f>
        <v>2940</v>
      </c>
      <c r="D395" s="72">
        <f>E394</f>
        <v>0.41444400000000003</v>
      </c>
      <c r="E395" s="72">
        <f>C395*D395</f>
        <v>1218.4653600000001</v>
      </c>
    </row>
    <row r="396" spans="1:7" ht="15" thickBot="1" x14ac:dyDescent="0.35">
      <c r="F396" s="77">
        <f>E395</f>
        <v>1218.4653600000001</v>
      </c>
    </row>
    <row r="397" spans="1:7" ht="15" thickBot="1" x14ac:dyDescent="0.35"/>
    <row r="398" spans="1:7" ht="15" thickBot="1" x14ac:dyDescent="0.35">
      <c r="A398" s="107" t="s">
        <v>134</v>
      </c>
      <c r="B398" s="223">
        <f>F396+F388+F380+F366+F358+F351</f>
        <v>52061.397079234244</v>
      </c>
      <c r="C398" s="224"/>
      <c r="F398" s="108"/>
    </row>
    <row r="400" spans="1:7" x14ac:dyDescent="0.3">
      <c r="A400" s="25" t="s">
        <v>257</v>
      </c>
      <c r="F400" s="84"/>
      <c r="G400" s="210"/>
    </row>
    <row r="401" spans="1:6" ht="15" thickBot="1" x14ac:dyDescent="0.35">
      <c r="A401" s="25" t="s">
        <v>135</v>
      </c>
    </row>
    <row r="402" spans="1:6" ht="15" thickBot="1" x14ac:dyDescent="0.35">
      <c r="A402" s="62" t="s">
        <v>13</v>
      </c>
      <c r="B402" s="63" t="s">
        <v>14</v>
      </c>
      <c r="C402" s="63" t="s">
        <v>8</v>
      </c>
      <c r="D402" s="64" t="s">
        <v>15</v>
      </c>
      <c r="E402" s="64" t="s">
        <v>16</v>
      </c>
      <c r="F402" s="65" t="s">
        <v>17</v>
      </c>
    </row>
    <row r="403" spans="1:6" x14ac:dyDescent="0.3">
      <c r="A403" s="66" t="s">
        <v>258</v>
      </c>
      <c r="B403" s="67" t="s">
        <v>69</v>
      </c>
      <c r="C403" s="67">
        <v>1</v>
      </c>
      <c r="D403" s="68">
        <v>60000</v>
      </c>
      <c r="E403" s="68">
        <f>C403*D403</f>
        <v>60000</v>
      </c>
    </row>
    <row r="404" spans="1:6" x14ac:dyDescent="0.3">
      <c r="A404" s="69" t="s">
        <v>259</v>
      </c>
      <c r="B404" s="70" t="s">
        <v>4</v>
      </c>
      <c r="C404" s="70">
        <f>+C$290</f>
        <v>30</v>
      </c>
      <c r="D404" s="72">
        <f>E403</f>
        <v>60000</v>
      </c>
      <c r="E404" s="72">
        <f>C404*D404/100</f>
        <v>18000</v>
      </c>
    </row>
    <row r="405" spans="1:6" ht="15" thickBot="1" x14ac:dyDescent="0.35">
      <c r="A405" s="69" t="s">
        <v>90</v>
      </c>
      <c r="B405" s="70" t="s">
        <v>19</v>
      </c>
      <c r="C405" s="70">
        <f>+C$292</f>
        <v>60</v>
      </c>
      <c r="D405" s="72">
        <f>E404</f>
        <v>18000</v>
      </c>
      <c r="E405" s="72">
        <f>D405/C405</f>
        <v>300</v>
      </c>
    </row>
    <row r="406" spans="1:6" ht="15" thickBot="1" x14ac:dyDescent="0.35">
      <c r="F406" s="77">
        <f>E405</f>
        <v>300</v>
      </c>
    </row>
    <row r="409" spans="1:6" ht="15" thickBot="1" x14ac:dyDescent="0.35">
      <c r="A409" s="25" t="s">
        <v>260</v>
      </c>
    </row>
    <row r="410" spans="1:6" ht="15" thickBot="1" x14ac:dyDescent="0.35">
      <c r="A410" s="62" t="s">
        <v>13</v>
      </c>
      <c r="B410" s="63" t="s">
        <v>14</v>
      </c>
      <c r="C410" s="63" t="s">
        <v>8</v>
      </c>
      <c r="D410" s="64" t="s">
        <v>15</v>
      </c>
      <c r="E410" s="64" t="s">
        <v>16</v>
      </c>
      <c r="F410" s="65" t="s">
        <v>17</v>
      </c>
    </row>
    <row r="411" spans="1:6" x14ac:dyDescent="0.3">
      <c r="A411" s="66" t="s">
        <v>96</v>
      </c>
      <c r="B411" s="67" t="s">
        <v>69</v>
      </c>
      <c r="C411" s="67">
        <f>C403</f>
        <v>1</v>
      </c>
      <c r="D411" s="68">
        <f>0.02*D403</f>
        <v>1200</v>
      </c>
      <c r="E411" s="68">
        <f>C411*D411</f>
        <v>1200</v>
      </c>
    </row>
    <row r="412" spans="1:6" x14ac:dyDescent="0.3">
      <c r="A412" s="69" t="s">
        <v>97</v>
      </c>
      <c r="B412" s="70" t="s">
        <v>69</v>
      </c>
      <c r="C412" s="70">
        <f>C403</f>
        <v>1</v>
      </c>
      <c r="D412" s="72">
        <f>+D$307</f>
        <v>0</v>
      </c>
      <c r="E412" s="72">
        <f>C412*D412</f>
        <v>0</v>
      </c>
    </row>
    <row r="413" spans="1:6" x14ac:dyDescent="0.3">
      <c r="A413" s="69" t="s">
        <v>98</v>
      </c>
      <c r="B413" s="70" t="s">
        <v>69</v>
      </c>
      <c r="C413" s="70">
        <f>C403</f>
        <v>1</v>
      </c>
      <c r="D413" s="72">
        <v>3000</v>
      </c>
      <c r="E413" s="72">
        <f>C413*D413</f>
        <v>3000</v>
      </c>
      <c r="F413" s="102"/>
    </row>
    <row r="414" spans="1:6" ht="15" thickBot="1" x14ac:dyDescent="0.35">
      <c r="A414" s="69" t="s">
        <v>99</v>
      </c>
      <c r="B414" s="70" t="s">
        <v>19</v>
      </c>
      <c r="C414" s="70">
        <v>12</v>
      </c>
      <c r="D414" s="72">
        <f>SUM(E411:E413)</f>
        <v>4200</v>
      </c>
      <c r="E414" s="72">
        <f>D414/C414</f>
        <v>350</v>
      </c>
    </row>
    <row r="415" spans="1:6" ht="15" thickBot="1" x14ac:dyDescent="0.35">
      <c r="F415" s="77">
        <f>E414</f>
        <v>350</v>
      </c>
    </row>
    <row r="417" spans="1:6" ht="15" thickBot="1" x14ac:dyDescent="0.35">
      <c r="A417" s="25" t="s">
        <v>261</v>
      </c>
      <c r="B417" s="103"/>
    </row>
    <row r="418" spans="1:6" ht="15" thickBot="1" x14ac:dyDescent="0.35">
      <c r="A418" s="62" t="s">
        <v>13</v>
      </c>
      <c r="B418" s="63" t="s">
        <v>14</v>
      </c>
      <c r="C418" s="63" t="s">
        <v>8</v>
      </c>
      <c r="D418" s="64" t="s">
        <v>15</v>
      </c>
      <c r="E418" s="64" t="s">
        <v>16</v>
      </c>
      <c r="F418" s="65" t="s">
        <v>17</v>
      </c>
    </row>
    <row r="419" spans="1:6" x14ac:dyDescent="0.3">
      <c r="A419" s="66" t="s">
        <v>101</v>
      </c>
      <c r="B419" s="67" t="s">
        <v>102</v>
      </c>
      <c r="C419" s="104">
        <v>6</v>
      </c>
      <c r="D419" s="109">
        <v>4.8</v>
      </c>
      <c r="E419" s="68"/>
    </row>
    <row r="420" spans="1:6" x14ac:dyDescent="0.3">
      <c r="A420" s="69" t="s">
        <v>103</v>
      </c>
      <c r="B420" s="70" t="s">
        <v>104</v>
      </c>
      <c r="C420" s="105">
        <v>600</v>
      </c>
      <c r="D420" s="68">
        <f>D419/C419</f>
        <v>0.79999999999999993</v>
      </c>
      <c r="E420" s="72">
        <f>C420*D420</f>
        <v>479.99999999999994</v>
      </c>
    </row>
    <row r="421" spans="1:6" x14ac:dyDescent="0.3">
      <c r="A421" s="69" t="s">
        <v>105</v>
      </c>
      <c r="B421" s="70" t="s">
        <v>106</v>
      </c>
      <c r="C421" s="106">
        <v>3</v>
      </c>
      <c r="D421" s="72">
        <f>+D$316</f>
        <v>21.9</v>
      </c>
      <c r="E421" s="72"/>
    </row>
    <row r="422" spans="1:6" ht="15" thickBot="1" x14ac:dyDescent="0.35">
      <c r="A422" s="69" t="s">
        <v>107</v>
      </c>
      <c r="B422" s="70" t="s">
        <v>104</v>
      </c>
      <c r="C422" s="105">
        <f>C420</f>
        <v>600</v>
      </c>
      <c r="D422" s="72">
        <f>+C421*D421</f>
        <v>65.699999999999989</v>
      </c>
      <c r="E422" s="72">
        <f>C422*D422/1000</f>
        <v>39.419999999999995</v>
      </c>
    </row>
    <row r="423" spans="1:6" ht="15" thickBot="1" x14ac:dyDescent="0.35">
      <c r="F423" s="77">
        <f>SUM(E419:E422)</f>
        <v>519.41999999999996</v>
      </c>
    </row>
    <row r="426" spans="1:6" ht="15" thickBot="1" x14ac:dyDescent="0.35">
      <c r="A426" s="25" t="s">
        <v>262</v>
      </c>
    </row>
    <row r="427" spans="1:6" ht="15" thickBot="1" x14ac:dyDescent="0.35">
      <c r="A427" s="62" t="s">
        <v>13</v>
      </c>
      <c r="B427" s="63" t="s">
        <v>14</v>
      </c>
      <c r="C427" s="63" t="s">
        <v>8</v>
      </c>
      <c r="D427" s="64" t="s">
        <v>15</v>
      </c>
      <c r="E427" s="64" t="s">
        <v>16</v>
      </c>
      <c r="F427" s="65" t="s">
        <v>17</v>
      </c>
    </row>
    <row r="428" spans="1:6" x14ac:dyDescent="0.3">
      <c r="A428" s="66" t="s">
        <v>256</v>
      </c>
      <c r="B428" s="67" t="s">
        <v>69</v>
      </c>
      <c r="C428" s="67">
        <v>4</v>
      </c>
      <c r="D428" s="68">
        <v>550</v>
      </c>
      <c r="E428" s="68">
        <f>C428*D428</f>
        <v>2200</v>
      </c>
    </row>
    <row r="429" spans="1:6" hidden="1" x14ac:dyDescent="0.3">
      <c r="A429" s="66" t="s">
        <v>121</v>
      </c>
      <c r="B429" s="67" t="s">
        <v>69</v>
      </c>
      <c r="C429" s="67"/>
      <c r="D429" s="68"/>
      <c r="E429" s="68">
        <f>C429*D429</f>
        <v>0</v>
      </c>
    </row>
    <row r="430" spans="1:6" x14ac:dyDescent="0.3">
      <c r="A430" s="69" t="s">
        <v>122</v>
      </c>
      <c r="B430" s="70" t="s">
        <v>123</v>
      </c>
      <c r="C430" s="105">
        <v>40000</v>
      </c>
      <c r="D430" s="72">
        <f>E428+E429</f>
        <v>2200</v>
      </c>
      <c r="E430" s="72">
        <f>D430/C430</f>
        <v>5.5E-2</v>
      </c>
    </row>
    <row r="431" spans="1:6" ht="15" thickBot="1" x14ac:dyDescent="0.35">
      <c r="A431" s="110" t="s">
        <v>256</v>
      </c>
      <c r="B431" s="70" t="s">
        <v>104</v>
      </c>
      <c r="C431" s="105">
        <f>C420</f>
        <v>600</v>
      </c>
      <c r="D431" s="72">
        <f>E430</f>
        <v>5.5E-2</v>
      </c>
      <c r="E431" s="72">
        <f>C431*D431</f>
        <v>33</v>
      </c>
    </row>
    <row r="432" spans="1:6" ht="15" thickBot="1" x14ac:dyDescent="0.35">
      <c r="F432" s="77">
        <f>+E431</f>
        <v>33</v>
      </c>
    </row>
    <row r="433" spans="1:6" ht="15" thickBot="1" x14ac:dyDescent="0.35"/>
    <row r="434" spans="1:6" ht="15" thickBot="1" x14ac:dyDescent="0.35">
      <c r="A434" s="107" t="s">
        <v>137</v>
      </c>
      <c r="B434" s="223">
        <f>F432+F423+F415+F406</f>
        <v>1202.42</v>
      </c>
      <c r="C434" s="224"/>
      <c r="F434" s="108"/>
    </row>
    <row r="436" spans="1:6" hidden="1" x14ac:dyDescent="0.3">
      <c r="A436" s="25" t="s">
        <v>138</v>
      </c>
    </row>
    <row r="437" spans="1:6" hidden="1" x14ac:dyDescent="0.3"/>
    <row r="438" spans="1:6" ht="15" hidden="1" thickBot="1" x14ac:dyDescent="0.35">
      <c r="A438" s="25" t="s">
        <v>139</v>
      </c>
    </row>
    <row r="439" spans="1:6" ht="15" hidden="1" thickBot="1" x14ac:dyDescent="0.35">
      <c r="A439" s="62" t="s">
        <v>13</v>
      </c>
      <c r="B439" s="63" t="s">
        <v>14</v>
      </c>
      <c r="C439" s="63" t="s">
        <v>8</v>
      </c>
      <c r="D439" s="64" t="s">
        <v>15</v>
      </c>
      <c r="E439" s="64" t="s">
        <v>16</v>
      </c>
      <c r="F439" s="65" t="s">
        <v>17</v>
      </c>
    </row>
    <row r="440" spans="1:6" hidden="1" x14ac:dyDescent="0.3">
      <c r="A440" s="66" t="s">
        <v>116</v>
      </c>
      <c r="B440" s="67" t="s">
        <v>69</v>
      </c>
      <c r="C440" s="67">
        <v>0</v>
      </c>
      <c r="D440" s="68"/>
      <c r="E440" s="68">
        <f>C440*D440</f>
        <v>0</v>
      </c>
    </row>
    <row r="441" spans="1:6" hidden="1" x14ac:dyDescent="0.3">
      <c r="A441" s="69" t="s">
        <v>140</v>
      </c>
      <c r="B441" s="70" t="s">
        <v>69</v>
      </c>
      <c r="C441" s="70">
        <f>C440</f>
        <v>0</v>
      </c>
      <c r="D441" s="72"/>
      <c r="E441" s="72">
        <f>C441*D441</f>
        <v>0</v>
      </c>
    </row>
    <row r="442" spans="1:6" hidden="1" x14ac:dyDescent="0.3">
      <c r="A442" s="69" t="s">
        <v>88</v>
      </c>
      <c r="B442" s="70" t="s">
        <v>4</v>
      </c>
      <c r="C442" s="70">
        <f>+C$290</f>
        <v>30</v>
      </c>
      <c r="D442" s="72">
        <f>E440</f>
        <v>0</v>
      </c>
      <c r="E442" s="72">
        <f>C442*D442/100</f>
        <v>0</v>
      </c>
    </row>
    <row r="443" spans="1:6" hidden="1" x14ac:dyDescent="0.3">
      <c r="A443" s="69" t="s">
        <v>141</v>
      </c>
      <c r="B443" s="70" t="s">
        <v>4</v>
      </c>
      <c r="C443" s="70">
        <v>70</v>
      </c>
      <c r="D443" s="72">
        <f>E441</f>
        <v>0</v>
      </c>
      <c r="E443" s="72">
        <f>C443*D443/100</f>
        <v>0</v>
      </c>
    </row>
    <row r="444" spans="1:6" ht="15" hidden="1" thickBot="1" x14ac:dyDescent="0.35">
      <c r="A444" s="69" t="s">
        <v>90</v>
      </c>
      <c r="B444" s="70" t="s">
        <v>19</v>
      </c>
      <c r="C444" s="70">
        <f>+C$292</f>
        <v>60</v>
      </c>
      <c r="D444" s="72">
        <f>E442+E443</f>
        <v>0</v>
      </c>
      <c r="E444" s="72">
        <f>D444/C444</f>
        <v>0</v>
      </c>
    </row>
    <row r="445" spans="1:6" ht="15" hidden="1" thickBot="1" x14ac:dyDescent="0.35">
      <c r="F445" s="77">
        <f>E444</f>
        <v>0</v>
      </c>
    </row>
    <row r="446" spans="1:6" hidden="1" x14ac:dyDescent="0.3"/>
    <row r="447" spans="1:6" ht="15" hidden="1" thickBot="1" x14ac:dyDescent="0.35">
      <c r="A447" s="25" t="s">
        <v>142</v>
      </c>
    </row>
    <row r="448" spans="1:6" ht="15" hidden="1" thickBot="1" x14ac:dyDescent="0.35">
      <c r="A448" s="62" t="s">
        <v>13</v>
      </c>
      <c r="B448" s="63" t="s">
        <v>14</v>
      </c>
      <c r="C448" s="63" t="s">
        <v>8</v>
      </c>
      <c r="D448" s="64" t="s">
        <v>15</v>
      </c>
      <c r="E448" s="64" t="s">
        <v>16</v>
      </c>
      <c r="F448" s="65" t="s">
        <v>17</v>
      </c>
    </row>
    <row r="449" spans="1:6" hidden="1" x14ac:dyDescent="0.3">
      <c r="A449" s="66" t="s">
        <v>143</v>
      </c>
      <c r="B449" s="67" t="s">
        <v>69</v>
      </c>
      <c r="C449" s="67">
        <v>1</v>
      </c>
      <c r="D449" s="68">
        <f>E440+E441</f>
        <v>0</v>
      </c>
      <c r="E449" s="68">
        <f>C449*D449</f>
        <v>0</v>
      </c>
      <c r="F449" s="75"/>
    </row>
    <row r="450" spans="1:6" ht="15" hidden="1" thickBot="1" x14ac:dyDescent="0.35">
      <c r="A450" s="69" t="s">
        <v>94</v>
      </c>
      <c r="B450" s="70" t="s">
        <v>4</v>
      </c>
      <c r="C450" s="70">
        <f>+C$299</f>
        <v>0.5</v>
      </c>
      <c r="D450" s="72">
        <f>E449</f>
        <v>0</v>
      </c>
      <c r="E450" s="72">
        <f>C450*D450/100</f>
        <v>0</v>
      </c>
      <c r="F450" s="75"/>
    </row>
    <row r="451" spans="1:6" ht="15" hidden="1" thickBot="1" x14ac:dyDescent="0.35">
      <c r="C451" s="74"/>
      <c r="D451" s="75"/>
      <c r="E451" s="75"/>
      <c r="F451" s="77">
        <f>E450</f>
        <v>0</v>
      </c>
    </row>
    <row r="452" spans="1:6" hidden="1" x14ac:dyDescent="0.3"/>
    <row r="453" spans="1:6" ht="15" hidden="1" thickBot="1" x14ac:dyDescent="0.35">
      <c r="A453" s="25" t="s">
        <v>144</v>
      </c>
    </row>
    <row r="454" spans="1:6" ht="15" hidden="1" thickBot="1" x14ac:dyDescent="0.35">
      <c r="A454" s="62" t="s">
        <v>13</v>
      </c>
      <c r="B454" s="63" t="s">
        <v>14</v>
      </c>
      <c r="C454" s="63" t="s">
        <v>8</v>
      </c>
      <c r="D454" s="64" t="s">
        <v>15</v>
      </c>
      <c r="E454" s="64" t="s">
        <v>16</v>
      </c>
      <c r="F454" s="65" t="s">
        <v>17</v>
      </c>
    </row>
    <row r="455" spans="1:6" hidden="1" x14ac:dyDescent="0.3">
      <c r="A455" s="66" t="s">
        <v>96</v>
      </c>
      <c r="B455" s="67" t="s">
        <v>69</v>
      </c>
      <c r="C455" s="67">
        <f>C440</f>
        <v>0</v>
      </c>
      <c r="D455" s="68">
        <f>0.01*D440</f>
        <v>0</v>
      </c>
      <c r="E455" s="68">
        <f>C455*D455</f>
        <v>0</v>
      </c>
    </row>
    <row r="456" spans="1:6" hidden="1" x14ac:dyDescent="0.3">
      <c r="A456" s="69" t="s">
        <v>97</v>
      </c>
      <c r="B456" s="70" t="s">
        <v>69</v>
      </c>
      <c r="C456" s="70">
        <f>C440</f>
        <v>0</v>
      </c>
      <c r="D456" s="72">
        <f>+D$307</f>
        <v>0</v>
      </c>
      <c r="E456" s="72">
        <f>C456*D456</f>
        <v>0</v>
      </c>
    </row>
    <row r="457" spans="1:6" hidden="1" x14ac:dyDescent="0.3">
      <c r="A457" s="69" t="s">
        <v>98</v>
      </c>
      <c r="B457" s="70" t="s">
        <v>69</v>
      </c>
      <c r="C457" s="70">
        <f>C440</f>
        <v>0</v>
      </c>
      <c r="D457" s="72">
        <f>+D$308</f>
        <v>9700</v>
      </c>
      <c r="E457" s="72">
        <f>C457*D457</f>
        <v>0</v>
      </c>
      <c r="F457" s="102"/>
    </row>
    <row r="458" spans="1:6" ht="15" hidden="1" thickBot="1" x14ac:dyDescent="0.35">
      <c r="A458" s="69" t="s">
        <v>99</v>
      </c>
      <c r="B458" s="70" t="s">
        <v>19</v>
      </c>
      <c r="C458" s="70">
        <v>12</v>
      </c>
      <c r="D458" s="72">
        <f>SUM(E455:E457)</f>
        <v>0</v>
      </c>
      <c r="E458" s="72">
        <f>D458/C458</f>
        <v>0</v>
      </c>
    </row>
    <row r="459" spans="1:6" ht="15" hidden="1" thickBot="1" x14ac:dyDescent="0.35">
      <c r="F459" s="77">
        <f>E458</f>
        <v>0</v>
      </c>
    </row>
    <row r="460" spans="1:6" ht="15" hidden="1" thickBot="1" x14ac:dyDescent="0.35">
      <c r="A460" s="25" t="s">
        <v>145</v>
      </c>
      <c r="B460" s="103"/>
    </row>
    <row r="461" spans="1:6" ht="15" hidden="1" thickBot="1" x14ac:dyDescent="0.35">
      <c r="A461" s="62" t="s">
        <v>13</v>
      </c>
      <c r="B461" s="63" t="s">
        <v>14</v>
      </c>
      <c r="C461" s="63" t="s">
        <v>8</v>
      </c>
      <c r="D461" s="64" t="s">
        <v>15</v>
      </c>
      <c r="E461" s="64" t="s">
        <v>16</v>
      </c>
      <c r="F461" s="65" t="s">
        <v>17</v>
      </c>
    </row>
    <row r="462" spans="1:6" hidden="1" x14ac:dyDescent="0.3">
      <c r="A462" s="66" t="s">
        <v>101</v>
      </c>
      <c r="B462" s="67" t="s">
        <v>102</v>
      </c>
      <c r="C462" s="104">
        <v>4.5</v>
      </c>
      <c r="D462" s="109"/>
      <c r="E462" s="68"/>
    </row>
    <row r="463" spans="1:6" hidden="1" x14ac:dyDescent="0.3">
      <c r="A463" s="69" t="s">
        <v>103</v>
      </c>
      <c r="B463" s="70" t="s">
        <v>104</v>
      </c>
      <c r="C463" s="105">
        <v>0</v>
      </c>
      <c r="D463" s="68"/>
      <c r="E463" s="72">
        <f>C463*D463</f>
        <v>0</v>
      </c>
    </row>
    <row r="464" spans="1:6" hidden="1" x14ac:dyDescent="0.3">
      <c r="A464" s="69" t="s">
        <v>105</v>
      </c>
      <c r="B464" s="70" t="s">
        <v>106</v>
      </c>
      <c r="C464" s="106">
        <v>2</v>
      </c>
      <c r="D464" s="72"/>
      <c r="E464" s="72"/>
    </row>
    <row r="465" spans="1:6" hidden="1" x14ac:dyDescent="0.3">
      <c r="A465" s="69" t="s">
        <v>107</v>
      </c>
      <c r="B465" s="70" t="s">
        <v>104</v>
      </c>
      <c r="C465" s="105">
        <f>C463</f>
        <v>0</v>
      </c>
      <c r="D465" s="72"/>
      <c r="E465" s="72">
        <f>C465*D465/1000</f>
        <v>0</v>
      </c>
    </row>
    <row r="466" spans="1:6" hidden="1" x14ac:dyDescent="0.3">
      <c r="A466" s="69" t="s">
        <v>108</v>
      </c>
      <c r="B466" s="70" t="s">
        <v>106</v>
      </c>
      <c r="C466" s="106">
        <v>0.5</v>
      </c>
      <c r="D466" s="72"/>
      <c r="E466" s="72"/>
    </row>
    <row r="467" spans="1:6" hidden="1" x14ac:dyDescent="0.3">
      <c r="A467" s="69" t="s">
        <v>109</v>
      </c>
      <c r="B467" s="70" t="s">
        <v>104</v>
      </c>
      <c r="C467" s="105">
        <f>C463</f>
        <v>0</v>
      </c>
      <c r="D467" s="72"/>
      <c r="E467" s="72">
        <f>C467*D467/1000</f>
        <v>0</v>
      </c>
    </row>
    <row r="468" spans="1:6" hidden="1" x14ac:dyDescent="0.3">
      <c r="A468" s="69" t="s">
        <v>110</v>
      </c>
      <c r="B468" s="70" t="s">
        <v>106</v>
      </c>
      <c r="C468" s="106">
        <v>1</v>
      </c>
      <c r="D468" s="72"/>
      <c r="E468" s="72"/>
    </row>
    <row r="469" spans="1:6" hidden="1" x14ac:dyDescent="0.3">
      <c r="A469" s="69" t="s">
        <v>111</v>
      </c>
      <c r="B469" s="70" t="s">
        <v>104</v>
      </c>
      <c r="C469" s="105">
        <f>C463</f>
        <v>0</v>
      </c>
      <c r="D469" s="72"/>
      <c r="E469" s="72">
        <f>C469*D469/1000</f>
        <v>0</v>
      </c>
    </row>
    <row r="470" spans="1:6" hidden="1" x14ac:dyDescent="0.3">
      <c r="A470" s="69" t="s">
        <v>112</v>
      </c>
      <c r="B470" s="70" t="s">
        <v>113</v>
      </c>
      <c r="C470" s="71">
        <v>1</v>
      </c>
      <c r="D470" s="72"/>
      <c r="E470" s="72"/>
    </row>
    <row r="471" spans="1:6" ht="15" hidden="1" thickBot="1" x14ac:dyDescent="0.35">
      <c r="A471" s="69" t="s">
        <v>114</v>
      </c>
      <c r="B471" s="70" t="s">
        <v>104</v>
      </c>
      <c r="C471" s="105">
        <f>C463</f>
        <v>0</v>
      </c>
      <c r="D471" s="72"/>
      <c r="E471" s="72">
        <f>C471*D471/1000</f>
        <v>0</v>
      </c>
    </row>
    <row r="472" spans="1:6" ht="15" hidden="1" thickBot="1" x14ac:dyDescent="0.35">
      <c r="F472" s="77">
        <f>SUM(E462:E471)</f>
        <v>0</v>
      </c>
    </row>
    <row r="473" spans="1:6" hidden="1" x14ac:dyDescent="0.3"/>
    <row r="474" spans="1:6" ht="15" hidden="1" thickBot="1" x14ac:dyDescent="0.35">
      <c r="A474" s="25" t="s">
        <v>146</v>
      </c>
    </row>
    <row r="475" spans="1:6" ht="15" hidden="1" thickBot="1" x14ac:dyDescent="0.35">
      <c r="A475" s="62" t="s">
        <v>13</v>
      </c>
      <c r="B475" s="63" t="s">
        <v>14</v>
      </c>
      <c r="C475" s="63" t="s">
        <v>8</v>
      </c>
      <c r="D475" s="64" t="s">
        <v>15</v>
      </c>
      <c r="E475" s="64" t="s">
        <v>16</v>
      </c>
      <c r="F475" s="65" t="s">
        <v>17</v>
      </c>
    </row>
    <row r="476" spans="1:6" hidden="1" x14ac:dyDescent="0.3">
      <c r="A476" s="66" t="s">
        <v>116</v>
      </c>
      <c r="B476" s="67" t="s">
        <v>69</v>
      </c>
      <c r="C476" s="67">
        <f>C440</f>
        <v>0</v>
      </c>
      <c r="D476" s="68"/>
      <c r="E476" s="68">
        <f>C476*D476</f>
        <v>0</v>
      </c>
    </row>
    <row r="477" spans="1:6" hidden="1" x14ac:dyDescent="0.3">
      <c r="A477" s="69" t="s">
        <v>140</v>
      </c>
      <c r="B477" s="70" t="s">
        <v>69</v>
      </c>
      <c r="C477" s="70">
        <f>C441</f>
        <v>0</v>
      </c>
      <c r="D477" s="72"/>
      <c r="E477" s="72">
        <f>C477*D477</f>
        <v>0</v>
      </c>
    </row>
    <row r="478" spans="1:6" hidden="1" x14ac:dyDescent="0.3">
      <c r="A478" s="69" t="s">
        <v>117</v>
      </c>
      <c r="B478" s="70" t="s">
        <v>4</v>
      </c>
      <c r="C478" s="70">
        <v>85</v>
      </c>
      <c r="D478" s="72">
        <f>E476+E477</f>
        <v>0</v>
      </c>
      <c r="E478" s="72">
        <f>C478*D478/100</f>
        <v>0</v>
      </c>
    </row>
    <row r="479" spans="1:6" ht="15" hidden="1" thickBot="1" x14ac:dyDescent="0.35">
      <c r="A479" s="69" t="s">
        <v>118</v>
      </c>
      <c r="B479" s="70" t="s">
        <v>19</v>
      </c>
      <c r="C479" s="70">
        <f>+C$331</f>
        <v>60</v>
      </c>
      <c r="D479" s="72">
        <f>E478</f>
        <v>0</v>
      </c>
      <c r="E479" s="72">
        <f>D479/C479</f>
        <v>0</v>
      </c>
    </row>
    <row r="480" spans="1:6" ht="15" hidden="1" thickBot="1" x14ac:dyDescent="0.35">
      <c r="F480" s="77">
        <f>E479</f>
        <v>0</v>
      </c>
    </row>
    <row r="481" spans="1:6" hidden="1" x14ac:dyDescent="0.3"/>
    <row r="482" spans="1:6" ht="15" hidden="1" thickBot="1" x14ac:dyDescent="0.35">
      <c r="A482" s="25" t="s">
        <v>147</v>
      </c>
    </row>
    <row r="483" spans="1:6" ht="15" hidden="1" thickBot="1" x14ac:dyDescent="0.35">
      <c r="A483" s="62" t="s">
        <v>13</v>
      </c>
      <c r="B483" s="63" t="s">
        <v>14</v>
      </c>
      <c r="C483" s="63" t="s">
        <v>8</v>
      </c>
      <c r="D483" s="64" t="s">
        <v>15</v>
      </c>
      <c r="E483" s="64" t="s">
        <v>16</v>
      </c>
      <c r="F483" s="65" t="s">
        <v>17</v>
      </c>
    </row>
    <row r="484" spans="1:6" hidden="1" x14ac:dyDescent="0.3">
      <c r="A484" s="110" t="s">
        <v>136</v>
      </c>
      <c r="B484" s="67" t="s">
        <v>69</v>
      </c>
      <c r="C484" s="67">
        <v>0</v>
      </c>
      <c r="D484" s="68"/>
      <c r="E484" s="68">
        <f>C484*D484</f>
        <v>0</v>
      </c>
    </row>
    <row r="485" spans="1:6" hidden="1" x14ac:dyDescent="0.3">
      <c r="A485" s="66" t="s">
        <v>121</v>
      </c>
      <c r="B485" s="67" t="s">
        <v>69</v>
      </c>
      <c r="C485" s="67">
        <f>C484</f>
        <v>0</v>
      </c>
      <c r="D485" s="68"/>
      <c r="E485" s="68">
        <f>C485*D485</f>
        <v>0</v>
      </c>
    </row>
    <row r="486" spans="1:6" hidden="1" x14ac:dyDescent="0.3">
      <c r="A486" s="69" t="s">
        <v>122</v>
      </c>
      <c r="B486" s="70" t="s">
        <v>123</v>
      </c>
      <c r="C486" s="105">
        <v>70000</v>
      </c>
      <c r="D486" s="72">
        <f>E484+E485</f>
        <v>0</v>
      </c>
      <c r="E486" s="72">
        <f>D486/C486</f>
        <v>0</v>
      </c>
    </row>
    <row r="487" spans="1:6" ht="15" hidden="1" thickBot="1" x14ac:dyDescent="0.35">
      <c r="A487" s="69" t="s">
        <v>124</v>
      </c>
      <c r="B487" s="70" t="s">
        <v>104</v>
      </c>
      <c r="C487" s="105">
        <f>C463</f>
        <v>0</v>
      </c>
      <c r="D487" s="72">
        <f>E486</f>
        <v>0</v>
      </c>
      <c r="E487" s="72">
        <f>C487*D487</f>
        <v>0</v>
      </c>
    </row>
    <row r="488" spans="1:6" ht="15" hidden="1" thickBot="1" x14ac:dyDescent="0.35">
      <c r="F488" s="77">
        <f>+E487</f>
        <v>0</v>
      </c>
    </row>
    <row r="489" spans="1:6" ht="15" hidden="1" thickBot="1" x14ac:dyDescent="0.35"/>
    <row r="490" spans="1:6" ht="15" hidden="1" thickBot="1" x14ac:dyDescent="0.35">
      <c r="A490" s="107" t="s">
        <v>148</v>
      </c>
      <c r="B490" s="223">
        <f>F488+F480+F472+F459+F451+F445</f>
        <v>0</v>
      </c>
      <c r="C490" s="224"/>
      <c r="F490" s="108"/>
    </row>
    <row r="491" spans="1:6" hidden="1" x14ac:dyDescent="0.3"/>
    <row r="492" spans="1:6" hidden="1" x14ac:dyDescent="0.3">
      <c r="A492" s="25" t="s">
        <v>149</v>
      </c>
    </row>
    <row r="493" spans="1:6" ht="15" hidden="1" thickBot="1" x14ac:dyDescent="0.35">
      <c r="A493" s="25" t="s">
        <v>150</v>
      </c>
    </row>
    <row r="494" spans="1:6" ht="15" hidden="1" thickBot="1" x14ac:dyDescent="0.35">
      <c r="A494" s="62" t="s">
        <v>13</v>
      </c>
      <c r="B494" s="63" t="s">
        <v>14</v>
      </c>
      <c r="C494" s="63" t="s">
        <v>8</v>
      </c>
      <c r="D494" s="64" t="s">
        <v>15</v>
      </c>
      <c r="E494" s="64" t="s">
        <v>16</v>
      </c>
      <c r="F494" s="65" t="s">
        <v>17</v>
      </c>
    </row>
    <row r="495" spans="1:6" hidden="1" x14ac:dyDescent="0.3">
      <c r="A495" s="66" t="s">
        <v>116</v>
      </c>
      <c r="B495" s="67" t="s">
        <v>69</v>
      </c>
      <c r="C495" s="67">
        <v>0</v>
      </c>
      <c r="D495" s="68"/>
      <c r="E495" s="68">
        <f>C495*D495</f>
        <v>0</v>
      </c>
    </row>
    <row r="496" spans="1:6" hidden="1" x14ac:dyDescent="0.3">
      <c r="A496" s="69" t="s">
        <v>87</v>
      </c>
      <c r="B496" s="70" t="s">
        <v>69</v>
      </c>
      <c r="C496" s="70">
        <f>C495</f>
        <v>0</v>
      </c>
      <c r="D496" s="72"/>
      <c r="E496" s="72">
        <f>C496*D496</f>
        <v>0</v>
      </c>
    </row>
    <row r="497" spans="1:6" hidden="1" x14ac:dyDescent="0.3">
      <c r="A497" s="111" t="s">
        <v>151</v>
      </c>
      <c r="B497" s="70" t="s">
        <v>69</v>
      </c>
      <c r="C497" s="70">
        <v>4</v>
      </c>
      <c r="D497" s="72"/>
      <c r="E497" s="72">
        <f>C497*D497</f>
        <v>0</v>
      </c>
    </row>
    <row r="498" spans="1:6" hidden="1" x14ac:dyDescent="0.3">
      <c r="A498" s="69" t="s">
        <v>88</v>
      </c>
      <c r="B498" s="70" t="s">
        <v>4</v>
      </c>
      <c r="C498" s="70">
        <v>80</v>
      </c>
      <c r="D498" s="72">
        <f>E495</f>
        <v>0</v>
      </c>
      <c r="E498" s="72">
        <f>C498*D498/100</f>
        <v>0</v>
      </c>
    </row>
    <row r="499" spans="1:6" hidden="1" x14ac:dyDescent="0.3">
      <c r="A499" s="69" t="s">
        <v>89</v>
      </c>
      <c r="B499" s="70" t="s">
        <v>4</v>
      </c>
      <c r="C499" s="70">
        <v>90</v>
      </c>
      <c r="D499" s="72">
        <f>E496+E497</f>
        <v>0</v>
      </c>
      <c r="E499" s="72">
        <f>C499*D499/100</f>
        <v>0</v>
      </c>
    </row>
    <row r="500" spans="1:6" ht="15" hidden="1" thickBot="1" x14ac:dyDescent="0.35">
      <c r="A500" s="69" t="s">
        <v>90</v>
      </c>
      <c r="B500" s="70" t="s">
        <v>19</v>
      </c>
      <c r="C500" s="70">
        <v>12</v>
      </c>
      <c r="D500" s="72">
        <f>E498+E499</f>
        <v>0</v>
      </c>
      <c r="E500" s="112">
        <f>D500/C500</f>
        <v>0</v>
      </c>
    </row>
    <row r="501" spans="1:6" ht="15" hidden="1" thickBot="1" x14ac:dyDescent="0.35">
      <c r="F501" s="77">
        <v>0</v>
      </c>
    </row>
    <row r="502" spans="1:6" hidden="1" x14ac:dyDescent="0.3"/>
    <row r="503" spans="1:6" ht="15" hidden="1" thickBot="1" x14ac:dyDescent="0.35">
      <c r="A503" s="25" t="s">
        <v>152</v>
      </c>
    </row>
    <row r="504" spans="1:6" ht="15" hidden="1" thickBot="1" x14ac:dyDescent="0.35">
      <c r="A504" s="62" t="s">
        <v>13</v>
      </c>
      <c r="B504" s="63" t="s">
        <v>14</v>
      </c>
      <c r="C504" s="63" t="s">
        <v>8</v>
      </c>
      <c r="D504" s="64" t="s">
        <v>15</v>
      </c>
      <c r="E504" s="64" t="s">
        <v>16</v>
      </c>
      <c r="F504" s="65" t="s">
        <v>17</v>
      </c>
    </row>
    <row r="505" spans="1:6" hidden="1" x14ac:dyDescent="0.3">
      <c r="A505" s="66" t="s">
        <v>93</v>
      </c>
      <c r="B505" s="67" t="s">
        <v>69</v>
      </c>
      <c r="C505" s="67">
        <v>0</v>
      </c>
      <c r="D505" s="68">
        <f>E495+E496+E497</f>
        <v>0</v>
      </c>
      <c r="E505" s="68">
        <f>C505*D505</f>
        <v>0</v>
      </c>
      <c r="F505" s="75"/>
    </row>
    <row r="506" spans="1:6" ht="15" hidden="1" thickBot="1" x14ac:dyDescent="0.35">
      <c r="A506" s="69" t="s">
        <v>94</v>
      </c>
      <c r="B506" s="70" t="s">
        <v>4</v>
      </c>
      <c r="C506" s="70">
        <f>+C450</f>
        <v>0.5</v>
      </c>
      <c r="D506" s="72">
        <f>E505</f>
        <v>0</v>
      </c>
      <c r="E506" s="72">
        <f>C506*D506/100</f>
        <v>0</v>
      </c>
      <c r="F506" s="75"/>
    </row>
    <row r="507" spans="1:6" ht="15" hidden="1" thickBot="1" x14ac:dyDescent="0.35">
      <c r="C507" s="74"/>
      <c r="D507" s="75"/>
      <c r="E507" s="75"/>
      <c r="F507" s="77">
        <f>E506</f>
        <v>0</v>
      </c>
    </row>
    <row r="508" spans="1:6" hidden="1" x14ac:dyDescent="0.3"/>
    <row r="509" spans="1:6" ht="15" hidden="1" thickBot="1" x14ac:dyDescent="0.35">
      <c r="A509" s="25" t="s">
        <v>153</v>
      </c>
    </row>
    <row r="510" spans="1:6" ht="15" hidden="1" thickBot="1" x14ac:dyDescent="0.35">
      <c r="A510" s="62" t="s">
        <v>13</v>
      </c>
      <c r="B510" s="63" t="s">
        <v>14</v>
      </c>
      <c r="C510" s="63" t="s">
        <v>8</v>
      </c>
      <c r="D510" s="64" t="s">
        <v>15</v>
      </c>
      <c r="E510" s="64" t="s">
        <v>16</v>
      </c>
      <c r="F510" s="65" t="s">
        <v>17</v>
      </c>
    </row>
    <row r="511" spans="1:6" hidden="1" x14ac:dyDescent="0.3">
      <c r="A511" s="66" t="s">
        <v>96</v>
      </c>
      <c r="B511" s="67" t="s">
        <v>69</v>
      </c>
      <c r="C511" s="67">
        <f>C495</f>
        <v>0</v>
      </c>
      <c r="D511" s="68">
        <f>0.01*D495</f>
        <v>0</v>
      </c>
      <c r="E511" s="68">
        <f>C511*D511</f>
        <v>0</v>
      </c>
    </row>
    <row r="512" spans="1:6" hidden="1" x14ac:dyDescent="0.3">
      <c r="A512" s="69" t="s">
        <v>97</v>
      </c>
      <c r="B512" s="70" t="s">
        <v>69</v>
      </c>
      <c r="C512" s="70">
        <f>C495</f>
        <v>0</v>
      </c>
      <c r="D512" s="72">
        <f>+D307</f>
        <v>0</v>
      </c>
      <c r="E512" s="72">
        <f>C512*D512</f>
        <v>0</v>
      </c>
    </row>
    <row r="513" spans="1:6" hidden="1" x14ac:dyDescent="0.3">
      <c r="A513" s="69" t="s">
        <v>98</v>
      </c>
      <c r="B513" s="70" t="s">
        <v>69</v>
      </c>
      <c r="C513" s="70">
        <f>C495</f>
        <v>0</v>
      </c>
      <c r="D513" s="72">
        <f>+D308</f>
        <v>9700</v>
      </c>
      <c r="E513" s="72">
        <f>C513*D513</f>
        <v>0</v>
      </c>
      <c r="F513" s="102"/>
    </row>
    <row r="514" spans="1:6" ht="15" hidden="1" thickBot="1" x14ac:dyDescent="0.35">
      <c r="A514" s="69" t="s">
        <v>99</v>
      </c>
      <c r="B514" s="70" t="s">
        <v>19</v>
      </c>
      <c r="C514" s="70">
        <v>12</v>
      </c>
      <c r="D514" s="72">
        <f>SUM(E511:E513)</f>
        <v>0</v>
      </c>
      <c r="E514" s="72">
        <f>D514/C514</f>
        <v>0</v>
      </c>
    </row>
    <row r="515" spans="1:6" ht="15" hidden="1" thickBot="1" x14ac:dyDescent="0.35">
      <c r="F515" s="77">
        <f>E514</f>
        <v>0</v>
      </c>
    </row>
    <row r="516" spans="1:6" hidden="1" x14ac:dyDescent="0.3"/>
    <row r="517" spans="1:6" ht="15" hidden="1" thickBot="1" x14ac:dyDescent="0.35">
      <c r="A517" s="25" t="s">
        <v>154</v>
      </c>
      <c r="B517" s="103"/>
    </row>
    <row r="518" spans="1:6" ht="15" hidden="1" thickBot="1" x14ac:dyDescent="0.35">
      <c r="A518" s="62" t="s">
        <v>13</v>
      </c>
      <c r="B518" s="63" t="s">
        <v>14</v>
      </c>
      <c r="C518" s="63" t="s">
        <v>8</v>
      </c>
      <c r="D518" s="64" t="s">
        <v>15</v>
      </c>
      <c r="E518" s="64" t="s">
        <v>16</v>
      </c>
      <c r="F518" s="65" t="s">
        <v>17</v>
      </c>
    </row>
    <row r="519" spans="1:6" hidden="1" x14ac:dyDescent="0.3">
      <c r="A519" s="66" t="s">
        <v>101</v>
      </c>
      <c r="B519" s="67" t="s">
        <v>102</v>
      </c>
      <c r="C519" s="104">
        <v>1.7</v>
      </c>
      <c r="D519" s="109">
        <f>+D314</f>
        <v>6.33</v>
      </c>
      <c r="E519" s="68"/>
    </row>
    <row r="520" spans="1:6" hidden="1" x14ac:dyDescent="0.3">
      <c r="A520" s="69" t="s">
        <v>103</v>
      </c>
      <c r="B520" s="70" t="s">
        <v>104</v>
      </c>
      <c r="C520" s="105">
        <v>0</v>
      </c>
      <c r="D520" s="68">
        <f>+D519/C519</f>
        <v>3.723529411764706</v>
      </c>
      <c r="E520" s="72">
        <f>C520*D520</f>
        <v>0</v>
      </c>
    </row>
    <row r="521" spans="1:6" hidden="1" x14ac:dyDescent="0.3">
      <c r="A521" s="69" t="s">
        <v>105</v>
      </c>
      <c r="B521" s="70" t="s">
        <v>106</v>
      </c>
      <c r="C521" s="106">
        <v>6</v>
      </c>
      <c r="D521" s="72">
        <f>+D316</f>
        <v>21.9</v>
      </c>
      <c r="E521" s="72"/>
    </row>
    <row r="522" spans="1:6" hidden="1" x14ac:dyDescent="0.3">
      <c r="A522" s="69" t="s">
        <v>107</v>
      </c>
      <c r="B522" s="70" t="s">
        <v>104</v>
      </c>
      <c r="C522" s="105">
        <f>C520</f>
        <v>0</v>
      </c>
      <c r="D522" s="72">
        <f>+C521*D521</f>
        <v>131.39999999999998</v>
      </c>
      <c r="E522" s="72">
        <f>C522*D522/1000</f>
        <v>0</v>
      </c>
    </row>
    <row r="523" spans="1:6" hidden="1" x14ac:dyDescent="0.3">
      <c r="A523" s="69" t="s">
        <v>108</v>
      </c>
      <c r="B523" s="70" t="s">
        <v>106</v>
      </c>
      <c r="C523" s="106">
        <v>0.85</v>
      </c>
      <c r="D523" s="72">
        <f>+D318</f>
        <v>30.74</v>
      </c>
      <c r="E523" s="72"/>
    </row>
    <row r="524" spans="1:6" hidden="1" x14ac:dyDescent="0.3">
      <c r="A524" s="69" t="s">
        <v>109</v>
      </c>
      <c r="B524" s="70" t="s">
        <v>104</v>
      </c>
      <c r="C524" s="105">
        <f>C520</f>
        <v>0</v>
      </c>
      <c r="D524" s="72">
        <f>+C523*D523</f>
        <v>26.128999999999998</v>
      </c>
      <c r="E524" s="72">
        <f>C524*D524/1000</f>
        <v>0</v>
      </c>
    </row>
    <row r="525" spans="1:6" hidden="1" x14ac:dyDescent="0.3">
      <c r="A525" s="69" t="s">
        <v>110</v>
      </c>
      <c r="B525" s="70" t="s">
        <v>106</v>
      </c>
      <c r="C525" s="106">
        <v>5</v>
      </c>
      <c r="D525" s="72">
        <f>+D320</f>
        <v>18.84</v>
      </c>
      <c r="E525" s="72"/>
    </row>
    <row r="526" spans="1:6" hidden="1" x14ac:dyDescent="0.3">
      <c r="A526" s="69" t="s">
        <v>111</v>
      </c>
      <c r="B526" s="70" t="s">
        <v>104</v>
      </c>
      <c r="C526" s="105">
        <f>C520</f>
        <v>0</v>
      </c>
      <c r="D526" s="72">
        <f>+C525*D525</f>
        <v>94.2</v>
      </c>
      <c r="E526" s="72">
        <f>C526*D526/1000</f>
        <v>0</v>
      </c>
    </row>
    <row r="527" spans="1:6" hidden="1" x14ac:dyDescent="0.3">
      <c r="A527" s="69" t="s">
        <v>112</v>
      </c>
      <c r="B527" s="70" t="s">
        <v>113</v>
      </c>
      <c r="C527" s="70">
        <v>2</v>
      </c>
      <c r="D527" s="72">
        <f>+D322</f>
        <v>16.95</v>
      </c>
      <c r="E527" s="72"/>
    </row>
    <row r="528" spans="1:6" ht="15" hidden="1" thickBot="1" x14ac:dyDescent="0.35">
      <c r="A528" s="69" t="s">
        <v>114</v>
      </c>
      <c r="B528" s="70" t="s">
        <v>104</v>
      </c>
      <c r="C528" s="105">
        <f>C520</f>
        <v>0</v>
      </c>
      <c r="D528" s="72">
        <f>+C527*D527</f>
        <v>33.9</v>
      </c>
      <c r="E528" s="72">
        <f>C528*D528/1000</f>
        <v>0</v>
      </c>
    </row>
    <row r="529" spans="1:6" ht="15" hidden="1" thickBot="1" x14ac:dyDescent="0.35">
      <c r="F529" s="77">
        <f>SUM(E519:E528)</f>
        <v>0</v>
      </c>
    </row>
    <row r="530" spans="1:6" hidden="1" x14ac:dyDescent="0.3"/>
    <row r="531" spans="1:6" ht="15" hidden="1" thickBot="1" x14ac:dyDescent="0.35">
      <c r="A531" s="25" t="s">
        <v>155</v>
      </c>
    </row>
    <row r="532" spans="1:6" ht="15" hidden="1" thickBot="1" x14ac:dyDescent="0.35">
      <c r="A532" s="62" t="s">
        <v>13</v>
      </c>
      <c r="B532" s="63" t="s">
        <v>14</v>
      </c>
      <c r="C532" s="63" t="s">
        <v>8</v>
      </c>
      <c r="D532" s="64" t="s">
        <v>15</v>
      </c>
      <c r="E532" s="64" t="s">
        <v>16</v>
      </c>
      <c r="F532" s="65" t="s">
        <v>17</v>
      </c>
    </row>
    <row r="533" spans="1:6" hidden="1" x14ac:dyDescent="0.3">
      <c r="A533" s="66" t="s">
        <v>116</v>
      </c>
      <c r="B533" s="67" t="s">
        <v>69</v>
      </c>
      <c r="C533" s="67">
        <f>C495</f>
        <v>0</v>
      </c>
      <c r="D533" s="68">
        <f>D495</f>
        <v>0</v>
      </c>
      <c r="E533" s="68">
        <f>C533*D533</f>
        <v>0</v>
      </c>
    </row>
    <row r="534" spans="1:6" hidden="1" x14ac:dyDescent="0.3">
      <c r="A534" s="69" t="s">
        <v>87</v>
      </c>
      <c r="B534" s="70" t="s">
        <v>69</v>
      </c>
      <c r="C534" s="70">
        <f>C496</f>
        <v>0</v>
      </c>
      <c r="D534" s="72">
        <f>D496</f>
        <v>0</v>
      </c>
      <c r="E534" s="72">
        <f>C534*D534</f>
        <v>0</v>
      </c>
    </row>
    <row r="535" spans="1:6" hidden="1" x14ac:dyDescent="0.3">
      <c r="A535" s="69" t="s">
        <v>156</v>
      </c>
      <c r="B535" s="70" t="s">
        <v>69</v>
      </c>
      <c r="C535" s="70">
        <v>4</v>
      </c>
      <c r="D535" s="72">
        <f>D497</f>
        <v>0</v>
      </c>
      <c r="E535" s="72">
        <f>C535*D535</f>
        <v>0</v>
      </c>
    </row>
    <row r="536" spans="1:6" hidden="1" x14ac:dyDescent="0.3">
      <c r="A536" s="69" t="s">
        <v>117</v>
      </c>
      <c r="B536" s="70" t="s">
        <v>4</v>
      </c>
      <c r="C536" s="70">
        <v>0</v>
      </c>
      <c r="D536" s="72">
        <f>E533+E534+E535</f>
        <v>0</v>
      </c>
      <c r="E536" s="72">
        <f>C536*D536/100</f>
        <v>0</v>
      </c>
    </row>
    <row r="537" spans="1:6" ht="15" hidden="1" thickBot="1" x14ac:dyDescent="0.35">
      <c r="A537" s="69" t="s">
        <v>118</v>
      </c>
      <c r="B537" s="70" t="s">
        <v>19</v>
      </c>
      <c r="C537" s="70">
        <v>0</v>
      </c>
      <c r="D537" s="72">
        <f>E536</f>
        <v>0</v>
      </c>
      <c r="E537" s="72" t="e">
        <f>D537/C537</f>
        <v>#DIV/0!</v>
      </c>
    </row>
    <row r="538" spans="1:6" ht="15" hidden="1" thickBot="1" x14ac:dyDescent="0.35">
      <c r="F538" s="77">
        <v>0</v>
      </c>
    </row>
    <row r="539" spans="1:6" hidden="1" x14ac:dyDescent="0.3"/>
    <row r="540" spans="1:6" ht="15" hidden="1" thickBot="1" x14ac:dyDescent="0.35">
      <c r="A540" s="25" t="s">
        <v>157</v>
      </c>
    </row>
    <row r="541" spans="1:6" ht="15" hidden="1" thickBot="1" x14ac:dyDescent="0.35">
      <c r="A541" s="62" t="s">
        <v>13</v>
      </c>
      <c r="B541" s="63" t="s">
        <v>14</v>
      </c>
      <c r="C541" s="63" t="s">
        <v>8</v>
      </c>
      <c r="D541" s="64" t="s">
        <v>15</v>
      </c>
      <c r="E541" s="64" t="s">
        <v>16</v>
      </c>
      <c r="F541" s="65" t="s">
        <v>17</v>
      </c>
    </row>
    <row r="542" spans="1:6" hidden="1" x14ac:dyDescent="0.3">
      <c r="A542" s="66" t="s">
        <v>120</v>
      </c>
      <c r="B542" s="67" t="s">
        <v>69</v>
      </c>
      <c r="C542" s="67">
        <v>0</v>
      </c>
      <c r="D542" s="68">
        <f>+D336</f>
        <v>1594.99</v>
      </c>
      <c r="E542" s="68">
        <f>C542*D542</f>
        <v>0</v>
      </c>
    </row>
    <row r="543" spans="1:6" hidden="1" x14ac:dyDescent="0.3">
      <c r="A543" s="66" t="s">
        <v>121</v>
      </c>
      <c r="B543" s="67" t="s">
        <v>69</v>
      </c>
      <c r="C543" s="67">
        <f>C542</f>
        <v>0</v>
      </c>
      <c r="D543" s="68">
        <f>+D337</f>
        <v>822.6</v>
      </c>
      <c r="E543" s="68">
        <f>C543*D543</f>
        <v>0</v>
      </c>
    </row>
    <row r="544" spans="1:6" hidden="1" x14ac:dyDescent="0.3">
      <c r="A544" s="69" t="s">
        <v>122</v>
      </c>
      <c r="B544" s="70" t="s">
        <v>123</v>
      </c>
      <c r="C544" s="105">
        <v>70000</v>
      </c>
      <c r="D544" s="72">
        <f>E542+E543</f>
        <v>0</v>
      </c>
      <c r="E544" s="72">
        <f>D544/C544</f>
        <v>0</v>
      </c>
    </row>
    <row r="545" spans="1:6" ht="15" hidden="1" thickBot="1" x14ac:dyDescent="0.35">
      <c r="A545" s="69" t="s">
        <v>124</v>
      </c>
      <c r="B545" s="70" t="s">
        <v>104</v>
      </c>
      <c r="C545" s="105">
        <f>C520</f>
        <v>0</v>
      </c>
      <c r="D545" s="72">
        <f>E544</f>
        <v>0</v>
      </c>
      <c r="E545" s="72">
        <f>C545*D545</f>
        <v>0</v>
      </c>
    </row>
    <row r="546" spans="1:6" ht="15" hidden="1" thickBot="1" x14ac:dyDescent="0.35">
      <c r="F546" s="77">
        <f>E545</f>
        <v>0</v>
      </c>
    </row>
    <row r="547" spans="1:6" ht="15" hidden="1" thickBot="1" x14ac:dyDescent="0.35"/>
    <row r="548" spans="1:6" ht="15" hidden="1" thickBot="1" x14ac:dyDescent="0.35">
      <c r="A548" s="107" t="s">
        <v>158</v>
      </c>
      <c r="B548" s="223">
        <f>F546+F529+F515+F507</f>
        <v>0</v>
      </c>
      <c r="C548" s="224"/>
      <c r="F548" s="108"/>
    </row>
    <row r="549" spans="1:6" hidden="1" x14ac:dyDescent="0.3"/>
    <row r="550" spans="1:6" hidden="1" x14ac:dyDescent="0.3">
      <c r="A550" s="165" t="s">
        <v>159</v>
      </c>
      <c r="B550" s="165" t="s">
        <v>160</v>
      </c>
      <c r="C550" s="165"/>
      <c r="D550" s="166"/>
      <c r="E550" s="166"/>
      <c r="F550" s="166"/>
    </row>
    <row r="551" spans="1:6" ht="15" hidden="1" thickBot="1" x14ac:dyDescent="0.35">
      <c r="A551" s="165"/>
      <c r="B551" s="165"/>
      <c r="C551" s="165"/>
      <c r="D551" s="166"/>
      <c r="E551" s="166"/>
      <c r="F551" s="166"/>
    </row>
    <row r="552" spans="1:6" ht="15" hidden="1" thickBot="1" x14ac:dyDescent="0.35">
      <c r="A552" s="167" t="s">
        <v>13</v>
      </c>
      <c r="B552" s="168" t="s">
        <v>14</v>
      </c>
      <c r="C552" s="168" t="s">
        <v>8</v>
      </c>
      <c r="D552" s="169" t="s">
        <v>15</v>
      </c>
      <c r="E552" s="169" t="s">
        <v>16</v>
      </c>
      <c r="F552" s="170" t="s">
        <v>17</v>
      </c>
    </row>
    <row r="553" spans="1:6" hidden="1" x14ac:dyDescent="0.3">
      <c r="A553" s="171" t="s">
        <v>161</v>
      </c>
      <c r="B553" s="172" t="s">
        <v>19</v>
      </c>
      <c r="C553" s="172">
        <v>1</v>
      </c>
      <c r="D553" s="163"/>
      <c r="E553" s="163">
        <f>C553*D553</f>
        <v>0</v>
      </c>
      <c r="F553" s="166"/>
    </row>
    <row r="554" spans="1:6" hidden="1" x14ac:dyDescent="0.3">
      <c r="A554" s="173" t="s">
        <v>162</v>
      </c>
      <c r="B554" s="174" t="s">
        <v>19</v>
      </c>
      <c r="C554" s="175">
        <v>1</v>
      </c>
      <c r="D554" s="162"/>
      <c r="E554" s="163">
        <f>C554*D554</f>
        <v>0</v>
      </c>
      <c r="F554" s="166"/>
    </row>
    <row r="555" spans="1:6" ht="15" hidden="1" thickBot="1" x14ac:dyDescent="0.35">
      <c r="A555" s="173" t="s">
        <v>255</v>
      </c>
      <c r="B555" s="174" t="s">
        <v>163</v>
      </c>
      <c r="C555" s="175">
        <v>200</v>
      </c>
      <c r="D555" s="176"/>
      <c r="E555" s="163">
        <f>C555*D555</f>
        <v>0</v>
      </c>
      <c r="F555" s="166"/>
    </row>
    <row r="556" spans="1:6" ht="15" hidden="1" thickBot="1" x14ac:dyDescent="0.35">
      <c r="A556" s="173" t="s">
        <v>164</v>
      </c>
      <c r="B556" s="174" t="s">
        <v>69</v>
      </c>
      <c r="C556" s="175">
        <v>5</v>
      </c>
      <c r="D556" s="177">
        <v>0</v>
      </c>
      <c r="E556" s="178">
        <f>+D556*C556</f>
        <v>0</v>
      </c>
      <c r="F556" s="166"/>
    </row>
    <row r="557" spans="1:6" ht="15" hidden="1" thickBot="1" x14ac:dyDescent="0.35">
      <c r="A557" s="165"/>
      <c r="B557" s="165"/>
      <c r="C557" s="165"/>
      <c r="D557" s="179"/>
      <c r="E557" s="166"/>
      <c r="F557" s="180">
        <f>SUM(E553:E556)</f>
        <v>0</v>
      </c>
    </row>
    <row r="558" spans="1:6" hidden="1" x14ac:dyDescent="0.3"/>
    <row r="559" spans="1:6" x14ac:dyDescent="0.3">
      <c r="A559" s="25" t="s">
        <v>165</v>
      </c>
    </row>
    <row r="560" spans="1:6" ht="15" thickBot="1" x14ac:dyDescent="0.35">
      <c r="A560" s="25" t="s">
        <v>166</v>
      </c>
    </row>
    <row r="561" spans="1:6" ht="15" thickBot="1" x14ac:dyDescent="0.35">
      <c r="A561" s="62" t="s">
        <v>13</v>
      </c>
      <c r="B561" s="63" t="s">
        <v>14</v>
      </c>
      <c r="C561" s="63" t="s">
        <v>8</v>
      </c>
      <c r="D561" s="64" t="s">
        <v>15</v>
      </c>
      <c r="E561" s="64" t="s">
        <v>16</v>
      </c>
      <c r="F561" s="65" t="s">
        <v>17</v>
      </c>
    </row>
    <row r="562" spans="1:6" x14ac:dyDescent="0.3">
      <c r="A562" s="66" t="s">
        <v>167</v>
      </c>
      <c r="B562" s="67" t="s">
        <v>69</v>
      </c>
      <c r="C562" s="67">
        <v>150</v>
      </c>
      <c r="D562" s="205">
        <v>1777.64</v>
      </c>
      <c r="E562" s="68">
        <f>C562*D562</f>
        <v>266646</v>
      </c>
    </row>
    <row r="563" spans="1:6" x14ac:dyDescent="0.3">
      <c r="A563" s="69" t="s">
        <v>168</v>
      </c>
      <c r="B563" s="70" t="s">
        <v>4</v>
      </c>
      <c r="C563" s="70">
        <v>60</v>
      </c>
      <c r="D563" s="72">
        <f>E562</f>
        <v>266646</v>
      </c>
      <c r="E563" s="72">
        <f>C563*D563/100</f>
        <v>159987.6</v>
      </c>
    </row>
    <row r="564" spans="1:6" ht="15" thickBot="1" x14ac:dyDescent="0.35">
      <c r="A564" s="69" t="s">
        <v>169</v>
      </c>
      <c r="B564" s="70" t="s">
        <v>19</v>
      </c>
      <c r="C564" s="70">
        <v>30</v>
      </c>
      <c r="D564" s="72">
        <f>E563</f>
        <v>159987.6</v>
      </c>
      <c r="E564" s="72">
        <f>D564/C564</f>
        <v>5332.92</v>
      </c>
    </row>
    <row r="565" spans="1:6" ht="15" thickBot="1" x14ac:dyDescent="0.35">
      <c r="F565" s="77">
        <f>E564</f>
        <v>5332.92</v>
      </c>
    </row>
    <row r="567" spans="1:6" ht="15" thickBot="1" x14ac:dyDescent="0.35">
      <c r="A567" s="25" t="s">
        <v>170</v>
      </c>
    </row>
    <row r="568" spans="1:6" ht="15" thickBot="1" x14ac:dyDescent="0.35">
      <c r="A568" s="62" t="s">
        <v>13</v>
      </c>
      <c r="B568" s="63" t="s">
        <v>14</v>
      </c>
      <c r="C568" s="63" t="s">
        <v>8</v>
      </c>
      <c r="D568" s="64" t="s">
        <v>15</v>
      </c>
      <c r="E568" s="64" t="s">
        <v>16</v>
      </c>
      <c r="F568" s="65" t="s">
        <v>17</v>
      </c>
    </row>
    <row r="569" spans="1:6" x14ac:dyDescent="0.3">
      <c r="A569" s="66" t="s">
        <v>171</v>
      </c>
      <c r="B569" s="67" t="s">
        <v>69</v>
      </c>
      <c r="C569" s="67">
        <v>1</v>
      </c>
      <c r="D569" s="68">
        <f>E562</f>
        <v>266646</v>
      </c>
      <c r="E569" s="68">
        <f>C569*D569</f>
        <v>266646</v>
      </c>
      <c r="F569" s="75"/>
    </row>
    <row r="570" spans="1:6" ht="15" thickBot="1" x14ac:dyDescent="0.35">
      <c r="A570" s="69" t="s">
        <v>94</v>
      </c>
      <c r="B570" s="70" t="s">
        <v>4</v>
      </c>
      <c r="C570" s="70">
        <v>4.5999999999999996</v>
      </c>
      <c r="D570" s="72">
        <f>E569</f>
        <v>266646</v>
      </c>
      <c r="E570" s="72">
        <f>C570*D570/100</f>
        <v>12265.715999999999</v>
      </c>
      <c r="F570" s="75"/>
    </row>
    <row r="571" spans="1:6" ht="15" thickBot="1" x14ac:dyDescent="0.35">
      <c r="C571" s="74"/>
      <c r="D571" s="75"/>
      <c r="E571" s="75"/>
      <c r="F571" s="77">
        <f>E570</f>
        <v>12265.715999999999</v>
      </c>
    </row>
    <row r="573" spans="1:6" ht="15" thickBot="1" x14ac:dyDescent="0.35">
      <c r="A573" s="25" t="s">
        <v>172</v>
      </c>
    </row>
    <row r="574" spans="1:6" ht="15" thickBot="1" x14ac:dyDescent="0.35">
      <c r="A574" s="62" t="s">
        <v>13</v>
      </c>
      <c r="B574" s="63" t="s">
        <v>14</v>
      </c>
      <c r="C574" s="63" t="s">
        <v>8</v>
      </c>
      <c r="D574" s="64" t="s">
        <v>15</v>
      </c>
      <c r="E574" s="64" t="s">
        <v>16</v>
      </c>
      <c r="F574" s="65" t="s">
        <v>17</v>
      </c>
    </row>
    <row r="575" spans="1:6" x14ac:dyDescent="0.3">
      <c r="A575" s="66" t="s">
        <v>167</v>
      </c>
      <c r="B575" s="67" t="s">
        <v>69</v>
      </c>
      <c r="C575" s="67">
        <f>C562</f>
        <v>150</v>
      </c>
      <c r="D575" s="188">
        <f>D562</f>
        <v>1777.64</v>
      </c>
      <c r="E575" s="68">
        <f>C575*D575</f>
        <v>266646</v>
      </c>
    </row>
    <row r="576" spans="1:6" x14ac:dyDescent="0.3">
      <c r="A576" s="69" t="s">
        <v>173</v>
      </c>
      <c r="B576" s="70" t="s">
        <v>4</v>
      </c>
      <c r="C576" s="70">
        <v>60</v>
      </c>
      <c r="D576" s="72">
        <f>E575</f>
        <v>266646</v>
      </c>
      <c r="E576" s="72">
        <f>C576*D576/100</f>
        <v>159987.6</v>
      </c>
    </row>
    <row r="577" spans="1:6" ht="15" thickBot="1" x14ac:dyDescent="0.35">
      <c r="A577" s="69" t="s">
        <v>174</v>
      </c>
      <c r="B577" s="70" t="s">
        <v>19</v>
      </c>
      <c r="C577" s="70">
        <v>60</v>
      </c>
      <c r="D577" s="72">
        <f>E576</f>
        <v>159987.6</v>
      </c>
      <c r="E577" s="72">
        <f>D577/C577</f>
        <v>2666.46</v>
      </c>
    </row>
    <row r="578" spans="1:6" ht="15" thickBot="1" x14ac:dyDescent="0.35">
      <c r="F578" s="77">
        <f>E577</f>
        <v>2666.46</v>
      </c>
    </row>
    <row r="579" spans="1:6" ht="15" thickBot="1" x14ac:dyDescent="0.35"/>
    <row r="580" spans="1:6" ht="15" thickBot="1" x14ac:dyDescent="0.35">
      <c r="A580" s="107" t="s">
        <v>175</v>
      </c>
      <c r="B580" s="223">
        <f>F578+F571+F565</f>
        <v>20265.095999999998</v>
      </c>
      <c r="C580" s="224"/>
      <c r="F580" s="108"/>
    </row>
    <row r="582" spans="1:6" x14ac:dyDescent="0.3">
      <c r="A582" s="25" t="s">
        <v>176</v>
      </c>
    </row>
    <row r="584" spans="1:6" ht="15" thickBot="1" x14ac:dyDescent="0.35">
      <c r="A584" s="25" t="s">
        <v>177</v>
      </c>
    </row>
    <row r="585" spans="1:6" ht="15" thickBot="1" x14ac:dyDescent="0.35">
      <c r="A585" s="62" t="s">
        <v>13</v>
      </c>
      <c r="B585" s="63" t="s">
        <v>14</v>
      </c>
      <c r="C585" s="63" t="s">
        <v>8</v>
      </c>
      <c r="D585" s="64" t="s">
        <v>15</v>
      </c>
      <c r="E585" s="64" t="s">
        <v>16</v>
      </c>
      <c r="F585" s="65" t="s">
        <v>17</v>
      </c>
    </row>
    <row r="586" spans="1:6" x14ac:dyDescent="0.3">
      <c r="A586" s="66" t="s">
        <v>167</v>
      </c>
      <c r="B586" s="67" t="s">
        <v>69</v>
      </c>
      <c r="C586" s="67">
        <v>30</v>
      </c>
      <c r="D586" s="187">
        <v>6339.75</v>
      </c>
      <c r="E586" s="68">
        <f>C586*D586</f>
        <v>190192.5</v>
      </c>
    </row>
    <row r="587" spans="1:6" x14ac:dyDescent="0.3">
      <c r="A587" s="69" t="s">
        <v>168</v>
      </c>
      <c r="B587" s="70" t="s">
        <v>4</v>
      </c>
      <c r="C587" s="70">
        <v>60</v>
      </c>
      <c r="D587" s="72">
        <f>E586</f>
        <v>190192.5</v>
      </c>
      <c r="E587" s="72">
        <f>C587*D587/100</f>
        <v>114115.5</v>
      </c>
    </row>
    <row r="588" spans="1:6" ht="15" thickBot="1" x14ac:dyDescent="0.35">
      <c r="A588" s="69" t="s">
        <v>169</v>
      </c>
      <c r="B588" s="70" t="s">
        <v>19</v>
      </c>
      <c r="C588" s="70">
        <f>+C564</f>
        <v>30</v>
      </c>
      <c r="D588" s="72">
        <f>E587</f>
        <v>114115.5</v>
      </c>
      <c r="E588" s="72">
        <f>D588/C588</f>
        <v>3803.85</v>
      </c>
    </row>
    <row r="589" spans="1:6" ht="15" thickBot="1" x14ac:dyDescent="0.35">
      <c r="F589" s="77">
        <f>E588</f>
        <v>3803.85</v>
      </c>
    </row>
    <row r="591" spans="1:6" ht="15" thickBot="1" x14ac:dyDescent="0.35">
      <c r="A591" s="25" t="s">
        <v>178</v>
      </c>
    </row>
    <row r="592" spans="1:6" ht="15" thickBot="1" x14ac:dyDescent="0.35">
      <c r="A592" s="62" t="s">
        <v>13</v>
      </c>
      <c r="B592" s="63" t="s">
        <v>14</v>
      </c>
      <c r="C592" s="63" t="s">
        <v>8</v>
      </c>
      <c r="D592" s="64" t="s">
        <v>15</v>
      </c>
      <c r="E592" s="64" t="s">
        <v>16</v>
      </c>
      <c r="F592" s="65" t="s">
        <v>17</v>
      </c>
    </row>
    <row r="593" spans="1:6" x14ac:dyDescent="0.3">
      <c r="A593" s="66" t="s">
        <v>171</v>
      </c>
      <c r="B593" s="67" t="s">
        <v>69</v>
      </c>
      <c r="C593" s="67">
        <v>1</v>
      </c>
      <c r="D593" s="68">
        <f>E586</f>
        <v>190192.5</v>
      </c>
      <c r="E593" s="68">
        <f>C593*D593</f>
        <v>190192.5</v>
      </c>
      <c r="F593" s="75"/>
    </row>
    <row r="594" spans="1:6" ht="15" thickBot="1" x14ac:dyDescent="0.35">
      <c r="A594" s="69" t="s">
        <v>94</v>
      </c>
      <c r="B594" s="70" t="s">
        <v>4</v>
      </c>
      <c r="C594" s="70">
        <v>4.5999999999999996</v>
      </c>
      <c r="D594" s="72">
        <f>E593</f>
        <v>190192.5</v>
      </c>
      <c r="E594" s="72">
        <f>C594*D594/100</f>
        <v>8748.8549999999996</v>
      </c>
      <c r="F594" s="75"/>
    </row>
    <row r="595" spans="1:6" ht="15" thickBot="1" x14ac:dyDescent="0.35">
      <c r="C595" s="74"/>
      <c r="D595" s="75"/>
      <c r="E595" s="75"/>
      <c r="F595" s="77">
        <f>E594</f>
        <v>8748.8549999999996</v>
      </c>
    </row>
    <row r="597" spans="1:6" ht="15" thickBot="1" x14ac:dyDescent="0.35">
      <c r="A597" s="25" t="s">
        <v>179</v>
      </c>
    </row>
    <row r="598" spans="1:6" ht="15" thickBot="1" x14ac:dyDescent="0.35">
      <c r="A598" s="62" t="s">
        <v>13</v>
      </c>
      <c r="B598" s="63" t="s">
        <v>14</v>
      </c>
      <c r="C598" s="63" t="s">
        <v>8</v>
      </c>
      <c r="D598" s="64" t="s">
        <v>15</v>
      </c>
      <c r="E598" s="64" t="s">
        <v>16</v>
      </c>
      <c r="F598" s="65" t="s">
        <v>17</v>
      </c>
    </row>
    <row r="599" spans="1:6" x14ac:dyDescent="0.3">
      <c r="A599" s="66" t="s">
        <v>167</v>
      </c>
      <c r="B599" s="67" t="s">
        <v>69</v>
      </c>
      <c r="C599" s="67">
        <f>C586</f>
        <v>30</v>
      </c>
      <c r="D599" s="68">
        <f>D586</f>
        <v>6339.75</v>
      </c>
      <c r="E599" s="68">
        <f>C599*D599</f>
        <v>190192.5</v>
      </c>
    </row>
    <row r="600" spans="1:6" x14ac:dyDescent="0.3">
      <c r="A600" s="69" t="s">
        <v>173</v>
      </c>
      <c r="B600" s="70" t="s">
        <v>4</v>
      </c>
      <c r="C600" s="70">
        <f>+C576</f>
        <v>60</v>
      </c>
      <c r="D600" s="72">
        <f>E599</f>
        <v>190192.5</v>
      </c>
      <c r="E600" s="72">
        <f>C600*D600/100</f>
        <v>114115.5</v>
      </c>
    </row>
    <row r="601" spans="1:6" ht="15" thickBot="1" x14ac:dyDescent="0.35">
      <c r="A601" s="69" t="s">
        <v>174</v>
      </c>
      <c r="B601" s="70" t="s">
        <v>19</v>
      </c>
      <c r="C601" s="70">
        <f>+C577</f>
        <v>60</v>
      </c>
      <c r="D601" s="72">
        <f>E600</f>
        <v>114115.5</v>
      </c>
      <c r="E601" s="72">
        <f>D601/C601</f>
        <v>1901.925</v>
      </c>
    </row>
    <row r="602" spans="1:6" ht="15" thickBot="1" x14ac:dyDescent="0.35">
      <c r="F602" s="77">
        <f>E601</f>
        <v>1901.925</v>
      </c>
    </row>
    <row r="603" spans="1:6" ht="15" thickBot="1" x14ac:dyDescent="0.35"/>
    <row r="604" spans="1:6" ht="15" thickBot="1" x14ac:dyDescent="0.35">
      <c r="A604" s="107" t="s">
        <v>180</v>
      </c>
      <c r="B604" s="223">
        <f>F602+F595+F589</f>
        <v>14454.63</v>
      </c>
      <c r="C604" s="224"/>
      <c r="F604" s="108"/>
    </row>
    <row r="605" spans="1:6" ht="15" thickBot="1" x14ac:dyDescent="0.35"/>
    <row r="606" spans="1:6" ht="15" thickBot="1" x14ac:dyDescent="0.35">
      <c r="A606" s="89" t="s">
        <v>181</v>
      </c>
      <c r="B606" s="90"/>
      <c r="C606" s="90"/>
      <c r="D606" s="20"/>
      <c r="E606" s="91"/>
      <c r="F606" s="77">
        <f>+SUM(F288:F605)</f>
        <v>174152.46863252376</v>
      </c>
    </row>
    <row r="608" spans="1:6" x14ac:dyDescent="0.3">
      <c r="A608" s="61" t="s">
        <v>182</v>
      </c>
      <c r="B608" s="61"/>
      <c r="C608" s="61"/>
      <c r="D608" s="113"/>
      <c r="E608" s="113"/>
      <c r="F608" s="108"/>
    </row>
    <row r="609" spans="1:6" ht="15" thickBot="1" x14ac:dyDescent="0.35"/>
    <row r="610" spans="1:6" ht="15" thickBot="1" x14ac:dyDescent="0.35">
      <c r="A610" s="62" t="s">
        <v>13</v>
      </c>
      <c r="B610" s="63" t="s">
        <v>14</v>
      </c>
      <c r="C610" s="63" t="s">
        <v>8</v>
      </c>
      <c r="D610" s="64" t="s">
        <v>15</v>
      </c>
      <c r="E610" s="64" t="s">
        <v>16</v>
      </c>
      <c r="F610" s="65" t="s">
        <v>17</v>
      </c>
    </row>
    <row r="611" spans="1:6" x14ac:dyDescent="0.3">
      <c r="A611" s="69" t="s">
        <v>183</v>
      </c>
      <c r="B611" s="70" t="s">
        <v>69</v>
      </c>
      <c r="C611" s="114">
        <f>SUM(E39:E43)*(4/12)</f>
        <v>2.333333333333333</v>
      </c>
      <c r="D611" s="101">
        <v>48.43</v>
      </c>
      <c r="E611" s="72">
        <f>C611*D611</f>
        <v>113.00333333333332</v>
      </c>
      <c r="F611" s="115"/>
    </row>
    <row r="612" spans="1:6" x14ac:dyDescent="0.3">
      <c r="A612" s="69" t="s">
        <v>184</v>
      </c>
      <c r="B612" s="70" t="s">
        <v>69</v>
      </c>
      <c r="C612" s="114">
        <f>+SUM(E39:E43)*(2/12)</f>
        <v>1.1666666666666665</v>
      </c>
      <c r="D612" s="101">
        <v>40.49</v>
      </c>
      <c r="E612" s="72">
        <f>C612*D612</f>
        <v>47.23833333333333</v>
      </c>
      <c r="F612" s="115"/>
    </row>
    <row r="613" spans="1:6" x14ac:dyDescent="0.3">
      <c r="A613" s="69" t="s">
        <v>185</v>
      </c>
      <c r="B613" s="70" t="s">
        <v>69</v>
      </c>
      <c r="C613" s="114">
        <f>+C612*2</f>
        <v>2.333333333333333</v>
      </c>
      <c r="D613" s="101">
        <v>30.21</v>
      </c>
      <c r="E613" s="72">
        <f>C613*D613</f>
        <v>70.489999999999995</v>
      </c>
      <c r="F613" s="115"/>
    </row>
    <row r="614" spans="1:6" x14ac:dyDescent="0.3">
      <c r="A614" s="69" t="s">
        <v>186</v>
      </c>
      <c r="B614" s="70" t="s">
        <v>187</v>
      </c>
      <c r="C614" s="93">
        <f>+(E39+E40+E41+E43)/12</f>
        <v>0.58333333333333337</v>
      </c>
      <c r="D614" s="101">
        <v>350</v>
      </c>
      <c r="E614" s="72">
        <f>C614*D614</f>
        <v>204.16666666666669</v>
      </c>
      <c r="F614" s="115"/>
    </row>
    <row r="615" spans="1:6" ht="15" thickBot="1" x14ac:dyDescent="0.35">
      <c r="A615" s="69" t="s">
        <v>188</v>
      </c>
      <c r="B615" s="70" t="s">
        <v>187</v>
      </c>
      <c r="C615" s="93">
        <f>+SUM(E39:E45)/12</f>
        <v>0.75</v>
      </c>
      <c r="D615" s="101">
        <v>20</v>
      </c>
      <c r="E615" s="72">
        <f>C615*D615</f>
        <v>15</v>
      </c>
      <c r="F615" s="115"/>
    </row>
    <row r="616" spans="1:6" ht="15" thickBot="1" x14ac:dyDescent="0.35">
      <c r="A616" s="61"/>
      <c r="B616" s="61"/>
      <c r="C616" s="61"/>
      <c r="D616" s="61"/>
      <c r="E616" s="113"/>
      <c r="F616" s="77">
        <f>SUM(E611:E615)</f>
        <v>449.89833333333331</v>
      </c>
    </row>
    <row r="617" spans="1:6" ht="15" thickBot="1" x14ac:dyDescent="0.35"/>
    <row r="618" spans="1:6" ht="15" thickBot="1" x14ac:dyDescent="0.35">
      <c r="A618" s="89" t="s">
        <v>189</v>
      </c>
      <c r="B618" s="90"/>
      <c r="C618" s="90"/>
      <c r="D618" s="20"/>
      <c r="E618" s="91"/>
      <c r="F618" s="77">
        <f>+F616</f>
        <v>449.89833333333331</v>
      </c>
    </row>
    <row r="620" spans="1:6" x14ac:dyDescent="0.3">
      <c r="A620" s="61" t="s">
        <v>190</v>
      </c>
      <c r="B620" s="61"/>
      <c r="C620" s="61"/>
      <c r="D620" s="113"/>
      <c r="E620" s="113"/>
      <c r="F620" s="108"/>
    </row>
    <row r="621" spans="1:6" ht="15" thickBot="1" x14ac:dyDescent="0.35"/>
    <row r="622" spans="1:6" ht="15" thickBot="1" x14ac:dyDescent="0.35">
      <c r="A622" s="197" t="s">
        <v>13</v>
      </c>
      <c r="B622" s="198" t="s">
        <v>14</v>
      </c>
      <c r="C622" s="198" t="s">
        <v>8</v>
      </c>
      <c r="D622" s="199" t="s">
        <v>15</v>
      </c>
      <c r="E622" s="199" t="s">
        <v>16</v>
      </c>
      <c r="F622" s="200" t="s">
        <v>17</v>
      </c>
    </row>
    <row r="623" spans="1:6" x14ac:dyDescent="0.3">
      <c r="A623" s="69" t="s">
        <v>191</v>
      </c>
      <c r="B623" s="204" t="s">
        <v>187</v>
      </c>
      <c r="C623" s="78">
        <f>+(E39+E40+E41+E42+E43)</f>
        <v>7</v>
      </c>
      <c r="D623" s="101">
        <v>290</v>
      </c>
      <c r="E623" s="83">
        <f>+D623*C623</f>
        <v>2030</v>
      </c>
      <c r="F623" s="115"/>
    </row>
    <row r="624" spans="1:6" x14ac:dyDescent="0.3">
      <c r="A624" s="69" t="s">
        <v>192</v>
      </c>
      <c r="B624" s="204" t="s">
        <v>193</v>
      </c>
      <c r="C624" s="78">
        <v>1</v>
      </c>
      <c r="D624" s="101">
        <v>500</v>
      </c>
      <c r="E624" s="83">
        <f>+D624*C624</f>
        <v>500</v>
      </c>
      <c r="F624" s="115"/>
    </row>
    <row r="625" spans="1:6" x14ac:dyDescent="0.3">
      <c r="A625" s="69" t="s">
        <v>194</v>
      </c>
      <c r="B625" s="204" t="s">
        <v>69</v>
      </c>
      <c r="C625" s="78">
        <v>5</v>
      </c>
      <c r="D625" s="101">
        <v>200</v>
      </c>
      <c r="E625" s="83">
        <f>+D625*C625</f>
        <v>1000</v>
      </c>
      <c r="F625" s="115"/>
    </row>
    <row r="626" spans="1:6" x14ac:dyDescent="0.3">
      <c r="A626" s="69" t="s">
        <v>195</v>
      </c>
      <c r="B626" s="204" t="s">
        <v>19</v>
      </c>
      <c r="C626" s="70">
        <v>60</v>
      </c>
      <c r="D626" s="101">
        <v>50</v>
      </c>
      <c r="E626" s="83">
        <f>+D626/C626</f>
        <v>0.83333333333333337</v>
      </c>
      <c r="F626" s="115"/>
    </row>
    <row r="627" spans="1:6" x14ac:dyDescent="0.3">
      <c r="A627" s="69" t="s">
        <v>196</v>
      </c>
      <c r="B627" s="70" t="s">
        <v>69</v>
      </c>
      <c r="C627" s="78">
        <f>+C623</f>
        <v>7</v>
      </c>
      <c r="D627" s="101">
        <v>100</v>
      </c>
      <c r="E627" s="83">
        <f>C627*D627</f>
        <v>700</v>
      </c>
      <c r="F627" s="115"/>
    </row>
    <row r="628" spans="1:6" x14ac:dyDescent="0.3">
      <c r="A628" s="69" t="s">
        <v>197</v>
      </c>
      <c r="B628" s="70" t="s">
        <v>69</v>
      </c>
      <c r="C628" s="78">
        <f>+C624</f>
        <v>1</v>
      </c>
      <c r="D628" s="101">
        <v>100</v>
      </c>
      <c r="E628" s="83">
        <f>C628*D628</f>
        <v>100</v>
      </c>
      <c r="F628" s="115"/>
    </row>
    <row r="629" spans="1:6" ht="15" thickBot="1" x14ac:dyDescent="0.35">
      <c r="A629" s="69" t="s">
        <v>118</v>
      </c>
      <c r="B629" s="204" t="s">
        <v>19</v>
      </c>
      <c r="C629" s="70">
        <v>1</v>
      </c>
      <c r="D629" s="101">
        <f>+E627+E628</f>
        <v>800</v>
      </c>
      <c r="E629" s="83">
        <f>+D629/C629</f>
        <v>800</v>
      </c>
      <c r="F629" s="115"/>
    </row>
    <row r="630" spans="1:6" ht="15" thickBot="1" x14ac:dyDescent="0.35">
      <c r="A630" s="89" t="s">
        <v>198</v>
      </c>
      <c r="B630" s="90"/>
      <c r="C630" s="90"/>
      <c r="D630" s="20"/>
      <c r="E630" s="91"/>
      <c r="F630" s="203">
        <f>+E626+E629</f>
        <v>800.83333333333337</v>
      </c>
    </row>
    <row r="631" spans="1:6" x14ac:dyDescent="0.3">
      <c r="A631" s="202"/>
      <c r="B631" s="202"/>
      <c r="C631" s="202"/>
      <c r="D631" s="86"/>
      <c r="E631" s="86"/>
      <c r="F631" s="211"/>
    </row>
    <row r="632" spans="1:6" ht="15" thickBot="1" x14ac:dyDescent="0.35">
      <c r="A632" s="61" t="s">
        <v>263</v>
      </c>
      <c r="B632" s="202"/>
      <c r="C632" s="202"/>
      <c r="D632" s="86"/>
      <c r="E632" s="86"/>
      <c r="F632" s="211"/>
    </row>
    <row r="633" spans="1:6" ht="15" thickBot="1" x14ac:dyDescent="0.35">
      <c r="A633" s="89" t="s">
        <v>265</v>
      </c>
      <c r="B633" s="212"/>
      <c r="C633" s="213"/>
      <c r="D633" s="214"/>
      <c r="E633" s="215"/>
      <c r="F633" s="203">
        <v>5000</v>
      </c>
    </row>
    <row r="634" spans="1:6" x14ac:dyDescent="0.3">
      <c r="A634" s="202"/>
      <c r="B634" s="202"/>
      <c r="C634" s="202"/>
      <c r="D634" s="86"/>
      <c r="E634" s="86"/>
      <c r="F634" s="211"/>
    </row>
    <row r="636" spans="1:6" ht="15" thickBot="1" x14ac:dyDescent="0.35"/>
    <row r="637" spans="1:6" ht="15" thickBot="1" x14ac:dyDescent="0.35">
      <c r="A637" s="89" t="s">
        <v>199</v>
      </c>
      <c r="B637" s="98"/>
      <c r="C637" s="98"/>
      <c r="D637" s="99"/>
      <c r="E637" s="100"/>
      <c r="F637" s="92">
        <f>+F249+F281+F606+F618+F630+B633+F633</f>
        <v>318350.38060426689</v>
      </c>
    </row>
    <row r="639" spans="1:6" x14ac:dyDescent="0.3">
      <c r="A639" s="61" t="s">
        <v>264</v>
      </c>
    </row>
    <row r="640" spans="1:6" ht="15" thickBot="1" x14ac:dyDescent="0.35"/>
    <row r="641" spans="1:11" ht="15" thickBot="1" x14ac:dyDescent="0.35">
      <c r="A641" s="62" t="s">
        <v>13</v>
      </c>
      <c r="B641" s="63" t="s">
        <v>14</v>
      </c>
      <c r="C641" s="63" t="s">
        <v>8</v>
      </c>
      <c r="D641" s="64" t="s">
        <v>15</v>
      </c>
      <c r="E641" s="64" t="s">
        <v>16</v>
      </c>
      <c r="F641" s="65" t="s">
        <v>17</v>
      </c>
    </row>
    <row r="642" spans="1:11" ht="15" thickBot="1" x14ac:dyDescent="0.35">
      <c r="A642" s="66" t="s">
        <v>200</v>
      </c>
      <c r="B642" s="67" t="s">
        <v>4</v>
      </c>
      <c r="C642" s="70">
        <f>+C710*100</f>
        <v>14.180000000000001</v>
      </c>
      <c r="D642" s="68">
        <f>+F637</f>
        <v>318350.38060426689</v>
      </c>
      <c r="E642" s="68">
        <f>C642*D642/100</f>
        <v>45142.083969685053</v>
      </c>
    </row>
    <row r="643" spans="1:11" ht="15" thickBot="1" x14ac:dyDescent="0.35">
      <c r="F643" s="77">
        <f>+E642</f>
        <v>45142.083969685053</v>
      </c>
    </row>
    <row r="644" spans="1:11" ht="15" thickBot="1" x14ac:dyDescent="0.35"/>
    <row r="645" spans="1:11" ht="15" thickBot="1" x14ac:dyDescent="0.35">
      <c r="A645" s="89" t="s">
        <v>201</v>
      </c>
      <c r="B645" s="90"/>
      <c r="C645" s="90"/>
      <c r="D645" s="20"/>
      <c r="E645" s="91"/>
      <c r="F645" s="77">
        <f>F643</f>
        <v>45142.083969685053</v>
      </c>
    </row>
    <row r="646" spans="1:11" ht="15" thickBot="1" x14ac:dyDescent="0.35"/>
    <row r="647" spans="1:11" ht="15" thickBot="1" x14ac:dyDescent="0.35">
      <c r="A647" s="89" t="s">
        <v>202</v>
      </c>
      <c r="B647" s="98"/>
      <c r="C647" s="98"/>
      <c r="D647" s="99"/>
      <c r="E647" s="100"/>
      <c r="F647" s="92">
        <f>F637+F645</f>
        <v>363492.46457395196</v>
      </c>
    </row>
    <row r="648" spans="1:11" ht="15.6" x14ac:dyDescent="0.3">
      <c r="A648" s="116"/>
      <c r="B648" s="116"/>
      <c r="C648" s="116"/>
      <c r="D648" s="117"/>
      <c r="E648" s="117"/>
      <c r="F648" s="117"/>
    </row>
    <row r="649" spans="1:11" x14ac:dyDescent="0.3">
      <c r="A649" s="58"/>
      <c r="B649" s="59"/>
      <c r="C649" s="59"/>
      <c r="D649" s="60"/>
      <c r="E649" s="60"/>
      <c r="F649" s="60"/>
    </row>
    <row r="650" spans="1:11" ht="15.6" x14ac:dyDescent="0.3">
      <c r="A650" s="6"/>
      <c r="B650" s="26"/>
      <c r="C650" s="26"/>
    </row>
    <row r="651" spans="1:11" ht="15.6" x14ac:dyDescent="0.3">
      <c r="A651" s="116" t="s">
        <v>203</v>
      </c>
    </row>
    <row r="653" spans="1:11" x14ac:dyDescent="0.3">
      <c r="A653" s="118" t="s">
        <v>204</v>
      </c>
      <c r="B653" s="119"/>
      <c r="C653" s="120" t="s">
        <v>205</v>
      </c>
      <c r="D653" s="121">
        <f>F647+I648</f>
        <v>363492.46457395196</v>
      </c>
      <c r="E653" s="122"/>
    </row>
    <row r="654" spans="1:11" x14ac:dyDescent="0.3">
      <c r="A654" s="123"/>
      <c r="B654" s="123"/>
      <c r="C654" s="123"/>
      <c r="D654" s="122"/>
      <c r="E654" s="122"/>
      <c r="K654" s="209"/>
    </row>
    <row r="655" spans="1:11" x14ac:dyDescent="0.3">
      <c r="A655" s="118" t="s">
        <v>206</v>
      </c>
      <c r="B655" s="119"/>
      <c r="C655" s="119"/>
      <c r="D655" s="124">
        <v>1600</v>
      </c>
      <c r="E655" s="125" t="s">
        <v>207</v>
      </c>
    </row>
    <row r="656" spans="1:11" ht="15" thickBot="1" x14ac:dyDescent="0.35"/>
    <row r="657" spans="1:6" ht="16.2" thickBot="1" x14ac:dyDescent="0.35">
      <c r="A657" s="126" t="s">
        <v>208</v>
      </c>
      <c r="B657" s="127"/>
      <c r="C657" s="127"/>
      <c r="D657" s="128"/>
      <c r="E657" s="129" t="s">
        <v>209</v>
      </c>
      <c r="F657" s="130">
        <f>D653/D655</f>
        <v>227.18279035871998</v>
      </c>
    </row>
    <row r="658" spans="1:6" ht="15.6" x14ac:dyDescent="0.3">
      <c r="A658" s="116"/>
      <c r="B658" s="116"/>
      <c r="C658" s="116"/>
      <c r="D658" s="117"/>
      <c r="E658" s="117"/>
      <c r="F658" s="117"/>
    </row>
    <row r="659" spans="1:6" x14ac:dyDescent="0.3">
      <c r="A659" s="58"/>
      <c r="B659" s="59"/>
      <c r="C659" s="59"/>
      <c r="D659" s="60"/>
      <c r="E659" s="60"/>
      <c r="F659" s="60"/>
    </row>
    <row r="660" spans="1:6" ht="15.6" x14ac:dyDescent="0.3">
      <c r="A660" s="6"/>
      <c r="B660" s="26"/>
      <c r="C660" s="26"/>
    </row>
    <row r="661" spans="1:6" ht="15.6" x14ac:dyDescent="0.3">
      <c r="A661" s="6" t="s">
        <v>210</v>
      </c>
      <c r="B661" s="26"/>
      <c r="C661" s="26"/>
    </row>
    <row r="662" spans="1:6" x14ac:dyDescent="0.3">
      <c r="A662" s="131" t="s">
        <v>211</v>
      </c>
      <c r="B662" s="33"/>
      <c r="C662" s="33"/>
      <c r="D662" s="33"/>
      <c r="E662" s="132">
        <f>+F606</f>
        <v>174152.46863252376</v>
      </c>
      <c r="F662" s="133">
        <f>+E662/D653</f>
        <v>0.47910888286679382</v>
      </c>
    </row>
    <row r="663" spans="1:6" x14ac:dyDescent="0.3">
      <c r="A663" s="131" t="s">
        <v>212</v>
      </c>
      <c r="B663" s="33"/>
      <c r="C663" s="33"/>
      <c r="D663" s="33"/>
      <c r="E663" s="132">
        <f>+F662*F657</f>
        <v>108.84529289532735</v>
      </c>
      <c r="F663" s="56"/>
    </row>
    <row r="664" spans="1:6" ht="15.6" x14ac:dyDescent="0.3">
      <c r="A664" s="6"/>
      <c r="B664" s="26"/>
      <c r="C664" s="26"/>
    </row>
    <row r="665" spans="1:6" x14ac:dyDescent="0.3">
      <c r="A665" s="58"/>
      <c r="B665" s="59"/>
      <c r="C665" s="59"/>
      <c r="D665" s="60"/>
      <c r="E665" s="60"/>
      <c r="F665" s="60"/>
    </row>
    <row r="666" spans="1:6" ht="15.6" x14ac:dyDescent="0.3">
      <c r="A666" s="6"/>
      <c r="B666" s="26"/>
      <c r="C666" s="26"/>
    </row>
    <row r="667" spans="1:6" ht="15.6" x14ac:dyDescent="0.3">
      <c r="A667" s="6" t="s">
        <v>25</v>
      </c>
      <c r="B667" s="26"/>
      <c r="C667" s="26"/>
    </row>
    <row r="668" spans="1:6" ht="15.6" x14ac:dyDescent="0.3">
      <c r="A668" s="6"/>
      <c r="B668" s="26"/>
      <c r="C668" s="26"/>
    </row>
    <row r="669" spans="1:6" x14ac:dyDescent="0.3">
      <c r="A669" s="113"/>
      <c r="B669" s="134"/>
      <c r="C669" s="56"/>
      <c r="E669" s="46"/>
      <c r="F669" s="46"/>
    </row>
    <row r="670" spans="1:6" x14ac:dyDescent="0.3">
      <c r="A670" s="135" t="s">
        <v>213</v>
      </c>
      <c r="B670" s="136"/>
      <c r="C670" s="56"/>
      <c r="E670" s="137"/>
      <c r="F670" s="137"/>
    </row>
    <row r="671" spans="1:6" x14ac:dyDescent="0.3">
      <c r="A671" s="132" t="s">
        <v>214</v>
      </c>
      <c r="B671" s="138">
        <v>0.2</v>
      </c>
      <c r="C671" s="56"/>
    </row>
    <row r="672" spans="1:6" x14ac:dyDescent="0.3">
      <c r="A672" s="132" t="s">
        <v>215</v>
      </c>
      <c r="B672" s="138">
        <v>0.08</v>
      </c>
      <c r="C672" s="56"/>
    </row>
    <row r="673" spans="1:6" x14ac:dyDescent="0.3">
      <c r="A673" s="132" t="s">
        <v>216</v>
      </c>
      <c r="B673" s="138">
        <v>0.03</v>
      </c>
      <c r="C673" s="56"/>
    </row>
    <row r="674" spans="1:6" x14ac:dyDescent="0.3">
      <c r="A674" s="132" t="s">
        <v>217</v>
      </c>
      <c r="B674" s="138">
        <v>2.5000000000000001E-2</v>
      </c>
      <c r="C674" s="56"/>
    </row>
    <row r="675" spans="1:6" x14ac:dyDescent="0.3">
      <c r="A675" s="132" t="s">
        <v>218</v>
      </c>
      <c r="B675" s="138">
        <v>6.0000000000000001E-3</v>
      </c>
      <c r="C675" s="56"/>
    </row>
    <row r="676" spans="1:6" x14ac:dyDescent="0.3">
      <c r="A676" s="132" t="s">
        <v>219</v>
      </c>
      <c r="B676" s="138">
        <v>1.4999999999999999E-2</v>
      </c>
      <c r="C676" s="56"/>
    </row>
    <row r="677" spans="1:6" x14ac:dyDescent="0.3">
      <c r="A677" s="132" t="s">
        <v>220</v>
      </c>
      <c r="B677" s="138">
        <v>0.01</v>
      </c>
      <c r="C677" s="56"/>
    </row>
    <row r="678" spans="1:6" x14ac:dyDescent="0.3">
      <c r="A678" s="132" t="s">
        <v>221</v>
      </c>
      <c r="B678" s="138">
        <v>2E-3</v>
      </c>
      <c r="C678" s="56"/>
    </row>
    <row r="679" spans="1:6" x14ac:dyDescent="0.3">
      <c r="A679" s="139" t="s">
        <v>222</v>
      </c>
      <c r="B679" s="140">
        <f>SUM(B671:B678)</f>
        <v>0.3680000000000001</v>
      </c>
      <c r="C679" s="56"/>
      <c r="E679" s="46"/>
      <c r="F679" s="46"/>
    </row>
    <row r="681" spans="1:6" x14ac:dyDescent="0.3">
      <c r="A681" s="135" t="s">
        <v>223</v>
      </c>
      <c r="B681" s="141"/>
      <c r="C681" s="56"/>
      <c r="E681" s="137"/>
      <c r="F681" s="137"/>
    </row>
    <row r="682" spans="1:6" x14ac:dyDescent="0.3">
      <c r="A682" s="132" t="s">
        <v>224</v>
      </c>
      <c r="B682" s="138">
        <v>0.18390000000000001</v>
      </c>
      <c r="C682" s="56"/>
    </row>
    <row r="683" spans="1:6" x14ac:dyDescent="0.3">
      <c r="A683" s="132" t="s">
        <v>225</v>
      </c>
      <c r="B683" s="138">
        <v>0.1103</v>
      </c>
      <c r="C683" s="56"/>
    </row>
    <row r="684" spans="1:6" x14ac:dyDescent="0.3">
      <c r="A684" s="132" t="s">
        <v>226</v>
      </c>
      <c r="B684" s="138">
        <v>1.9300000000000001E-2</v>
      </c>
      <c r="C684" s="56"/>
    </row>
    <row r="685" spans="1:6" x14ac:dyDescent="0.3">
      <c r="A685" s="139" t="s">
        <v>222</v>
      </c>
      <c r="B685" s="140">
        <f>SUM(B682:B684)</f>
        <v>0.3135</v>
      </c>
      <c r="C685" s="56"/>
      <c r="E685" s="46"/>
      <c r="F685" s="46"/>
    </row>
    <row r="687" spans="1:6" x14ac:dyDescent="0.3">
      <c r="A687" s="135" t="s">
        <v>227</v>
      </c>
      <c r="B687" s="141"/>
      <c r="C687" s="142"/>
      <c r="D687" s="3"/>
      <c r="E687" s="137"/>
      <c r="F687" s="137"/>
    </row>
    <row r="688" spans="1:6" x14ac:dyDescent="0.3">
      <c r="A688" s="132" t="s">
        <v>228</v>
      </c>
      <c r="B688" s="138">
        <v>0.1103</v>
      </c>
      <c r="C688" s="56"/>
    </row>
    <row r="689" spans="1:6" x14ac:dyDescent="0.3">
      <c r="A689" s="132" t="s">
        <v>229</v>
      </c>
      <c r="B689" s="138">
        <v>5.4899999999999997E-2</v>
      </c>
      <c r="C689" s="56"/>
    </row>
    <row r="690" spans="1:6" x14ac:dyDescent="0.3">
      <c r="A690" s="139" t="s">
        <v>222</v>
      </c>
      <c r="B690" s="140">
        <f>SUM(B688:B689)</f>
        <v>0.16519999999999999</v>
      </c>
      <c r="C690" s="56"/>
      <c r="D690" s="61"/>
      <c r="E690"/>
      <c r="F690"/>
    </row>
    <row r="691" spans="1:6" x14ac:dyDescent="0.3">
      <c r="D691"/>
      <c r="E691"/>
      <c r="F691"/>
    </row>
    <row r="692" spans="1:6" x14ac:dyDescent="0.3">
      <c r="A692" s="135" t="s">
        <v>230</v>
      </c>
      <c r="B692" s="141"/>
      <c r="C692" s="142"/>
      <c r="D692"/>
      <c r="E692"/>
      <c r="F692"/>
    </row>
    <row r="693" spans="1:6" x14ac:dyDescent="0.3">
      <c r="A693" s="132" t="s">
        <v>231</v>
      </c>
      <c r="B693" s="138">
        <f>+ROUND(B685*B679,4)</f>
        <v>0.1154</v>
      </c>
      <c r="C693" s="56"/>
      <c r="D693"/>
      <c r="E693"/>
      <c r="F693"/>
    </row>
    <row r="694" spans="1:6" x14ac:dyDescent="0.3">
      <c r="A694" s="132" t="s">
        <v>232</v>
      </c>
      <c r="B694" s="138">
        <f>+ROUND(B672*B683,4)</f>
        <v>8.8000000000000005E-3</v>
      </c>
      <c r="C694" s="56"/>
      <c r="D694"/>
      <c r="E694"/>
      <c r="F694"/>
    </row>
    <row r="695" spans="1:6" x14ac:dyDescent="0.3">
      <c r="D695"/>
      <c r="E695"/>
      <c r="F695"/>
    </row>
    <row r="696" spans="1:6" x14ac:dyDescent="0.3">
      <c r="A696" s="139" t="s">
        <v>233</v>
      </c>
      <c r="B696" s="140">
        <f>+B679+B685+B690+B693+B694</f>
        <v>0.97090000000000021</v>
      </c>
      <c r="C696" s="142"/>
      <c r="D696"/>
      <c r="E696"/>
      <c r="F696"/>
    </row>
    <row r="698" spans="1:6" x14ac:dyDescent="0.3">
      <c r="A698" s="58"/>
      <c r="B698" s="59"/>
      <c r="C698" s="59"/>
      <c r="D698" s="60"/>
      <c r="E698" s="60"/>
      <c r="F698" s="60"/>
    </row>
    <row r="699" spans="1:6" ht="15.6" x14ac:dyDescent="0.3">
      <c r="A699" s="6"/>
      <c r="B699" s="26"/>
      <c r="C699" s="26"/>
    </row>
    <row r="700" spans="1:6" x14ac:dyDescent="0.3">
      <c r="A700" s="143" t="s">
        <v>234</v>
      </c>
    </row>
    <row r="701" spans="1:6" ht="15" thickBot="1" x14ac:dyDescent="0.35">
      <c r="A701" s="143"/>
    </row>
    <row r="702" spans="1:6" x14ac:dyDescent="0.3">
      <c r="A702" s="144" t="s">
        <v>235</v>
      </c>
      <c r="B702" s="145" t="s">
        <v>236</v>
      </c>
      <c r="C702" s="146">
        <v>0.01</v>
      </c>
    </row>
    <row r="703" spans="1:6" x14ac:dyDescent="0.3">
      <c r="A703" s="147" t="s">
        <v>237</v>
      </c>
      <c r="B703" s="70" t="s">
        <v>238</v>
      </c>
      <c r="C703" s="148">
        <v>2.5000000000000001E-3</v>
      </c>
      <c r="D703" s="149"/>
    </row>
    <row r="704" spans="1:6" x14ac:dyDescent="0.3">
      <c r="A704" s="147" t="s">
        <v>239</v>
      </c>
      <c r="B704" s="70" t="s">
        <v>240</v>
      </c>
      <c r="C704" s="148">
        <v>0.02</v>
      </c>
    </row>
    <row r="705" spans="1:3" x14ac:dyDescent="0.3">
      <c r="A705" s="147" t="s">
        <v>241</v>
      </c>
      <c r="B705" s="70" t="s">
        <v>242</v>
      </c>
      <c r="C705" s="148">
        <v>0.01</v>
      </c>
    </row>
    <row r="706" spans="1:3" x14ac:dyDescent="0.3">
      <c r="A706" s="147" t="s">
        <v>243</v>
      </c>
      <c r="B706" s="235" t="s">
        <v>244</v>
      </c>
      <c r="C706" s="148">
        <v>0.05</v>
      </c>
    </row>
    <row r="707" spans="1:3" ht="15" thickBot="1" x14ac:dyDescent="0.35">
      <c r="A707" s="150" t="s">
        <v>245</v>
      </c>
      <c r="B707" s="236"/>
      <c r="C707" s="151">
        <v>3.6499999999999998E-2</v>
      </c>
    </row>
    <row r="708" spans="1:3" x14ac:dyDescent="0.3">
      <c r="A708" s="152" t="s">
        <v>246</v>
      </c>
      <c r="B708" s="153"/>
      <c r="C708" s="154"/>
    </row>
    <row r="709" spans="1:3" ht="15" thickBot="1" x14ac:dyDescent="0.35">
      <c r="A709" s="155" t="s">
        <v>247</v>
      </c>
      <c r="B709" s="156"/>
      <c r="C709" s="157"/>
    </row>
    <row r="710" spans="1:3" ht="15" thickBot="1" x14ac:dyDescent="0.35">
      <c r="A710" s="158" t="s">
        <v>248</v>
      </c>
      <c r="B710" s="98"/>
      <c r="C710" s="159">
        <f>ROUND((((1+C702+C703)*(1+C704)*(1+C705))/(1-(C706+C707))-1),4)</f>
        <v>0.14180000000000001</v>
      </c>
    </row>
    <row r="711" spans="1:3" x14ac:dyDescent="0.3">
      <c r="A711" s="160"/>
      <c r="C711" s="161"/>
    </row>
  </sheetData>
  <mergeCells count="24">
    <mergeCell ref="B490:C490"/>
    <mergeCell ref="B548:C548"/>
    <mergeCell ref="B580:C580"/>
    <mergeCell ref="B604:C604"/>
    <mergeCell ref="B706:B707"/>
    <mergeCell ref="B434:C434"/>
    <mergeCell ref="D9:E9"/>
    <mergeCell ref="D10:E10"/>
    <mergeCell ref="D11:E11"/>
    <mergeCell ref="D13:E13"/>
    <mergeCell ref="D14:E14"/>
    <mergeCell ref="A18:D18"/>
    <mergeCell ref="A38:D38"/>
    <mergeCell ref="A293:D294"/>
    <mergeCell ref="B341:C341"/>
    <mergeCell ref="A351:D352"/>
    <mergeCell ref="B398:C398"/>
    <mergeCell ref="D12:E12"/>
    <mergeCell ref="A8:C8"/>
    <mergeCell ref="D8:E8"/>
    <mergeCell ref="A2:F2"/>
    <mergeCell ref="A3:F3"/>
    <mergeCell ref="D6:E6"/>
    <mergeCell ref="D7:E7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Compras_Rafa</cp:lastModifiedBy>
  <cp:lastPrinted>2025-02-11T16:44:13Z</cp:lastPrinted>
  <dcterms:created xsi:type="dcterms:W3CDTF">2020-01-16T18:40:00Z</dcterms:created>
  <dcterms:modified xsi:type="dcterms:W3CDTF">2025-04-07T11:29:39Z</dcterms:modified>
</cp:coreProperties>
</file>