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norama\"/>
    </mc:Choice>
  </mc:AlternateContent>
  <xr:revisionPtr revIDLastSave="0" documentId="13_ncr:1_{E334ADB4-241B-4234-AE05-5F845FC4545A}" xr6:coauthVersionLast="36" xr6:coauthVersionMax="47" xr10:uidLastSave="{00000000-0000-0000-0000-000000000000}"/>
  <bookViews>
    <workbookView xWindow="-120" yWindow="-120" windowWidth="20736" windowHeight="11160" activeTab="1" xr2:uid="{00000000-000D-0000-FFFF-FFFF00000000}"/>
  </bookViews>
  <sheets>
    <sheet name="PLANILHA ORÇAMENTÁRIA" sheetId="1" r:id="rId1"/>
    <sheet name="CRONOGRAMA" sheetId="3" r:id="rId2"/>
  </sheets>
  <definedNames>
    <definedName name="_xlnm.Print_Area" localSheetId="1">CRONOGRAMA!$A$4:$K$60</definedName>
    <definedName name="_xlnm.Print_Area" localSheetId="0">'PLANILHA ORÇAMENTÁRIA'!$A$2:$H$225</definedName>
  </definedNames>
  <calcPr calcId="179021"/>
</workbook>
</file>

<file path=xl/calcChain.xml><?xml version="1.0" encoding="utf-8"?>
<calcChain xmlns="http://schemas.openxmlformats.org/spreadsheetml/2006/main">
  <c r="F221" i="1" l="1"/>
  <c r="A51" i="3" l="1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21" i="3"/>
  <c r="A19" i="3"/>
  <c r="A17" i="3"/>
  <c r="A15" i="3"/>
  <c r="A13" i="3"/>
  <c r="A11" i="3"/>
  <c r="A9" i="3"/>
  <c r="H67" i="1" l="1"/>
  <c r="F201" i="1"/>
  <c r="H201" i="1" s="1"/>
  <c r="F79" i="1"/>
  <c r="F202" i="1"/>
  <c r="H202" i="1" s="1"/>
  <c r="F206" i="1"/>
  <c r="H206" i="1" s="1"/>
  <c r="F205" i="1"/>
  <c r="H205" i="1" s="1"/>
  <c r="F204" i="1"/>
  <c r="H204" i="1" s="1"/>
  <c r="F203" i="1"/>
  <c r="H203" i="1" s="1"/>
  <c r="F217" i="1"/>
  <c r="H217" i="1" s="1"/>
  <c r="F218" i="1"/>
  <c r="H218" i="1" s="1"/>
  <c r="F196" i="1"/>
  <c r="H196" i="1" s="1"/>
  <c r="F185" i="1"/>
  <c r="H185" i="1" s="1"/>
  <c r="F188" i="1"/>
  <c r="H188" i="1" s="1"/>
  <c r="H195" i="1"/>
  <c r="H197" i="1"/>
  <c r="F209" i="1"/>
  <c r="H209" i="1" s="1"/>
  <c r="F184" i="1"/>
  <c r="H184" i="1" s="1"/>
  <c r="F192" i="1"/>
  <c r="F212" i="1"/>
  <c r="F213" i="1" s="1"/>
  <c r="H213" i="1" s="1"/>
  <c r="F211" i="1"/>
  <c r="H211" i="1" s="1"/>
  <c r="H210" i="1"/>
  <c r="F193" i="1" l="1"/>
  <c r="H200" i="1"/>
  <c r="J47" i="3" s="1"/>
  <c r="K47" i="3" s="1"/>
  <c r="F198" i="1"/>
  <c r="H198" i="1" s="1"/>
  <c r="H215" i="1"/>
  <c r="F194" i="1"/>
  <c r="H194" i="1" s="1"/>
  <c r="H192" i="1"/>
  <c r="H212" i="1"/>
  <c r="F189" i="1"/>
  <c r="F216" i="1" s="1"/>
  <c r="H216" i="1" s="1"/>
  <c r="F167" i="1"/>
  <c r="H167" i="1" s="1"/>
  <c r="F179" i="1"/>
  <c r="H179" i="1" s="1"/>
  <c r="F178" i="1"/>
  <c r="H178" i="1" s="1"/>
  <c r="F177" i="1"/>
  <c r="H177" i="1" s="1"/>
  <c r="F175" i="1"/>
  <c r="F176" i="1" s="1"/>
  <c r="H176" i="1" s="1"/>
  <c r="F169" i="1"/>
  <c r="H169" i="1" s="1"/>
  <c r="H163" i="1"/>
  <c r="F162" i="1"/>
  <c r="H162" i="1" s="1"/>
  <c r="F160" i="1"/>
  <c r="H160" i="1" s="1"/>
  <c r="F159" i="1"/>
  <c r="H159" i="1" s="1"/>
  <c r="F158" i="1"/>
  <c r="H158" i="1" s="1"/>
  <c r="F157" i="1"/>
  <c r="H157" i="1" s="1"/>
  <c r="F154" i="1"/>
  <c r="H154" i="1" s="1"/>
  <c r="F141" i="1"/>
  <c r="H141" i="1" s="1"/>
  <c r="D42" i="1"/>
  <c r="F145" i="1"/>
  <c r="H145" i="1" s="1"/>
  <c r="F135" i="1"/>
  <c r="H135" i="1" s="1"/>
  <c r="F132" i="1"/>
  <c r="H132" i="1" s="1"/>
  <c r="F23" i="1"/>
  <c r="F131" i="1"/>
  <c r="H131" i="1" s="1"/>
  <c r="F172" i="1"/>
  <c r="H172" i="1" s="1"/>
  <c r="F171" i="1"/>
  <c r="H171" i="1" s="1"/>
  <c r="H170" i="1"/>
  <c r="F168" i="1"/>
  <c r="H168" i="1" s="1"/>
  <c r="F153" i="1"/>
  <c r="H153" i="1" s="1"/>
  <c r="F151" i="1"/>
  <c r="H151" i="1" s="1"/>
  <c r="F149" i="1"/>
  <c r="H149" i="1" s="1"/>
  <c r="F148" i="1"/>
  <c r="H148" i="1" s="1"/>
  <c r="F147" i="1"/>
  <c r="H147" i="1" s="1"/>
  <c r="F146" i="1"/>
  <c r="H146" i="1" s="1"/>
  <c r="F140" i="1"/>
  <c r="H140" i="1" s="1"/>
  <c r="F123" i="1"/>
  <c r="H123" i="1" s="1"/>
  <c r="F124" i="1"/>
  <c r="H124" i="1" s="1"/>
  <c r="F125" i="1"/>
  <c r="H125" i="1" s="1"/>
  <c r="F121" i="1"/>
  <c r="H121" i="1" s="1"/>
  <c r="F116" i="1"/>
  <c r="H116" i="1" s="1"/>
  <c r="F126" i="1"/>
  <c r="H126" i="1" s="1"/>
  <c r="F71" i="1"/>
  <c r="H71" i="1" s="1"/>
  <c r="F109" i="1"/>
  <c r="H109" i="1" s="1"/>
  <c r="F106" i="1"/>
  <c r="H106" i="1" s="1"/>
  <c r="F105" i="1"/>
  <c r="H105" i="1" s="1"/>
  <c r="F104" i="1"/>
  <c r="H104" i="1" s="1"/>
  <c r="F101" i="1"/>
  <c r="H101" i="1" s="1"/>
  <c r="F88" i="1"/>
  <c r="F89" i="1" s="1"/>
  <c r="H89" i="1" s="1"/>
  <c r="H79" i="1"/>
  <c r="F78" i="1"/>
  <c r="H78" i="1" s="1"/>
  <c r="F77" i="1"/>
  <c r="H122" i="1"/>
  <c r="F119" i="1"/>
  <c r="H119" i="1" s="1"/>
  <c r="F118" i="1"/>
  <c r="H118" i="1" s="1"/>
  <c r="H117" i="1"/>
  <c r="F115" i="1"/>
  <c r="H115" i="1" s="1"/>
  <c r="F114" i="1"/>
  <c r="H114" i="1" s="1"/>
  <c r="H110" i="1"/>
  <c r="F107" i="1"/>
  <c r="H107" i="1" s="1"/>
  <c r="F100" i="1"/>
  <c r="H100" i="1" s="1"/>
  <c r="F98" i="1"/>
  <c r="H98" i="1" s="1"/>
  <c r="F96" i="1"/>
  <c r="H96" i="1" s="1"/>
  <c r="F95" i="1"/>
  <c r="H95" i="1" s="1"/>
  <c r="F94" i="1"/>
  <c r="H94" i="1" s="1"/>
  <c r="F93" i="1"/>
  <c r="H93" i="1" s="1"/>
  <c r="F92" i="1"/>
  <c r="H92" i="1" s="1"/>
  <c r="F87" i="1"/>
  <c r="H87" i="1" s="1"/>
  <c r="F82" i="1"/>
  <c r="F83" i="1" s="1"/>
  <c r="H83" i="1" s="1"/>
  <c r="H76" i="1"/>
  <c r="F59" i="1"/>
  <c r="H59" i="1" s="1"/>
  <c r="F60" i="1"/>
  <c r="H60" i="1" s="1"/>
  <c r="F69" i="1"/>
  <c r="F70" i="1"/>
  <c r="F68" i="1"/>
  <c r="F66" i="1"/>
  <c r="F64" i="1"/>
  <c r="F65" i="1" s="1"/>
  <c r="F63" i="1"/>
  <c r="H55" i="1"/>
  <c r="F51" i="1"/>
  <c r="F50" i="1"/>
  <c r="F49" i="1"/>
  <c r="F54" i="1"/>
  <c r="H54" i="1" s="1"/>
  <c r="F238" i="1"/>
  <c r="F237" i="1" s="1"/>
  <c r="H237" i="1" s="1"/>
  <c r="F236" i="1"/>
  <c r="H236" i="1" s="1"/>
  <c r="F38" i="1"/>
  <c r="F40" i="1"/>
  <c r="F52" i="1"/>
  <c r="H47" i="3" l="1"/>
  <c r="H48" i="3" s="1"/>
  <c r="I47" i="3"/>
  <c r="I48" i="3" s="1"/>
  <c r="F214" i="1"/>
  <c r="H214" i="1" s="1"/>
  <c r="H208" i="1" s="1"/>
  <c r="J49" i="3" s="1"/>
  <c r="K49" i="3" s="1"/>
  <c r="H193" i="1"/>
  <c r="H191" i="1" s="1"/>
  <c r="J45" i="3" s="1"/>
  <c r="K45" i="3" s="1"/>
  <c r="H189" i="1"/>
  <c r="F186" i="1"/>
  <c r="F187" i="1" s="1"/>
  <c r="H187" i="1" s="1"/>
  <c r="H175" i="1"/>
  <c r="F174" i="1"/>
  <c r="H174" i="1" s="1"/>
  <c r="F80" i="1"/>
  <c r="F81" i="1" s="1"/>
  <c r="H81" i="1" s="1"/>
  <c r="F142" i="1"/>
  <c r="F143" i="1" s="1"/>
  <c r="F161" i="1"/>
  <c r="H161" i="1" s="1"/>
  <c r="H156" i="1" s="1"/>
  <c r="J37" i="3" s="1"/>
  <c r="K37" i="3" s="1"/>
  <c r="F136" i="1"/>
  <c r="H136" i="1" s="1"/>
  <c r="F173" i="1"/>
  <c r="H173" i="1" s="1"/>
  <c r="H142" i="1"/>
  <c r="F152" i="1"/>
  <c r="H152" i="1" s="1"/>
  <c r="F133" i="1"/>
  <c r="F120" i="1"/>
  <c r="H120" i="1" s="1"/>
  <c r="H112" i="1" s="1"/>
  <c r="J29" i="3" s="1"/>
  <c r="K29" i="3" s="1"/>
  <c r="H88" i="1"/>
  <c r="H77" i="1"/>
  <c r="H82" i="1"/>
  <c r="F108" i="1"/>
  <c r="H108" i="1" s="1"/>
  <c r="H103" i="1" s="1"/>
  <c r="J27" i="3" s="1"/>
  <c r="K27" i="3" s="1"/>
  <c r="F99" i="1"/>
  <c r="H99" i="1" s="1"/>
  <c r="F90" i="1"/>
  <c r="F53" i="1"/>
  <c r="H238" i="1"/>
  <c r="H239" i="1" s="1"/>
  <c r="G42" i="1" s="1"/>
  <c r="F46" i="1"/>
  <c r="F37" i="1"/>
  <c r="F45" i="1"/>
  <c r="F43" i="1"/>
  <c r="H43" i="1" s="1"/>
  <c r="F41" i="1"/>
  <c r="H38" i="1"/>
  <c r="F39" i="1"/>
  <c r="F33" i="1"/>
  <c r="F27" i="1"/>
  <c r="F28" i="1" s="1"/>
  <c r="H28" i="1" s="1"/>
  <c r="F24" i="1"/>
  <c r="F25" i="1" s="1"/>
  <c r="F32" i="1"/>
  <c r="F18" i="1"/>
  <c r="H18" i="1" s="1"/>
  <c r="F231" i="1"/>
  <c r="H231" i="1" s="1"/>
  <c r="F229" i="1"/>
  <c r="H229" i="1" s="1"/>
  <c r="H45" i="3" l="1"/>
  <c r="H46" i="3" s="1"/>
  <c r="I45" i="3"/>
  <c r="I46" i="3" s="1"/>
  <c r="I49" i="3"/>
  <c r="I50" i="3" s="1"/>
  <c r="G37" i="3"/>
  <c r="G38" i="3" s="1"/>
  <c r="F29" i="3"/>
  <c r="F30" i="3" s="1"/>
  <c r="F27" i="3"/>
  <c r="F28" i="3" s="1"/>
  <c r="H165" i="1"/>
  <c r="J39" i="3" s="1"/>
  <c r="K39" i="3" s="1"/>
  <c r="H186" i="1"/>
  <c r="H182" i="1" s="1"/>
  <c r="F134" i="1"/>
  <c r="H134" i="1" s="1"/>
  <c r="H133" i="1"/>
  <c r="H143" i="1"/>
  <c r="F144" i="1"/>
  <c r="H144" i="1" s="1"/>
  <c r="H80" i="1"/>
  <c r="H74" i="1" s="1"/>
  <c r="J23" i="3" s="1"/>
  <c r="K23" i="3" s="1"/>
  <c r="H90" i="1"/>
  <c r="F91" i="1"/>
  <c r="H91" i="1" s="1"/>
  <c r="F44" i="1"/>
  <c r="H44" i="1" s="1"/>
  <c r="F230" i="1"/>
  <c r="H230" i="1" s="1"/>
  <c r="H129" i="1" l="1"/>
  <c r="J33" i="3" s="1"/>
  <c r="K33" i="3" s="1"/>
  <c r="E23" i="3"/>
  <c r="E24" i="3" s="1"/>
  <c r="H181" i="1"/>
  <c r="J41" i="3" s="1"/>
  <c r="K41" i="3" s="1"/>
  <c r="J43" i="3"/>
  <c r="K43" i="3" s="1"/>
  <c r="G39" i="3"/>
  <c r="G40" i="3" s="1"/>
  <c r="F61" i="1"/>
  <c r="H50" i="1"/>
  <c r="F33" i="3" l="1"/>
  <c r="F34" i="3" s="1"/>
  <c r="H43" i="3"/>
  <c r="H44" i="3" s="1"/>
  <c r="F34" i="1"/>
  <c r="F35" i="1" s="1"/>
  <c r="H35" i="1" l="1"/>
  <c r="F36" i="1"/>
  <c r="H36" i="1" s="1"/>
  <c r="H46" i="1"/>
  <c r="H40" i="1" l="1"/>
  <c r="H232" i="1" l="1"/>
  <c r="G150" i="1" s="1"/>
  <c r="H53" i="1"/>
  <c r="H51" i="1"/>
  <c r="G97" i="1" l="1"/>
  <c r="H97" i="1" s="1"/>
  <c r="H85" i="1" s="1"/>
  <c r="J25" i="3" s="1"/>
  <c r="K25" i="3" s="1"/>
  <c r="H150" i="1"/>
  <c r="H32" i="1"/>
  <c r="H69" i="1"/>
  <c r="H66" i="1"/>
  <c r="H39" i="1"/>
  <c r="H33" i="1"/>
  <c r="H27" i="1"/>
  <c r="H23" i="1"/>
  <c r="H221" i="1"/>
  <c r="H70" i="1"/>
  <c r="H68" i="1"/>
  <c r="H61" i="1"/>
  <c r="H52" i="1"/>
  <c r="H49" i="1"/>
  <c r="H41" i="1"/>
  <c r="H24" i="1"/>
  <c r="H16" i="1"/>
  <c r="H17" i="1"/>
  <c r="H15" i="1"/>
  <c r="E25" i="3" l="1"/>
  <c r="E26" i="3" s="1"/>
  <c r="F25" i="3"/>
  <c r="F26" i="3" s="1"/>
  <c r="I9" i="3"/>
  <c r="F9" i="3"/>
  <c r="H9" i="3"/>
  <c r="H56" i="3" s="1"/>
  <c r="H57" i="3" s="1"/>
  <c r="E9" i="3"/>
  <c r="G9" i="3"/>
  <c r="H13" i="1"/>
  <c r="J9" i="3" s="1"/>
  <c r="K9" i="3" s="1"/>
  <c r="D9" i="3"/>
  <c r="H138" i="1"/>
  <c r="H73" i="1"/>
  <c r="J21" i="3" s="1"/>
  <c r="K21" i="3" s="1"/>
  <c r="H48" i="1"/>
  <c r="J17" i="3" s="1"/>
  <c r="K17" i="3" s="1"/>
  <c r="H45" i="1"/>
  <c r="H64" i="1"/>
  <c r="H219" i="1"/>
  <c r="J51" i="3" s="1"/>
  <c r="K51" i="3" s="1"/>
  <c r="H65" i="1"/>
  <c r="H63" i="1"/>
  <c r="H62" i="1"/>
  <c r="H42" i="1"/>
  <c r="I51" i="3" l="1"/>
  <c r="I52" i="3" s="1"/>
  <c r="H128" i="1"/>
  <c r="J31" i="3" s="1"/>
  <c r="K31" i="3" s="1"/>
  <c r="J35" i="3"/>
  <c r="K35" i="3" s="1"/>
  <c r="E17" i="3"/>
  <c r="E18" i="3" s="1"/>
  <c r="I10" i="3"/>
  <c r="F10" i="3"/>
  <c r="E10" i="3"/>
  <c r="H10" i="3"/>
  <c r="G10" i="3"/>
  <c r="D10" i="3"/>
  <c r="H57" i="1"/>
  <c r="J19" i="3" s="1"/>
  <c r="K19" i="3" s="1"/>
  <c r="H25" i="1"/>
  <c r="F26" i="1"/>
  <c r="H26" i="1" s="1"/>
  <c r="H34" i="1"/>
  <c r="H37" i="1"/>
  <c r="I56" i="3" l="1"/>
  <c r="I57" i="3" s="1"/>
  <c r="F35" i="3"/>
  <c r="G35" i="3"/>
  <c r="E19" i="3"/>
  <c r="E20" i="3" s="1"/>
  <c r="H21" i="1"/>
  <c r="H30" i="1"/>
  <c r="J15" i="3" s="1"/>
  <c r="K15" i="3" s="1"/>
  <c r="F36" i="3" l="1"/>
  <c r="F56" i="3"/>
  <c r="F57" i="3" s="1"/>
  <c r="G36" i="3"/>
  <c r="G56" i="3"/>
  <c r="G57" i="3" s="1"/>
  <c r="E15" i="3"/>
  <c r="D15" i="3"/>
  <c r="D16" i="3" s="1"/>
  <c r="H20" i="1"/>
  <c r="J13" i="3"/>
  <c r="K13" i="3" s="1"/>
  <c r="E16" i="3" l="1"/>
  <c r="E56" i="3"/>
  <c r="E57" i="3" s="1"/>
  <c r="H223" i="1"/>
  <c r="H224" i="1" s="1"/>
  <c r="J11" i="3"/>
  <c r="K11" i="3" s="1"/>
  <c r="D13" i="3"/>
  <c r="H225" i="1" l="1"/>
  <c r="D14" i="3"/>
  <c r="D56" i="3"/>
  <c r="D57" i="3" s="1"/>
  <c r="K56" i="3"/>
  <c r="J56" i="3"/>
  <c r="C11" i="3" l="1"/>
  <c r="J57" i="3"/>
  <c r="J12" i="3"/>
  <c r="D59" i="3"/>
  <c r="C9" i="3"/>
  <c r="J10" i="3"/>
  <c r="J52" i="3"/>
  <c r="C37" i="3"/>
  <c r="C35" i="3"/>
  <c r="J30" i="3"/>
  <c r="J40" i="3"/>
  <c r="J20" i="3"/>
  <c r="J22" i="3"/>
  <c r="C47" i="3"/>
  <c r="J38" i="3"/>
  <c r="C45" i="3"/>
  <c r="J48" i="3"/>
  <c r="C39" i="3"/>
  <c r="J36" i="3"/>
  <c r="C41" i="3"/>
  <c r="J16" i="3"/>
  <c r="J44" i="3"/>
  <c r="J32" i="3"/>
  <c r="J34" i="3"/>
  <c r="C15" i="3"/>
  <c r="C27" i="3"/>
  <c r="J50" i="3"/>
  <c r="J24" i="3"/>
  <c r="C31" i="3"/>
  <c r="C51" i="3"/>
  <c r="C33" i="3"/>
  <c r="J18" i="3"/>
  <c r="C23" i="3"/>
  <c r="C19" i="3"/>
  <c r="C21" i="3"/>
  <c r="J46" i="3"/>
  <c r="C43" i="3"/>
  <c r="J42" i="3"/>
  <c r="C17" i="3"/>
  <c r="C25" i="3"/>
  <c r="C49" i="3"/>
  <c r="J26" i="3"/>
  <c r="J28" i="3"/>
  <c r="C29" i="3"/>
  <c r="C13" i="3"/>
  <c r="J14" i="3"/>
  <c r="C54" i="3" l="1"/>
  <c r="I58" i="3"/>
  <c r="F58" i="3"/>
  <c r="H58" i="3"/>
  <c r="G58" i="3"/>
  <c r="E58" i="3"/>
  <c r="E59" i="3"/>
  <c r="D60" i="3"/>
  <c r="D58" i="3"/>
  <c r="F59" i="3" l="1"/>
  <c r="E60" i="3"/>
  <c r="J58" i="3"/>
  <c r="G59" i="3" l="1"/>
  <c r="F60" i="3"/>
  <c r="H59" i="3" l="1"/>
  <c r="I59" i="3" s="1"/>
  <c r="G60" i="3"/>
  <c r="H60" i="3" l="1"/>
  <c r="I60" i="3"/>
</calcChain>
</file>

<file path=xl/sharedStrings.xml><?xml version="1.0" encoding="utf-8"?>
<sst xmlns="http://schemas.openxmlformats.org/spreadsheetml/2006/main" count="1126" uniqueCount="447">
  <si>
    <t>02.08.020</t>
  </si>
  <si>
    <t>Placa de identificação para obra</t>
  </si>
  <si>
    <t>M2</t>
  </si>
  <si>
    <t>02.02.120</t>
  </si>
  <si>
    <t>Locação de container tipo alojamento - área mínima de 13,80 m²</t>
  </si>
  <si>
    <t>UNMES</t>
  </si>
  <si>
    <t>02.01.180</t>
  </si>
  <si>
    <t>Banheiro químico modelo Standard, com manutenção conforme exigências da CETESB</t>
  </si>
  <si>
    <t>SERVIÇOS INICIAIS</t>
  </si>
  <si>
    <t>DEMOLIÇÕES</t>
  </si>
  <si>
    <t>03.01.200</t>
  </si>
  <si>
    <t>Demolição mecanizada de concreto armado, inclusive fragmentação, carregamento, transporte até 1 quilômetro e descarregamento</t>
  </si>
  <si>
    <t>M3</t>
  </si>
  <si>
    <t>03.01.220</t>
  </si>
  <si>
    <t>Demolição mecanizada de concreto simples, inclusive fragmentação, carregamento, transporte até 1 quilômetro e descarregamento</t>
  </si>
  <si>
    <t>05.08.120</t>
  </si>
  <si>
    <t>Transporte de entulho, para distâncias superiores ao 15° km até o 20° km</t>
  </si>
  <si>
    <t>05.09.006</t>
  </si>
  <si>
    <t>Taxa de destinação de resíduo sólido em aterro, tipo inerte</t>
  </si>
  <si>
    <t>T</t>
  </si>
  <si>
    <t>COD ITEM</t>
  </si>
  <si>
    <t>DESCRIÇÃO</t>
  </si>
  <si>
    <t>UNID.</t>
  </si>
  <si>
    <t>PREÇO UNIT R$</t>
  </si>
  <si>
    <t>QUANT.</t>
  </si>
  <si>
    <t>PREÇO TOTAL R$</t>
  </si>
  <si>
    <t>09.02.040</t>
  </si>
  <si>
    <t>Forma plana em compensado para estrutura aparente</t>
  </si>
  <si>
    <t>m²</t>
  </si>
  <si>
    <t>10.01.040</t>
  </si>
  <si>
    <t>Armadura em barra de aço CA-50 (A ou B) fyk = 500 MPa</t>
  </si>
  <si>
    <t>kg</t>
  </si>
  <si>
    <t>11.01.320</t>
  </si>
  <si>
    <t>Concreto usinado, fck = 30 MPa - para bombeamento</t>
  </si>
  <si>
    <t>m³</t>
  </si>
  <si>
    <t>TOTAL</t>
  </si>
  <si>
    <t>07.01.020</t>
  </si>
  <si>
    <t>Escavação e carga mecanizada em solo de 1ª categoria, em campo aberto</t>
  </si>
  <si>
    <t>07.01.120</t>
  </si>
  <si>
    <t>Carga e remoção de terra até a distância média de 1 km</t>
  </si>
  <si>
    <t>54.01.050</t>
  </si>
  <si>
    <t>Compactação do subleito mínimo de 95% do PN</t>
  </si>
  <si>
    <t>11.18.140</t>
  </si>
  <si>
    <t>Lastro e/ou fundação em rachão mecanizado</t>
  </si>
  <si>
    <t>composição</t>
  </si>
  <si>
    <t>COMPOSIÇÃO</t>
  </si>
  <si>
    <t>07.11.020</t>
  </si>
  <si>
    <t>Reaterro compactado mecanizado de vala ou cava com compactador</t>
  </si>
  <si>
    <t>11.05.060</t>
  </si>
  <si>
    <t>Concreto ciclópico - fornecimento e aplicação (com 30% de pedra rachão), concreto fck 15 Mpa</t>
  </si>
  <si>
    <t>DESASSOREAMENTO, LIMPEZA E REMOÇÃO DE MATERIAL DE GALERIA MOLDADA</t>
  </si>
  <si>
    <t>SIURB</t>
  </si>
  <si>
    <t>MURO DE ALA</t>
  </si>
  <si>
    <t>PAVIMENTAÇÃO</t>
  </si>
  <si>
    <t>54.01.210</t>
  </si>
  <si>
    <t>Base de brita graduada</t>
  </si>
  <si>
    <t>54.03.230</t>
  </si>
  <si>
    <t>Imprimação betuminosa ligante</t>
  </si>
  <si>
    <t>54.03.240</t>
  </si>
  <si>
    <t>Imprimação betuminosa impermeabilizante</t>
  </si>
  <si>
    <t>54.03.210</t>
  </si>
  <si>
    <t>Camada de rolamento em concreto betuminoso usinado quente - CBUQ</t>
  </si>
  <si>
    <t>54.03.200</t>
  </si>
  <si>
    <t>Concreto asfáltico usinado a quente - Binder</t>
  </si>
  <si>
    <t>M</t>
  </si>
  <si>
    <t>54.06.110</t>
  </si>
  <si>
    <t>Base em concreto com fck de 25 MPa, para guias, sarjetas ou sarjetões</t>
  </si>
  <si>
    <t>54.06.170</t>
  </si>
  <si>
    <t>Sarjeta ou sarjetão moldado no local, tipo PMSP em concreto com fck 25 MPa</t>
  </si>
  <si>
    <t>08.01.020</t>
  </si>
  <si>
    <t>Escoramento de solo contínuo</t>
  </si>
  <si>
    <t>17.05.100</t>
  </si>
  <si>
    <t>Piso com requadro em concreto simples com controle de fck= 25 MPa</t>
  </si>
  <si>
    <t>54.01.220</t>
  </si>
  <si>
    <t>Base de bica corrida</t>
  </si>
  <si>
    <t>SERVIÇOS COMPLEMENTARES</t>
  </si>
  <si>
    <t>SUB TOTAL</t>
  </si>
  <si>
    <t>ADUELAS EM CONCRETO ARMADO</t>
  </si>
  <si>
    <t>1.0</t>
  </si>
  <si>
    <t>2.0</t>
  </si>
  <si>
    <t>2.1</t>
  </si>
  <si>
    <t>2.2</t>
  </si>
  <si>
    <t>2.3</t>
  </si>
  <si>
    <t>2.4</t>
  </si>
  <si>
    <t>3.0</t>
  </si>
  <si>
    <t>3.1</t>
  </si>
  <si>
    <t>3.1.0</t>
  </si>
  <si>
    <t>3.1.1</t>
  </si>
  <si>
    <t>4.0</t>
  </si>
  <si>
    <t>4.1</t>
  </si>
  <si>
    <t>4.2</t>
  </si>
  <si>
    <t>4.3</t>
  </si>
  <si>
    <t>4.4</t>
  </si>
  <si>
    <t>5.0</t>
  </si>
  <si>
    <t>03.07.010</t>
  </si>
  <si>
    <t>Demolição (levantamento) mecanizada de pavimento asfáltico, inclusive carregamento, transporte até 1 quilômetro e descarregamento</t>
  </si>
  <si>
    <t>3.1.2</t>
  </si>
  <si>
    <t>considerado 3 meses</t>
  </si>
  <si>
    <t>04.40.030</t>
  </si>
  <si>
    <t>Retirada manual de guia pré-moldada, inclusive limpeza e empilhamento</t>
  </si>
  <si>
    <t>REFORÇO DE SUB-LEITO/SUB-BASE DE SOLO MELHORADO COM CIMENTO 3,0% EM PESO</t>
  </si>
  <si>
    <t>07-22-00</t>
  </si>
  <si>
    <t>10.02.020</t>
  </si>
  <si>
    <t>Armadura em tela soldada de aço</t>
  </si>
  <si>
    <t>KG</t>
  </si>
  <si>
    <t>3.1.3</t>
  </si>
  <si>
    <t>3.1.4</t>
  </si>
  <si>
    <t>3.1.5</t>
  </si>
  <si>
    <t>PREFEITURA MUNICIPAL DE CAÇAPAVA</t>
  </si>
  <si>
    <t>PLANILHA DE ORÇAMENTO ESTIMADO</t>
  </si>
  <si>
    <t>RFEERÊNCIA:</t>
  </si>
  <si>
    <t>VALOR UNITÁRIO</t>
  </si>
  <si>
    <t>VALOR TOTAL</t>
  </si>
  <si>
    <t>Fornecimento e assentamento de guias tipo PMSP 100,Inclusive encostamento de terra - FCK=30,0MPA</t>
  </si>
  <si>
    <t>FORNECIMENTO DE TERRA, INCLUINDO ESCAVAÇÃO, CARGA E TRANSPORTE ATÉ A DISTÂNCIA MÉDIA DE 1,0KM, MEDIDO NO ATERRO COMPACTADO</t>
  </si>
  <si>
    <t>CDHU</t>
  </si>
  <si>
    <t>Área da escavação + 30% empolamento</t>
  </si>
  <si>
    <t>ADUELAS EM CONCRETO ARMADO 2.00X2.00X1.00X0,20</t>
  </si>
  <si>
    <t>2.1.1</t>
  </si>
  <si>
    <t>2.1.2</t>
  </si>
  <si>
    <t>2.1.3</t>
  </si>
  <si>
    <t>2.1.4</t>
  </si>
  <si>
    <t>2.2.0</t>
  </si>
  <si>
    <t>2.1.0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</si>
  <si>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</si>
  <si>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</si>
  <si>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</si>
  <si>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</si>
  <si>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</si>
  <si>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</si>
  <si>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</si>
  <si>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</si>
  <si>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</si>
  <si>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</si>
  <si>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2.3.0</t>
  </si>
  <si>
    <t>2.3.1</t>
  </si>
  <si>
    <t>2.3.2</t>
  </si>
  <si>
    <t>2.3.3</t>
  </si>
  <si>
    <t>2.3.4</t>
  </si>
  <si>
    <t>2.3.5</t>
  </si>
  <si>
    <t>2.4.0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</si>
  <si>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</si>
  <si>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</si>
  <si>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</si>
  <si>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</si>
  <si>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</si>
  <si>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</si>
  <si>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</si>
  <si>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</si>
  <si>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</si>
  <si>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3.2</t>
  </si>
  <si>
    <t>3.2.0</t>
  </si>
  <si>
    <t>3.2.1</t>
  </si>
  <si>
    <t>3.2.2</t>
  </si>
  <si>
    <t>3.2.3</t>
  </si>
  <si>
    <t>3.2.4</t>
  </si>
  <si>
    <t>3.2.5</t>
  </si>
  <si>
    <t>3.2.6</t>
  </si>
  <si>
    <t>3.3</t>
  </si>
  <si>
    <t>3.3.0</t>
  </si>
  <si>
    <t>3.3.1</t>
  </si>
  <si>
    <t>3.3.2</t>
  </si>
  <si>
    <t>3.3.3</t>
  </si>
  <si>
    <t>3.3.4</t>
  </si>
  <si>
    <t>3.3.5</t>
  </si>
  <si>
    <t>4.1.0</t>
  </si>
  <si>
    <t>4.1.1</t>
  </si>
  <si>
    <t>4.1.2</t>
  </si>
  <si>
    <t>4.1.3</t>
  </si>
  <si>
    <t>4.1.4</t>
  </si>
  <si>
    <t>4.2.0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</si>
  <si>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</si>
  <si>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</si>
  <si>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</si>
  <si>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</si>
  <si>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</si>
  <si>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</si>
  <si>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</si>
  <si>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</si>
  <si>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</si>
  <si>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</si>
  <si>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4.3.0</t>
  </si>
  <si>
    <t>4.3.1</t>
  </si>
  <si>
    <t>4.3.2</t>
  </si>
  <si>
    <t>4.3.3</t>
  </si>
  <si>
    <t>4.3.4</t>
  </si>
  <si>
    <t>4.3.5</t>
  </si>
  <si>
    <t>4.4.0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</si>
  <si>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</si>
  <si>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</si>
  <si>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</si>
  <si>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</si>
  <si>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</si>
  <si>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</si>
  <si>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</si>
  <si>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</si>
  <si>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</si>
  <si>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34.02.100</t>
  </si>
  <si>
    <t>Plantio de grama esmeralda em placas (jardins e canteiros)</t>
  </si>
  <si>
    <t>02.03.120</t>
  </si>
  <si>
    <t>Tapume fixo para fechamento de áreas, com portão</t>
  </si>
  <si>
    <t>20,00 x 2,20 x 6 lados</t>
  </si>
  <si>
    <t>08.05.220</t>
  </si>
  <si>
    <t>Manta geotêxtil com resistência à tração longitudinal de 31kN/m e transversal de 27kN/m</t>
  </si>
  <si>
    <t>2.2.11</t>
  </si>
  <si>
    <t>4.2.11</t>
  </si>
  <si>
    <t>Volume de entulho x 2.4t/m³</t>
  </si>
  <si>
    <t>03.01.260</t>
  </si>
  <si>
    <t>Demolição mecanizada de sarjeta ou sarjetão, inclusive fragmentação, carregamento, transporte até 1 quilômetro e descarregamento</t>
  </si>
  <si>
    <t>Demolição de sarjetas danificadas 16.00 x 2 x 0.45 x 0.15</t>
  </si>
  <si>
    <t xml:space="preserve"> Comprimento 60,00 x largura média do córrego 6,00 x profundidade 0,40</t>
  </si>
  <si>
    <t>Laterais escavação = C: 20,00 x H:3,96 x 2 lados</t>
  </si>
  <si>
    <t>Composição Aduelas 2.00x2.00x1.00x0.20 x 20.00 m</t>
  </si>
  <si>
    <t>Cobertura superior e laterais aduelas 1.00+2.40+2.40+2.40+1.00 x 20.00</t>
  </si>
  <si>
    <t>Base aduelas = C:20,00 x L:3,40 x H:0,60</t>
  </si>
  <si>
    <t>05.10.025</t>
  </si>
  <si>
    <t>Transporte de solo de 1ª e 2ª categoria por caminhão para distâncias superiores ao 15° km até o 20° km</t>
  </si>
  <si>
    <t>05.09.007</t>
  </si>
  <si>
    <t>Taxa de destinação de resíduo sólido em aterro, tipo solo/terra</t>
  </si>
  <si>
    <t>Transporte área de desassoreamento 144,00 m³ + escavação 424,93 m³</t>
  </si>
  <si>
    <t xml:space="preserve">calçada (65,50 m² x 0,10) </t>
  </si>
  <si>
    <t>Retirada de guias danificadas 14.00 m  x 2</t>
  </si>
  <si>
    <t>Volume de demolição pavimento asflaatico 279,90 x 0,08 + passeio 6,55 m³</t>
  </si>
  <si>
    <t>Base aduelas =  18,00 x L:3,40 x H:1,20</t>
  </si>
  <si>
    <t>Base Aduelas = C:18,00 x L:3,40 x H:0,60</t>
  </si>
  <si>
    <t>Escavação 144,00 m³ - bgs:12,24 m³- rachão:73,44 - concreto: 12,24 - área aduela 18,00x2,40x2,40</t>
  </si>
  <si>
    <t>09.01.030</t>
  </si>
  <si>
    <t>Forma em madeira comum para estrutura</t>
  </si>
  <si>
    <t>Desassoreamento C12.24xL:6,00xh2,41 - área aduelas C:12,24x2,40x2,40</t>
  </si>
  <si>
    <t>Base Aduelas - 18.00 m x L:3,40 x H:0,15</t>
  </si>
  <si>
    <t>Aduelas - 20.00 m x L:3,40 x H:0,15</t>
  </si>
  <si>
    <t>ADUELAS EM CONCRETO ARMADO 3.00x1.50X1.00X0,20</t>
  </si>
  <si>
    <t xml:space="preserve">2 x Laterais C:3,50x L:1,96x2 X 2 LADOS + Testa: C:3,40 x l:0,60x 2 + Muro de arrimo 6.13 x 1,55 x 2 </t>
  </si>
  <si>
    <t>2 x Laterais C:3,50x L:0,60x Hm: 2,27 X 2 LADOS + Testa: C:3,40 x l:0,60x H:0,60</t>
  </si>
  <si>
    <t>2 x Base - 14,30 m²X H:0,20 + 1 x Muro de arrimo 6,13x1,55x0,20</t>
  </si>
  <si>
    <t>2 x Volume concreto x 120 KG/m³</t>
  </si>
  <si>
    <t>2.3.6</t>
  </si>
  <si>
    <t>Levantamento em projeto 86,00 m²</t>
  </si>
  <si>
    <t>Levantamento em projeto 108,00 m²</t>
  </si>
  <si>
    <t>2.2.12</t>
  </si>
  <si>
    <t>2.2.13</t>
  </si>
  <si>
    <t>2.2.14</t>
  </si>
  <si>
    <t>Coforme projeto 107,50 m² x 0,05</t>
  </si>
  <si>
    <t>Coforme projeto 107,50 m² x 0,10</t>
  </si>
  <si>
    <t>Coforme projeto 18,00 x 2 lados x 0,45x0,15</t>
  </si>
  <si>
    <t>Coforme projeto 18,00 x 2 lados</t>
  </si>
  <si>
    <t>Coforme projeto 18,00 x 2 lados x 0,60 x 0,10</t>
  </si>
  <si>
    <t>Conforme projeto 279,90 x 0,05</t>
  </si>
  <si>
    <t>Conforme projeto 279,90 x 0,20</t>
  </si>
  <si>
    <t>Conforme projeto 279,90m² x 2 aplicações</t>
  </si>
  <si>
    <t xml:space="preserve">Conforme projeto 279,90 </t>
  </si>
  <si>
    <t xml:space="preserve">Reforço de solo base pavimento asfaltico 279,90 x 0,40 </t>
  </si>
  <si>
    <t xml:space="preserve">Escavação para reforço de solo base pavimento asfaltico 279,90 x 0,40 </t>
  </si>
  <si>
    <t>TRAVESSIA 01 - RUA JOAQUIM TOMAS DE FREITAS</t>
  </si>
  <si>
    <t xml:space="preserve">calçada (120.70 m² x 0,10) </t>
  </si>
  <si>
    <t>Volume de demolição pavimento asflaatico 491,50 x 0,10 + passeio 12,07 m³</t>
  </si>
  <si>
    <t>Demolição aduelas danificadas 6 aduelas eixo 2.20x 4 lados x1.00x0.20</t>
  </si>
  <si>
    <t>03.02.040</t>
  </si>
  <si>
    <t>Demolição manual de alvenaria de elevação ou elemento vazado, incluindo revestimento</t>
  </si>
  <si>
    <t>Mureta proteção travessia 2 x 14,00 x 1,00x 0,20</t>
  </si>
  <si>
    <t xml:space="preserve">221,90 X 2,77 - ÁREA ADUELAS 16,00 X 2,40 X 2,40 </t>
  </si>
  <si>
    <t>Desassoreamento C16.00xL:6,00xh2,41 - área aduelas C:16.00x2,40x2,40</t>
  </si>
  <si>
    <t>Base aduelas = C:10,00 x L:3,40 x H:0,60</t>
  </si>
  <si>
    <t>Escavação 522,50,00 m³ - bgs:5,10m³- rachão:40,80 - concreto: 5,10 - área aduela 16,00x2,40x2,40</t>
  </si>
  <si>
    <t>2 x Base 11,20 m2 x h: 1,20 m</t>
  </si>
  <si>
    <t>2 x Base - 11.20 m x L:3,40 x H:0,20</t>
  </si>
  <si>
    <t>2 x Base - 14,30m x H:0,20</t>
  </si>
  <si>
    <t>2 x Base 14,30 m x h: 1,20 m</t>
  </si>
  <si>
    <t>2 x Base - 11,20 m²X H:0,20 + 1 x Muro de arrimo 5,13x1,55x0,20</t>
  </si>
  <si>
    <t>14.11.271</t>
  </si>
  <si>
    <t>Alvenaria de bloco de concreto estrutural 19 x 19 x 39 cm - classe A</t>
  </si>
  <si>
    <t>2.4.10</t>
  </si>
  <si>
    <t>Proteção travessia 31,40 m X 1.00 X 2 Lados</t>
  </si>
  <si>
    <t>Proteção travessia 24,36 m X 1.00 X 2 Lados</t>
  </si>
  <si>
    <t>Conforme projeto 491,50x 0,20</t>
  </si>
  <si>
    <t>Conforme projeto 491,50m² x 2 aplicações</t>
  </si>
  <si>
    <t>Conforme projeto 491,50</t>
  </si>
  <si>
    <t>Conforme projeto 491,50x 0,05</t>
  </si>
  <si>
    <t>Coforme projeto 14,00 x 2 lados x 0,60 x 0,10</t>
  </si>
  <si>
    <t>Coforme projeto 14,00 x 2 lados</t>
  </si>
  <si>
    <t>Coforme projeto 120,70 m² x 0,10</t>
  </si>
  <si>
    <t>Coforme projeto 120,70 m² x 0,05</t>
  </si>
  <si>
    <t>Coforme projeto 14,00 x 2 lados x 0,45x0,15</t>
  </si>
  <si>
    <t>TRAVESSIA 03 - RUA JOÃO MARCONDES</t>
  </si>
  <si>
    <t>Pavimento Asfáltico 279,90 m² - Área desassoreada152,80 m²</t>
  </si>
  <si>
    <t>Área pavimento asfáltico 491,50m²</t>
  </si>
  <si>
    <t>Pavimento Asfáltico 530,77 m² - Área desassoreada 195,70 m²</t>
  </si>
  <si>
    <t xml:space="preserve">calçada (86,00m² x 0,10) </t>
  </si>
  <si>
    <t>Retirada de guias danificadas 16.00 m  x 2</t>
  </si>
  <si>
    <t>Demolição de sarjetas danificadas 14.00 x 2 x 0.45 x 0.15</t>
  </si>
  <si>
    <t>Transporte área de desassoreamento 144,00 m³ + escavação 891,67 m³ + 30%</t>
  </si>
  <si>
    <t>Desassoreamento 144,00 m³ + Área da escavação 891,67 m³ + 30% empolamento</t>
  </si>
  <si>
    <t>Volume de demolição pavimento asflatico 279,90 x 0,08 + passeio 6,55 m³</t>
  </si>
  <si>
    <t xml:space="preserve">152,80 m²/2 x h:2,41 + base:1,55 </t>
  </si>
  <si>
    <t>195,70 m²/2 x 3,91  + base aduelas 24.00 x 3,40 x 1,55</t>
  </si>
  <si>
    <t>Base Aduelas = C:24,00 x L:3,40 x H:0,60</t>
  </si>
  <si>
    <t>Base Aduelas - 24.00 m x L:3,40 x H:0,15</t>
  </si>
  <si>
    <t>Base aduelas =  24,00 x L:3,40 x H:1,20</t>
  </si>
  <si>
    <t>Aduelas - 24.00 m x L:3,40 x H:0,15</t>
  </si>
  <si>
    <t>Laterais escavação = C: 24,00 x H:3,96 x 2 lados</t>
  </si>
  <si>
    <t>Base aduelas = C:24,00 x L:3,40 x H:0,60</t>
  </si>
  <si>
    <t>Desassoreamento C15,77xL:6,00xh2,77 - área aduelas C:15,77x2,40x2,40</t>
  </si>
  <si>
    <t>Levantamento em projeto 216,00 m²</t>
  </si>
  <si>
    <t>Conforme projeto 530,77 x 0,20</t>
  </si>
  <si>
    <t>Conforme projeto 530,77</t>
  </si>
  <si>
    <t>Conforme projeto 530,77m² x 2 aplicações</t>
  </si>
  <si>
    <t>Conforme projeto 530,77 x 0,05</t>
  </si>
  <si>
    <t xml:space="preserve">Reforço de solo base pavimento asfaltico 530,77x 0,40 </t>
  </si>
  <si>
    <t>Escavação para reforço de solo base pavimento asfaltico 530,97- erosão 195,70</t>
  </si>
  <si>
    <t>Coforme projeto 14,65 m + 17,78 + 36,00</t>
  </si>
  <si>
    <t>Proteção travessia 23,90 m X 1.00 X 2 Lados</t>
  </si>
  <si>
    <t>Coforme projeto 132,50 m² x 0,10</t>
  </si>
  <si>
    <t>Coforme projeto 132,50 m² x 0,05</t>
  </si>
  <si>
    <t>Coforme projeto 96,86 x 2 lados x 0,45x0,15</t>
  </si>
  <si>
    <t>Coforme projeto 96,86 x 0,60 x 0,10</t>
  </si>
  <si>
    <t>2.4.11</t>
  </si>
  <si>
    <t>2.4.12</t>
  </si>
  <si>
    <t>3.1.6</t>
  </si>
  <si>
    <t>3.1.7</t>
  </si>
  <si>
    <t>3.3.6</t>
  </si>
  <si>
    <t>1.0.1</t>
  </si>
  <si>
    <t>1.0.2</t>
  </si>
  <si>
    <t>1.0.3</t>
  </si>
  <si>
    <t>1.0.4</t>
  </si>
  <si>
    <t>4.1.5</t>
  </si>
  <si>
    <t>4.2.12</t>
  </si>
  <si>
    <t>4.2.13</t>
  </si>
  <si>
    <t>4.2.14</t>
  </si>
  <si>
    <t>4.3.6</t>
  </si>
  <si>
    <t>4.4.10</t>
  </si>
  <si>
    <t>4.4.11</t>
  </si>
  <si>
    <t>4.4.12</t>
  </si>
  <si>
    <t>MEMÓRIA DE CÁLCULO</t>
  </si>
  <si>
    <t>55.01.020</t>
  </si>
  <si>
    <t>Limpeza final da obra</t>
  </si>
  <si>
    <t>DRENAGEM SUPERFICIAL</t>
  </si>
  <si>
    <t>DEMOLIÇÕES E ESCAVAÇÕES</t>
  </si>
  <si>
    <t xml:space="preserve">DRENAGEM </t>
  </si>
  <si>
    <t>5.1</t>
  </si>
  <si>
    <t>5.1.0</t>
  </si>
  <si>
    <t>5.1.1</t>
  </si>
  <si>
    <t>5.1.2</t>
  </si>
  <si>
    <t>5.1.3</t>
  </si>
  <si>
    <t>5.1.4</t>
  </si>
  <si>
    <t>5.1.5</t>
  </si>
  <si>
    <t>5.2</t>
  </si>
  <si>
    <t>5.2.0</t>
  </si>
  <si>
    <t>5.2.1</t>
  </si>
  <si>
    <t>5.2.2</t>
  </si>
  <si>
    <t>5.2.3</t>
  </si>
  <si>
    <t>5.2.4</t>
  </si>
  <si>
    <t>5.2.5</t>
  </si>
  <si>
    <t>5.2.6</t>
  </si>
  <si>
    <t>5.3</t>
  </si>
  <si>
    <t>5.3.0</t>
  </si>
  <si>
    <t>5.3.1</t>
  </si>
  <si>
    <t>5.3.2</t>
  </si>
  <si>
    <t>5.3.3</t>
  </si>
  <si>
    <t>5.3.4</t>
  </si>
  <si>
    <t>5.3.5</t>
  </si>
  <si>
    <t>46.12.300</t>
  </si>
  <si>
    <t>Tubo de concreto (PA-2), DN= 500mm</t>
  </si>
  <si>
    <t>UN</t>
  </si>
  <si>
    <t>49.12.030</t>
  </si>
  <si>
    <t>Boca de lobo dupla tipo PMSP com tampa de concreto</t>
  </si>
  <si>
    <t>Pavimento Asfáltico 125,55 m² - Demolição Asfalto</t>
  </si>
  <si>
    <t>Volume de demolição pavimento asflatico 125,55 x 0,08 + passeio 15,60 m³ + sarjeta 7,02 m³</t>
  </si>
  <si>
    <t>Retirada de guias danificadas para execução de boca de lobo 26 x 3.00</t>
  </si>
  <si>
    <t>Demolição calçada para execução de boca de lobo = 26 x 3,0x1,5 x 0,10</t>
  </si>
  <si>
    <t>Escavação para assentamento de tubos 303,65 x 1,00 x 1,40</t>
  </si>
  <si>
    <t>Escavação 425,11 m³ - área dos tubos 3,14x0,25x0,25x303,65 - bica corrida 6,63 m³ + 30% empolamento</t>
  </si>
  <si>
    <t>Conforme projeto 26 unidades</t>
  </si>
  <si>
    <t>Base assentamento de tubos 303,65 m x 1,00 x 0,10</t>
  </si>
  <si>
    <t>Conforme projeto 303,65 m</t>
  </si>
  <si>
    <t>Escavação 425,11 m³ - Transporte 116,94 m²</t>
  </si>
  <si>
    <t>Conforme projeto 125,55 x 0,20</t>
  </si>
  <si>
    <t>Conforme projeto 125,55</t>
  </si>
  <si>
    <t>Conforme projeto 125,55m² x 2 aplicações</t>
  </si>
  <si>
    <t>Conforme projeto 125,55 x 0,05</t>
  </si>
  <si>
    <t>Conforme projeto 125,55x 0,05</t>
  </si>
  <si>
    <t>Coforme projeto 78,00 x 0,60 x 0,10</t>
  </si>
  <si>
    <t>Reparos abertura de caixas 2x26</t>
  </si>
  <si>
    <t>Coforme projeto 2 x 26 x 0,45x0,15</t>
  </si>
  <si>
    <t>3.00 m² por boca de lobo 3x26x0,10</t>
  </si>
  <si>
    <t>Coforme projeto 78 m² x 0,05</t>
  </si>
  <si>
    <t>Conforme projeto - Laterais 1.67+1.20+1.67 x 1,20 x 0,30 + fundo 3,20 m² x 0,20</t>
  </si>
  <si>
    <t>9,00 m2 por embocadura 9x13</t>
  </si>
  <si>
    <t>Base muro de ala 3,20m²x0,50x13</t>
  </si>
  <si>
    <t>3,20 m2 x 0,20 x 13</t>
  </si>
  <si>
    <t>Laterais 1.67+1.20+1.67 x 1,20 x 2 lados x 6 - reaproveitamento 2 x</t>
  </si>
  <si>
    <t>Escavação 13 x 3,20 m² x 1,50</t>
  </si>
  <si>
    <t>54.06.040</t>
  </si>
  <si>
    <t>Guia pré-moldada reta tipo PMSP 100 - fck 25 MPa</t>
  </si>
  <si>
    <t>5.4</t>
  </si>
  <si>
    <t>5.4.0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</si>
  <si>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</si>
  <si>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</si>
  <si>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</si>
  <si>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</si>
  <si>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</si>
  <si>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</si>
  <si>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</si>
  <si>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</si>
  <si>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</si>
  <si>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6.0</t>
  </si>
  <si>
    <t>6.0.1</t>
  </si>
  <si>
    <t>c</t>
  </si>
  <si>
    <t>TRAVESSIA 02 - RUA BENEDITO MACEDO CARVALHO FILHO</t>
  </si>
  <si>
    <t>CRONOGRAMA FISICO FINANCEIRO</t>
  </si>
  <si>
    <t>Item</t>
  </si>
  <si>
    <t>Especificação dos Serviços</t>
  </si>
  <si>
    <t>%</t>
  </si>
  <si>
    <t>TOTAL PARCIAL</t>
  </si>
  <si>
    <t>TOTAL MENSAL</t>
  </si>
  <si>
    <t>% MENSAL</t>
  </si>
  <si>
    <t>% ACUMULADO</t>
  </si>
  <si>
    <t>RECONSTRUÇÃO DE TRAVESSIAS EM ADUELAS DE CONCRETO ARMADO - CAÇAPAVA-SP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</si>
  <si>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</si>
  <si>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</si>
  <si>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</si>
  <si>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</si>
  <si>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</si>
  <si>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</si>
  <si>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</si>
  <si>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</si>
  <si>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3.4</t>
  </si>
  <si>
    <t>3.4.0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</si>
  <si>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</si>
  <si>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</si>
  <si>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</si>
  <si>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</si>
  <si>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</si>
  <si>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</si>
  <si>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</si>
  <si>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</si>
  <si>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</si>
  <si>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</si>
  <si>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</si>
  <si>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</si>
  <si>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SERVIÇOS COMPLEMENTARES.</t>
  </si>
  <si>
    <t>CDHU -185</t>
  </si>
  <si>
    <t>SIURB - 01/2022</t>
  </si>
  <si>
    <t xml:space="preserve">BDI </t>
  </si>
  <si>
    <t xml:space="preserve">TOTAL C/BDI </t>
  </si>
  <si>
    <t xml:space="preserve">TOTAL MENSAL C/BDI </t>
  </si>
  <si>
    <t xml:space="preserve">TOTAL ACUMULADO COM BDI </t>
  </si>
  <si>
    <t>TRAVESSIA 03 - RUA JOÃO
MARCONDES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</si>
</sst>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0\-00\-00"/>
    <numFmt numFmtId="167" formatCode="&quot;R$&quot;\ #,##0.00"/>
    <numFmt numFmtId="168" formatCode="_(* #,##0.000_);_(* \(#,##0.000\);_(* \-_);_(@_)"/>
    <numFmt numFmtId="169" formatCode="0&quot;º Mês&quot;"/>
    <numFmt numFmtId="170" formatCode="_(&quot;R$ &quot;* #,##0.00_);_(&quot;R$ &quot;* \(#,##0.00\);_(&quot;R$ &quot;* \-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 Rounded MT Bold"/>
      <family val="2"/>
    </font>
    <font>
      <b/>
      <sz val="9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10" fillId="0" borderId="0"/>
    <xf numFmtId="0" fontId="11" fillId="0" borderId="0"/>
    <xf numFmtId="165" fontId="11" fillId="0" borderId="0" applyFont="0" applyFill="0" applyBorder="0" applyAlignment="0" applyProtection="0"/>
    <xf numFmtId="0" fontId="13" fillId="0" borderId="0"/>
    <xf numFmtId="0" fontId="3" fillId="0" borderId="0"/>
    <xf numFmtId="170" fontId="3" fillId="0" borderId="0" applyFill="0" applyBorder="0" applyAlignment="0" applyProtection="0"/>
  </cellStyleXfs>
  <cellXfs count="177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3" borderId="0" xfId="0" applyNumberFormat="1" applyFill="1" applyAlignment="1">
      <alignment vertical="center"/>
    </xf>
    <xf numFmtId="0" fontId="8" fillId="0" borderId="0" xfId="8" applyFont="1" applyBorder="1" applyAlignment="1">
      <alignment wrapText="1"/>
    </xf>
    <xf numFmtId="4" fontId="0" fillId="0" borderId="0" xfId="0" applyNumberFormat="1" applyAlignment="1">
      <alignment horizontal="left"/>
    </xf>
    <xf numFmtId="4" fontId="5" fillId="2" borderId="1" xfId="0" applyNumberFormat="1" applyFont="1" applyFill="1" applyBorder="1" applyAlignment="1">
      <alignment horizontal="left"/>
    </xf>
    <xf numFmtId="4" fontId="0" fillId="2" borderId="1" xfId="0" applyNumberFormat="1" applyFill="1" applyBorder="1" applyAlignment="1">
      <alignment horizontal="left" wrapText="1"/>
    </xf>
    <xf numFmtId="4" fontId="1" fillId="0" borderId="0" xfId="0" applyNumberFormat="1" applyFont="1" applyBorder="1" applyAlignment="1">
      <alignment horizontal="left"/>
    </xf>
    <xf numFmtId="4" fontId="1" fillId="3" borderId="0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 wrapText="1"/>
    </xf>
    <xf numFmtId="4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8" applyFont="1" applyFill="1" applyBorder="1" applyAlignment="1">
      <alignment horizontal="left" wrapText="1"/>
    </xf>
    <xf numFmtId="4" fontId="2" fillId="3" borderId="1" xfId="8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4" fontId="1" fillId="0" borderId="7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 wrapText="1"/>
    </xf>
    <xf numFmtId="4" fontId="1" fillId="3" borderId="7" xfId="0" applyNumberFormat="1" applyFont="1" applyFill="1" applyBorder="1" applyAlignment="1">
      <alignment horizontal="left"/>
    </xf>
    <xf numFmtId="4" fontId="1" fillId="3" borderId="0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0" fillId="3" borderId="1" xfId="8" applyNumberFormat="1" applyFont="1" applyFill="1" applyBorder="1" applyAlignment="1">
      <alignment horizontal="left" wrapText="1"/>
    </xf>
    <xf numFmtId="4" fontId="0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167" fontId="1" fillId="0" borderId="0" xfId="9" applyNumberFormat="1" applyFont="1" applyBorder="1" applyAlignment="1">
      <alignment horizontal="left"/>
    </xf>
    <xf numFmtId="167" fontId="1" fillId="3" borderId="0" xfId="9" applyNumberFormat="1" applyFont="1" applyFill="1" applyBorder="1" applyAlignment="1">
      <alignment horizontal="left"/>
    </xf>
    <xf numFmtId="167" fontId="6" fillId="2" borderId="1" xfId="9" applyNumberFormat="1" applyFont="1" applyFill="1" applyBorder="1" applyAlignment="1">
      <alignment horizontal="left" wrapText="1"/>
    </xf>
    <xf numFmtId="167" fontId="0" fillId="0" borderId="1" xfId="9" applyNumberFormat="1" applyFont="1" applyBorder="1" applyAlignment="1">
      <alignment horizontal="left"/>
    </xf>
    <xf numFmtId="167" fontId="0" fillId="0" borderId="1" xfId="9" applyNumberFormat="1" applyFont="1" applyBorder="1" applyAlignment="1">
      <alignment horizontal="left" wrapText="1"/>
    </xf>
    <xf numFmtId="167" fontId="0" fillId="3" borderId="1" xfId="9" applyNumberFormat="1" applyFont="1" applyFill="1" applyBorder="1" applyAlignment="1">
      <alignment horizontal="left" wrapText="1"/>
    </xf>
    <xf numFmtId="167" fontId="0" fillId="3" borderId="1" xfId="9" applyNumberFormat="1" applyFont="1" applyFill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7" fontId="0" fillId="3" borderId="1" xfId="0" applyNumberFormat="1" applyFill="1" applyBorder="1" applyAlignment="1">
      <alignment horizontal="left" wrapText="1"/>
    </xf>
    <xf numFmtId="167" fontId="5" fillId="2" borderId="1" xfId="9" applyNumberFormat="1" applyFont="1" applyFill="1" applyBorder="1" applyAlignment="1">
      <alignment horizontal="left"/>
    </xf>
    <xf numFmtId="167" fontId="0" fillId="2" borderId="1" xfId="9" applyNumberFormat="1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167" fontId="0" fillId="0" borderId="1" xfId="0" applyNumberFormat="1" applyFont="1" applyBorder="1" applyAlignment="1">
      <alignment horizontal="left"/>
    </xf>
    <xf numFmtId="167" fontId="0" fillId="3" borderId="1" xfId="0" applyNumberFormat="1" applyFont="1" applyFill="1" applyBorder="1" applyAlignment="1">
      <alignment horizontal="left" wrapText="1"/>
    </xf>
    <xf numFmtId="167" fontId="6" fillId="2" borderId="1" xfId="9" applyNumberFormat="1" applyFont="1" applyFill="1" applyBorder="1" applyAlignment="1">
      <alignment horizontal="left"/>
    </xf>
    <xf numFmtId="167" fontId="1" fillId="0" borderId="1" xfId="9" applyNumberFormat="1" applyFont="1" applyBorder="1" applyAlignment="1">
      <alignment horizontal="left"/>
    </xf>
    <xf numFmtId="4" fontId="0" fillId="0" borderId="0" xfId="0" applyNumberFormat="1" applyBorder="1" applyAlignment="1">
      <alignment horizontal="left" wrapText="1"/>
    </xf>
    <xf numFmtId="167" fontId="0" fillId="0" borderId="0" xfId="9" applyNumberFormat="1" applyFont="1" applyBorder="1" applyAlignment="1">
      <alignment horizontal="left"/>
    </xf>
    <xf numFmtId="4" fontId="6" fillId="2" borderId="1" xfId="0" applyNumberFormat="1" applyFont="1" applyFill="1" applyBorder="1" applyAlignment="1">
      <alignment horizontal="left" wrapText="1"/>
    </xf>
    <xf numFmtId="167" fontId="1" fillId="4" borderId="1" xfId="9" applyNumberFormat="1" applyFont="1" applyFill="1" applyBorder="1" applyAlignment="1">
      <alignment horizontal="left"/>
    </xf>
    <xf numFmtId="167" fontId="1" fillId="4" borderId="1" xfId="0" applyNumberFormat="1" applyFont="1" applyFill="1" applyBorder="1" applyAlignment="1">
      <alignment horizontal="left" wrapText="1"/>
    </xf>
    <xf numFmtId="4" fontId="6" fillId="4" borderId="1" xfId="0" applyNumberFormat="1" applyFont="1" applyFill="1" applyBorder="1" applyAlignment="1">
      <alignment horizontal="left"/>
    </xf>
    <xf numFmtId="167" fontId="6" fillId="4" borderId="1" xfId="9" applyNumberFormat="1" applyFont="1" applyFill="1" applyBorder="1" applyAlignment="1">
      <alignment horizontal="left"/>
    </xf>
    <xf numFmtId="4" fontId="0" fillId="0" borderId="8" xfId="0" applyNumberFormat="1" applyBorder="1" applyAlignment="1">
      <alignment horizontal="left" wrapText="1"/>
    </xf>
    <xf numFmtId="4" fontId="0" fillId="0" borderId="10" xfId="0" applyNumberFormat="1" applyBorder="1" applyAlignment="1">
      <alignment horizontal="left"/>
    </xf>
    <xf numFmtId="4" fontId="0" fillId="3" borderId="10" xfId="0" applyNumberFormat="1" applyFill="1" applyBorder="1" applyAlignment="1">
      <alignment horizontal="left"/>
    </xf>
    <xf numFmtId="4" fontId="0" fillId="3" borderId="10" xfId="0" applyNumberFormat="1" applyFill="1" applyBorder="1" applyAlignment="1">
      <alignment horizontal="left" wrapText="1"/>
    </xf>
    <xf numFmtId="167" fontId="0" fillId="3" borderId="10" xfId="9" applyNumberFormat="1" applyFont="1" applyFill="1" applyBorder="1" applyAlignment="1">
      <alignment horizontal="left"/>
    </xf>
    <xf numFmtId="4" fontId="6" fillId="2" borderId="9" xfId="0" applyNumberFormat="1" applyFont="1" applyFill="1" applyBorder="1" applyAlignment="1">
      <alignment horizontal="left" wrapText="1"/>
    </xf>
    <xf numFmtId="167" fontId="6" fillId="2" borderId="9" xfId="9" applyNumberFormat="1" applyFont="1" applyFill="1" applyBorder="1" applyAlignment="1">
      <alignment horizontal="left" wrapText="1"/>
    </xf>
    <xf numFmtId="4" fontId="1" fillId="5" borderId="18" xfId="0" applyNumberFormat="1" applyFont="1" applyFill="1" applyBorder="1" applyAlignment="1">
      <alignment horizontal="left" wrapText="1"/>
    </xf>
    <xf numFmtId="167" fontId="1" fillId="5" borderId="20" xfId="9" applyNumberFormat="1" applyFont="1" applyFill="1" applyBorder="1" applyAlignment="1">
      <alignment horizontal="left"/>
    </xf>
    <xf numFmtId="4" fontId="6" fillId="4" borderId="9" xfId="0" applyNumberFormat="1" applyFont="1" applyFill="1" applyBorder="1" applyAlignment="1">
      <alignment horizontal="left"/>
    </xf>
    <xf numFmtId="167" fontId="6" fillId="4" borderId="9" xfId="9" applyNumberFormat="1" applyFont="1" applyFill="1" applyBorder="1" applyAlignment="1">
      <alignment horizontal="left"/>
    </xf>
    <xf numFmtId="4" fontId="6" fillId="5" borderId="18" xfId="0" applyNumberFormat="1" applyFont="1" applyFill="1" applyBorder="1" applyAlignment="1">
      <alignment horizontal="left"/>
    </xf>
    <xf numFmtId="167" fontId="6" fillId="5" borderId="20" xfId="9" applyNumberFormat="1" applyFont="1" applyFill="1" applyBorder="1" applyAlignment="1">
      <alignment horizontal="left"/>
    </xf>
    <xf numFmtId="4" fontId="1" fillId="4" borderId="9" xfId="0" applyNumberFormat="1" applyFont="1" applyFill="1" applyBorder="1" applyAlignment="1">
      <alignment horizontal="left"/>
    </xf>
    <xf numFmtId="167" fontId="1" fillId="4" borderId="9" xfId="9" applyNumberFormat="1" applyFont="1" applyFill="1" applyBorder="1" applyAlignment="1">
      <alignment horizontal="left"/>
    </xf>
    <xf numFmtId="4" fontId="1" fillId="5" borderId="18" xfId="0" applyNumberFormat="1" applyFont="1" applyFill="1" applyBorder="1" applyAlignment="1">
      <alignment horizontal="left"/>
    </xf>
    <xf numFmtId="167" fontId="1" fillId="5" borderId="19" xfId="0" applyNumberFormat="1" applyFont="1" applyFill="1" applyBorder="1" applyAlignment="1">
      <alignment horizontal="left"/>
    </xf>
    <xf numFmtId="167" fontId="1" fillId="5" borderId="20" xfId="0" applyNumberFormat="1" applyFont="1" applyFill="1" applyBorder="1" applyAlignment="1">
      <alignment horizontal="left"/>
    </xf>
    <xf numFmtId="4" fontId="1" fillId="0" borderId="8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4" fontId="6" fillId="4" borderId="1" xfId="0" applyNumberFormat="1" applyFon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15" fillId="6" borderId="0" xfId="14" applyFont="1" applyFill="1" applyBorder="1" applyAlignment="1">
      <alignment horizontal="center" vertical="center"/>
    </xf>
    <xf numFmtId="0" fontId="15" fillId="0" borderId="0" xfId="14" applyFont="1" applyBorder="1" applyAlignment="1">
      <alignment vertical="center"/>
    </xf>
    <xf numFmtId="10" fontId="15" fillId="6" borderId="0" xfId="14" applyNumberFormat="1" applyFont="1" applyFill="1" applyBorder="1" applyAlignment="1">
      <alignment horizontal="center" vertical="center" wrapText="1"/>
    </xf>
    <xf numFmtId="10" fontId="15" fillId="6" borderId="0" xfId="15" applyNumberFormat="1" applyFont="1" applyFill="1" applyBorder="1" applyAlignment="1" applyProtection="1">
      <alignment horizontal="center" vertical="center"/>
    </xf>
    <xf numFmtId="0" fontId="15" fillId="0" borderId="1" xfId="14" applyFont="1" applyBorder="1" applyAlignment="1">
      <alignment vertical="center"/>
    </xf>
    <xf numFmtId="10" fontId="15" fillId="6" borderId="1" xfId="14" applyNumberFormat="1" applyFont="1" applyFill="1" applyBorder="1" applyAlignment="1">
      <alignment horizontal="center" vertical="center"/>
    </xf>
    <xf numFmtId="170" fontId="15" fillId="6" borderId="1" xfId="15" applyFont="1" applyFill="1" applyBorder="1" applyAlignment="1" applyProtection="1">
      <alignment horizontal="center" vertical="center"/>
    </xf>
    <xf numFmtId="170" fontId="14" fillId="6" borderId="1" xfId="15" applyFont="1" applyFill="1" applyBorder="1" applyAlignment="1" applyProtection="1">
      <alignment horizontal="center" vertical="center"/>
    </xf>
    <xf numFmtId="10" fontId="15" fillId="6" borderId="1" xfId="15" applyNumberFormat="1" applyFont="1" applyFill="1" applyBorder="1" applyAlignment="1" applyProtection="1">
      <alignment horizontal="center" vertical="center"/>
    </xf>
    <xf numFmtId="10" fontId="14" fillId="6" borderId="1" xfId="15" applyNumberFormat="1" applyFont="1" applyFill="1" applyBorder="1" applyAlignment="1" applyProtection="1">
      <alignment horizontal="center" vertical="center"/>
    </xf>
    <xf numFmtId="167" fontId="15" fillId="0" borderId="25" xfId="0" applyNumberFormat="1" applyFont="1" applyBorder="1"/>
    <xf numFmtId="167" fontId="14" fillId="6" borderId="1" xfId="15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70" fontId="0" fillId="0" borderId="0" xfId="0" applyNumberFormat="1"/>
    <xf numFmtId="4" fontId="1" fillId="5" borderId="26" xfId="0" applyNumberFormat="1" applyFont="1" applyFill="1" applyBorder="1" applyAlignment="1"/>
    <xf numFmtId="4" fontId="1" fillId="5" borderId="27" xfId="0" applyNumberFormat="1" applyFont="1" applyFill="1" applyBorder="1" applyAlignment="1"/>
    <xf numFmtId="4" fontId="1" fillId="5" borderId="28" xfId="0" applyNumberFormat="1" applyFont="1" applyFill="1" applyBorder="1" applyAlignment="1"/>
    <xf numFmtId="0" fontId="14" fillId="0" borderId="1" xfId="14" applyFont="1" applyBorder="1" applyAlignment="1">
      <alignment horizontal="center" vertical="center"/>
    </xf>
    <xf numFmtId="169" fontId="14" fillId="0" borderId="1" xfId="14" applyNumberFormat="1" applyFont="1" applyBorder="1" applyAlignment="1">
      <alignment horizontal="center" vertical="center"/>
    </xf>
    <xf numFmtId="167" fontId="14" fillId="0" borderId="1" xfId="14" applyNumberFormat="1" applyFont="1" applyBorder="1" applyAlignment="1">
      <alignment horizontal="center" vertical="center" wrapText="1"/>
    </xf>
    <xf numFmtId="167" fontId="15" fillId="0" borderId="1" xfId="0" applyNumberFormat="1" applyFont="1" applyBorder="1"/>
    <xf numFmtId="170" fontId="15" fillId="6" borderId="1" xfId="15" applyFont="1" applyFill="1" applyBorder="1" applyAlignment="1" applyProtection="1">
      <alignment horizontal="center" vertical="center"/>
    </xf>
    <xf numFmtId="4" fontId="15" fillId="6" borderId="1" xfId="15" applyNumberFormat="1" applyFont="1" applyFill="1" applyBorder="1" applyAlignment="1" applyProtection="1">
      <alignment horizontal="center" vertical="center"/>
    </xf>
    <xf numFmtId="0" fontId="15" fillId="6" borderId="1" xfId="14" applyFont="1" applyFill="1" applyBorder="1" applyAlignment="1">
      <alignment horizontal="center" vertical="center"/>
    </xf>
    <xf numFmtId="49" fontId="15" fillId="6" borderId="1" xfId="14" applyNumberFormat="1" applyFont="1" applyFill="1" applyBorder="1" applyAlignment="1">
      <alignment horizontal="left" vertical="center" wrapText="1"/>
    </xf>
    <xf numFmtId="10" fontId="15" fillId="6" borderId="1" xfId="14" applyNumberFormat="1" applyFont="1" applyFill="1" applyBorder="1" applyAlignment="1">
      <alignment horizontal="center" vertical="center" wrapText="1"/>
    </xf>
    <xf numFmtId="10" fontId="14" fillId="6" borderId="1" xfId="14" applyNumberFormat="1" applyFont="1" applyFill="1" applyBorder="1" applyAlignment="1">
      <alignment horizontal="center" vertical="center" wrapText="1"/>
    </xf>
    <xf numFmtId="170" fontId="15" fillId="6" borderId="1" xfId="15" applyNumberFormat="1" applyFont="1" applyFill="1" applyBorder="1" applyAlignment="1" applyProtection="1">
      <alignment horizontal="center" vertical="center"/>
    </xf>
    <xf numFmtId="167" fontId="14" fillId="0" borderId="1" xfId="0" applyNumberFormat="1" applyFont="1" applyBorder="1"/>
    <xf numFmtId="4" fontId="1" fillId="2" borderId="1" xfId="0" applyNumberFormat="1" applyFont="1" applyFill="1" applyBorder="1" applyAlignment="1">
      <alignment horizontal="left" wrapText="1"/>
    </xf>
    <xf numFmtId="4" fontId="1" fillId="5" borderId="19" xfId="0" applyNumberFormat="1" applyFont="1" applyFill="1" applyBorder="1" applyAlignment="1">
      <alignment horizontal="left"/>
    </xf>
    <xf numFmtId="4" fontId="1" fillId="4" borderId="9" xfId="0" applyNumberFormat="1" applyFont="1" applyFill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4" fontId="1" fillId="4" borderId="1" xfId="0" applyNumberFormat="1" applyFont="1" applyFill="1" applyBorder="1" applyAlignment="1">
      <alignment horizontal="left" wrapText="1"/>
    </xf>
    <xf numFmtId="4" fontId="6" fillId="4" borderId="9" xfId="0" applyNumberFormat="1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left"/>
    </xf>
    <xf numFmtId="4" fontId="6" fillId="2" borderId="9" xfId="0" applyNumberFormat="1" applyFont="1" applyFill="1" applyBorder="1" applyAlignment="1">
      <alignment horizontal="left" wrapText="1"/>
    </xf>
    <xf numFmtId="4" fontId="1" fillId="5" borderId="19" xfId="0" applyNumberFormat="1" applyFont="1" applyFill="1" applyBorder="1" applyAlignment="1">
      <alignment horizontal="left" wrapText="1"/>
    </xf>
    <xf numFmtId="4" fontId="6" fillId="5" borderId="19" xfId="0" applyNumberFormat="1" applyFon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1" fillId="2" borderId="5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left"/>
    </xf>
    <xf numFmtId="167" fontId="1" fillId="0" borderId="0" xfId="9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0" borderId="24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4" fontId="0" fillId="3" borderId="22" xfId="0" applyNumberFormat="1" applyFill="1" applyBorder="1" applyAlignment="1">
      <alignment horizontal="center"/>
    </xf>
    <xf numFmtId="4" fontId="0" fillId="3" borderId="23" xfId="0" applyNumberFormat="1" applyFill="1" applyBorder="1" applyAlignment="1">
      <alignment horizontal="center"/>
    </xf>
    <xf numFmtId="170" fontId="15" fillId="6" borderId="1" xfId="15" applyFont="1" applyFill="1" applyBorder="1" applyAlignment="1" applyProtection="1">
      <alignment horizontal="center" vertical="center"/>
    </xf>
    <xf numFmtId="10" fontId="15" fillId="6" borderId="1" xfId="15" applyNumberFormat="1" applyFont="1" applyFill="1" applyBorder="1" applyAlignment="1" applyProtection="1">
      <alignment horizontal="center" vertical="center"/>
    </xf>
    <xf numFmtId="4" fontId="15" fillId="6" borderId="1" xfId="14" applyNumberFormat="1" applyFont="1" applyFill="1" applyBorder="1" applyAlignment="1">
      <alignment horizontal="center" vertical="center"/>
    </xf>
    <xf numFmtId="0" fontId="15" fillId="6" borderId="1" xfId="14" applyFont="1" applyFill="1" applyBorder="1" applyAlignment="1">
      <alignment horizontal="center" vertical="center"/>
    </xf>
    <xf numFmtId="49" fontId="15" fillId="6" borderId="1" xfId="14" applyNumberFormat="1" applyFont="1" applyFill="1" applyBorder="1" applyAlignment="1">
      <alignment horizontal="left" vertical="center" wrapText="1"/>
    </xf>
    <xf numFmtId="10" fontId="15" fillId="6" borderId="1" xfId="14" applyNumberFormat="1" applyFont="1" applyFill="1" applyBorder="1" applyAlignment="1">
      <alignment horizontal="center" vertical="center" wrapText="1"/>
    </xf>
    <xf numFmtId="4" fontId="14" fillId="6" borderId="1" xfId="14" applyNumberFormat="1" applyFont="1" applyFill="1" applyBorder="1" applyAlignment="1">
      <alignment horizontal="center" vertical="center"/>
    </xf>
    <xf numFmtId="0" fontId="14" fillId="6" borderId="1" xfId="14" applyFont="1" applyFill="1" applyBorder="1" applyAlignment="1">
      <alignment horizontal="center" vertical="center"/>
    </xf>
    <xf numFmtId="49" fontId="14" fillId="6" borderId="1" xfId="14" applyNumberFormat="1" applyFont="1" applyFill="1" applyBorder="1" applyAlignment="1">
      <alignment horizontal="left" vertical="center" wrapText="1"/>
    </xf>
    <xf numFmtId="168" fontId="14" fillId="0" borderId="0" xfId="13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left" vertical="center"/>
    </xf>
    <xf numFmtId="4" fontId="1" fillId="0" borderId="29" xfId="0" applyNumberFormat="1" applyFont="1" applyBorder="1" applyAlignment="1">
      <alignment horizontal="left" vertical="center"/>
    </xf>
    <xf numFmtId="4" fontId="1" fillId="0" borderId="30" xfId="0" applyNumberFormat="1" applyFont="1" applyBorder="1" applyAlignment="1">
      <alignment horizontal="left" vertical="center"/>
    </xf>
    <xf numFmtId="4" fontId="1" fillId="0" borderId="31" xfId="0" applyNumberFormat="1" applyFont="1" applyBorder="1" applyAlignment="1">
      <alignment horizontal="left" vertical="center"/>
    </xf>
  </cellXfs>
  <cellStyles count="16">
    <cellStyle name="Moeda" xfId="9" builtinId="4"/>
    <cellStyle name="Moeda_SOP.002.03-20.01.03 Tapa Buraco" xfId="15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2 3" xfId="11" xr:uid="{00000000-0005-0000-0000-000005000000}"/>
    <cellStyle name="Normal 3" xfId="1" xr:uid="{00000000-0005-0000-0000-000006000000}"/>
    <cellStyle name="Normal 4" xfId="7" xr:uid="{00000000-0005-0000-0000-000007000000}"/>
    <cellStyle name="Normal 5" xfId="10" xr:uid="{00000000-0005-0000-0000-000008000000}"/>
    <cellStyle name="Normal_MEDIÇÕES CONTRATO" xfId="13" xr:uid="{00000000-0005-0000-0000-000009000000}"/>
    <cellStyle name="Normal_Plan1" xfId="8" xr:uid="{00000000-0005-0000-0000-00000A000000}"/>
    <cellStyle name="Normal_SOP.002.03-20.01.03 Tapa Buraco" xfId="14" xr:uid="{00000000-0005-0000-0000-00000B000000}"/>
    <cellStyle name="Porcentagem 2" xfId="6" xr:uid="{00000000-0005-0000-0000-00000C000000}"/>
    <cellStyle name="Vírgula 2" xfId="3" xr:uid="{00000000-0005-0000-0000-00000D000000}"/>
    <cellStyle name="Vírgula 2 2" xfId="12" xr:uid="{00000000-0005-0000-0000-00000E000000}"/>
    <cellStyle name="Vírgula 3" xfId="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1</xdr:row>
      <xdr:rowOff>76201</xdr:rowOff>
    </xdr:from>
    <xdr:to>
      <xdr:col>2</xdr:col>
      <xdr:colOff>704850</xdr:colOff>
      <xdr:row>7</xdr:row>
      <xdr:rowOff>58261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83C2868-001B-46FA-9413-ADAC09EF5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66701"/>
          <a:ext cx="1057274" cy="1067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281940</xdr:colOff>
      <xdr:row>0</xdr:row>
      <xdr:rowOff>121920</xdr:rowOff>
    </xdr:from>
    <xdr:to>
      <xdr:col>10</xdr:col>
      <xdr:colOff>146685</xdr:colOff>
      <xdr:row>5</xdr:row>
      <xdr:rowOff>17517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94658C4-BA21-445A-84B3-580915A8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7220" y="121920"/>
          <a:ext cx="794385" cy="80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9"/>
  <sheetViews>
    <sheetView view="pageBreakPreview" zoomScale="80" zoomScaleNormal="100" zoomScaleSheetLayoutView="80" workbookViewId="0">
      <selection activeCell="I8" sqref="I8"/>
    </sheetView>
  </sheetViews>
  <sheetFormatPr defaultRowHeight="14.4" x14ac:dyDescent="0.3"/>
  <cols>
    <col min="1" max="1" width="6.5546875" style="9" bestFit="1" customWidth="1"/>
    <col min="2" max="2" width="8" style="9" customWidth="1"/>
    <col min="3" max="3" width="12.88671875" style="9" bestFit="1" customWidth="1"/>
    <col min="4" max="4" width="73" style="38" customWidth="1"/>
    <col min="5" max="5" width="7.44140625" style="9" bestFit="1" customWidth="1"/>
    <col min="6" max="6" width="8.88671875" style="9" bestFit="1" customWidth="1"/>
    <col min="7" max="7" width="12.33203125" style="57" customWidth="1"/>
    <col min="8" max="8" width="16.44140625" style="57" bestFit="1" customWidth="1"/>
    <col min="9" max="9" width="68.109375" style="56" bestFit="1" customWidth="1"/>
    <col min="10" max="10" width="10.109375" style="2" bestFit="1" customWidth="1"/>
  </cols>
  <sheetData>
    <row r="1" spans="1:10" s="4" customFormat="1" ht="15" thickBot="1" x14ac:dyDescent="0.35">
      <c r="A1" s="9"/>
      <c r="B1" s="9"/>
      <c r="C1" s="9"/>
      <c r="D1" s="38"/>
      <c r="E1" s="9"/>
      <c r="F1" s="9"/>
      <c r="G1" s="57"/>
      <c r="H1" s="57"/>
      <c r="I1" s="56"/>
      <c r="J1" s="2"/>
    </row>
    <row r="2" spans="1:10" s="4" customFormat="1" x14ac:dyDescent="0.3">
      <c r="A2" s="167" t="s">
        <v>108</v>
      </c>
      <c r="B2" s="159"/>
      <c r="C2" s="159"/>
      <c r="D2" s="159"/>
      <c r="E2" s="159"/>
      <c r="F2" s="159"/>
      <c r="G2" s="159"/>
      <c r="H2" s="160"/>
      <c r="I2" s="56"/>
      <c r="J2" s="2"/>
    </row>
    <row r="3" spans="1:10" s="4" customFormat="1" x14ac:dyDescent="0.3">
      <c r="A3" s="161"/>
      <c r="B3" s="162"/>
      <c r="C3" s="162"/>
      <c r="D3" s="162"/>
      <c r="E3" s="162"/>
      <c r="F3" s="162"/>
      <c r="G3" s="162"/>
      <c r="H3" s="163"/>
      <c r="I3" s="56"/>
      <c r="J3" s="2"/>
    </row>
    <row r="4" spans="1:10" s="4" customFormat="1" x14ac:dyDescent="0.3">
      <c r="A4" s="161"/>
      <c r="B4" s="162"/>
      <c r="C4" s="162"/>
      <c r="D4" s="162"/>
      <c r="E4" s="162"/>
      <c r="F4" s="162"/>
      <c r="G4" s="162"/>
      <c r="H4" s="163"/>
      <c r="I4" s="56"/>
      <c r="J4" s="2"/>
    </row>
    <row r="5" spans="1:10" s="4" customFormat="1" x14ac:dyDescent="0.3">
      <c r="A5" s="164"/>
      <c r="B5" s="165"/>
      <c r="C5" s="165"/>
      <c r="D5" s="165"/>
      <c r="E5" s="165"/>
      <c r="F5" s="165"/>
      <c r="G5" s="165"/>
      <c r="H5" s="166"/>
      <c r="I5" s="56"/>
      <c r="J5" s="2"/>
    </row>
    <row r="6" spans="1:10" s="4" customFormat="1" x14ac:dyDescent="0.3">
      <c r="A6" s="24"/>
      <c r="B6" s="12"/>
      <c r="C6" s="12"/>
      <c r="D6" s="25"/>
      <c r="E6" s="12"/>
      <c r="F6" s="12"/>
      <c r="G6" s="39"/>
      <c r="H6" s="39"/>
      <c r="I6" s="56"/>
      <c r="J6" s="2"/>
    </row>
    <row r="7" spans="1:10" s="4" customFormat="1" x14ac:dyDescent="0.3">
      <c r="A7" s="26"/>
      <c r="B7" s="27"/>
      <c r="C7" s="27"/>
      <c r="D7" s="28"/>
      <c r="E7" s="138" t="s">
        <v>110</v>
      </c>
      <c r="F7" s="138"/>
      <c r="G7" s="137" t="s">
        <v>440</v>
      </c>
      <c r="H7" s="137"/>
      <c r="I7" s="56"/>
      <c r="J7" s="2"/>
    </row>
    <row r="8" spans="1:10" s="4" customFormat="1" x14ac:dyDescent="0.3">
      <c r="A8" s="26"/>
      <c r="B8" s="27"/>
      <c r="C8" s="27"/>
      <c r="D8" s="28"/>
      <c r="E8" s="138"/>
      <c r="F8" s="138"/>
      <c r="G8" s="137" t="s">
        <v>441</v>
      </c>
      <c r="H8" s="137"/>
      <c r="I8" s="56"/>
      <c r="J8" s="2"/>
    </row>
    <row r="9" spans="1:10" s="4" customFormat="1" x14ac:dyDescent="0.3">
      <c r="A9" s="128" t="s">
        <v>109</v>
      </c>
      <c r="B9" s="129"/>
      <c r="C9" s="129"/>
      <c r="D9" s="129"/>
      <c r="E9" s="129"/>
      <c r="F9" s="129"/>
      <c r="G9" s="129"/>
      <c r="H9" s="130"/>
      <c r="I9" s="56"/>
      <c r="J9" s="2"/>
    </row>
    <row r="10" spans="1:10" s="4" customFormat="1" x14ac:dyDescent="0.3">
      <c r="A10" s="29"/>
      <c r="B10" s="13"/>
      <c r="C10" s="13"/>
      <c r="D10" s="30"/>
      <c r="E10" s="13"/>
      <c r="F10" s="13"/>
      <c r="G10" s="40"/>
      <c r="H10" s="40"/>
      <c r="I10" s="56"/>
      <c r="J10" s="2"/>
    </row>
    <row r="11" spans="1:10" s="4" customFormat="1" x14ac:dyDescent="0.3">
      <c r="A11" s="131" t="s">
        <v>416</v>
      </c>
      <c r="B11" s="132"/>
      <c r="C11" s="132"/>
      <c r="D11" s="132"/>
      <c r="E11" s="132"/>
      <c r="F11" s="132"/>
      <c r="G11" s="132"/>
      <c r="H11" s="133"/>
      <c r="I11" s="56"/>
      <c r="J11" s="2"/>
    </row>
    <row r="12" spans="1:10" ht="15" thickBot="1" x14ac:dyDescent="0.35">
      <c r="A12" s="134"/>
      <c r="B12" s="135"/>
      <c r="C12" s="135"/>
      <c r="D12" s="135"/>
      <c r="E12" s="135"/>
      <c r="F12" s="135"/>
      <c r="G12" s="135"/>
      <c r="H12" s="136"/>
    </row>
    <row r="13" spans="1:10" s="6" customFormat="1" ht="15" thickBot="1" x14ac:dyDescent="0.35">
      <c r="A13" s="78" t="s">
        <v>78</v>
      </c>
      <c r="B13" s="116" t="s">
        <v>8</v>
      </c>
      <c r="C13" s="116"/>
      <c r="D13" s="116"/>
      <c r="E13" s="116"/>
      <c r="F13" s="116"/>
      <c r="G13" s="116"/>
      <c r="H13" s="71">
        <f>SUM(H15:H18)</f>
        <v>32376.510000000002</v>
      </c>
      <c r="I13" s="81" t="s">
        <v>332</v>
      </c>
      <c r="J13" s="5"/>
    </row>
    <row r="14" spans="1:10" s="6" customFormat="1" ht="28.8" x14ac:dyDescent="0.3">
      <c r="A14" s="123"/>
      <c r="B14" s="123"/>
      <c r="C14" s="123"/>
      <c r="D14" s="68" t="s">
        <v>21</v>
      </c>
      <c r="E14" s="68" t="s">
        <v>22</v>
      </c>
      <c r="F14" s="68" t="s">
        <v>24</v>
      </c>
      <c r="G14" s="69" t="s">
        <v>111</v>
      </c>
      <c r="H14" s="69" t="s">
        <v>112</v>
      </c>
      <c r="I14" s="31"/>
      <c r="J14" s="5"/>
    </row>
    <row r="15" spans="1:10" s="6" customFormat="1" x14ac:dyDescent="0.3">
      <c r="A15" s="15" t="s">
        <v>320</v>
      </c>
      <c r="B15" s="15" t="s">
        <v>115</v>
      </c>
      <c r="C15" s="15" t="s">
        <v>0</v>
      </c>
      <c r="D15" s="16" t="s">
        <v>1</v>
      </c>
      <c r="E15" s="15" t="s">
        <v>2</v>
      </c>
      <c r="F15" s="15">
        <v>6</v>
      </c>
      <c r="G15" s="42">
        <v>633.27</v>
      </c>
      <c r="H15" s="42">
        <f>G15*F15</f>
        <v>3799.62</v>
      </c>
      <c r="I15" s="16" t="s">
        <v>97</v>
      </c>
      <c r="J15" s="5"/>
    </row>
    <row r="16" spans="1:10" s="6" customFormat="1" x14ac:dyDescent="0.3">
      <c r="A16" s="15" t="s">
        <v>321</v>
      </c>
      <c r="B16" s="15" t="s">
        <v>115</v>
      </c>
      <c r="C16" s="15" t="s">
        <v>3</v>
      </c>
      <c r="D16" s="16" t="s">
        <v>4</v>
      </c>
      <c r="E16" s="15" t="s">
        <v>5</v>
      </c>
      <c r="F16" s="15">
        <v>3</v>
      </c>
      <c r="G16" s="42">
        <v>695.99</v>
      </c>
      <c r="H16" s="42">
        <f>G16*F16</f>
        <v>2087.9700000000003</v>
      </c>
      <c r="I16" s="16" t="s">
        <v>97</v>
      </c>
      <c r="J16" s="5"/>
    </row>
    <row r="17" spans="1:10" x14ac:dyDescent="0.3">
      <c r="A17" s="15" t="s">
        <v>322</v>
      </c>
      <c r="B17" s="15" t="s">
        <v>115</v>
      </c>
      <c r="C17" s="15" t="s">
        <v>6</v>
      </c>
      <c r="D17" s="16" t="s">
        <v>7</v>
      </c>
      <c r="E17" s="15" t="s">
        <v>5</v>
      </c>
      <c r="F17" s="15">
        <v>3</v>
      </c>
      <c r="G17" s="42">
        <v>559.4</v>
      </c>
      <c r="H17" s="42">
        <f>G17*F17</f>
        <v>1678.1999999999998</v>
      </c>
      <c r="I17" s="16" t="s">
        <v>97</v>
      </c>
    </row>
    <row r="18" spans="1:10" s="4" customFormat="1" x14ac:dyDescent="0.3">
      <c r="A18" s="15" t="s">
        <v>323</v>
      </c>
      <c r="B18" s="15" t="s">
        <v>115</v>
      </c>
      <c r="C18" s="19" t="s">
        <v>199</v>
      </c>
      <c r="D18" s="31" t="s">
        <v>200</v>
      </c>
      <c r="E18" s="20" t="s">
        <v>2</v>
      </c>
      <c r="F18" s="15">
        <f>20*2.2*6</f>
        <v>264</v>
      </c>
      <c r="G18" s="42">
        <v>93.98</v>
      </c>
      <c r="H18" s="42">
        <f>G18*F18</f>
        <v>24810.720000000001</v>
      </c>
      <c r="I18" s="16" t="s">
        <v>201</v>
      </c>
      <c r="J18" s="2"/>
    </row>
    <row r="19" spans="1:10" s="1" customFormat="1" ht="15" thickBot="1" x14ac:dyDescent="0.35">
      <c r="A19" s="127"/>
      <c r="B19" s="127"/>
      <c r="C19" s="127"/>
      <c r="D19" s="127"/>
      <c r="E19" s="127"/>
      <c r="F19" s="127"/>
      <c r="G19" s="127"/>
      <c r="H19" s="127"/>
      <c r="I19" s="16"/>
      <c r="J19" s="2"/>
    </row>
    <row r="20" spans="1:10" s="4" customFormat="1" ht="15" thickBot="1" x14ac:dyDescent="0.35">
      <c r="A20" s="78" t="s">
        <v>79</v>
      </c>
      <c r="B20" s="100" t="s">
        <v>253</v>
      </c>
      <c r="C20" s="101"/>
      <c r="D20" s="101"/>
      <c r="E20" s="101"/>
      <c r="F20" s="102"/>
      <c r="G20" s="79"/>
      <c r="H20" s="80">
        <f>SUM(H21,H57,H48,H30)</f>
        <v>384086.87193680002</v>
      </c>
      <c r="I20" s="63"/>
      <c r="J20" s="2"/>
    </row>
    <row r="21" spans="1:10" s="4" customFormat="1" x14ac:dyDescent="0.3">
      <c r="A21" s="76" t="s">
        <v>80</v>
      </c>
      <c r="B21" s="117" t="s">
        <v>9</v>
      </c>
      <c r="C21" s="117"/>
      <c r="D21" s="117"/>
      <c r="E21" s="117"/>
      <c r="F21" s="117"/>
      <c r="G21" s="117"/>
      <c r="H21" s="77">
        <f>SUM(H23:H28)</f>
        <v>7628.0157639999998</v>
      </c>
      <c r="I21" s="31"/>
      <c r="J21" s="2"/>
    </row>
    <row r="22" spans="1:10" s="6" customFormat="1" ht="28.8" x14ac:dyDescent="0.3">
      <c r="A22" s="118"/>
      <c r="B22" s="118"/>
      <c r="C22" s="118"/>
      <c r="D22" s="58" t="s">
        <v>21</v>
      </c>
      <c r="E22" s="14" t="s">
        <v>22</v>
      </c>
      <c r="F22" s="14" t="s">
        <v>24</v>
      </c>
      <c r="G22" s="41" t="s">
        <v>111</v>
      </c>
      <c r="H22" s="41" t="s">
        <v>112</v>
      </c>
      <c r="I22" s="31"/>
      <c r="J22" s="5"/>
    </row>
    <row r="23" spans="1:10" s="6" customFormat="1" ht="28.8" x14ac:dyDescent="0.3">
      <c r="A23" s="16" t="s">
        <v>123</v>
      </c>
      <c r="B23" s="15" t="s">
        <v>115</v>
      </c>
      <c r="C23" s="16" t="s">
        <v>94</v>
      </c>
      <c r="D23" s="16" t="s">
        <v>95</v>
      </c>
      <c r="E23" s="16" t="s">
        <v>2</v>
      </c>
      <c r="F23" s="16">
        <f>279.9-152.8</f>
        <v>127.09999999999997</v>
      </c>
      <c r="G23" s="44">
        <v>24.28</v>
      </c>
      <c r="H23" s="43">
        <f t="shared" ref="H23:H27" si="0">G23*F23</f>
        <v>3085.9879999999994</v>
      </c>
      <c r="I23" s="16" t="s">
        <v>284</v>
      </c>
      <c r="J23" s="5"/>
    </row>
    <row r="24" spans="1:10" s="6" customFormat="1" ht="28.8" x14ac:dyDescent="0.3">
      <c r="A24" s="16" t="s">
        <v>118</v>
      </c>
      <c r="B24" s="15" t="s">
        <v>115</v>
      </c>
      <c r="C24" s="17" t="s">
        <v>13</v>
      </c>
      <c r="D24" s="18" t="s">
        <v>14</v>
      </c>
      <c r="E24" s="17" t="s">
        <v>12</v>
      </c>
      <c r="F24" s="18">
        <f>65.5*0.1</f>
        <v>6.5500000000000007</v>
      </c>
      <c r="G24" s="44">
        <v>270.52</v>
      </c>
      <c r="H24" s="44">
        <f t="shared" si="0"/>
        <v>1771.9060000000002</v>
      </c>
      <c r="I24" s="16" t="s">
        <v>220</v>
      </c>
      <c r="J24" s="5"/>
    </row>
    <row r="25" spans="1:10" s="6" customFormat="1" x14ac:dyDescent="0.3">
      <c r="A25" s="16" t="s">
        <v>119</v>
      </c>
      <c r="B25" s="15" t="s">
        <v>115</v>
      </c>
      <c r="C25" s="15" t="s">
        <v>15</v>
      </c>
      <c r="D25" s="16" t="s">
        <v>16</v>
      </c>
      <c r="E25" s="15" t="s">
        <v>12</v>
      </c>
      <c r="F25" s="16">
        <f>F24+(F23*0.08)</f>
        <v>16.717999999999996</v>
      </c>
      <c r="G25" s="44">
        <v>49</v>
      </c>
      <c r="H25" s="43">
        <f t="shared" si="0"/>
        <v>819.18199999999979</v>
      </c>
      <c r="I25" s="16" t="s">
        <v>292</v>
      </c>
      <c r="J25" s="5"/>
    </row>
    <row r="26" spans="1:10" s="6" customFormat="1" x14ac:dyDescent="0.3">
      <c r="A26" s="16" t="s">
        <v>120</v>
      </c>
      <c r="B26" s="15" t="s">
        <v>115</v>
      </c>
      <c r="C26" s="16" t="s">
        <v>17</v>
      </c>
      <c r="D26" s="16" t="s">
        <v>18</v>
      </c>
      <c r="E26" s="16" t="s">
        <v>19</v>
      </c>
      <c r="F26" s="16">
        <f>F25*2.4</f>
        <v>40.12319999999999</v>
      </c>
      <c r="G26" s="44">
        <v>32.020000000000003</v>
      </c>
      <c r="H26" s="43">
        <f t="shared" si="0"/>
        <v>1284.7448639999998</v>
      </c>
      <c r="I26" s="16" t="s">
        <v>206</v>
      </c>
      <c r="J26" s="5"/>
    </row>
    <row r="27" spans="1:10" s="6" customFormat="1" x14ac:dyDescent="0.3">
      <c r="A27" s="16" t="s">
        <v>121</v>
      </c>
      <c r="B27" s="15" t="s">
        <v>115</v>
      </c>
      <c r="C27" s="18" t="s">
        <v>98</v>
      </c>
      <c r="D27" s="18" t="s">
        <v>99</v>
      </c>
      <c r="E27" s="18" t="s">
        <v>64</v>
      </c>
      <c r="F27" s="18">
        <f>2*14</f>
        <v>28</v>
      </c>
      <c r="G27" s="44">
        <v>5.81</v>
      </c>
      <c r="H27" s="44">
        <f t="shared" si="0"/>
        <v>162.67999999999998</v>
      </c>
      <c r="I27" s="16" t="s">
        <v>221</v>
      </c>
      <c r="J27" s="5"/>
    </row>
    <row r="28" spans="1:10" s="6" customFormat="1" ht="28.8" x14ac:dyDescent="0.3">
      <c r="A28" s="16" t="s">
        <v>121</v>
      </c>
      <c r="B28" s="15" t="s">
        <v>115</v>
      </c>
      <c r="C28" s="19" t="s">
        <v>207</v>
      </c>
      <c r="D28" s="31" t="s">
        <v>208</v>
      </c>
      <c r="E28" s="20" t="s">
        <v>12</v>
      </c>
      <c r="F28" s="15">
        <f>F27*(0.45*0.15)</f>
        <v>1.8900000000000001</v>
      </c>
      <c r="G28" s="44">
        <v>266.41000000000003</v>
      </c>
      <c r="H28" s="44">
        <f t="shared" ref="H28" si="1">G28*F28</f>
        <v>503.51490000000007</v>
      </c>
      <c r="I28" s="16" t="s">
        <v>289</v>
      </c>
      <c r="J28" s="5"/>
    </row>
    <row r="29" spans="1:10" x14ac:dyDescent="0.3">
      <c r="A29" s="119"/>
      <c r="B29" s="119"/>
      <c r="C29" s="119"/>
      <c r="D29" s="119"/>
      <c r="E29" s="119"/>
      <c r="F29" s="119"/>
      <c r="G29" s="119"/>
      <c r="H29" s="119"/>
      <c r="I29" s="16"/>
    </row>
    <row r="30" spans="1:10" s="6" customFormat="1" x14ac:dyDescent="0.3">
      <c r="A30" s="50" t="s">
        <v>81</v>
      </c>
      <c r="B30" s="120" t="s">
        <v>77</v>
      </c>
      <c r="C30" s="120"/>
      <c r="D30" s="120"/>
      <c r="E30" s="120"/>
      <c r="F30" s="120"/>
      <c r="G30" s="120"/>
      <c r="H30" s="59">
        <f>SUM(H32:H46)</f>
        <v>239475.05030880004</v>
      </c>
      <c r="I30" s="16"/>
      <c r="J30" s="5"/>
    </row>
    <row r="31" spans="1:10" s="6" customFormat="1" ht="28.8" x14ac:dyDescent="0.3">
      <c r="A31" s="14"/>
      <c r="B31" s="14"/>
      <c r="C31" s="14"/>
      <c r="D31" s="58" t="s">
        <v>21</v>
      </c>
      <c r="E31" s="14" t="s">
        <v>22</v>
      </c>
      <c r="F31" s="14" t="s">
        <v>24</v>
      </c>
      <c r="G31" s="41" t="s">
        <v>111</v>
      </c>
      <c r="H31" s="41" t="s">
        <v>112</v>
      </c>
      <c r="I31" s="31"/>
      <c r="J31" s="5"/>
    </row>
    <row r="32" spans="1:10" s="6" customFormat="1" x14ac:dyDescent="0.3">
      <c r="A32" s="15" t="s">
        <v>122</v>
      </c>
      <c r="B32" s="16" t="s">
        <v>51</v>
      </c>
      <c r="C32" s="16" t="s">
        <v>101</v>
      </c>
      <c r="D32" s="16" t="s">
        <v>50</v>
      </c>
      <c r="E32" s="16" t="s">
        <v>12</v>
      </c>
      <c r="F32" s="16">
        <f>60*6*0.4</f>
        <v>144</v>
      </c>
      <c r="G32" s="44">
        <v>176.34</v>
      </c>
      <c r="H32" s="43">
        <f t="shared" ref="H32:H46" si="2">G32*F32</f>
        <v>25392.959999999999</v>
      </c>
      <c r="I32" s="31" t="s">
        <v>210</v>
      </c>
      <c r="J32" s="5"/>
    </row>
    <row r="33" spans="1:10" s="6" customFormat="1" x14ac:dyDescent="0.3">
      <c r="A33" s="15" t="s">
        <v>124</v>
      </c>
      <c r="B33" s="15" t="s">
        <v>115</v>
      </c>
      <c r="C33" s="18" t="s">
        <v>36</v>
      </c>
      <c r="D33" s="18" t="s">
        <v>37</v>
      </c>
      <c r="E33" s="18" t="s">
        <v>12</v>
      </c>
      <c r="F33" s="18">
        <f>(152.8*(2.41+1.55))-(6*12.24*2.41)</f>
        <v>428.09760000000006</v>
      </c>
      <c r="G33" s="44">
        <v>14.5</v>
      </c>
      <c r="H33" s="44">
        <f t="shared" si="2"/>
        <v>6207.4152000000013</v>
      </c>
      <c r="I33" s="31" t="s">
        <v>293</v>
      </c>
      <c r="J33" s="5"/>
    </row>
    <row r="34" spans="1:10" s="6" customFormat="1" x14ac:dyDescent="0.3">
      <c r="A34" s="15" t="s">
        <v>125</v>
      </c>
      <c r="B34" s="15" t="s">
        <v>115</v>
      </c>
      <c r="C34" s="15" t="s">
        <v>38</v>
      </c>
      <c r="D34" s="16" t="s">
        <v>39</v>
      </c>
      <c r="E34" s="15" t="s">
        <v>12</v>
      </c>
      <c r="F34" s="16">
        <f>F33*1.3</f>
        <v>556.52688000000012</v>
      </c>
      <c r="G34" s="44">
        <v>13.11</v>
      </c>
      <c r="H34" s="43">
        <f t="shared" si="2"/>
        <v>7296.067396800001</v>
      </c>
      <c r="I34" s="16" t="s">
        <v>116</v>
      </c>
      <c r="J34" s="5"/>
    </row>
    <row r="35" spans="1:10" s="6" customFormat="1" ht="28.8" x14ac:dyDescent="0.3">
      <c r="A35" s="15" t="s">
        <v>126</v>
      </c>
      <c r="B35" s="15" t="s">
        <v>115</v>
      </c>
      <c r="C35" s="19" t="s">
        <v>215</v>
      </c>
      <c r="D35" s="31" t="s">
        <v>216</v>
      </c>
      <c r="E35" s="20" t="s">
        <v>12</v>
      </c>
      <c r="F35" s="15">
        <f>F34+F32</f>
        <v>700.52688000000012</v>
      </c>
      <c r="G35" s="44">
        <v>31.81</v>
      </c>
      <c r="H35" s="43">
        <f t="shared" si="2"/>
        <v>22283.760052800004</v>
      </c>
      <c r="I35" s="16" t="s">
        <v>219</v>
      </c>
      <c r="J35" s="5"/>
    </row>
    <row r="36" spans="1:10" s="6" customFormat="1" x14ac:dyDescent="0.3">
      <c r="A36" s="15" t="s">
        <v>127</v>
      </c>
      <c r="B36" s="15" t="s">
        <v>115</v>
      </c>
      <c r="C36" s="19" t="s">
        <v>217</v>
      </c>
      <c r="D36" s="31" t="s">
        <v>218</v>
      </c>
      <c r="E36" s="20" t="s">
        <v>12</v>
      </c>
      <c r="F36" s="16">
        <f>F35</f>
        <v>700.52688000000012</v>
      </c>
      <c r="G36" s="44">
        <v>24.54</v>
      </c>
      <c r="H36" s="43">
        <f t="shared" si="2"/>
        <v>17190.929635200002</v>
      </c>
      <c r="I36" s="16"/>
      <c r="J36" s="5"/>
    </row>
    <row r="37" spans="1:10" s="6" customFormat="1" x14ac:dyDescent="0.3">
      <c r="A37" s="15" t="s">
        <v>128</v>
      </c>
      <c r="B37" s="15" t="s">
        <v>115</v>
      </c>
      <c r="C37" s="17" t="s">
        <v>40</v>
      </c>
      <c r="D37" s="18" t="s">
        <v>41</v>
      </c>
      <c r="E37" s="17" t="s">
        <v>12</v>
      </c>
      <c r="F37" s="18">
        <f>F42*3.4*0.6</f>
        <v>36.72</v>
      </c>
      <c r="G37" s="44">
        <v>23.1</v>
      </c>
      <c r="H37" s="44">
        <f t="shared" si="2"/>
        <v>848.23199999999997</v>
      </c>
      <c r="I37" s="31" t="s">
        <v>224</v>
      </c>
      <c r="J37" s="5"/>
    </row>
    <row r="38" spans="1:10" s="6" customFormat="1" x14ac:dyDescent="0.3">
      <c r="A38" s="15" t="s">
        <v>129</v>
      </c>
      <c r="B38" s="15" t="s">
        <v>115</v>
      </c>
      <c r="C38" s="17" t="s">
        <v>54</v>
      </c>
      <c r="D38" s="18" t="s">
        <v>55</v>
      </c>
      <c r="E38" s="17" t="s">
        <v>12</v>
      </c>
      <c r="F38" s="17">
        <f>F42*(3.4*0.15)</f>
        <v>9.18</v>
      </c>
      <c r="G38" s="44">
        <v>197.36</v>
      </c>
      <c r="H38" s="45">
        <f t="shared" si="2"/>
        <v>1811.7648000000002</v>
      </c>
      <c r="I38" s="31" t="s">
        <v>229</v>
      </c>
      <c r="J38" s="5"/>
    </row>
    <row r="39" spans="1:10" s="6" customFormat="1" x14ac:dyDescent="0.3">
      <c r="A39" s="15" t="s">
        <v>130</v>
      </c>
      <c r="B39" s="15" t="s">
        <v>115</v>
      </c>
      <c r="C39" s="17" t="s">
        <v>42</v>
      </c>
      <c r="D39" s="18" t="s">
        <v>43</v>
      </c>
      <c r="E39" s="17" t="s">
        <v>12</v>
      </c>
      <c r="F39" s="18">
        <f>F42*3.4*1.2</f>
        <v>73.44</v>
      </c>
      <c r="G39" s="44">
        <v>159.5</v>
      </c>
      <c r="H39" s="44">
        <f t="shared" si="2"/>
        <v>11713.68</v>
      </c>
      <c r="I39" s="31" t="s">
        <v>223</v>
      </c>
      <c r="J39" s="5"/>
    </row>
    <row r="40" spans="1:10" s="6" customFormat="1" x14ac:dyDescent="0.3">
      <c r="A40" s="15" t="s">
        <v>131</v>
      </c>
      <c r="B40" s="15" t="s">
        <v>115</v>
      </c>
      <c r="C40" s="18" t="s">
        <v>32</v>
      </c>
      <c r="D40" s="18" t="s">
        <v>33</v>
      </c>
      <c r="E40" s="17" t="s">
        <v>12</v>
      </c>
      <c r="F40" s="18">
        <f>F42*3.4*0.15</f>
        <v>9.18</v>
      </c>
      <c r="G40" s="44">
        <v>439.38</v>
      </c>
      <c r="H40" s="44">
        <f t="shared" si="2"/>
        <v>4033.5083999999997</v>
      </c>
      <c r="I40" s="31" t="s">
        <v>230</v>
      </c>
      <c r="J40" s="5"/>
    </row>
    <row r="41" spans="1:10" s="6" customFormat="1" x14ac:dyDescent="0.3">
      <c r="A41" s="15" t="s">
        <v>132</v>
      </c>
      <c r="B41" s="15" t="s">
        <v>115</v>
      </c>
      <c r="C41" s="17" t="s">
        <v>69</v>
      </c>
      <c r="D41" s="18" t="s">
        <v>70</v>
      </c>
      <c r="E41" s="17" t="s">
        <v>2</v>
      </c>
      <c r="F41" s="18">
        <f>F42*2*3.96</f>
        <v>142.56</v>
      </c>
      <c r="G41" s="44">
        <v>80</v>
      </c>
      <c r="H41" s="44">
        <f t="shared" si="2"/>
        <v>11404.8</v>
      </c>
      <c r="I41" s="31" t="s">
        <v>211</v>
      </c>
      <c r="J41" s="5"/>
    </row>
    <row r="42" spans="1:10" s="6" customFormat="1" x14ac:dyDescent="0.3">
      <c r="A42" s="15" t="s">
        <v>133</v>
      </c>
      <c r="B42" s="15" t="s">
        <v>115</v>
      </c>
      <c r="C42" s="18" t="s">
        <v>44</v>
      </c>
      <c r="D42" s="18" t="str">
        <f>D234</f>
        <v>ADUELAS EM CONCRETO ARMADO 3.00x1.50X1.00X0,20</v>
      </c>
      <c r="E42" s="18" t="s">
        <v>64</v>
      </c>
      <c r="F42" s="18">
        <v>18</v>
      </c>
      <c r="G42" s="44">
        <f>H239</f>
        <v>6727.0240000000003</v>
      </c>
      <c r="H42" s="44">
        <f t="shared" si="2"/>
        <v>121086.432</v>
      </c>
      <c r="I42" s="16" t="s">
        <v>212</v>
      </c>
      <c r="J42" s="5"/>
    </row>
    <row r="43" spans="1:10" s="6" customFormat="1" ht="28.8" x14ac:dyDescent="0.3">
      <c r="A43" s="15" t="s">
        <v>204</v>
      </c>
      <c r="B43" s="15" t="s">
        <v>115</v>
      </c>
      <c r="C43" s="19" t="s">
        <v>202</v>
      </c>
      <c r="D43" s="31" t="s">
        <v>203</v>
      </c>
      <c r="E43" s="17" t="s">
        <v>2</v>
      </c>
      <c r="F43" s="18">
        <f>F42*(1+1+2.4+2.4+2.4)</f>
        <v>165.60000000000002</v>
      </c>
      <c r="G43" s="44">
        <v>24.58</v>
      </c>
      <c r="H43" s="44">
        <f t="shared" si="2"/>
        <v>4070.4480000000003</v>
      </c>
      <c r="I43" s="16" t="s">
        <v>213</v>
      </c>
      <c r="J43" s="5"/>
    </row>
    <row r="44" spans="1:10" s="6" customFormat="1" ht="28.8" x14ac:dyDescent="0.3">
      <c r="A44" s="15" t="s">
        <v>239</v>
      </c>
      <c r="B44" s="15" t="s">
        <v>115</v>
      </c>
      <c r="C44" s="18" t="s">
        <v>46</v>
      </c>
      <c r="D44" s="18" t="s">
        <v>47</v>
      </c>
      <c r="E44" s="18" t="s">
        <v>12</v>
      </c>
      <c r="F44" s="18">
        <f>F33-((F42*2.4*2.4)+(F39)+(F40))</f>
        <v>241.79760000000005</v>
      </c>
      <c r="G44" s="44">
        <v>5.59</v>
      </c>
      <c r="H44" s="44">
        <f t="shared" ref="H44" si="3">G44*F44</f>
        <v>1351.6485840000003</v>
      </c>
      <c r="I44" s="16" t="s">
        <v>225</v>
      </c>
      <c r="J44" s="5"/>
    </row>
    <row r="45" spans="1:10" s="6" customFormat="1" ht="28.8" x14ac:dyDescent="0.3">
      <c r="A45" s="15" t="s">
        <v>240</v>
      </c>
      <c r="B45" s="18" t="s">
        <v>51</v>
      </c>
      <c r="C45" s="32">
        <v>55400</v>
      </c>
      <c r="D45" s="18" t="s">
        <v>100</v>
      </c>
      <c r="E45" s="18" t="s">
        <v>12</v>
      </c>
      <c r="F45" s="18">
        <f>F42*3.4*0.6</f>
        <v>36.72</v>
      </c>
      <c r="G45" s="44">
        <v>53.91</v>
      </c>
      <c r="H45" s="44">
        <f t="shared" si="2"/>
        <v>1979.5751999999998</v>
      </c>
      <c r="I45" s="31" t="s">
        <v>214</v>
      </c>
      <c r="J45" s="5"/>
    </row>
    <row r="46" spans="1:10" s="6" customFormat="1" ht="28.8" x14ac:dyDescent="0.3">
      <c r="A46" s="15" t="s">
        <v>241</v>
      </c>
      <c r="B46" s="33" t="s">
        <v>51</v>
      </c>
      <c r="C46" s="32">
        <v>43100</v>
      </c>
      <c r="D46" s="33" t="s">
        <v>114</v>
      </c>
      <c r="E46" s="21" t="s">
        <v>12</v>
      </c>
      <c r="F46" s="22">
        <f>6*12.24*2.41-(12.24*2.4*2.4)</f>
        <v>106.488</v>
      </c>
      <c r="G46" s="44">
        <v>26.33</v>
      </c>
      <c r="H46" s="44">
        <f t="shared" si="2"/>
        <v>2803.8290399999996</v>
      </c>
      <c r="I46" s="34" t="s">
        <v>228</v>
      </c>
      <c r="J46" s="8"/>
    </row>
    <row r="47" spans="1:10" s="6" customFormat="1" x14ac:dyDescent="0.3">
      <c r="A47" s="139"/>
      <c r="B47" s="140"/>
      <c r="C47" s="140"/>
      <c r="D47" s="140"/>
      <c r="E47" s="140"/>
      <c r="F47" s="140"/>
      <c r="G47" s="140"/>
      <c r="H47" s="141"/>
      <c r="I47" s="34"/>
      <c r="J47" s="8"/>
    </row>
    <row r="48" spans="1:10" s="6" customFormat="1" x14ac:dyDescent="0.3">
      <c r="A48" s="35" t="s">
        <v>82</v>
      </c>
      <c r="B48" s="120" t="s">
        <v>52</v>
      </c>
      <c r="C48" s="120"/>
      <c r="D48" s="120"/>
      <c r="E48" s="120"/>
      <c r="F48" s="120"/>
      <c r="G48" s="120"/>
      <c r="H48" s="60">
        <f>SUM(H49:H55)</f>
        <v>46382.428513999999</v>
      </c>
      <c r="I48" s="31"/>
      <c r="J48" s="5"/>
    </row>
    <row r="49" spans="1:10" s="6" customFormat="1" ht="28.8" x14ac:dyDescent="0.3">
      <c r="A49" s="18" t="s">
        <v>134</v>
      </c>
      <c r="B49" s="15" t="s">
        <v>115</v>
      </c>
      <c r="C49" s="19" t="s">
        <v>226</v>
      </c>
      <c r="D49" s="31" t="s">
        <v>227</v>
      </c>
      <c r="E49" s="20" t="s">
        <v>2</v>
      </c>
      <c r="F49" s="15">
        <f>2*(2*(3.5*1.96*2))+(3.5*0.6*2)+(6.13*1.55*2)</f>
        <v>78.082999999999998</v>
      </c>
      <c r="G49" s="44">
        <v>215.16</v>
      </c>
      <c r="H49" s="44">
        <f t="shared" ref="H49:H55" si="4">G49*F49</f>
        <v>16800.33828</v>
      </c>
      <c r="I49" s="16" t="s">
        <v>232</v>
      </c>
      <c r="J49" s="5"/>
    </row>
    <row r="50" spans="1:10" s="6" customFormat="1" x14ac:dyDescent="0.3">
      <c r="A50" s="18" t="s">
        <v>135</v>
      </c>
      <c r="B50" s="15" t="s">
        <v>115</v>
      </c>
      <c r="C50" s="17" t="s">
        <v>54</v>
      </c>
      <c r="D50" s="18" t="s">
        <v>55</v>
      </c>
      <c r="E50" s="17" t="s">
        <v>12</v>
      </c>
      <c r="F50" s="17">
        <f>2*(14.3*0.2)</f>
        <v>5.7200000000000006</v>
      </c>
      <c r="G50" s="44">
        <v>197.36</v>
      </c>
      <c r="H50" s="45">
        <f t="shared" si="4"/>
        <v>1128.8992000000003</v>
      </c>
      <c r="I50" s="31" t="s">
        <v>266</v>
      </c>
      <c r="J50" s="5"/>
    </row>
    <row r="51" spans="1:10" s="6" customFormat="1" x14ac:dyDescent="0.3">
      <c r="A51" s="18" t="s">
        <v>136</v>
      </c>
      <c r="B51" s="85" t="s">
        <v>115</v>
      </c>
      <c r="C51" s="18" t="s">
        <v>42</v>
      </c>
      <c r="D51" s="18" t="s">
        <v>43</v>
      </c>
      <c r="E51" s="18" t="s">
        <v>12</v>
      </c>
      <c r="F51" s="18">
        <f>2*(14.3*1.2)</f>
        <v>34.32</v>
      </c>
      <c r="G51" s="44">
        <v>159.5</v>
      </c>
      <c r="H51" s="44">
        <f t="shared" si="4"/>
        <v>5474.04</v>
      </c>
      <c r="I51" s="16" t="s">
        <v>267</v>
      </c>
      <c r="J51" s="5"/>
    </row>
    <row r="52" spans="1:10" s="6" customFormat="1" ht="28.8" x14ac:dyDescent="0.3">
      <c r="A52" s="18" t="s">
        <v>137</v>
      </c>
      <c r="B52" s="15" t="s">
        <v>115</v>
      </c>
      <c r="C52" s="18" t="s">
        <v>48</v>
      </c>
      <c r="D52" s="18" t="s">
        <v>49</v>
      </c>
      <c r="E52" s="18" t="s">
        <v>12</v>
      </c>
      <c r="F52" s="18">
        <f>(2*((3.5*1.4*0.6)+(3.5*0.87*0.6)))+(3.4*0.6*0.6)</f>
        <v>10.757999999999999</v>
      </c>
      <c r="G52" s="44">
        <v>563.57000000000005</v>
      </c>
      <c r="H52" s="44">
        <f t="shared" si="4"/>
        <v>6062.8860599999998</v>
      </c>
      <c r="I52" s="16" t="s">
        <v>233</v>
      </c>
      <c r="J52" s="7"/>
    </row>
    <row r="53" spans="1:10" s="6" customFormat="1" x14ac:dyDescent="0.3">
      <c r="A53" s="18" t="s">
        <v>138</v>
      </c>
      <c r="B53" s="15" t="s">
        <v>115</v>
      </c>
      <c r="C53" s="36" t="s">
        <v>102</v>
      </c>
      <c r="D53" s="34" t="s">
        <v>103</v>
      </c>
      <c r="E53" s="23" t="s">
        <v>104</v>
      </c>
      <c r="F53" s="18">
        <f>F54*120</f>
        <v>914.43600000000004</v>
      </c>
      <c r="G53" s="44">
        <v>13.71</v>
      </c>
      <c r="H53" s="44">
        <f t="shared" si="4"/>
        <v>12536.917560000002</v>
      </c>
      <c r="I53" s="16" t="s">
        <v>235</v>
      </c>
      <c r="J53" s="5"/>
    </row>
    <row r="54" spans="1:10" s="6" customFormat="1" x14ac:dyDescent="0.3">
      <c r="A54" s="18" t="s">
        <v>139</v>
      </c>
      <c r="B54" s="15" t="s">
        <v>115</v>
      </c>
      <c r="C54" s="18" t="s">
        <v>32</v>
      </c>
      <c r="D54" s="18" t="s">
        <v>33</v>
      </c>
      <c r="E54" s="17" t="s">
        <v>12</v>
      </c>
      <c r="F54" s="18">
        <f>(2*(14.3*0.2))+(6.13*1.55*0.2)</f>
        <v>7.6203000000000003</v>
      </c>
      <c r="G54" s="44">
        <v>439.38</v>
      </c>
      <c r="H54" s="44">
        <f t="shared" si="4"/>
        <v>3348.207414</v>
      </c>
      <c r="I54" s="31" t="s">
        <v>234</v>
      </c>
      <c r="J54" s="5"/>
    </row>
    <row r="55" spans="1:10" s="6" customFormat="1" x14ac:dyDescent="0.3">
      <c r="A55" s="18" t="s">
        <v>236</v>
      </c>
      <c r="B55" s="15" t="s">
        <v>115</v>
      </c>
      <c r="C55" s="19" t="s">
        <v>197</v>
      </c>
      <c r="D55" s="31" t="s">
        <v>198</v>
      </c>
      <c r="E55" s="20" t="s">
        <v>2</v>
      </c>
      <c r="F55" s="15">
        <v>86</v>
      </c>
      <c r="G55" s="44">
        <v>11.99</v>
      </c>
      <c r="H55" s="44">
        <f t="shared" si="4"/>
        <v>1031.1400000000001</v>
      </c>
      <c r="I55" s="31" t="s">
        <v>238</v>
      </c>
      <c r="J55" s="5"/>
    </row>
    <row r="56" spans="1:10" s="6" customFormat="1" x14ac:dyDescent="0.3">
      <c r="A56" s="126"/>
      <c r="B56" s="126"/>
      <c r="C56" s="126"/>
      <c r="D56" s="126"/>
      <c r="E56" s="126"/>
      <c r="F56" s="126"/>
      <c r="G56" s="126"/>
      <c r="H56" s="126"/>
      <c r="I56" s="31"/>
      <c r="J56" s="5"/>
    </row>
    <row r="57" spans="1:10" s="6" customFormat="1" x14ac:dyDescent="0.3">
      <c r="A57" s="61" t="s">
        <v>83</v>
      </c>
      <c r="B57" s="122" t="s">
        <v>53</v>
      </c>
      <c r="C57" s="122"/>
      <c r="D57" s="122"/>
      <c r="E57" s="122"/>
      <c r="F57" s="122"/>
      <c r="G57" s="122"/>
      <c r="H57" s="62">
        <f>SUM(H59:H71)</f>
        <v>90601.377349999981</v>
      </c>
      <c r="I57" s="31"/>
      <c r="J57" s="5"/>
    </row>
    <row r="58" spans="1:10" s="6" customFormat="1" ht="28.8" x14ac:dyDescent="0.3">
      <c r="A58" s="118"/>
      <c r="B58" s="118"/>
      <c r="C58" s="118"/>
      <c r="D58" s="58" t="s">
        <v>21</v>
      </c>
      <c r="E58" s="14" t="s">
        <v>22</v>
      </c>
      <c r="F58" s="14" t="s">
        <v>24</v>
      </c>
      <c r="G58" s="41" t="s">
        <v>111</v>
      </c>
      <c r="H58" s="41" t="s">
        <v>112</v>
      </c>
      <c r="I58" s="31"/>
      <c r="J58" s="5"/>
    </row>
    <row r="59" spans="1:10" s="6" customFormat="1" x14ac:dyDescent="0.3">
      <c r="A59" s="15" t="s">
        <v>140</v>
      </c>
      <c r="B59" s="15" t="s">
        <v>115</v>
      </c>
      <c r="C59" s="18" t="s">
        <v>36</v>
      </c>
      <c r="D59" s="18" t="s">
        <v>37</v>
      </c>
      <c r="E59" s="18" t="s">
        <v>12</v>
      </c>
      <c r="F59" s="18">
        <f>(279.9-152.8)*0.4</f>
        <v>50.839999999999989</v>
      </c>
      <c r="G59" s="45">
        <v>14.5</v>
      </c>
      <c r="H59" s="44">
        <f t="shared" ref="H59:H60" si="5">G59*F59</f>
        <v>737.17999999999984</v>
      </c>
      <c r="I59" s="31" t="s">
        <v>252</v>
      </c>
      <c r="J59" s="5"/>
    </row>
    <row r="60" spans="1:10" s="6" customFormat="1" ht="28.8" x14ac:dyDescent="0.3">
      <c r="A60" s="15" t="s">
        <v>141</v>
      </c>
      <c r="B60" s="18" t="s">
        <v>51</v>
      </c>
      <c r="C60" s="32">
        <v>55400</v>
      </c>
      <c r="D60" s="18" t="s">
        <v>100</v>
      </c>
      <c r="E60" s="18" t="s">
        <v>12</v>
      </c>
      <c r="F60" s="18">
        <f>F62*0.4</f>
        <v>111.96</v>
      </c>
      <c r="G60" s="45">
        <v>53.91</v>
      </c>
      <c r="H60" s="44">
        <f t="shared" si="5"/>
        <v>6035.7635999999993</v>
      </c>
      <c r="I60" s="31" t="s">
        <v>251</v>
      </c>
      <c r="J60" s="5"/>
    </row>
    <row r="61" spans="1:10" s="6" customFormat="1" x14ac:dyDescent="0.3">
      <c r="A61" s="15" t="s">
        <v>142</v>
      </c>
      <c r="B61" s="15" t="s">
        <v>115</v>
      </c>
      <c r="C61" s="17" t="s">
        <v>54</v>
      </c>
      <c r="D61" s="18" t="s">
        <v>55</v>
      </c>
      <c r="E61" s="17" t="s">
        <v>12</v>
      </c>
      <c r="F61" s="17">
        <f>296.7*0.2</f>
        <v>59.34</v>
      </c>
      <c r="G61" s="45">
        <v>197.36</v>
      </c>
      <c r="H61" s="45">
        <f t="shared" ref="H61:H71" si="6">G61*F61</f>
        <v>11711.342400000001</v>
      </c>
      <c r="I61" s="16" t="s">
        <v>248</v>
      </c>
      <c r="J61" s="5"/>
    </row>
    <row r="62" spans="1:10" s="6" customFormat="1" x14ac:dyDescent="0.3">
      <c r="A62" s="15" t="s">
        <v>143</v>
      </c>
      <c r="B62" s="15" t="s">
        <v>115</v>
      </c>
      <c r="C62" s="84" t="s">
        <v>56</v>
      </c>
      <c r="D62" s="18" t="s">
        <v>57</v>
      </c>
      <c r="E62" s="17" t="s">
        <v>2</v>
      </c>
      <c r="F62" s="17">
        <v>279.89999999999998</v>
      </c>
      <c r="G62" s="45">
        <v>7.48</v>
      </c>
      <c r="H62" s="45">
        <f t="shared" si="6"/>
        <v>2093.652</v>
      </c>
      <c r="I62" s="16" t="s">
        <v>250</v>
      </c>
      <c r="J62" s="5"/>
    </row>
    <row r="63" spans="1:10" s="6" customFormat="1" x14ac:dyDescent="0.3">
      <c r="A63" s="15" t="s">
        <v>144</v>
      </c>
      <c r="B63" s="15" t="s">
        <v>115</v>
      </c>
      <c r="C63" s="17" t="s">
        <v>58</v>
      </c>
      <c r="D63" s="18" t="s">
        <v>59</v>
      </c>
      <c r="E63" s="17" t="s">
        <v>2</v>
      </c>
      <c r="F63" s="17">
        <f>F62*2</f>
        <v>559.79999999999995</v>
      </c>
      <c r="G63" s="45">
        <v>15.28</v>
      </c>
      <c r="H63" s="45">
        <f t="shared" si="6"/>
        <v>8553.7439999999988</v>
      </c>
      <c r="I63" s="16" t="s">
        <v>249</v>
      </c>
      <c r="J63" s="5"/>
    </row>
    <row r="64" spans="1:10" s="6" customFormat="1" x14ac:dyDescent="0.3">
      <c r="A64" s="15" t="s">
        <v>145</v>
      </c>
      <c r="B64" s="15" t="s">
        <v>115</v>
      </c>
      <c r="C64" s="84" t="s">
        <v>62</v>
      </c>
      <c r="D64" s="18" t="s">
        <v>63</v>
      </c>
      <c r="E64" s="17" t="s">
        <v>12</v>
      </c>
      <c r="F64" s="17">
        <f>F62*0.05</f>
        <v>13.994999999999999</v>
      </c>
      <c r="G64" s="45">
        <v>1384.71</v>
      </c>
      <c r="H64" s="45">
        <f t="shared" si="6"/>
        <v>19379.016449999999</v>
      </c>
      <c r="I64" s="16" t="s">
        <v>247</v>
      </c>
      <c r="J64" s="5"/>
    </row>
    <row r="65" spans="1:10" s="6" customFormat="1" x14ac:dyDescent="0.3">
      <c r="A65" s="15" t="s">
        <v>146</v>
      </c>
      <c r="B65" s="15" t="s">
        <v>115</v>
      </c>
      <c r="C65" s="17" t="s">
        <v>60</v>
      </c>
      <c r="D65" s="18" t="s">
        <v>61</v>
      </c>
      <c r="E65" s="17" t="s">
        <v>12</v>
      </c>
      <c r="F65" s="17">
        <f>F64</f>
        <v>13.994999999999999</v>
      </c>
      <c r="G65" s="45">
        <v>1555.42</v>
      </c>
      <c r="H65" s="45">
        <f t="shared" si="6"/>
        <v>21768.102899999998</v>
      </c>
      <c r="I65" s="16" t="s">
        <v>247</v>
      </c>
      <c r="J65" s="5"/>
    </row>
    <row r="66" spans="1:10" s="6" customFormat="1" x14ac:dyDescent="0.3">
      <c r="A66" s="15" t="s">
        <v>147</v>
      </c>
      <c r="B66" s="15" t="s">
        <v>115</v>
      </c>
      <c r="C66" s="15" t="s">
        <v>65</v>
      </c>
      <c r="D66" s="16" t="s">
        <v>66</v>
      </c>
      <c r="E66" s="15" t="s">
        <v>12</v>
      </c>
      <c r="F66" s="15">
        <f>36*0.6*0.1</f>
        <v>2.1599999999999997</v>
      </c>
      <c r="G66" s="45">
        <v>460.68</v>
      </c>
      <c r="H66" s="42">
        <f t="shared" si="6"/>
        <v>995.0687999999999</v>
      </c>
      <c r="I66" s="16" t="s">
        <v>246</v>
      </c>
      <c r="J66" s="5"/>
    </row>
    <row r="67" spans="1:10" s="6" customFormat="1" x14ac:dyDescent="0.3">
      <c r="A67" s="15" t="s">
        <v>148</v>
      </c>
      <c r="B67" s="15" t="s">
        <v>115</v>
      </c>
      <c r="C67" s="19" t="s">
        <v>391</v>
      </c>
      <c r="D67" s="31" t="s">
        <v>392</v>
      </c>
      <c r="E67" s="17" t="s">
        <v>64</v>
      </c>
      <c r="F67" s="17">
        <v>36</v>
      </c>
      <c r="G67" s="45">
        <v>46.59</v>
      </c>
      <c r="H67" s="45">
        <f t="shared" si="6"/>
        <v>1677.2400000000002</v>
      </c>
      <c r="I67" s="16" t="s">
        <v>245</v>
      </c>
      <c r="J67" s="5"/>
    </row>
    <row r="68" spans="1:10" s="6" customFormat="1" x14ac:dyDescent="0.3">
      <c r="A68" s="15" t="s">
        <v>149</v>
      </c>
      <c r="B68" s="15" t="s">
        <v>115</v>
      </c>
      <c r="C68" s="15" t="s">
        <v>67</v>
      </c>
      <c r="D68" s="16" t="s">
        <v>68</v>
      </c>
      <c r="E68" s="15" t="s">
        <v>12</v>
      </c>
      <c r="F68" s="15">
        <f>36*0.45*0.15</f>
        <v>2.4299999999999997</v>
      </c>
      <c r="G68" s="45">
        <v>664.34</v>
      </c>
      <c r="H68" s="42">
        <f t="shared" si="6"/>
        <v>1614.3462</v>
      </c>
      <c r="I68" s="16" t="s">
        <v>244</v>
      </c>
      <c r="J68" s="5"/>
    </row>
    <row r="69" spans="1:10" s="3" customFormat="1" x14ac:dyDescent="0.3">
      <c r="A69" s="15" t="s">
        <v>271</v>
      </c>
      <c r="B69" s="15" t="s">
        <v>115</v>
      </c>
      <c r="C69" s="15" t="s">
        <v>73</v>
      </c>
      <c r="D69" s="16" t="s">
        <v>74</v>
      </c>
      <c r="E69" s="15" t="s">
        <v>12</v>
      </c>
      <c r="F69" s="15">
        <f>107.5*0.05</f>
        <v>5.375</v>
      </c>
      <c r="G69" s="45">
        <v>160.32</v>
      </c>
      <c r="H69" s="42">
        <f t="shared" si="6"/>
        <v>861.71999999999991</v>
      </c>
      <c r="I69" s="16" t="s">
        <v>242</v>
      </c>
      <c r="J69" s="2"/>
    </row>
    <row r="70" spans="1:10" s="6" customFormat="1" x14ac:dyDescent="0.3">
      <c r="A70" s="15" t="s">
        <v>315</v>
      </c>
      <c r="B70" s="15" t="s">
        <v>115</v>
      </c>
      <c r="C70" s="17" t="s">
        <v>71</v>
      </c>
      <c r="D70" s="18" t="s">
        <v>72</v>
      </c>
      <c r="E70" s="17" t="s">
        <v>12</v>
      </c>
      <c r="F70" s="17">
        <f>107.5*0.1</f>
        <v>10.75</v>
      </c>
      <c r="G70" s="45">
        <v>768.54</v>
      </c>
      <c r="H70" s="45">
        <f t="shared" si="6"/>
        <v>8261.8050000000003</v>
      </c>
      <c r="I70" s="16" t="s">
        <v>243</v>
      </c>
      <c r="J70" s="5"/>
    </row>
    <row r="71" spans="1:10" s="6" customFormat="1" x14ac:dyDescent="0.3">
      <c r="A71" s="15" t="s">
        <v>316</v>
      </c>
      <c r="B71" s="15" t="s">
        <v>115</v>
      </c>
      <c r="C71" s="19" t="s">
        <v>269</v>
      </c>
      <c r="D71" s="31" t="s">
        <v>270</v>
      </c>
      <c r="E71" s="20" t="s">
        <v>2</v>
      </c>
      <c r="F71" s="15">
        <f>31.4*1*2</f>
        <v>62.8</v>
      </c>
      <c r="G71" s="45">
        <v>110.07</v>
      </c>
      <c r="H71" s="45">
        <f t="shared" si="6"/>
        <v>6912.3959999999988</v>
      </c>
      <c r="I71" s="16" t="s">
        <v>272</v>
      </c>
      <c r="J71" s="5"/>
    </row>
    <row r="72" spans="1:10" s="6" customFormat="1" ht="15" thickBot="1" x14ac:dyDescent="0.35">
      <c r="A72" s="145"/>
      <c r="B72" s="146"/>
      <c r="C72" s="146"/>
      <c r="D72" s="146"/>
      <c r="E72" s="146"/>
      <c r="F72" s="146"/>
      <c r="G72" s="146"/>
      <c r="H72" s="147"/>
      <c r="I72" s="16"/>
      <c r="J72" s="5"/>
    </row>
    <row r="73" spans="1:10" s="6" customFormat="1" ht="15" thickBot="1" x14ac:dyDescent="0.35">
      <c r="A73" s="78" t="s">
        <v>84</v>
      </c>
      <c r="B73" s="116" t="s">
        <v>407</v>
      </c>
      <c r="C73" s="116"/>
      <c r="D73" s="116"/>
      <c r="E73" s="116"/>
      <c r="F73" s="116"/>
      <c r="G73" s="79"/>
      <c r="H73" s="80">
        <f>SUM(H74,H112,H103,H85)</f>
        <v>389883.81492800004</v>
      </c>
      <c r="I73" s="63"/>
      <c r="J73" s="5"/>
    </row>
    <row r="74" spans="1:10" s="4" customFormat="1" x14ac:dyDescent="0.3">
      <c r="A74" s="76" t="s">
        <v>85</v>
      </c>
      <c r="B74" s="117" t="s">
        <v>9</v>
      </c>
      <c r="C74" s="117"/>
      <c r="D74" s="117"/>
      <c r="E74" s="117"/>
      <c r="F74" s="117"/>
      <c r="G74" s="117"/>
      <c r="H74" s="77">
        <f>SUM(H76:H83)</f>
        <v>29902.631700000002</v>
      </c>
      <c r="I74" s="31"/>
      <c r="J74" s="2"/>
    </row>
    <row r="75" spans="1:10" s="6" customFormat="1" ht="28.8" x14ac:dyDescent="0.3">
      <c r="A75" s="118"/>
      <c r="B75" s="118"/>
      <c r="C75" s="118"/>
      <c r="D75" s="58" t="s">
        <v>21</v>
      </c>
      <c r="E75" s="14" t="s">
        <v>22</v>
      </c>
      <c r="F75" s="14" t="s">
        <v>24</v>
      </c>
      <c r="G75" s="41" t="s">
        <v>111</v>
      </c>
      <c r="H75" s="41" t="s">
        <v>112</v>
      </c>
      <c r="I75" s="31"/>
      <c r="J75" s="5"/>
    </row>
    <row r="76" spans="1:10" s="6" customFormat="1" ht="28.8" x14ac:dyDescent="0.3">
      <c r="A76" s="16" t="s">
        <v>86</v>
      </c>
      <c r="B76" s="15" t="s">
        <v>115</v>
      </c>
      <c r="C76" s="16" t="s">
        <v>94</v>
      </c>
      <c r="D76" s="16" t="s">
        <v>95</v>
      </c>
      <c r="E76" s="16" t="s">
        <v>2</v>
      </c>
      <c r="F76" s="16">
        <v>491.5</v>
      </c>
      <c r="G76" s="44">
        <v>24.28</v>
      </c>
      <c r="H76" s="43">
        <f t="shared" ref="H76:H83" si="7">G76*F76</f>
        <v>11933.62</v>
      </c>
      <c r="I76" s="16" t="s">
        <v>285</v>
      </c>
      <c r="J76" s="5"/>
    </row>
    <row r="77" spans="1:10" s="6" customFormat="1" ht="28.8" x14ac:dyDescent="0.3">
      <c r="A77" s="16" t="s">
        <v>87</v>
      </c>
      <c r="B77" s="15" t="s">
        <v>115</v>
      </c>
      <c r="C77" s="17" t="s">
        <v>13</v>
      </c>
      <c r="D77" s="18" t="s">
        <v>14</v>
      </c>
      <c r="E77" s="17" t="s">
        <v>12</v>
      </c>
      <c r="F77" s="18">
        <f>120.7*0.1</f>
        <v>12.07</v>
      </c>
      <c r="G77" s="44">
        <v>270.52</v>
      </c>
      <c r="H77" s="44">
        <f t="shared" si="7"/>
        <v>3265.1763999999998</v>
      </c>
      <c r="I77" s="16" t="s">
        <v>254</v>
      </c>
      <c r="J77" s="5"/>
    </row>
    <row r="78" spans="1:10" s="6" customFormat="1" ht="28.8" x14ac:dyDescent="0.3">
      <c r="A78" s="16" t="s">
        <v>96</v>
      </c>
      <c r="B78" s="15" t="s">
        <v>115</v>
      </c>
      <c r="C78" s="19" t="s">
        <v>10</v>
      </c>
      <c r="D78" s="31" t="s">
        <v>11</v>
      </c>
      <c r="E78" s="20" t="s">
        <v>12</v>
      </c>
      <c r="F78" s="15">
        <f>6*(2.2*4*0.2)</f>
        <v>10.560000000000002</v>
      </c>
      <c r="G78" s="44">
        <v>493.5</v>
      </c>
      <c r="H78" s="44">
        <f t="shared" si="7"/>
        <v>5211.3600000000015</v>
      </c>
      <c r="I78" s="16" t="s">
        <v>256</v>
      </c>
      <c r="J78" s="5"/>
    </row>
    <row r="79" spans="1:10" s="6" customFormat="1" ht="28.8" x14ac:dyDescent="0.3">
      <c r="A79" s="16" t="s">
        <v>105</v>
      </c>
      <c r="B79" s="15" t="s">
        <v>115</v>
      </c>
      <c r="C79" s="19" t="s">
        <v>257</v>
      </c>
      <c r="D79" s="31" t="s">
        <v>258</v>
      </c>
      <c r="E79" s="20" t="s">
        <v>12</v>
      </c>
      <c r="F79" s="15">
        <f>28*1*0.2</f>
        <v>5.6000000000000005</v>
      </c>
      <c r="G79" s="44">
        <v>58.08</v>
      </c>
      <c r="H79" s="44">
        <f t="shared" si="7"/>
        <v>325.24800000000005</v>
      </c>
      <c r="I79" s="16" t="s">
        <v>259</v>
      </c>
      <c r="J79" s="5"/>
    </row>
    <row r="80" spans="1:10" s="6" customFormat="1" x14ac:dyDescent="0.3">
      <c r="A80" s="16" t="s">
        <v>106</v>
      </c>
      <c r="B80" s="15" t="s">
        <v>115</v>
      </c>
      <c r="C80" s="15" t="s">
        <v>15</v>
      </c>
      <c r="D80" s="16" t="s">
        <v>16</v>
      </c>
      <c r="E80" s="15" t="s">
        <v>12</v>
      </c>
      <c r="F80" s="16">
        <f>F77+(F76*0.08)+F78+F79</f>
        <v>67.55</v>
      </c>
      <c r="G80" s="44">
        <v>49</v>
      </c>
      <c r="H80" s="43">
        <f t="shared" si="7"/>
        <v>3309.95</v>
      </c>
      <c r="I80" s="16" t="s">
        <v>255</v>
      </c>
      <c r="J80" s="5"/>
    </row>
    <row r="81" spans="1:10" s="6" customFormat="1" x14ac:dyDescent="0.3">
      <c r="A81" s="16" t="s">
        <v>107</v>
      </c>
      <c r="B81" s="15" t="s">
        <v>115</v>
      </c>
      <c r="C81" s="16" t="s">
        <v>17</v>
      </c>
      <c r="D81" s="16" t="s">
        <v>18</v>
      </c>
      <c r="E81" s="16" t="s">
        <v>19</v>
      </c>
      <c r="F81" s="16">
        <f>F80*2.4</f>
        <v>162.11999999999998</v>
      </c>
      <c r="G81" s="44">
        <v>32.020000000000003</v>
      </c>
      <c r="H81" s="43">
        <f t="shared" si="7"/>
        <v>5191.0823999999993</v>
      </c>
      <c r="I81" s="16" t="s">
        <v>206</v>
      </c>
      <c r="J81" s="5"/>
    </row>
    <row r="82" spans="1:10" s="6" customFormat="1" x14ac:dyDescent="0.3">
      <c r="A82" s="16" t="s">
        <v>317</v>
      </c>
      <c r="B82" s="15" t="s">
        <v>115</v>
      </c>
      <c r="C82" s="18" t="s">
        <v>98</v>
      </c>
      <c r="D82" s="18" t="s">
        <v>99</v>
      </c>
      <c r="E82" s="18" t="s">
        <v>64</v>
      </c>
      <c r="F82" s="18">
        <f>2*14</f>
        <v>28</v>
      </c>
      <c r="G82" s="44">
        <v>5.81</v>
      </c>
      <c r="H82" s="44">
        <f t="shared" si="7"/>
        <v>162.67999999999998</v>
      </c>
      <c r="I82" s="16" t="s">
        <v>221</v>
      </c>
      <c r="J82" s="5"/>
    </row>
    <row r="83" spans="1:10" s="6" customFormat="1" ht="28.8" x14ac:dyDescent="0.3">
      <c r="A83" s="16" t="s">
        <v>318</v>
      </c>
      <c r="B83" s="15" t="s">
        <v>115</v>
      </c>
      <c r="C83" s="19" t="s">
        <v>207</v>
      </c>
      <c r="D83" s="31" t="s">
        <v>208</v>
      </c>
      <c r="E83" s="20" t="s">
        <v>12</v>
      </c>
      <c r="F83" s="15">
        <f>F82*(0.45*0.15)</f>
        <v>1.8900000000000001</v>
      </c>
      <c r="G83" s="44">
        <v>266.41000000000003</v>
      </c>
      <c r="H83" s="44">
        <f t="shared" si="7"/>
        <v>503.51490000000007</v>
      </c>
      <c r="I83" s="16" t="s">
        <v>289</v>
      </c>
      <c r="J83" s="5"/>
    </row>
    <row r="84" spans="1:10" s="4" customFormat="1" x14ac:dyDescent="0.3">
      <c r="A84" s="119"/>
      <c r="B84" s="119"/>
      <c r="C84" s="119"/>
      <c r="D84" s="119"/>
      <c r="E84" s="119"/>
      <c r="F84" s="119"/>
      <c r="G84" s="119"/>
      <c r="H84" s="119"/>
      <c r="I84" s="16"/>
      <c r="J84" s="2"/>
    </row>
    <row r="85" spans="1:10" s="6" customFormat="1" x14ac:dyDescent="0.3">
      <c r="A85" s="50" t="s">
        <v>150</v>
      </c>
      <c r="B85" s="120" t="s">
        <v>77</v>
      </c>
      <c r="C85" s="120"/>
      <c r="D85" s="120"/>
      <c r="E85" s="120"/>
      <c r="F85" s="120"/>
      <c r="G85" s="120"/>
      <c r="H85" s="59">
        <f>SUM(H87:H101)</f>
        <v>178037.26296399999</v>
      </c>
      <c r="I85" s="16"/>
      <c r="J85" s="5"/>
    </row>
    <row r="86" spans="1:10" s="6" customFormat="1" ht="28.8" x14ac:dyDescent="0.3">
      <c r="A86" s="14"/>
      <c r="B86" s="14"/>
      <c r="C86" s="14"/>
      <c r="D86" s="58" t="s">
        <v>21</v>
      </c>
      <c r="E86" s="14" t="s">
        <v>22</v>
      </c>
      <c r="F86" s="14" t="s">
        <v>24</v>
      </c>
      <c r="G86" s="41" t="s">
        <v>111</v>
      </c>
      <c r="H86" s="41" t="s">
        <v>112</v>
      </c>
      <c r="I86" s="31"/>
      <c r="J86" s="5"/>
    </row>
    <row r="87" spans="1:10" s="6" customFormat="1" x14ac:dyDescent="0.3">
      <c r="A87" s="82" t="s">
        <v>151</v>
      </c>
      <c r="B87" s="16" t="s">
        <v>51</v>
      </c>
      <c r="C87" s="16" t="s">
        <v>101</v>
      </c>
      <c r="D87" s="16" t="s">
        <v>50</v>
      </c>
      <c r="E87" s="16" t="s">
        <v>12</v>
      </c>
      <c r="F87" s="16">
        <f>60*6*0.4</f>
        <v>144</v>
      </c>
      <c r="G87" s="44">
        <v>176.34</v>
      </c>
      <c r="H87" s="43">
        <f t="shared" ref="H87:H101" si="8">G87*F87</f>
        <v>25392.959999999999</v>
      </c>
      <c r="I87" s="31" t="s">
        <v>210</v>
      </c>
      <c r="J87" s="5"/>
    </row>
    <row r="88" spans="1:10" s="6" customFormat="1" x14ac:dyDescent="0.3">
      <c r="A88" s="82" t="s">
        <v>152</v>
      </c>
      <c r="B88" s="15" t="s">
        <v>115</v>
      </c>
      <c r="C88" s="18" t="s">
        <v>36</v>
      </c>
      <c r="D88" s="18" t="s">
        <v>37</v>
      </c>
      <c r="E88" s="18" t="s">
        <v>12</v>
      </c>
      <c r="F88" s="18">
        <f>(221.9*2.77)- (16*2.4*2.4)</f>
        <v>522.50300000000004</v>
      </c>
      <c r="G88" s="44">
        <v>14.5</v>
      </c>
      <c r="H88" s="44">
        <f t="shared" si="8"/>
        <v>7576.2935000000007</v>
      </c>
      <c r="I88" s="31" t="s">
        <v>260</v>
      </c>
      <c r="J88" s="5"/>
    </row>
    <row r="89" spans="1:10" s="6" customFormat="1" x14ac:dyDescent="0.3">
      <c r="A89" s="82" t="s">
        <v>153</v>
      </c>
      <c r="B89" s="15" t="s">
        <v>115</v>
      </c>
      <c r="C89" s="15" t="s">
        <v>38</v>
      </c>
      <c r="D89" s="16" t="s">
        <v>39</v>
      </c>
      <c r="E89" s="15" t="s">
        <v>12</v>
      </c>
      <c r="F89" s="16">
        <f>F88*1.3</f>
        <v>679.25390000000004</v>
      </c>
      <c r="G89" s="44">
        <v>13.11</v>
      </c>
      <c r="H89" s="43">
        <f t="shared" si="8"/>
        <v>8905.0186290000001</v>
      </c>
      <c r="I89" s="16" t="s">
        <v>116</v>
      </c>
      <c r="J89" s="5"/>
    </row>
    <row r="90" spans="1:10" s="6" customFormat="1" ht="28.8" x14ac:dyDescent="0.3">
      <c r="A90" s="82" t="s">
        <v>154</v>
      </c>
      <c r="B90" s="15" t="s">
        <v>115</v>
      </c>
      <c r="C90" s="19" t="s">
        <v>215</v>
      </c>
      <c r="D90" s="31" t="s">
        <v>216</v>
      </c>
      <c r="E90" s="20" t="s">
        <v>12</v>
      </c>
      <c r="F90" s="15">
        <f>F89+F87</f>
        <v>823.25390000000004</v>
      </c>
      <c r="G90" s="44">
        <v>31.81</v>
      </c>
      <c r="H90" s="43">
        <f t="shared" si="8"/>
        <v>26187.706559000002</v>
      </c>
      <c r="I90" s="16" t="s">
        <v>219</v>
      </c>
      <c r="J90" s="5"/>
    </row>
    <row r="91" spans="1:10" s="6" customFormat="1" x14ac:dyDescent="0.3">
      <c r="A91" s="82" t="s">
        <v>155</v>
      </c>
      <c r="B91" s="15" t="s">
        <v>115</v>
      </c>
      <c r="C91" s="19" t="s">
        <v>217</v>
      </c>
      <c r="D91" s="31" t="s">
        <v>218</v>
      </c>
      <c r="E91" s="20" t="s">
        <v>12</v>
      </c>
      <c r="F91" s="16">
        <f>F90</f>
        <v>823.25390000000004</v>
      </c>
      <c r="G91" s="44">
        <v>24.54</v>
      </c>
      <c r="H91" s="43">
        <f t="shared" si="8"/>
        <v>20202.650706</v>
      </c>
      <c r="I91" s="16"/>
      <c r="J91" s="5"/>
    </row>
    <row r="92" spans="1:10" s="6" customFormat="1" x14ac:dyDescent="0.3">
      <c r="A92" s="82" t="s">
        <v>156</v>
      </c>
      <c r="B92" s="15" t="s">
        <v>115</v>
      </c>
      <c r="C92" s="17" t="s">
        <v>40</v>
      </c>
      <c r="D92" s="18" t="s">
        <v>41</v>
      </c>
      <c r="E92" s="17" t="s">
        <v>12</v>
      </c>
      <c r="F92" s="18">
        <f>F97*3.4*0.6</f>
        <v>20.399999999999999</v>
      </c>
      <c r="G92" s="44">
        <v>23.1</v>
      </c>
      <c r="H92" s="44">
        <f t="shared" si="8"/>
        <v>471.24</v>
      </c>
      <c r="I92" s="31" t="s">
        <v>224</v>
      </c>
      <c r="J92" s="5"/>
    </row>
    <row r="93" spans="1:10" s="6" customFormat="1" x14ac:dyDescent="0.3">
      <c r="A93" s="82" t="s">
        <v>157</v>
      </c>
      <c r="B93" s="15" t="s">
        <v>115</v>
      </c>
      <c r="C93" s="17" t="s">
        <v>54</v>
      </c>
      <c r="D93" s="18" t="s">
        <v>55</v>
      </c>
      <c r="E93" s="17" t="s">
        <v>12</v>
      </c>
      <c r="F93" s="17">
        <f>F97*(3.4*0.15)</f>
        <v>5.0999999999999996</v>
      </c>
      <c r="G93" s="44">
        <v>197.36</v>
      </c>
      <c r="H93" s="45">
        <f t="shared" si="8"/>
        <v>1006.5359999999999</v>
      </c>
      <c r="I93" s="31" t="s">
        <v>229</v>
      </c>
      <c r="J93" s="5"/>
    </row>
    <row r="94" spans="1:10" s="6" customFormat="1" x14ac:dyDescent="0.3">
      <c r="A94" s="82" t="s">
        <v>417</v>
      </c>
      <c r="B94" s="15" t="s">
        <v>115</v>
      </c>
      <c r="C94" s="17" t="s">
        <v>42</v>
      </c>
      <c r="D94" s="18" t="s">
        <v>43</v>
      </c>
      <c r="E94" s="17" t="s">
        <v>12</v>
      </c>
      <c r="F94" s="18">
        <f>F97*3.4*1.2</f>
        <v>40.799999999999997</v>
      </c>
      <c r="G94" s="44">
        <v>159.5</v>
      </c>
      <c r="H94" s="44">
        <f t="shared" si="8"/>
        <v>6507.5999999999995</v>
      </c>
      <c r="I94" s="31" t="s">
        <v>223</v>
      </c>
      <c r="J94" s="5"/>
    </row>
    <row r="95" spans="1:10" s="6" customFormat="1" x14ac:dyDescent="0.3">
      <c r="A95" s="82" t="s">
        <v>418</v>
      </c>
      <c r="B95" s="15" t="s">
        <v>115</v>
      </c>
      <c r="C95" s="18" t="s">
        <v>32</v>
      </c>
      <c r="D95" s="18" t="s">
        <v>33</v>
      </c>
      <c r="E95" s="17" t="s">
        <v>12</v>
      </c>
      <c r="F95" s="18">
        <f>F97*3.4*0.15</f>
        <v>5.0999999999999996</v>
      </c>
      <c r="G95" s="44">
        <v>439.38</v>
      </c>
      <c r="H95" s="44">
        <f t="shared" si="8"/>
        <v>2240.8379999999997</v>
      </c>
      <c r="I95" s="31" t="s">
        <v>230</v>
      </c>
      <c r="J95" s="5"/>
    </row>
    <row r="96" spans="1:10" s="6" customFormat="1" x14ac:dyDescent="0.3">
      <c r="A96" s="82" t="s">
        <v>419</v>
      </c>
      <c r="B96" s="15" t="s">
        <v>115</v>
      </c>
      <c r="C96" s="17" t="s">
        <v>69</v>
      </c>
      <c r="D96" s="18" t="s">
        <v>70</v>
      </c>
      <c r="E96" s="17" t="s">
        <v>2</v>
      </c>
      <c r="F96" s="18">
        <f>F97*2*3.96</f>
        <v>79.2</v>
      </c>
      <c r="G96" s="44">
        <v>80</v>
      </c>
      <c r="H96" s="44">
        <f t="shared" si="8"/>
        <v>6336</v>
      </c>
      <c r="I96" s="31" t="s">
        <v>211</v>
      </c>
      <c r="J96" s="5"/>
    </row>
    <row r="97" spans="1:10" s="6" customFormat="1" x14ac:dyDescent="0.3">
      <c r="A97" s="82" t="s">
        <v>420</v>
      </c>
      <c r="B97" s="15" t="s">
        <v>115</v>
      </c>
      <c r="C97" s="18" t="s">
        <v>44</v>
      </c>
      <c r="D97" s="18" t="s">
        <v>117</v>
      </c>
      <c r="E97" s="18" t="s">
        <v>64</v>
      </c>
      <c r="F97" s="18">
        <v>10</v>
      </c>
      <c r="G97" s="44">
        <f>H232</f>
        <v>6293.1968000000006</v>
      </c>
      <c r="H97" s="44">
        <f t="shared" si="8"/>
        <v>62931.968000000008</v>
      </c>
      <c r="I97" s="16" t="s">
        <v>212</v>
      </c>
      <c r="J97" s="5"/>
    </row>
    <row r="98" spans="1:10" s="6" customFormat="1" ht="28.8" x14ac:dyDescent="0.3">
      <c r="A98" s="82" t="s">
        <v>421</v>
      </c>
      <c r="B98" s="15" t="s">
        <v>115</v>
      </c>
      <c r="C98" s="19" t="s">
        <v>202</v>
      </c>
      <c r="D98" s="31" t="s">
        <v>203</v>
      </c>
      <c r="E98" s="17" t="s">
        <v>2</v>
      </c>
      <c r="F98" s="18">
        <f>F97*(1+1+2.4+2.4+2.4)</f>
        <v>92.000000000000014</v>
      </c>
      <c r="G98" s="44">
        <v>24.58</v>
      </c>
      <c r="H98" s="44">
        <f t="shared" si="8"/>
        <v>2261.36</v>
      </c>
      <c r="I98" s="16" t="s">
        <v>213</v>
      </c>
      <c r="J98" s="5"/>
    </row>
    <row r="99" spans="1:10" s="6" customFormat="1" ht="28.8" x14ac:dyDescent="0.3">
      <c r="A99" s="82" t="s">
        <v>422</v>
      </c>
      <c r="B99" s="15" t="s">
        <v>115</v>
      </c>
      <c r="C99" s="18" t="s">
        <v>46</v>
      </c>
      <c r="D99" s="18" t="s">
        <v>47</v>
      </c>
      <c r="E99" s="18" t="s">
        <v>12</v>
      </c>
      <c r="F99" s="18">
        <f>F88-((F97*2.4*2.4)+(F94)+(F95))</f>
        <v>419.00300000000004</v>
      </c>
      <c r="G99" s="44">
        <v>5.59</v>
      </c>
      <c r="H99" s="44">
        <f t="shared" si="8"/>
        <v>2342.2267700000002</v>
      </c>
      <c r="I99" s="16" t="s">
        <v>263</v>
      </c>
      <c r="J99" s="5"/>
    </row>
    <row r="100" spans="1:10" s="6" customFormat="1" ht="28.8" x14ac:dyDescent="0.3">
      <c r="A100" s="82" t="s">
        <v>423</v>
      </c>
      <c r="B100" s="18" t="s">
        <v>51</v>
      </c>
      <c r="C100" s="32">
        <v>55400</v>
      </c>
      <c r="D100" s="18" t="s">
        <v>100</v>
      </c>
      <c r="E100" s="18" t="s">
        <v>12</v>
      </c>
      <c r="F100" s="18">
        <f>F97*3.4*0.6</f>
        <v>20.399999999999999</v>
      </c>
      <c r="G100" s="44">
        <v>53.91</v>
      </c>
      <c r="H100" s="44">
        <f t="shared" si="8"/>
        <v>1099.7639999999999</v>
      </c>
      <c r="I100" s="31" t="s">
        <v>262</v>
      </c>
      <c r="J100" s="5"/>
    </row>
    <row r="101" spans="1:10" s="6" customFormat="1" ht="28.8" x14ac:dyDescent="0.3">
      <c r="A101" s="82" t="s">
        <v>424</v>
      </c>
      <c r="B101" s="33" t="s">
        <v>51</v>
      </c>
      <c r="C101" s="32">
        <v>43100</v>
      </c>
      <c r="D101" s="33" t="s">
        <v>114</v>
      </c>
      <c r="E101" s="21" t="s">
        <v>12</v>
      </c>
      <c r="F101" s="22">
        <f>6*16*2.77-(16*2.4*2.4)</f>
        <v>173.76000000000002</v>
      </c>
      <c r="G101" s="44">
        <v>26.33</v>
      </c>
      <c r="H101" s="44">
        <f t="shared" si="8"/>
        <v>4575.1008000000002</v>
      </c>
      <c r="I101" s="34" t="s">
        <v>261</v>
      </c>
      <c r="J101" s="8"/>
    </row>
    <row r="102" spans="1:10" s="6" customFormat="1" x14ac:dyDescent="0.3">
      <c r="A102" s="139"/>
      <c r="B102" s="140"/>
      <c r="C102" s="140"/>
      <c r="D102" s="140"/>
      <c r="E102" s="140"/>
      <c r="F102" s="140"/>
      <c r="G102" s="140"/>
      <c r="H102" s="141"/>
      <c r="I102" s="34"/>
      <c r="J102" s="8"/>
    </row>
    <row r="103" spans="1:10" s="6" customFormat="1" x14ac:dyDescent="0.3">
      <c r="A103" s="35" t="s">
        <v>158</v>
      </c>
      <c r="B103" s="120" t="s">
        <v>52</v>
      </c>
      <c r="C103" s="120"/>
      <c r="D103" s="120"/>
      <c r="E103" s="120"/>
      <c r="F103" s="120"/>
      <c r="G103" s="120"/>
      <c r="H103" s="60">
        <f>SUM(H104:H110)</f>
        <v>41316.707114000004</v>
      </c>
      <c r="I103" s="31"/>
      <c r="J103" s="5"/>
    </row>
    <row r="104" spans="1:10" s="6" customFormat="1" ht="28.8" x14ac:dyDescent="0.3">
      <c r="A104" s="18" t="s">
        <v>159</v>
      </c>
      <c r="B104" s="15" t="s">
        <v>115</v>
      </c>
      <c r="C104" s="19" t="s">
        <v>226</v>
      </c>
      <c r="D104" s="31" t="s">
        <v>227</v>
      </c>
      <c r="E104" s="20" t="s">
        <v>2</v>
      </c>
      <c r="F104" s="15">
        <f>2*(2*(3.5*1.96*2))+(3.5*0.6*2)+(5.13*1.55*2)</f>
        <v>74.983000000000004</v>
      </c>
      <c r="G104" s="44">
        <v>215.16</v>
      </c>
      <c r="H104" s="44">
        <f t="shared" ref="H104:H110" si="9">G104*F104</f>
        <v>16133.342280000001</v>
      </c>
      <c r="I104" s="16" t="s">
        <v>232</v>
      </c>
      <c r="J104" s="5"/>
    </row>
    <row r="105" spans="1:10" s="6" customFormat="1" x14ac:dyDescent="0.3">
      <c r="A105" s="18" t="s">
        <v>160</v>
      </c>
      <c r="B105" s="15" t="s">
        <v>115</v>
      </c>
      <c r="C105" s="17" t="s">
        <v>54</v>
      </c>
      <c r="D105" s="18" t="s">
        <v>55</v>
      </c>
      <c r="E105" s="17" t="s">
        <v>12</v>
      </c>
      <c r="F105" s="17">
        <f>2*(11.2*0.2)</f>
        <v>4.4799999999999995</v>
      </c>
      <c r="G105" s="44">
        <v>197.36</v>
      </c>
      <c r="H105" s="45">
        <f t="shared" si="9"/>
        <v>884.17279999999994</v>
      </c>
      <c r="I105" s="31" t="s">
        <v>265</v>
      </c>
      <c r="J105" s="5"/>
    </row>
    <row r="106" spans="1:10" s="6" customFormat="1" x14ac:dyDescent="0.3">
      <c r="A106" s="18" t="s">
        <v>161</v>
      </c>
      <c r="B106" s="15" t="s">
        <v>115</v>
      </c>
      <c r="C106" s="18" t="s">
        <v>42</v>
      </c>
      <c r="D106" s="18" t="s">
        <v>43</v>
      </c>
      <c r="E106" s="18" t="s">
        <v>12</v>
      </c>
      <c r="F106" s="18">
        <f>2*(11.2*1.2)</f>
        <v>26.88</v>
      </c>
      <c r="G106" s="44">
        <v>159.5</v>
      </c>
      <c r="H106" s="44">
        <f t="shared" si="9"/>
        <v>4287.3599999999997</v>
      </c>
      <c r="I106" s="16" t="s">
        <v>264</v>
      </c>
      <c r="J106" s="5"/>
    </row>
    <row r="107" spans="1:10" s="6" customFormat="1" ht="28.8" x14ac:dyDescent="0.3">
      <c r="A107" s="18" t="s">
        <v>162</v>
      </c>
      <c r="B107" s="15" t="s">
        <v>115</v>
      </c>
      <c r="C107" s="18" t="s">
        <v>48</v>
      </c>
      <c r="D107" s="18" t="s">
        <v>49</v>
      </c>
      <c r="E107" s="18" t="s">
        <v>12</v>
      </c>
      <c r="F107" s="18">
        <f>(2*((3.5*1.4*0.6)+(3.5*0.87*0.6)))+(3.4*0.6*0.6)</f>
        <v>10.757999999999999</v>
      </c>
      <c r="G107" s="44">
        <v>563.57000000000005</v>
      </c>
      <c r="H107" s="44">
        <f t="shared" si="9"/>
        <v>6062.8860599999998</v>
      </c>
      <c r="I107" s="16" t="s">
        <v>233</v>
      </c>
      <c r="J107" s="7"/>
    </row>
    <row r="108" spans="1:10" s="6" customFormat="1" x14ac:dyDescent="0.3">
      <c r="A108" s="18" t="s">
        <v>163</v>
      </c>
      <c r="B108" s="15" t="s">
        <v>115</v>
      </c>
      <c r="C108" s="36" t="s">
        <v>102</v>
      </c>
      <c r="D108" s="34" t="s">
        <v>103</v>
      </c>
      <c r="E108" s="23" t="s">
        <v>104</v>
      </c>
      <c r="F108" s="18">
        <f>F109*120</f>
        <v>728.43599999999992</v>
      </c>
      <c r="G108" s="44">
        <v>13.71</v>
      </c>
      <c r="H108" s="44">
        <f t="shared" si="9"/>
        <v>9986.8575600000004</v>
      </c>
      <c r="I108" s="16" t="s">
        <v>235</v>
      </c>
      <c r="J108" s="5"/>
    </row>
    <row r="109" spans="1:10" s="6" customFormat="1" x14ac:dyDescent="0.3">
      <c r="A109" s="18" t="s">
        <v>164</v>
      </c>
      <c r="B109" s="15" t="s">
        <v>115</v>
      </c>
      <c r="C109" s="18" t="s">
        <v>32</v>
      </c>
      <c r="D109" s="18" t="s">
        <v>33</v>
      </c>
      <c r="E109" s="17" t="s">
        <v>12</v>
      </c>
      <c r="F109" s="18">
        <f>(2*(11.2*0.2))+(5.13*1.55*0.2)</f>
        <v>6.0702999999999996</v>
      </c>
      <c r="G109" s="44">
        <v>439.38</v>
      </c>
      <c r="H109" s="44">
        <f t="shared" si="9"/>
        <v>2667.1684139999998</v>
      </c>
      <c r="I109" s="31" t="s">
        <v>268</v>
      </c>
      <c r="J109" s="5"/>
    </row>
    <row r="110" spans="1:10" s="6" customFormat="1" x14ac:dyDescent="0.3">
      <c r="A110" s="18" t="s">
        <v>319</v>
      </c>
      <c r="B110" s="15" t="s">
        <v>115</v>
      </c>
      <c r="C110" s="19" t="s">
        <v>197</v>
      </c>
      <c r="D110" s="31" t="s">
        <v>198</v>
      </c>
      <c r="E110" s="20" t="s">
        <v>2</v>
      </c>
      <c r="F110" s="15">
        <v>108</v>
      </c>
      <c r="G110" s="44">
        <v>11.99</v>
      </c>
      <c r="H110" s="44">
        <f t="shared" si="9"/>
        <v>1294.92</v>
      </c>
      <c r="I110" s="31" t="s">
        <v>237</v>
      </c>
      <c r="J110" s="5"/>
    </row>
    <row r="111" spans="1:10" s="6" customFormat="1" x14ac:dyDescent="0.3">
      <c r="A111" s="126"/>
      <c r="B111" s="126"/>
      <c r="C111" s="126"/>
      <c r="D111" s="126"/>
      <c r="E111" s="126"/>
      <c r="F111" s="126"/>
      <c r="G111" s="126"/>
      <c r="H111" s="126"/>
      <c r="I111" s="31"/>
      <c r="J111" s="5"/>
    </row>
    <row r="112" spans="1:10" s="6" customFormat="1" x14ac:dyDescent="0.3">
      <c r="A112" s="83" t="s">
        <v>425</v>
      </c>
      <c r="B112" s="122" t="s">
        <v>53</v>
      </c>
      <c r="C112" s="122"/>
      <c r="D112" s="122"/>
      <c r="E112" s="122"/>
      <c r="F112" s="122"/>
      <c r="G112" s="122"/>
      <c r="H112" s="62">
        <f>SUM(H114:H126)</f>
        <v>140627.21315000003</v>
      </c>
      <c r="I112" s="31"/>
      <c r="J112" s="5"/>
    </row>
    <row r="113" spans="1:10" s="6" customFormat="1" ht="28.8" x14ac:dyDescent="0.3">
      <c r="A113" s="118"/>
      <c r="B113" s="118"/>
      <c r="C113" s="118"/>
      <c r="D113" s="58" t="s">
        <v>21</v>
      </c>
      <c r="E113" s="14" t="s">
        <v>22</v>
      </c>
      <c r="F113" s="14" t="s">
        <v>24</v>
      </c>
      <c r="G113" s="41" t="s">
        <v>111</v>
      </c>
      <c r="H113" s="41" t="s">
        <v>112</v>
      </c>
      <c r="I113" s="31"/>
      <c r="J113" s="5"/>
    </row>
    <row r="114" spans="1:10" s="6" customFormat="1" x14ac:dyDescent="0.3">
      <c r="A114" s="82" t="s">
        <v>426</v>
      </c>
      <c r="B114" s="15" t="s">
        <v>115</v>
      </c>
      <c r="C114" s="18" t="s">
        <v>36</v>
      </c>
      <c r="D114" s="18" t="s">
        <v>37</v>
      </c>
      <c r="E114" s="18" t="s">
        <v>12</v>
      </c>
      <c r="F114" s="18">
        <f>(279.9-152.8)*0.4</f>
        <v>50.839999999999989</v>
      </c>
      <c r="G114" s="45">
        <v>14.5</v>
      </c>
      <c r="H114" s="44">
        <f t="shared" ref="H114:H126" si="10">G114*F114</f>
        <v>737.17999999999984</v>
      </c>
      <c r="I114" s="31" t="s">
        <v>252</v>
      </c>
      <c r="J114" s="5"/>
    </row>
    <row r="115" spans="1:10" s="6" customFormat="1" ht="28.8" x14ac:dyDescent="0.3">
      <c r="A115" s="82" t="s">
        <v>427</v>
      </c>
      <c r="B115" s="18" t="s">
        <v>51</v>
      </c>
      <c r="C115" s="32">
        <v>55400</v>
      </c>
      <c r="D115" s="18" t="s">
        <v>100</v>
      </c>
      <c r="E115" s="18" t="s">
        <v>12</v>
      </c>
      <c r="F115" s="18">
        <f>F117*0.4</f>
        <v>196.60000000000002</v>
      </c>
      <c r="G115" s="45">
        <v>53.91</v>
      </c>
      <c r="H115" s="44">
        <f t="shared" si="10"/>
        <v>10598.706</v>
      </c>
      <c r="I115" s="31" t="s">
        <v>251</v>
      </c>
      <c r="J115" s="5"/>
    </row>
    <row r="116" spans="1:10" s="6" customFormat="1" x14ac:dyDescent="0.3">
      <c r="A116" s="82" t="s">
        <v>428</v>
      </c>
      <c r="B116" s="15" t="s">
        <v>115</v>
      </c>
      <c r="C116" s="17" t="s">
        <v>54</v>
      </c>
      <c r="D116" s="18" t="s">
        <v>55</v>
      </c>
      <c r="E116" s="17" t="s">
        <v>12</v>
      </c>
      <c r="F116" s="17">
        <f>F117*0.2</f>
        <v>98.300000000000011</v>
      </c>
      <c r="G116" s="45">
        <v>197.36</v>
      </c>
      <c r="H116" s="45">
        <f t="shared" si="10"/>
        <v>19400.488000000005</v>
      </c>
      <c r="I116" s="16" t="s">
        <v>274</v>
      </c>
      <c r="J116" s="5"/>
    </row>
    <row r="117" spans="1:10" s="6" customFormat="1" x14ac:dyDescent="0.3">
      <c r="A117" s="82" t="s">
        <v>429</v>
      </c>
      <c r="B117" s="15" t="s">
        <v>115</v>
      </c>
      <c r="C117" s="17" t="s">
        <v>56</v>
      </c>
      <c r="D117" s="18" t="s">
        <v>57</v>
      </c>
      <c r="E117" s="17" t="s">
        <v>2</v>
      </c>
      <c r="F117" s="17">
        <v>491.5</v>
      </c>
      <c r="G117" s="45">
        <v>7.48</v>
      </c>
      <c r="H117" s="45">
        <f t="shared" si="10"/>
        <v>3676.42</v>
      </c>
      <c r="I117" s="16" t="s">
        <v>276</v>
      </c>
      <c r="J117" s="5"/>
    </row>
    <row r="118" spans="1:10" s="6" customFormat="1" x14ac:dyDescent="0.3">
      <c r="A118" s="82" t="s">
        <v>430</v>
      </c>
      <c r="B118" s="15" t="s">
        <v>115</v>
      </c>
      <c r="C118" s="17" t="s">
        <v>58</v>
      </c>
      <c r="D118" s="18" t="s">
        <v>59</v>
      </c>
      <c r="E118" s="17" t="s">
        <v>2</v>
      </c>
      <c r="F118" s="17">
        <f>F117*2</f>
        <v>983</v>
      </c>
      <c r="G118" s="45">
        <v>15.28</v>
      </c>
      <c r="H118" s="45">
        <f t="shared" si="10"/>
        <v>15020.24</v>
      </c>
      <c r="I118" s="16" t="s">
        <v>275</v>
      </c>
      <c r="J118" s="5"/>
    </row>
    <row r="119" spans="1:10" s="6" customFormat="1" x14ac:dyDescent="0.3">
      <c r="A119" s="82" t="s">
        <v>431</v>
      </c>
      <c r="B119" s="15" t="s">
        <v>115</v>
      </c>
      <c r="C119" s="17" t="s">
        <v>62</v>
      </c>
      <c r="D119" s="18" t="s">
        <v>63</v>
      </c>
      <c r="E119" s="17" t="s">
        <v>12</v>
      </c>
      <c r="F119" s="17">
        <f>F117*0.05</f>
        <v>24.575000000000003</v>
      </c>
      <c r="G119" s="45">
        <v>1384.71</v>
      </c>
      <c r="H119" s="45">
        <f t="shared" si="10"/>
        <v>34029.248250000004</v>
      </c>
      <c r="I119" s="16" t="s">
        <v>277</v>
      </c>
      <c r="J119" s="5"/>
    </row>
    <row r="120" spans="1:10" s="6" customFormat="1" x14ac:dyDescent="0.3">
      <c r="A120" s="82" t="s">
        <v>432</v>
      </c>
      <c r="B120" s="15" t="s">
        <v>115</v>
      </c>
      <c r="C120" s="17" t="s">
        <v>60</v>
      </c>
      <c r="D120" s="18" t="s">
        <v>61</v>
      </c>
      <c r="E120" s="17" t="s">
        <v>12</v>
      </c>
      <c r="F120" s="17">
        <f>F119</f>
        <v>24.575000000000003</v>
      </c>
      <c r="G120" s="45">
        <v>1555.42</v>
      </c>
      <c r="H120" s="45">
        <f t="shared" si="10"/>
        <v>38224.446500000005</v>
      </c>
      <c r="I120" s="16" t="s">
        <v>277</v>
      </c>
      <c r="J120" s="5"/>
    </row>
    <row r="121" spans="1:10" s="6" customFormat="1" x14ac:dyDescent="0.3">
      <c r="A121" s="82" t="s">
        <v>433</v>
      </c>
      <c r="B121" s="15" t="s">
        <v>115</v>
      </c>
      <c r="C121" s="15" t="s">
        <v>65</v>
      </c>
      <c r="D121" s="16" t="s">
        <v>66</v>
      </c>
      <c r="E121" s="15" t="s">
        <v>12</v>
      </c>
      <c r="F121" s="15">
        <f>28*0.6*0.1</f>
        <v>1.6800000000000002</v>
      </c>
      <c r="G121" s="45">
        <v>460.68</v>
      </c>
      <c r="H121" s="42">
        <f t="shared" si="10"/>
        <v>773.94240000000013</v>
      </c>
      <c r="I121" s="16" t="s">
        <v>278</v>
      </c>
      <c r="J121" s="5"/>
    </row>
    <row r="122" spans="1:10" s="6" customFormat="1" ht="28.8" x14ac:dyDescent="0.3">
      <c r="A122" s="82" t="s">
        <v>434</v>
      </c>
      <c r="B122" s="15" t="s">
        <v>115</v>
      </c>
      <c r="C122" s="32">
        <v>51403</v>
      </c>
      <c r="D122" s="21" t="s">
        <v>113</v>
      </c>
      <c r="E122" s="17" t="s">
        <v>64</v>
      </c>
      <c r="F122" s="17">
        <v>28</v>
      </c>
      <c r="G122" s="45">
        <v>46.59</v>
      </c>
      <c r="H122" s="45">
        <f t="shared" si="10"/>
        <v>1304.52</v>
      </c>
      <c r="I122" s="16" t="s">
        <v>279</v>
      </c>
      <c r="J122" s="5"/>
    </row>
    <row r="123" spans="1:10" s="6" customFormat="1" x14ac:dyDescent="0.3">
      <c r="A123" s="82" t="s">
        <v>435</v>
      </c>
      <c r="B123" s="15" t="s">
        <v>115</v>
      </c>
      <c r="C123" s="15" t="s">
        <v>67</v>
      </c>
      <c r="D123" s="16" t="s">
        <v>68</v>
      </c>
      <c r="E123" s="15" t="s">
        <v>12</v>
      </c>
      <c r="F123" s="15">
        <f>28*0.45*0.15</f>
        <v>1.89</v>
      </c>
      <c r="G123" s="45">
        <v>664.34</v>
      </c>
      <c r="H123" s="42">
        <f t="shared" si="10"/>
        <v>1255.6025999999999</v>
      </c>
      <c r="I123" s="16" t="s">
        <v>282</v>
      </c>
      <c r="J123" s="5"/>
    </row>
    <row r="124" spans="1:10" s="4" customFormat="1" x14ac:dyDescent="0.3">
      <c r="A124" s="82" t="s">
        <v>436</v>
      </c>
      <c r="B124" s="15" t="s">
        <v>115</v>
      </c>
      <c r="C124" s="15" t="s">
        <v>73</v>
      </c>
      <c r="D124" s="16" t="s">
        <v>74</v>
      </c>
      <c r="E124" s="15" t="s">
        <v>12</v>
      </c>
      <c r="F124" s="15">
        <f>120.7*0.05</f>
        <v>6.0350000000000001</v>
      </c>
      <c r="G124" s="45">
        <v>160.32</v>
      </c>
      <c r="H124" s="42">
        <f t="shared" si="10"/>
        <v>967.53120000000001</v>
      </c>
      <c r="I124" s="16" t="s">
        <v>281</v>
      </c>
      <c r="J124" s="2"/>
    </row>
    <row r="125" spans="1:10" s="6" customFormat="1" x14ac:dyDescent="0.3">
      <c r="A125" s="82" t="s">
        <v>437</v>
      </c>
      <c r="B125" s="15" t="s">
        <v>115</v>
      </c>
      <c r="C125" s="17" t="s">
        <v>71</v>
      </c>
      <c r="D125" s="18" t="s">
        <v>72</v>
      </c>
      <c r="E125" s="17" t="s">
        <v>12</v>
      </c>
      <c r="F125" s="17">
        <f>120.7*0.1</f>
        <v>12.07</v>
      </c>
      <c r="G125" s="45">
        <v>768.54</v>
      </c>
      <c r="H125" s="45">
        <f t="shared" si="10"/>
        <v>9276.2777999999998</v>
      </c>
      <c r="I125" s="16" t="s">
        <v>280</v>
      </c>
      <c r="J125" s="5"/>
    </row>
    <row r="126" spans="1:10" s="6" customFormat="1" x14ac:dyDescent="0.3">
      <c r="A126" s="82" t="s">
        <v>438</v>
      </c>
      <c r="B126" s="15" t="s">
        <v>115</v>
      </c>
      <c r="C126" s="19" t="s">
        <v>269</v>
      </c>
      <c r="D126" s="31" t="s">
        <v>270</v>
      </c>
      <c r="E126" s="20" t="s">
        <v>2</v>
      </c>
      <c r="F126" s="15">
        <f>24.36*2</f>
        <v>48.72</v>
      </c>
      <c r="G126" s="45">
        <v>110.07</v>
      </c>
      <c r="H126" s="45">
        <f t="shared" si="10"/>
        <v>5362.6103999999996</v>
      </c>
      <c r="I126" s="16" t="s">
        <v>273</v>
      </c>
      <c r="J126" s="5"/>
    </row>
    <row r="127" spans="1:10" s="6" customFormat="1" ht="15" thickBot="1" x14ac:dyDescent="0.35">
      <c r="A127" s="145"/>
      <c r="B127" s="146"/>
      <c r="C127" s="146"/>
      <c r="D127" s="146"/>
      <c r="E127" s="146"/>
      <c r="F127" s="146"/>
      <c r="G127" s="146"/>
      <c r="H127" s="147"/>
      <c r="I127" s="16"/>
      <c r="J127" s="5"/>
    </row>
    <row r="128" spans="1:10" s="6" customFormat="1" ht="15" thickBot="1" x14ac:dyDescent="0.35">
      <c r="A128" s="78" t="s">
        <v>88</v>
      </c>
      <c r="B128" s="116" t="s">
        <v>283</v>
      </c>
      <c r="C128" s="116"/>
      <c r="D128" s="116"/>
      <c r="E128" s="116"/>
      <c r="F128" s="116"/>
      <c r="G128" s="79"/>
      <c r="H128" s="80">
        <f>SUM(H129,H165,H156,H138)</f>
        <v>517714.23085680004</v>
      </c>
      <c r="I128" s="63"/>
      <c r="J128" s="5"/>
    </row>
    <row r="129" spans="1:10" s="6" customFormat="1" x14ac:dyDescent="0.3">
      <c r="A129" s="76" t="s">
        <v>89</v>
      </c>
      <c r="B129" s="117" t="s">
        <v>9</v>
      </c>
      <c r="C129" s="117"/>
      <c r="D129" s="117"/>
      <c r="E129" s="117"/>
      <c r="F129" s="117"/>
      <c r="G129" s="117"/>
      <c r="H129" s="77">
        <f>SUM(H131:H136)</f>
        <v>15679.061148800003</v>
      </c>
      <c r="I129" s="31"/>
      <c r="J129" s="5"/>
    </row>
    <row r="130" spans="1:10" s="6" customFormat="1" ht="28.8" x14ac:dyDescent="0.3">
      <c r="A130" s="118"/>
      <c r="B130" s="118"/>
      <c r="C130" s="118"/>
      <c r="D130" s="58" t="s">
        <v>21</v>
      </c>
      <c r="E130" s="14" t="s">
        <v>22</v>
      </c>
      <c r="F130" s="14" t="s">
        <v>24</v>
      </c>
      <c r="G130" s="41" t="s">
        <v>111</v>
      </c>
      <c r="H130" s="41" t="s">
        <v>112</v>
      </c>
      <c r="I130" s="31"/>
      <c r="J130" s="5"/>
    </row>
    <row r="131" spans="1:10" s="6" customFormat="1" ht="28.8" x14ac:dyDescent="0.3">
      <c r="A131" s="16" t="s">
        <v>165</v>
      </c>
      <c r="B131" s="15" t="s">
        <v>115</v>
      </c>
      <c r="C131" s="16" t="s">
        <v>94</v>
      </c>
      <c r="D131" s="16" t="s">
        <v>95</v>
      </c>
      <c r="E131" s="16" t="s">
        <v>2</v>
      </c>
      <c r="F131" s="16">
        <f>530.77-195.7</f>
        <v>335.07</v>
      </c>
      <c r="G131" s="44">
        <v>24.28</v>
      </c>
      <c r="H131" s="43">
        <f t="shared" ref="H131:H136" si="11">G131*F131</f>
        <v>8135.4996000000001</v>
      </c>
      <c r="I131" s="16" t="s">
        <v>286</v>
      </c>
      <c r="J131" s="5"/>
    </row>
    <row r="132" spans="1:10" s="6" customFormat="1" ht="28.8" x14ac:dyDescent="0.3">
      <c r="A132" s="16" t="s">
        <v>166</v>
      </c>
      <c r="B132" s="15" t="s">
        <v>115</v>
      </c>
      <c r="C132" s="17" t="s">
        <v>13</v>
      </c>
      <c r="D132" s="18" t="s">
        <v>14</v>
      </c>
      <c r="E132" s="17" t="s">
        <v>12</v>
      </c>
      <c r="F132" s="18">
        <f>86*0.1</f>
        <v>8.6</v>
      </c>
      <c r="G132" s="44">
        <v>270.52</v>
      </c>
      <c r="H132" s="44">
        <f t="shared" si="11"/>
        <v>2326.4719999999998</v>
      </c>
      <c r="I132" s="16" t="s">
        <v>287</v>
      </c>
      <c r="J132" s="5"/>
    </row>
    <row r="133" spans="1:10" s="6" customFormat="1" x14ac:dyDescent="0.3">
      <c r="A133" s="16" t="s">
        <v>167</v>
      </c>
      <c r="B133" s="15" t="s">
        <v>115</v>
      </c>
      <c r="C133" s="15" t="s">
        <v>15</v>
      </c>
      <c r="D133" s="16" t="s">
        <v>16</v>
      </c>
      <c r="E133" s="15" t="s">
        <v>12</v>
      </c>
      <c r="F133" s="16">
        <f>F132+(F131*0.08)</f>
        <v>35.4056</v>
      </c>
      <c r="G133" s="44">
        <v>49</v>
      </c>
      <c r="H133" s="43">
        <f t="shared" si="11"/>
        <v>1734.8743999999999</v>
      </c>
      <c r="I133" s="16" t="s">
        <v>222</v>
      </c>
      <c r="J133" s="5"/>
    </row>
    <row r="134" spans="1:10" s="6" customFormat="1" x14ac:dyDescent="0.3">
      <c r="A134" s="16" t="s">
        <v>168</v>
      </c>
      <c r="B134" s="15" t="s">
        <v>115</v>
      </c>
      <c r="C134" s="16" t="s">
        <v>17</v>
      </c>
      <c r="D134" s="16" t="s">
        <v>18</v>
      </c>
      <c r="E134" s="16" t="s">
        <v>19</v>
      </c>
      <c r="F134" s="16">
        <f>F133*2.4</f>
        <v>84.973439999999997</v>
      </c>
      <c r="G134" s="44">
        <v>32.020000000000003</v>
      </c>
      <c r="H134" s="43">
        <f t="shared" si="11"/>
        <v>2720.8495488000003</v>
      </c>
      <c r="I134" s="16" t="s">
        <v>206</v>
      </c>
      <c r="J134" s="5"/>
    </row>
    <row r="135" spans="1:10" s="6" customFormat="1" x14ac:dyDescent="0.3">
      <c r="A135" s="16" t="s">
        <v>169</v>
      </c>
      <c r="B135" s="15" t="s">
        <v>115</v>
      </c>
      <c r="C135" s="18" t="s">
        <v>98</v>
      </c>
      <c r="D135" s="18" t="s">
        <v>99</v>
      </c>
      <c r="E135" s="18" t="s">
        <v>64</v>
      </c>
      <c r="F135" s="18">
        <f>2*16</f>
        <v>32</v>
      </c>
      <c r="G135" s="44">
        <v>5.81</v>
      </c>
      <c r="H135" s="44">
        <f t="shared" si="11"/>
        <v>185.92</v>
      </c>
      <c r="I135" s="16" t="s">
        <v>288</v>
      </c>
      <c r="J135" s="5"/>
    </row>
    <row r="136" spans="1:10" s="6" customFormat="1" ht="28.8" x14ac:dyDescent="0.3">
      <c r="A136" s="16" t="s">
        <v>324</v>
      </c>
      <c r="B136" s="15" t="s">
        <v>115</v>
      </c>
      <c r="C136" s="19" t="s">
        <v>207</v>
      </c>
      <c r="D136" s="31" t="s">
        <v>208</v>
      </c>
      <c r="E136" s="20" t="s">
        <v>12</v>
      </c>
      <c r="F136" s="15">
        <f>F135*(0.45*0.15)</f>
        <v>2.16</v>
      </c>
      <c r="G136" s="44">
        <v>266.41000000000003</v>
      </c>
      <c r="H136" s="44">
        <f t="shared" si="11"/>
        <v>575.44560000000013</v>
      </c>
      <c r="I136" s="16" t="s">
        <v>209</v>
      </c>
      <c r="J136" s="5"/>
    </row>
    <row r="137" spans="1:10" s="6" customFormat="1" x14ac:dyDescent="0.3">
      <c r="A137" s="119"/>
      <c r="B137" s="119"/>
      <c r="C137" s="119"/>
      <c r="D137" s="119"/>
      <c r="E137" s="119"/>
      <c r="F137" s="119"/>
      <c r="G137" s="119"/>
      <c r="H137" s="119"/>
      <c r="I137" s="16"/>
      <c r="J137" s="5"/>
    </row>
    <row r="138" spans="1:10" s="6" customFormat="1" x14ac:dyDescent="0.3">
      <c r="A138" s="50" t="s">
        <v>90</v>
      </c>
      <c r="B138" s="120" t="s">
        <v>77</v>
      </c>
      <c r="C138" s="120"/>
      <c r="D138" s="120"/>
      <c r="E138" s="120"/>
      <c r="F138" s="120"/>
      <c r="G138" s="120"/>
      <c r="H138" s="59">
        <f>SUM(H140:H154)</f>
        <v>293564.317644</v>
      </c>
      <c r="I138" s="16"/>
      <c r="J138" s="5"/>
    </row>
    <row r="139" spans="1:10" s="6" customFormat="1" ht="28.8" x14ac:dyDescent="0.3">
      <c r="A139" s="14"/>
      <c r="B139" s="14"/>
      <c r="C139" s="14"/>
      <c r="D139" s="58" t="s">
        <v>21</v>
      </c>
      <c r="E139" s="14" t="s">
        <v>22</v>
      </c>
      <c r="F139" s="14" t="s">
        <v>24</v>
      </c>
      <c r="G139" s="41" t="s">
        <v>111</v>
      </c>
      <c r="H139" s="41" t="s">
        <v>112</v>
      </c>
      <c r="I139" s="31"/>
      <c r="J139" s="5"/>
    </row>
    <row r="140" spans="1:10" s="6" customFormat="1" x14ac:dyDescent="0.3">
      <c r="A140" s="15" t="s">
        <v>170</v>
      </c>
      <c r="B140" s="16" t="s">
        <v>51</v>
      </c>
      <c r="C140" s="16" t="s">
        <v>101</v>
      </c>
      <c r="D140" s="16" t="s">
        <v>50</v>
      </c>
      <c r="E140" s="16" t="s">
        <v>12</v>
      </c>
      <c r="F140" s="16">
        <f>60*6*0.4</f>
        <v>144</v>
      </c>
      <c r="G140" s="44">
        <v>176.34</v>
      </c>
      <c r="H140" s="43">
        <f t="shared" ref="H140:H154" si="12">G140*F140</f>
        <v>25392.959999999999</v>
      </c>
      <c r="I140" s="31" t="s">
        <v>210</v>
      </c>
      <c r="J140" s="5"/>
    </row>
    <row r="141" spans="1:10" s="6" customFormat="1" x14ac:dyDescent="0.3">
      <c r="A141" s="15" t="s">
        <v>171</v>
      </c>
      <c r="B141" s="15" t="s">
        <v>115</v>
      </c>
      <c r="C141" s="18" t="s">
        <v>36</v>
      </c>
      <c r="D141" s="18" t="s">
        <v>37</v>
      </c>
      <c r="E141" s="18" t="s">
        <v>12</v>
      </c>
      <c r="F141" s="18">
        <f>(195.7 /2)*3.91+(24*3.4*1.55)</f>
        <v>509.07349999999997</v>
      </c>
      <c r="G141" s="44">
        <v>14.5</v>
      </c>
      <c r="H141" s="44">
        <f t="shared" si="12"/>
        <v>7381.5657499999998</v>
      </c>
      <c r="I141" s="31" t="s">
        <v>294</v>
      </c>
      <c r="J141" s="5"/>
    </row>
    <row r="142" spans="1:10" s="6" customFormat="1" ht="28.8" x14ac:dyDescent="0.3">
      <c r="A142" s="15" t="s">
        <v>172</v>
      </c>
      <c r="B142" s="15" t="s">
        <v>115</v>
      </c>
      <c r="C142" s="15" t="s">
        <v>38</v>
      </c>
      <c r="D142" s="16" t="s">
        <v>39</v>
      </c>
      <c r="E142" s="15" t="s">
        <v>12</v>
      </c>
      <c r="F142" s="16">
        <f>F140+F141*1.3</f>
        <v>805.79554999999993</v>
      </c>
      <c r="G142" s="44">
        <v>13.11</v>
      </c>
      <c r="H142" s="43">
        <f t="shared" si="12"/>
        <v>10563.979660499999</v>
      </c>
      <c r="I142" s="16" t="s">
        <v>291</v>
      </c>
      <c r="J142" s="5"/>
    </row>
    <row r="143" spans="1:10" s="6" customFormat="1" ht="28.8" x14ac:dyDescent="0.3">
      <c r="A143" s="15" t="s">
        <v>173</v>
      </c>
      <c r="B143" s="15" t="s">
        <v>115</v>
      </c>
      <c r="C143" s="19" t="s">
        <v>215</v>
      </c>
      <c r="D143" s="31" t="s">
        <v>216</v>
      </c>
      <c r="E143" s="20" t="s">
        <v>12</v>
      </c>
      <c r="F143" s="15">
        <f>F142</f>
        <v>805.79554999999993</v>
      </c>
      <c r="G143" s="44">
        <v>31.81</v>
      </c>
      <c r="H143" s="43">
        <f t="shared" si="12"/>
        <v>25632.356445499998</v>
      </c>
      <c r="I143" s="16" t="s">
        <v>290</v>
      </c>
      <c r="J143" s="5"/>
    </row>
    <row r="144" spans="1:10" s="6" customFormat="1" x14ac:dyDescent="0.3">
      <c r="A144" s="15" t="s">
        <v>174</v>
      </c>
      <c r="B144" s="15" t="s">
        <v>115</v>
      </c>
      <c r="C144" s="19" t="s">
        <v>217</v>
      </c>
      <c r="D144" s="31" t="s">
        <v>218</v>
      </c>
      <c r="E144" s="20" t="s">
        <v>12</v>
      </c>
      <c r="F144" s="16">
        <f>F143</f>
        <v>805.79554999999993</v>
      </c>
      <c r="G144" s="44">
        <v>24.54</v>
      </c>
      <c r="H144" s="43">
        <f t="shared" si="12"/>
        <v>19774.222796999999</v>
      </c>
      <c r="I144" s="16"/>
      <c r="J144" s="5"/>
    </row>
    <row r="145" spans="1:10" s="6" customFormat="1" x14ac:dyDescent="0.3">
      <c r="A145" s="15" t="s">
        <v>175</v>
      </c>
      <c r="B145" s="15" t="s">
        <v>115</v>
      </c>
      <c r="C145" s="17" t="s">
        <v>40</v>
      </c>
      <c r="D145" s="18" t="s">
        <v>41</v>
      </c>
      <c r="E145" s="17" t="s">
        <v>12</v>
      </c>
      <c r="F145" s="18">
        <f>F150*3.4*0.6</f>
        <v>48.959999999999994</v>
      </c>
      <c r="G145" s="44">
        <v>23.1</v>
      </c>
      <c r="H145" s="44">
        <f t="shared" si="12"/>
        <v>1130.9759999999999</v>
      </c>
      <c r="I145" s="31" t="s">
        <v>295</v>
      </c>
      <c r="J145" s="5"/>
    </row>
    <row r="146" spans="1:10" s="6" customFormat="1" x14ac:dyDescent="0.3">
      <c r="A146" s="15" t="s">
        <v>176</v>
      </c>
      <c r="B146" s="15" t="s">
        <v>115</v>
      </c>
      <c r="C146" s="17" t="s">
        <v>54</v>
      </c>
      <c r="D146" s="18" t="s">
        <v>55</v>
      </c>
      <c r="E146" s="17" t="s">
        <v>12</v>
      </c>
      <c r="F146" s="17">
        <f>F150*(3.4*0.15)</f>
        <v>12.24</v>
      </c>
      <c r="G146" s="44">
        <v>197.36</v>
      </c>
      <c r="H146" s="45">
        <f t="shared" si="12"/>
        <v>2415.6864</v>
      </c>
      <c r="I146" s="31" t="s">
        <v>296</v>
      </c>
      <c r="J146" s="5"/>
    </row>
    <row r="147" spans="1:10" s="6" customFormat="1" x14ac:dyDescent="0.3">
      <c r="A147" s="15" t="s">
        <v>177</v>
      </c>
      <c r="B147" s="15" t="s">
        <v>115</v>
      </c>
      <c r="C147" s="17" t="s">
        <v>42</v>
      </c>
      <c r="D147" s="18" t="s">
        <v>43</v>
      </c>
      <c r="E147" s="17" t="s">
        <v>12</v>
      </c>
      <c r="F147" s="18">
        <f>F150*3.4*1.2</f>
        <v>97.919999999999987</v>
      </c>
      <c r="G147" s="44">
        <v>159.5</v>
      </c>
      <c r="H147" s="44">
        <f t="shared" si="12"/>
        <v>15618.239999999998</v>
      </c>
      <c r="I147" s="31" t="s">
        <v>297</v>
      </c>
      <c r="J147" s="5"/>
    </row>
    <row r="148" spans="1:10" s="6" customFormat="1" x14ac:dyDescent="0.3">
      <c r="A148" s="15" t="s">
        <v>178</v>
      </c>
      <c r="B148" s="15" t="s">
        <v>115</v>
      </c>
      <c r="C148" s="18" t="s">
        <v>32</v>
      </c>
      <c r="D148" s="18" t="s">
        <v>33</v>
      </c>
      <c r="E148" s="17" t="s">
        <v>12</v>
      </c>
      <c r="F148" s="18">
        <f>F150*3.4*0.15</f>
        <v>12.239999999999998</v>
      </c>
      <c r="G148" s="44">
        <v>439.38</v>
      </c>
      <c r="H148" s="44">
        <f t="shared" si="12"/>
        <v>5378.011199999999</v>
      </c>
      <c r="I148" s="31" t="s">
        <v>298</v>
      </c>
      <c r="J148" s="5"/>
    </row>
    <row r="149" spans="1:10" s="6" customFormat="1" x14ac:dyDescent="0.3">
      <c r="A149" s="15" t="s">
        <v>179</v>
      </c>
      <c r="B149" s="15" t="s">
        <v>115</v>
      </c>
      <c r="C149" s="17" t="s">
        <v>69</v>
      </c>
      <c r="D149" s="18" t="s">
        <v>70</v>
      </c>
      <c r="E149" s="17" t="s">
        <v>2</v>
      </c>
      <c r="F149" s="18">
        <f>F150*2*3.96</f>
        <v>190.07999999999998</v>
      </c>
      <c r="G149" s="44">
        <v>80</v>
      </c>
      <c r="H149" s="44">
        <f t="shared" si="12"/>
        <v>15206.399999999998</v>
      </c>
      <c r="I149" s="31" t="s">
        <v>299</v>
      </c>
      <c r="J149" s="5"/>
    </row>
    <row r="150" spans="1:10" s="6" customFormat="1" x14ac:dyDescent="0.3">
      <c r="A150" s="15" t="s">
        <v>180</v>
      </c>
      <c r="B150" s="15" t="s">
        <v>115</v>
      </c>
      <c r="C150" s="18" t="s">
        <v>44</v>
      </c>
      <c r="D150" s="18" t="s">
        <v>117</v>
      </c>
      <c r="E150" s="18" t="s">
        <v>64</v>
      </c>
      <c r="F150" s="18">
        <v>24</v>
      </c>
      <c r="G150" s="44">
        <f>H232</f>
        <v>6293.1968000000006</v>
      </c>
      <c r="H150" s="44">
        <f t="shared" si="12"/>
        <v>151036.72320000001</v>
      </c>
      <c r="I150" s="16" t="s">
        <v>212</v>
      </c>
      <c r="J150" s="5"/>
    </row>
    <row r="151" spans="1:10" s="6" customFormat="1" ht="28.8" x14ac:dyDescent="0.3">
      <c r="A151" s="15" t="s">
        <v>205</v>
      </c>
      <c r="B151" s="15" t="s">
        <v>115</v>
      </c>
      <c r="C151" s="19" t="s">
        <v>202</v>
      </c>
      <c r="D151" s="31" t="s">
        <v>203</v>
      </c>
      <c r="E151" s="17" t="s">
        <v>2</v>
      </c>
      <c r="F151" s="18">
        <f>F150*(1+1+2.4+2.4+2.4)</f>
        <v>220.8</v>
      </c>
      <c r="G151" s="44">
        <v>24.58</v>
      </c>
      <c r="H151" s="44">
        <f t="shared" si="12"/>
        <v>5427.2640000000001</v>
      </c>
      <c r="I151" s="16" t="s">
        <v>213</v>
      </c>
      <c r="J151" s="5"/>
    </row>
    <row r="152" spans="1:10" s="6" customFormat="1" ht="28.8" x14ac:dyDescent="0.3">
      <c r="A152" s="15" t="s">
        <v>325</v>
      </c>
      <c r="B152" s="15" t="s">
        <v>115</v>
      </c>
      <c r="C152" s="18" t="s">
        <v>46</v>
      </c>
      <c r="D152" s="18" t="s">
        <v>47</v>
      </c>
      <c r="E152" s="18" t="s">
        <v>12</v>
      </c>
      <c r="F152" s="18">
        <f>F141-((F150*2.4*2.4)+(F147)+(F148))</f>
        <v>260.67349999999999</v>
      </c>
      <c r="G152" s="44">
        <v>5.59</v>
      </c>
      <c r="H152" s="44">
        <f t="shared" si="12"/>
        <v>1457.164865</v>
      </c>
      <c r="I152" s="16" t="s">
        <v>225</v>
      </c>
      <c r="J152" s="5"/>
    </row>
    <row r="153" spans="1:10" s="6" customFormat="1" ht="28.8" x14ac:dyDescent="0.3">
      <c r="A153" s="15" t="s">
        <v>326</v>
      </c>
      <c r="B153" s="18" t="s">
        <v>51</v>
      </c>
      <c r="C153" s="32">
        <v>55400</v>
      </c>
      <c r="D153" s="18" t="s">
        <v>100</v>
      </c>
      <c r="E153" s="18" t="s">
        <v>12</v>
      </c>
      <c r="F153" s="18">
        <f>F150*3.4*0.6</f>
        <v>48.959999999999994</v>
      </c>
      <c r="G153" s="44">
        <v>53.91</v>
      </c>
      <c r="H153" s="44">
        <f t="shared" si="12"/>
        <v>2639.4335999999994</v>
      </c>
      <c r="I153" s="31" t="s">
        <v>300</v>
      </c>
      <c r="J153" s="5"/>
    </row>
    <row r="154" spans="1:10" s="6" customFormat="1" ht="28.8" x14ac:dyDescent="0.3">
      <c r="A154" s="15" t="s">
        <v>327</v>
      </c>
      <c r="B154" s="33" t="s">
        <v>51</v>
      </c>
      <c r="C154" s="32">
        <v>43100</v>
      </c>
      <c r="D154" s="33" t="s">
        <v>114</v>
      </c>
      <c r="E154" s="21" t="s">
        <v>12</v>
      </c>
      <c r="F154" s="22">
        <f>6*15.77*2.77-(15.77*2.4*2.4)</f>
        <v>171.26220000000001</v>
      </c>
      <c r="G154" s="44">
        <v>26.33</v>
      </c>
      <c r="H154" s="44">
        <f t="shared" si="12"/>
        <v>4509.3337259999998</v>
      </c>
      <c r="I154" s="34" t="s">
        <v>301</v>
      </c>
      <c r="J154" s="5"/>
    </row>
    <row r="155" spans="1:10" s="6" customFormat="1" x14ac:dyDescent="0.3">
      <c r="A155" s="139"/>
      <c r="B155" s="140"/>
      <c r="C155" s="140"/>
      <c r="D155" s="140"/>
      <c r="E155" s="140"/>
      <c r="F155" s="140"/>
      <c r="G155" s="140"/>
      <c r="H155" s="141"/>
      <c r="I155" s="34"/>
      <c r="J155" s="5"/>
    </row>
    <row r="156" spans="1:10" s="6" customFormat="1" x14ac:dyDescent="0.3">
      <c r="A156" s="35" t="s">
        <v>91</v>
      </c>
      <c r="B156" s="120" t="s">
        <v>52</v>
      </c>
      <c r="C156" s="120"/>
      <c r="D156" s="120"/>
      <c r="E156" s="120"/>
      <c r="F156" s="120"/>
      <c r="G156" s="120"/>
      <c r="H156" s="60">
        <f>SUM(H157:H163)</f>
        <v>42611.627114000003</v>
      </c>
      <c r="I156" s="31"/>
      <c r="J156" s="5"/>
    </row>
    <row r="157" spans="1:10" s="6" customFormat="1" ht="28.8" x14ac:dyDescent="0.3">
      <c r="A157" s="18" t="s">
        <v>181</v>
      </c>
      <c r="B157" s="15" t="s">
        <v>115</v>
      </c>
      <c r="C157" s="19" t="s">
        <v>226</v>
      </c>
      <c r="D157" s="31" t="s">
        <v>227</v>
      </c>
      <c r="E157" s="20" t="s">
        <v>2</v>
      </c>
      <c r="F157" s="15">
        <f>2*(2*(3.5*1.96*2))+(3.5*0.6*2)+(5.13*1.55*2)</f>
        <v>74.983000000000004</v>
      </c>
      <c r="G157" s="44">
        <v>215.16</v>
      </c>
      <c r="H157" s="44">
        <f t="shared" ref="H157:H163" si="13">G157*F157</f>
        <v>16133.342280000001</v>
      </c>
      <c r="I157" s="16" t="s">
        <v>232</v>
      </c>
      <c r="J157" s="5"/>
    </row>
    <row r="158" spans="1:10" s="6" customFormat="1" x14ac:dyDescent="0.3">
      <c r="A158" s="18" t="s">
        <v>182</v>
      </c>
      <c r="B158" s="15" t="s">
        <v>115</v>
      </c>
      <c r="C158" s="17" t="s">
        <v>54</v>
      </c>
      <c r="D158" s="18" t="s">
        <v>55</v>
      </c>
      <c r="E158" s="17" t="s">
        <v>12</v>
      </c>
      <c r="F158" s="17">
        <f>2*(11.2*0.2)</f>
        <v>4.4799999999999995</v>
      </c>
      <c r="G158" s="44">
        <v>197.36</v>
      </c>
      <c r="H158" s="45">
        <f t="shared" si="13"/>
        <v>884.17279999999994</v>
      </c>
      <c r="I158" s="31" t="s">
        <v>265</v>
      </c>
      <c r="J158" s="5"/>
    </row>
    <row r="159" spans="1:10" s="6" customFormat="1" x14ac:dyDescent="0.3">
      <c r="A159" s="18" t="s">
        <v>183</v>
      </c>
      <c r="B159" s="15" t="s">
        <v>115</v>
      </c>
      <c r="C159" s="18" t="s">
        <v>42</v>
      </c>
      <c r="D159" s="18" t="s">
        <v>43</v>
      </c>
      <c r="E159" s="18" t="s">
        <v>12</v>
      </c>
      <c r="F159" s="18">
        <f>2*(11.2*1.2)</f>
        <v>26.88</v>
      </c>
      <c r="G159" s="44">
        <v>159.5</v>
      </c>
      <c r="H159" s="44">
        <f t="shared" si="13"/>
        <v>4287.3599999999997</v>
      </c>
      <c r="I159" s="16" t="s">
        <v>264</v>
      </c>
      <c r="J159" s="5"/>
    </row>
    <row r="160" spans="1:10" s="6" customFormat="1" ht="28.8" x14ac:dyDescent="0.3">
      <c r="A160" s="18" t="s">
        <v>184</v>
      </c>
      <c r="B160" s="15" t="s">
        <v>115</v>
      </c>
      <c r="C160" s="18" t="s">
        <v>48</v>
      </c>
      <c r="D160" s="18" t="s">
        <v>49</v>
      </c>
      <c r="E160" s="18" t="s">
        <v>12</v>
      </c>
      <c r="F160" s="18">
        <f>(2*((3.5*1.4*0.6)+(3.5*0.87*0.6)))+(3.4*0.6*0.6)</f>
        <v>10.757999999999999</v>
      </c>
      <c r="G160" s="44">
        <v>563.57000000000005</v>
      </c>
      <c r="H160" s="44">
        <f t="shared" si="13"/>
        <v>6062.8860599999998</v>
      </c>
      <c r="I160" s="16" t="s">
        <v>233</v>
      </c>
      <c r="J160" s="5"/>
    </row>
    <row r="161" spans="1:10" s="6" customFormat="1" x14ac:dyDescent="0.3">
      <c r="A161" s="18" t="s">
        <v>185</v>
      </c>
      <c r="B161" s="15" t="s">
        <v>115</v>
      </c>
      <c r="C161" s="36" t="s">
        <v>102</v>
      </c>
      <c r="D161" s="34" t="s">
        <v>103</v>
      </c>
      <c r="E161" s="23" t="s">
        <v>104</v>
      </c>
      <c r="F161" s="18">
        <f>F162*120</f>
        <v>728.43599999999992</v>
      </c>
      <c r="G161" s="44">
        <v>13.71</v>
      </c>
      <c r="H161" s="44">
        <f t="shared" si="13"/>
        <v>9986.8575600000004</v>
      </c>
      <c r="I161" s="16" t="s">
        <v>235</v>
      </c>
      <c r="J161" s="5"/>
    </row>
    <row r="162" spans="1:10" s="6" customFormat="1" x14ac:dyDescent="0.3">
      <c r="A162" s="18" t="s">
        <v>186</v>
      </c>
      <c r="B162" s="15" t="s">
        <v>115</v>
      </c>
      <c r="C162" s="18" t="s">
        <v>32</v>
      </c>
      <c r="D162" s="18" t="s">
        <v>33</v>
      </c>
      <c r="E162" s="17" t="s">
        <v>12</v>
      </c>
      <c r="F162" s="18">
        <f>(2*(11.2*0.2))+(5.13*1.55*0.2)</f>
        <v>6.0702999999999996</v>
      </c>
      <c r="G162" s="44">
        <v>439.38</v>
      </c>
      <c r="H162" s="44">
        <f t="shared" si="13"/>
        <v>2667.1684139999998</v>
      </c>
      <c r="I162" s="31" t="s">
        <v>268</v>
      </c>
      <c r="J162" s="5"/>
    </row>
    <row r="163" spans="1:10" s="6" customFormat="1" x14ac:dyDescent="0.3">
      <c r="A163" s="18" t="s">
        <v>328</v>
      </c>
      <c r="B163" s="15" t="s">
        <v>115</v>
      </c>
      <c r="C163" s="19" t="s">
        <v>197</v>
      </c>
      <c r="D163" s="31" t="s">
        <v>198</v>
      </c>
      <c r="E163" s="20" t="s">
        <v>2</v>
      </c>
      <c r="F163" s="15">
        <v>216</v>
      </c>
      <c r="G163" s="44">
        <v>11.99</v>
      </c>
      <c r="H163" s="44">
        <f t="shared" si="13"/>
        <v>2589.84</v>
      </c>
      <c r="I163" s="31" t="s">
        <v>302</v>
      </c>
      <c r="J163" s="5"/>
    </row>
    <row r="164" spans="1:10" s="6" customFormat="1" x14ac:dyDescent="0.3">
      <c r="A164" s="126" t="s">
        <v>406</v>
      </c>
      <c r="B164" s="126"/>
      <c r="C164" s="126"/>
      <c r="D164" s="126"/>
      <c r="E164" s="126"/>
      <c r="F164" s="126"/>
      <c r="G164" s="126"/>
      <c r="H164" s="126"/>
      <c r="I164" s="31"/>
      <c r="J164" s="5"/>
    </row>
    <row r="165" spans="1:10" s="6" customFormat="1" x14ac:dyDescent="0.3">
      <c r="A165" s="61" t="s">
        <v>92</v>
      </c>
      <c r="B165" s="122" t="s">
        <v>53</v>
      </c>
      <c r="C165" s="122"/>
      <c r="D165" s="122"/>
      <c r="E165" s="122"/>
      <c r="F165" s="122"/>
      <c r="G165" s="122"/>
      <c r="H165" s="62">
        <f>SUM(H167:H179)</f>
        <v>165859.22495000003</v>
      </c>
      <c r="I165" s="31"/>
      <c r="J165" s="5"/>
    </row>
    <row r="166" spans="1:10" s="6" customFormat="1" ht="28.8" x14ac:dyDescent="0.3">
      <c r="A166" s="118"/>
      <c r="B166" s="118"/>
      <c r="C166" s="118"/>
      <c r="D166" s="58" t="s">
        <v>21</v>
      </c>
      <c r="E166" s="14" t="s">
        <v>22</v>
      </c>
      <c r="F166" s="14" t="s">
        <v>24</v>
      </c>
      <c r="G166" s="41" t="s">
        <v>111</v>
      </c>
      <c r="H166" s="41" t="s">
        <v>112</v>
      </c>
      <c r="I166" s="31"/>
      <c r="J166" s="5"/>
    </row>
    <row r="167" spans="1:10" s="6" customFormat="1" x14ac:dyDescent="0.3">
      <c r="A167" s="15" t="s">
        <v>187</v>
      </c>
      <c r="B167" s="15" t="s">
        <v>115</v>
      </c>
      <c r="C167" s="18" t="s">
        <v>36</v>
      </c>
      <c r="D167" s="18" t="s">
        <v>37</v>
      </c>
      <c r="E167" s="18" t="s">
        <v>12</v>
      </c>
      <c r="F167" s="18">
        <f>(530.97-195.7)*0.4</f>
        <v>134.10800000000003</v>
      </c>
      <c r="G167" s="43">
        <v>14.5</v>
      </c>
      <c r="H167" s="44">
        <f t="shared" ref="H167:H179" si="14">G167*F167</f>
        <v>1944.5660000000005</v>
      </c>
      <c r="I167" s="31" t="s">
        <v>308</v>
      </c>
      <c r="J167" s="5"/>
    </row>
    <row r="168" spans="1:10" s="6" customFormat="1" ht="28.8" x14ac:dyDescent="0.3">
      <c r="A168" s="15" t="s">
        <v>188</v>
      </c>
      <c r="B168" s="18" t="s">
        <v>51</v>
      </c>
      <c r="C168" s="32">
        <v>55400</v>
      </c>
      <c r="D168" s="18" t="s">
        <v>100</v>
      </c>
      <c r="E168" s="18" t="s">
        <v>12</v>
      </c>
      <c r="F168" s="18">
        <f>F170*0.4</f>
        <v>212.30799999999999</v>
      </c>
      <c r="G168" s="43">
        <v>53.91</v>
      </c>
      <c r="H168" s="44">
        <f t="shared" si="14"/>
        <v>11445.52428</v>
      </c>
      <c r="I168" s="31" t="s">
        <v>307</v>
      </c>
      <c r="J168" s="5"/>
    </row>
    <row r="169" spans="1:10" s="6" customFormat="1" x14ac:dyDescent="0.3">
      <c r="A169" s="15" t="s">
        <v>189</v>
      </c>
      <c r="B169" s="15" t="s">
        <v>115</v>
      </c>
      <c r="C169" s="17" t="s">
        <v>54</v>
      </c>
      <c r="D169" s="18" t="s">
        <v>55</v>
      </c>
      <c r="E169" s="17" t="s">
        <v>12</v>
      </c>
      <c r="F169" s="17">
        <f>F170*0.2</f>
        <v>106.154</v>
      </c>
      <c r="G169" s="43">
        <v>197.36</v>
      </c>
      <c r="H169" s="45">
        <f t="shared" si="14"/>
        <v>20950.55344</v>
      </c>
      <c r="I169" s="16" t="s">
        <v>303</v>
      </c>
      <c r="J169" s="5"/>
    </row>
    <row r="170" spans="1:10" s="6" customFormat="1" x14ac:dyDescent="0.3">
      <c r="A170" s="15" t="s">
        <v>190</v>
      </c>
      <c r="B170" s="15" t="s">
        <v>115</v>
      </c>
      <c r="C170" s="17" t="s">
        <v>56</v>
      </c>
      <c r="D170" s="18" t="s">
        <v>57</v>
      </c>
      <c r="E170" s="17" t="s">
        <v>2</v>
      </c>
      <c r="F170" s="17">
        <v>530.77</v>
      </c>
      <c r="G170" s="43">
        <v>7.48</v>
      </c>
      <c r="H170" s="45">
        <f t="shared" si="14"/>
        <v>3970.1596</v>
      </c>
      <c r="I170" s="16" t="s">
        <v>304</v>
      </c>
      <c r="J170" s="5"/>
    </row>
    <row r="171" spans="1:10" s="6" customFormat="1" x14ac:dyDescent="0.3">
      <c r="A171" s="15" t="s">
        <v>191</v>
      </c>
      <c r="B171" s="15" t="s">
        <v>115</v>
      </c>
      <c r="C171" s="17" t="s">
        <v>58</v>
      </c>
      <c r="D171" s="18" t="s">
        <v>59</v>
      </c>
      <c r="E171" s="17" t="s">
        <v>2</v>
      </c>
      <c r="F171" s="17">
        <f>F170*2</f>
        <v>1061.54</v>
      </c>
      <c r="G171" s="43">
        <v>15.28</v>
      </c>
      <c r="H171" s="45">
        <f t="shared" si="14"/>
        <v>16220.331199999999</v>
      </c>
      <c r="I171" s="16" t="s">
        <v>305</v>
      </c>
      <c r="J171" s="5"/>
    </row>
    <row r="172" spans="1:10" s="6" customFormat="1" x14ac:dyDescent="0.3">
      <c r="A172" s="15" t="s">
        <v>192</v>
      </c>
      <c r="B172" s="15" t="s">
        <v>115</v>
      </c>
      <c r="C172" s="17" t="s">
        <v>62</v>
      </c>
      <c r="D172" s="18" t="s">
        <v>63</v>
      </c>
      <c r="E172" s="17" t="s">
        <v>12</v>
      </c>
      <c r="F172" s="17">
        <f>F170*0.05</f>
        <v>26.538499999999999</v>
      </c>
      <c r="G172" s="43">
        <v>1384.71</v>
      </c>
      <c r="H172" s="45">
        <f t="shared" si="14"/>
        <v>36748.126335000001</v>
      </c>
      <c r="I172" s="16" t="s">
        <v>306</v>
      </c>
      <c r="J172" s="5"/>
    </row>
    <row r="173" spans="1:10" s="6" customFormat="1" x14ac:dyDescent="0.3">
      <c r="A173" s="15" t="s">
        <v>193</v>
      </c>
      <c r="B173" s="15" t="s">
        <v>115</v>
      </c>
      <c r="C173" s="17" t="s">
        <v>60</v>
      </c>
      <c r="D173" s="18" t="s">
        <v>61</v>
      </c>
      <c r="E173" s="17" t="s">
        <v>12</v>
      </c>
      <c r="F173" s="17">
        <f>F172</f>
        <v>26.538499999999999</v>
      </c>
      <c r="G173" s="43">
        <v>1555.42</v>
      </c>
      <c r="H173" s="45">
        <f t="shared" si="14"/>
        <v>41278.51367</v>
      </c>
      <c r="I173" s="16" t="s">
        <v>306</v>
      </c>
      <c r="J173" s="5"/>
    </row>
    <row r="174" spans="1:10" s="6" customFormat="1" x14ac:dyDescent="0.3">
      <c r="A174" s="15" t="s">
        <v>194</v>
      </c>
      <c r="B174" s="15" t="s">
        <v>115</v>
      </c>
      <c r="C174" s="15" t="s">
        <v>65</v>
      </c>
      <c r="D174" s="16" t="s">
        <v>66</v>
      </c>
      <c r="E174" s="15" t="s">
        <v>12</v>
      </c>
      <c r="F174" s="15">
        <f>F175*0.6*0.1</f>
        <v>5.8116000000000003</v>
      </c>
      <c r="G174" s="43">
        <v>460.68</v>
      </c>
      <c r="H174" s="42">
        <f t="shared" si="14"/>
        <v>2677.2878880000003</v>
      </c>
      <c r="I174" s="16" t="s">
        <v>314</v>
      </c>
      <c r="J174" s="5"/>
    </row>
    <row r="175" spans="1:10" s="6" customFormat="1" ht="28.8" x14ac:dyDescent="0.3">
      <c r="A175" s="15" t="s">
        <v>195</v>
      </c>
      <c r="B175" s="15" t="s">
        <v>115</v>
      </c>
      <c r="C175" s="32">
        <v>51403</v>
      </c>
      <c r="D175" s="21" t="s">
        <v>113</v>
      </c>
      <c r="E175" s="17" t="s">
        <v>64</v>
      </c>
      <c r="F175" s="17">
        <f>(2*(14.65+17.78+16))</f>
        <v>96.86</v>
      </c>
      <c r="G175" s="43">
        <v>46.59</v>
      </c>
      <c r="H175" s="45">
        <f t="shared" si="14"/>
        <v>4512.7074000000002</v>
      </c>
      <c r="I175" s="16" t="s">
        <v>309</v>
      </c>
      <c r="J175" s="5"/>
    </row>
    <row r="176" spans="1:10" s="6" customFormat="1" x14ac:dyDescent="0.3">
      <c r="A176" s="15" t="s">
        <v>196</v>
      </c>
      <c r="B176" s="15" t="s">
        <v>115</v>
      </c>
      <c r="C176" s="15" t="s">
        <v>67</v>
      </c>
      <c r="D176" s="16" t="s">
        <v>68</v>
      </c>
      <c r="E176" s="15" t="s">
        <v>12</v>
      </c>
      <c r="F176" s="15">
        <f>F175*0.45*0.15</f>
        <v>6.5380500000000001</v>
      </c>
      <c r="G176" s="43">
        <v>664.34</v>
      </c>
      <c r="H176" s="42">
        <f t="shared" si="14"/>
        <v>4343.4881370000003</v>
      </c>
      <c r="I176" s="16" t="s">
        <v>313</v>
      </c>
      <c r="J176" s="5"/>
    </row>
    <row r="177" spans="1:10" s="6" customFormat="1" x14ac:dyDescent="0.3">
      <c r="A177" s="15" t="s">
        <v>329</v>
      </c>
      <c r="B177" s="15" t="s">
        <v>115</v>
      </c>
      <c r="C177" s="15" t="s">
        <v>73</v>
      </c>
      <c r="D177" s="16" t="s">
        <v>74</v>
      </c>
      <c r="E177" s="15" t="s">
        <v>12</v>
      </c>
      <c r="F177" s="15">
        <f>132.5*0.05</f>
        <v>6.625</v>
      </c>
      <c r="G177" s="43">
        <v>160.32</v>
      </c>
      <c r="H177" s="42">
        <f t="shared" si="14"/>
        <v>1062.1199999999999</v>
      </c>
      <c r="I177" s="16" t="s">
        <v>312</v>
      </c>
      <c r="J177" s="5"/>
    </row>
    <row r="178" spans="1:10" s="6" customFormat="1" x14ac:dyDescent="0.3">
      <c r="A178" s="15" t="s">
        <v>330</v>
      </c>
      <c r="B178" s="15" t="s">
        <v>115</v>
      </c>
      <c r="C178" s="17" t="s">
        <v>71</v>
      </c>
      <c r="D178" s="18" t="s">
        <v>72</v>
      </c>
      <c r="E178" s="17" t="s">
        <v>12</v>
      </c>
      <c r="F178" s="17">
        <f>132.5*0.1</f>
        <v>13.25</v>
      </c>
      <c r="G178" s="43">
        <v>768.54</v>
      </c>
      <c r="H178" s="45">
        <f t="shared" si="14"/>
        <v>10183.154999999999</v>
      </c>
      <c r="I178" s="16" t="s">
        <v>311</v>
      </c>
      <c r="J178" s="5"/>
    </row>
    <row r="179" spans="1:10" s="6" customFormat="1" x14ac:dyDescent="0.3">
      <c r="A179" s="15" t="s">
        <v>331</v>
      </c>
      <c r="B179" s="15" t="s">
        <v>115</v>
      </c>
      <c r="C179" s="19" t="s">
        <v>269</v>
      </c>
      <c r="D179" s="31" t="s">
        <v>270</v>
      </c>
      <c r="E179" s="20" t="s">
        <v>2</v>
      </c>
      <c r="F179" s="15">
        <f>(23.9*2)*1*2</f>
        <v>95.6</v>
      </c>
      <c r="G179" s="43">
        <v>110.07</v>
      </c>
      <c r="H179" s="45">
        <f t="shared" si="14"/>
        <v>10522.691999999999</v>
      </c>
      <c r="I179" s="16" t="s">
        <v>310</v>
      </c>
      <c r="J179" s="5"/>
    </row>
    <row r="180" spans="1:10" s="6" customFormat="1" ht="15" thickBot="1" x14ac:dyDescent="0.35">
      <c r="A180" s="142"/>
      <c r="B180" s="143"/>
      <c r="C180" s="143"/>
      <c r="D180" s="143"/>
      <c r="E180" s="143"/>
      <c r="F180" s="143"/>
      <c r="G180" s="143"/>
      <c r="H180" s="144"/>
      <c r="I180" s="16"/>
      <c r="J180" s="5"/>
    </row>
    <row r="181" spans="1:10" s="6" customFormat="1" ht="15" thickBot="1" x14ac:dyDescent="0.35">
      <c r="A181" s="74" t="s">
        <v>93</v>
      </c>
      <c r="B181" s="125" t="s">
        <v>335</v>
      </c>
      <c r="C181" s="125"/>
      <c r="D181" s="125"/>
      <c r="E181" s="125"/>
      <c r="F181" s="125"/>
      <c r="G181" s="125"/>
      <c r="H181" s="75">
        <f>SUM(H182,H191,H208,H200)</f>
        <v>284006.94308568747</v>
      </c>
      <c r="I181" s="63"/>
      <c r="J181" s="5"/>
    </row>
    <row r="182" spans="1:10" s="6" customFormat="1" x14ac:dyDescent="0.3">
      <c r="A182" s="72" t="s">
        <v>338</v>
      </c>
      <c r="B182" s="121" t="s">
        <v>336</v>
      </c>
      <c r="C182" s="121"/>
      <c r="D182" s="121"/>
      <c r="E182" s="121"/>
      <c r="F182" s="121"/>
      <c r="G182" s="121"/>
      <c r="H182" s="73">
        <f>SUM(H184:H189)</f>
        <v>11468.295282000001</v>
      </c>
      <c r="I182" s="16"/>
      <c r="J182" s="5"/>
    </row>
    <row r="183" spans="1:10" s="6" customFormat="1" ht="28.8" x14ac:dyDescent="0.3">
      <c r="A183" s="118"/>
      <c r="B183" s="118"/>
      <c r="C183" s="118"/>
      <c r="D183" s="58" t="s">
        <v>21</v>
      </c>
      <c r="E183" s="14" t="s">
        <v>22</v>
      </c>
      <c r="F183" s="14" t="s">
        <v>24</v>
      </c>
      <c r="G183" s="41" t="s">
        <v>111</v>
      </c>
      <c r="H183" s="41" t="s">
        <v>112</v>
      </c>
      <c r="I183" s="16"/>
      <c r="J183" s="5"/>
    </row>
    <row r="184" spans="1:10" s="6" customFormat="1" ht="28.8" x14ac:dyDescent="0.3">
      <c r="A184" s="16" t="s">
        <v>339</v>
      </c>
      <c r="B184" s="15" t="s">
        <v>115</v>
      </c>
      <c r="C184" s="16" t="s">
        <v>94</v>
      </c>
      <c r="D184" s="16" t="s">
        <v>95</v>
      </c>
      <c r="E184" s="16" t="s">
        <v>2</v>
      </c>
      <c r="F184" s="16">
        <f>125.55*1</f>
        <v>125.55</v>
      </c>
      <c r="G184" s="44">
        <v>24.28</v>
      </c>
      <c r="H184" s="43">
        <f t="shared" ref="H184:H218" si="15">G184*F184</f>
        <v>3048.3540000000003</v>
      </c>
      <c r="I184" s="16" t="s">
        <v>365</v>
      </c>
      <c r="J184" s="5"/>
    </row>
    <row r="185" spans="1:10" s="6" customFormat="1" ht="28.8" x14ac:dyDescent="0.3">
      <c r="A185" s="16" t="s">
        <v>340</v>
      </c>
      <c r="B185" s="15" t="s">
        <v>115</v>
      </c>
      <c r="C185" s="17" t="s">
        <v>13</v>
      </c>
      <c r="D185" s="18" t="s">
        <v>14</v>
      </c>
      <c r="E185" s="17" t="s">
        <v>12</v>
      </c>
      <c r="F185" s="18">
        <f>26*(3*1.5*0.1)</f>
        <v>11.700000000000001</v>
      </c>
      <c r="G185" s="44">
        <v>270.52</v>
      </c>
      <c r="H185" s="44">
        <f t="shared" si="15"/>
        <v>3165.0840000000003</v>
      </c>
      <c r="I185" s="16" t="s">
        <v>368</v>
      </c>
      <c r="J185" s="5"/>
    </row>
    <row r="186" spans="1:10" s="6" customFormat="1" ht="28.8" x14ac:dyDescent="0.3">
      <c r="A186" s="16" t="s">
        <v>341</v>
      </c>
      <c r="B186" s="15" t="s">
        <v>115</v>
      </c>
      <c r="C186" s="15" t="s">
        <v>15</v>
      </c>
      <c r="D186" s="16" t="s">
        <v>16</v>
      </c>
      <c r="E186" s="15" t="s">
        <v>12</v>
      </c>
      <c r="F186" s="16">
        <f>F185+(F184*0.08)+F189</f>
        <v>27.009</v>
      </c>
      <c r="G186" s="44">
        <v>49</v>
      </c>
      <c r="H186" s="43">
        <f t="shared" si="15"/>
        <v>1323.441</v>
      </c>
      <c r="I186" s="16" t="s">
        <v>366</v>
      </c>
      <c r="J186" s="5"/>
    </row>
    <row r="187" spans="1:10" s="6" customFormat="1" x14ac:dyDescent="0.3">
      <c r="A187" s="16" t="s">
        <v>342</v>
      </c>
      <c r="B187" s="15" t="s">
        <v>115</v>
      </c>
      <c r="C187" s="16" t="s">
        <v>17</v>
      </c>
      <c r="D187" s="16" t="s">
        <v>18</v>
      </c>
      <c r="E187" s="16" t="s">
        <v>19</v>
      </c>
      <c r="F187" s="16">
        <f>F186*2.4</f>
        <v>64.821600000000004</v>
      </c>
      <c r="G187" s="44">
        <v>32.020000000000003</v>
      </c>
      <c r="H187" s="43">
        <f t="shared" si="15"/>
        <v>2075.5876320000002</v>
      </c>
      <c r="I187" s="16" t="s">
        <v>206</v>
      </c>
      <c r="J187" s="5"/>
    </row>
    <row r="188" spans="1:10" s="6" customFormat="1" x14ac:dyDescent="0.3">
      <c r="A188" s="16" t="s">
        <v>343</v>
      </c>
      <c r="B188" s="15" t="s">
        <v>115</v>
      </c>
      <c r="C188" s="18" t="s">
        <v>98</v>
      </c>
      <c r="D188" s="18" t="s">
        <v>99</v>
      </c>
      <c r="E188" s="18" t="s">
        <v>64</v>
      </c>
      <c r="F188" s="18">
        <f>26*3</f>
        <v>78</v>
      </c>
      <c r="G188" s="44">
        <v>5.81</v>
      </c>
      <c r="H188" s="44">
        <f t="shared" si="15"/>
        <v>453.17999999999995</v>
      </c>
      <c r="I188" s="16" t="s">
        <v>367</v>
      </c>
      <c r="J188" s="5"/>
    </row>
    <row r="189" spans="1:10" s="6" customFormat="1" ht="28.8" x14ac:dyDescent="0.3">
      <c r="A189" s="16" t="s">
        <v>344</v>
      </c>
      <c r="B189" s="15" t="s">
        <v>115</v>
      </c>
      <c r="C189" s="19" t="s">
        <v>207</v>
      </c>
      <c r="D189" s="31" t="s">
        <v>208</v>
      </c>
      <c r="E189" s="20" t="s">
        <v>12</v>
      </c>
      <c r="F189" s="15">
        <f>F188*(0.45*0.15)</f>
        <v>5.2650000000000006</v>
      </c>
      <c r="G189" s="44">
        <v>266.41000000000003</v>
      </c>
      <c r="H189" s="44">
        <f t="shared" si="15"/>
        <v>1402.6486500000003</v>
      </c>
      <c r="I189" s="16" t="s">
        <v>289</v>
      </c>
      <c r="J189" s="5"/>
    </row>
    <row r="190" spans="1:10" s="51" customFormat="1" x14ac:dyDescent="0.3">
      <c r="A190" s="16"/>
      <c r="B190" s="15"/>
      <c r="C190" s="19"/>
      <c r="D190" s="31"/>
      <c r="E190" s="20"/>
      <c r="F190" s="15"/>
      <c r="G190" s="52"/>
      <c r="H190" s="44"/>
      <c r="I190" s="16"/>
      <c r="J190" s="5"/>
    </row>
    <row r="191" spans="1:10" s="6" customFormat="1" x14ac:dyDescent="0.3">
      <c r="A191" s="61" t="s">
        <v>345</v>
      </c>
      <c r="B191" s="122" t="s">
        <v>337</v>
      </c>
      <c r="C191" s="122"/>
      <c r="D191" s="122"/>
      <c r="E191" s="122"/>
      <c r="F191" s="122"/>
      <c r="G191" s="122"/>
      <c r="H191" s="62">
        <f>SUM(H192:H198)</f>
        <v>192375.98616468749</v>
      </c>
      <c r="I191" s="31"/>
      <c r="J191" s="5"/>
    </row>
    <row r="192" spans="1:10" s="6" customFormat="1" x14ac:dyDescent="0.3">
      <c r="A192" s="15" t="s">
        <v>346</v>
      </c>
      <c r="B192" s="15" t="s">
        <v>115</v>
      </c>
      <c r="C192" s="15" t="s">
        <v>36</v>
      </c>
      <c r="D192" s="16" t="s">
        <v>37</v>
      </c>
      <c r="E192" s="15" t="s">
        <v>12</v>
      </c>
      <c r="F192" s="15">
        <f>F197*1*1.4</f>
        <v>425.10999999999996</v>
      </c>
      <c r="G192" s="46">
        <v>14.5</v>
      </c>
      <c r="H192" s="46">
        <f t="shared" si="15"/>
        <v>6164.0949999999993</v>
      </c>
      <c r="I192" s="31" t="s">
        <v>369</v>
      </c>
      <c r="J192" s="5"/>
    </row>
    <row r="193" spans="1:10" s="6" customFormat="1" ht="28.8" x14ac:dyDescent="0.3">
      <c r="A193" s="15" t="s">
        <v>347</v>
      </c>
      <c r="B193" s="15" t="s">
        <v>115</v>
      </c>
      <c r="C193" s="15" t="s">
        <v>15</v>
      </c>
      <c r="D193" s="16" t="s">
        <v>16</v>
      </c>
      <c r="E193" s="15" t="s">
        <v>12</v>
      </c>
      <c r="F193" s="15">
        <f>((F197*3.14*0.25*0.25)+F196)*1.3</f>
        <v>116.94320625</v>
      </c>
      <c r="G193" s="46">
        <v>49</v>
      </c>
      <c r="H193" s="46">
        <f t="shared" ref="H193" si="16">G193*F193</f>
        <v>5730.2171062500001</v>
      </c>
      <c r="I193" s="16" t="s">
        <v>370</v>
      </c>
      <c r="J193" s="5"/>
    </row>
    <row r="194" spans="1:10" s="6" customFormat="1" x14ac:dyDescent="0.3">
      <c r="A194" s="15" t="s">
        <v>348</v>
      </c>
      <c r="B194" s="15" t="s">
        <v>115</v>
      </c>
      <c r="C194" s="15" t="s">
        <v>217</v>
      </c>
      <c r="D194" s="16" t="s">
        <v>218</v>
      </c>
      <c r="E194" s="15" t="s">
        <v>12</v>
      </c>
      <c r="F194" s="15">
        <f>F193</f>
        <v>116.94320625</v>
      </c>
      <c r="G194" s="46">
        <v>24.54</v>
      </c>
      <c r="H194" s="46">
        <f t="shared" si="15"/>
        <v>2869.7862813749998</v>
      </c>
      <c r="I194" s="31"/>
      <c r="J194" s="5"/>
    </row>
    <row r="195" spans="1:10" s="6" customFormat="1" x14ac:dyDescent="0.3">
      <c r="A195" s="15" t="s">
        <v>349</v>
      </c>
      <c r="B195" s="15" t="s">
        <v>115</v>
      </c>
      <c r="C195" s="15" t="s">
        <v>363</v>
      </c>
      <c r="D195" s="16" t="s">
        <v>364</v>
      </c>
      <c r="E195" s="15" t="s">
        <v>362</v>
      </c>
      <c r="F195" s="15">
        <v>26</v>
      </c>
      <c r="G195" s="46">
        <v>4693.1899999999996</v>
      </c>
      <c r="H195" s="46">
        <f t="shared" si="15"/>
        <v>122022.93999999999</v>
      </c>
      <c r="I195" s="31" t="s">
        <v>371</v>
      </c>
      <c r="J195" s="5"/>
    </row>
    <row r="196" spans="1:10" s="6" customFormat="1" x14ac:dyDescent="0.3">
      <c r="A196" s="15" t="s">
        <v>350</v>
      </c>
      <c r="B196" s="15" t="s">
        <v>115</v>
      </c>
      <c r="C196" s="15" t="s">
        <v>73</v>
      </c>
      <c r="D196" s="16" t="s">
        <v>74</v>
      </c>
      <c r="E196" s="15" t="s">
        <v>12</v>
      </c>
      <c r="F196" s="15">
        <f>F197*0.1</f>
        <v>30.364999999999998</v>
      </c>
      <c r="G196" s="46">
        <v>197.36</v>
      </c>
      <c r="H196" s="46">
        <f t="shared" ref="H196:H197" si="17">G196*F196</f>
        <v>5992.8364000000001</v>
      </c>
      <c r="I196" s="31" t="s">
        <v>372</v>
      </c>
      <c r="J196" s="5"/>
    </row>
    <row r="197" spans="1:10" s="6" customFormat="1" x14ac:dyDescent="0.3">
      <c r="A197" s="15" t="s">
        <v>351</v>
      </c>
      <c r="B197" s="15" t="s">
        <v>115</v>
      </c>
      <c r="C197" s="15" t="s">
        <v>360</v>
      </c>
      <c r="D197" s="16" t="s">
        <v>361</v>
      </c>
      <c r="E197" s="15" t="s">
        <v>64</v>
      </c>
      <c r="F197" s="15">
        <v>303.64999999999998</v>
      </c>
      <c r="G197" s="46">
        <v>157.66</v>
      </c>
      <c r="H197" s="46">
        <f t="shared" si="17"/>
        <v>47873.458999999995</v>
      </c>
      <c r="I197" s="31" t="s">
        <v>373</v>
      </c>
      <c r="J197" s="5"/>
    </row>
    <row r="198" spans="1:10" s="6" customFormat="1" x14ac:dyDescent="0.3">
      <c r="A198" s="15" t="s">
        <v>352</v>
      </c>
      <c r="B198" s="15" t="s">
        <v>115</v>
      </c>
      <c r="C198" s="15" t="s">
        <v>46</v>
      </c>
      <c r="D198" s="16" t="s">
        <v>47</v>
      </c>
      <c r="E198" s="15" t="s">
        <v>12</v>
      </c>
      <c r="F198" s="15">
        <f>F192-F193</f>
        <v>308.16679374999995</v>
      </c>
      <c r="G198" s="46">
        <v>5.59</v>
      </c>
      <c r="H198" s="46">
        <f t="shared" ref="H198" si="18">G198*F198</f>
        <v>1722.6523770624997</v>
      </c>
      <c r="I198" s="31" t="s">
        <v>374</v>
      </c>
      <c r="J198" s="5"/>
    </row>
    <row r="199" spans="1:10" s="6" customFormat="1" x14ac:dyDescent="0.3">
      <c r="A199" s="18"/>
      <c r="B199" s="18"/>
      <c r="C199" s="18"/>
      <c r="D199" s="18"/>
      <c r="E199" s="18"/>
      <c r="F199" s="18"/>
      <c r="G199" s="53"/>
      <c r="H199" s="47"/>
      <c r="I199" s="31"/>
      <c r="J199" s="5"/>
    </row>
    <row r="200" spans="1:10" s="6" customFormat="1" x14ac:dyDescent="0.3">
      <c r="A200" s="35" t="s">
        <v>353</v>
      </c>
      <c r="B200" s="120" t="s">
        <v>52</v>
      </c>
      <c r="C200" s="120"/>
      <c r="D200" s="120"/>
      <c r="E200" s="120"/>
      <c r="F200" s="120"/>
      <c r="G200" s="120"/>
      <c r="H200" s="60">
        <f>SUM(H201:H206)</f>
        <v>37996.752263999995</v>
      </c>
      <c r="I200" s="31"/>
      <c r="J200" s="5"/>
    </row>
    <row r="201" spans="1:10" s="6" customFormat="1" x14ac:dyDescent="0.3">
      <c r="A201" s="15" t="s">
        <v>354</v>
      </c>
      <c r="B201" s="15" t="s">
        <v>115</v>
      </c>
      <c r="C201" s="15" t="s">
        <v>36</v>
      </c>
      <c r="D201" s="16" t="s">
        <v>37</v>
      </c>
      <c r="E201" s="15" t="s">
        <v>12</v>
      </c>
      <c r="F201" s="15">
        <f>13*3.2*1.5</f>
        <v>62.400000000000006</v>
      </c>
      <c r="G201" s="44">
        <v>14.5</v>
      </c>
      <c r="H201" s="46">
        <f t="shared" ref="H201" si="19">G201*F201</f>
        <v>904.80000000000007</v>
      </c>
      <c r="I201" s="31" t="s">
        <v>390</v>
      </c>
      <c r="J201" s="5"/>
    </row>
    <row r="202" spans="1:10" s="6" customFormat="1" x14ac:dyDescent="0.3">
      <c r="A202" s="15" t="s">
        <v>355</v>
      </c>
      <c r="B202" s="15" t="s">
        <v>115</v>
      </c>
      <c r="C202" s="19" t="s">
        <v>226</v>
      </c>
      <c r="D202" s="31" t="s">
        <v>227</v>
      </c>
      <c r="E202" s="20" t="s">
        <v>2</v>
      </c>
      <c r="F202" s="15">
        <f>6*(((1.67+1.2+1.67)*1.2)*2)</f>
        <v>65.375999999999991</v>
      </c>
      <c r="G202" s="44">
        <v>215.16</v>
      </c>
      <c r="H202" s="44">
        <f t="shared" ref="H202:H206" si="20">G202*F202</f>
        <v>14066.300159999997</v>
      </c>
      <c r="I202" s="31" t="s">
        <v>389</v>
      </c>
      <c r="J202" s="5"/>
    </row>
    <row r="203" spans="1:10" s="6" customFormat="1" x14ac:dyDescent="0.3">
      <c r="A203" s="15" t="s">
        <v>356</v>
      </c>
      <c r="B203" s="15" t="s">
        <v>115</v>
      </c>
      <c r="C203" s="17" t="s">
        <v>54</v>
      </c>
      <c r="D203" s="18" t="s">
        <v>55</v>
      </c>
      <c r="E203" s="17" t="s">
        <v>12</v>
      </c>
      <c r="F203" s="17">
        <f>13*(3.2*0.2)</f>
        <v>8.3200000000000021</v>
      </c>
      <c r="G203" s="44">
        <v>197.36</v>
      </c>
      <c r="H203" s="45">
        <f t="shared" si="20"/>
        <v>1642.0352000000005</v>
      </c>
      <c r="I203" s="31" t="s">
        <v>388</v>
      </c>
      <c r="J203" s="5"/>
    </row>
    <row r="204" spans="1:10" s="6" customFormat="1" x14ac:dyDescent="0.3">
      <c r="A204" s="15" t="s">
        <v>357</v>
      </c>
      <c r="B204" s="15" t="s">
        <v>115</v>
      </c>
      <c r="C204" s="18" t="s">
        <v>42</v>
      </c>
      <c r="D204" s="18" t="s">
        <v>43</v>
      </c>
      <c r="E204" s="18" t="s">
        <v>12</v>
      </c>
      <c r="F204" s="17">
        <f>13*(3.2*0.5)</f>
        <v>20.8</v>
      </c>
      <c r="G204" s="44">
        <v>159.5</v>
      </c>
      <c r="H204" s="44">
        <f t="shared" si="20"/>
        <v>3317.6</v>
      </c>
      <c r="I204" s="31" t="s">
        <v>387</v>
      </c>
      <c r="J204" s="5"/>
    </row>
    <row r="205" spans="1:10" s="6" customFormat="1" ht="28.8" x14ac:dyDescent="0.3">
      <c r="A205" s="15" t="s">
        <v>358</v>
      </c>
      <c r="B205" s="15" t="s">
        <v>115</v>
      </c>
      <c r="C205" s="18" t="s">
        <v>48</v>
      </c>
      <c r="D205" s="18" t="s">
        <v>49</v>
      </c>
      <c r="E205" s="18" t="s">
        <v>12</v>
      </c>
      <c r="F205" s="15">
        <f>13*((((1.67+1.2+1.67)*1.2)*0.3)+(3.2*0.2))</f>
        <v>29.5672</v>
      </c>
      <c r="G205" s="44">
        <v>563.57000000000005</v>
      </c>
      <c r="H205" s="44">
        <f t="shared" si="20"/>
        <v>16663.186904000002</v>
      </c>
      <c r="I205" s="31" t="s">
        <v>385</v>
      </c>
      <c r="J205" s="5"/>
    </row>
    <row r="206" spans="1:10" s="6" customFormat="1" x14ac:dyDescent="0.3">
      <c r="A206" s="15" t="s">
        <v>359</v>
      </c>
      <c r="B206" s="15" t="s">
        <v>115</v>
      </c>
      <c r="C206" s="19" t="s">
        <v>197</v>
      </c>
      <c r="D206" s="31" t="s">
        <v>198</v>
      </c>
      <c r="E206" s="20" t="s">
        <v>2</v>
      </c>
      <c r="F206" s="15">
        <f>13*9</f>
        <v>117</v>
      </c>
      <c r="G206" s="44">
        <v>11.99</v>
      </c>
      <c r="H206" s="44">
        <f t="shared" si="20"/>
        <v>1402.83</v>
      </c>
      <c r="I206" s="31" t="s">
        <v>386</v>
      </c>
      <c r="J206" s="5"/>
    </row>
    <row r="207" spans="1:10" s="6" customFormat="1" x14ac:dyDescent="0.3">
      <c r="A207" s="18"/>
      <c r="B207" s="18"/>
      <c r="C207" s="18"/>
      <c r="D207" s="18"/>
      <c r="E207" s="18"/>
      <c r="F207" s="18"/>
      <c r="G207" s="53"/>
      <c r="H207" s="47"/>
      <c r="I207" s="31"/>
      <c r="J207" s="5"/>
    </row>
    <row r="208" spans="1:10" s="6" customFormat="1" x14ac:dyDescent="0.3">
      <c r="A208" s="61" t="s">
        <v>393</v>
      </c>
      <c r="B208" s="122" t="s">
        <v>53</v>
      </c>
      <c r="C208" s="122"/>
      <c r="D208" s="122"/>
      <c r="E208" s="122"/>
      <c r="F208" s="122"/>
      <c r="G208" s="122"/>
      <c r="H208" s="62">
        <f>SUM(H209:H218)</f>
        <v>42165.909374999996</v>
      </c>
      <c r="I208" s="31"/>
      <c r="J208" s="5"/>
    </row>
    <row r="209" spans="1:10" s="6" customFormat="1" x14ac:dyDescent="0.3">
      <c r="A209" s="15" t="s">
        <v>394</v>
      </c>
      <c r="B209" s="15" t="s">
        <v>115</v>
      </c>
      <c r="C209" s="17" t="s">
        <v>54</v>
      </c>
      <c r="D209" s="18" t="s">
        <v>55</v>
      </c>
      <c r="E209" s="17" t="s">
        <v>12</v>
      </c>
      <c r="F209" s="17">
        <f>125.55*1*0.2</f>
        <v>25.11</v>
      </c>
      <c r="G209" s="67">
        <v>197.36</v>
      </c>
      <c r="H209" s="45">
        <f t="shared" si="15"/>
        <v>4955.7096000000001</v>
      </c>
      <c r="I209" s="16" t="s">
        <v>375</v>
      </c>
      <c r="J209" s="5"/>
    </row>
    <row r="210" spans="1:10" s="6" customFormat="1" x14ac:dyDescent="0.3">
      <c r="A210" s="15" t="s">
        <v>395</v>
      </c>
      <c r="B210" s="15" t="s">
        <v>115</v>
      </c>
      <c r="C210" s="17" t="s">
        <v>56</v>
      </c>
      <c r="D210" s="18" t="s">
        <v>57</v>
      </c>
      <c r="E210" s="17" t="s">
        <v>2</v>
      </c>
      <c r="F210" s="17">
        <v>125.55</v>
      </c>
      <c r="G210" s="67">
        <v>7.48</v>
      </c>
      <c r="H210" s="45">
        <f t="shared" si="15"/>
        <v>939.11400000000003</v>
      </c>
      <c r="I210" s="16" t="s">
        <v>376</v>
      </c>
      <c r="J210" s="5"/>
    </row>
    <row r="211" spans="1:10" s="6" customFormat="1" x14ac:dyDescent="0.3">
      <c r="A211" s="15" t="s">
        <v>396</v>
      </c>
      <c r="B211" s="15" t="s">
        <v>115</v>
      </c>
      <c r="C211" s="17" t="s">
        <v>58</v>
      </c>
      <c r="D211" s="18" t="s">
        <v>59</v>
      </c>
      <c r="E211" s="17" t="s">
        <v>2</v>
      </c>
      <c r="F211" s="17">
        <f>F210*2</f>
        <v>251.1</v>
      </c>
      <c r="G211" s="67">
        <v>15.28</v>
      </c>
      <c r="H211" s="45">
        <f t="shared" si="15"/>
        <v>3836.8079999999995</v>
      </c>
      <c r="I211" s="16" t="s">
        <v>377</v>
      </c>
      <c r="J211" s="5"/>
    </row>
    <row r="212" spans="1:10" s="6" customFormat="1" x14ac:dyDescent="0.3">
      <c r="A212" s="15" t="s">
        <v>397</v>
      </c>
      <c r="B212" s="15" t="s">
        <v>115</v>
      </c>
      <c r="C212" s="17" t="s">
        <v>62</v>
      </c>
      <c r="D212" s="18" t="s">
        <v>63</v>
      </c>
      <c r="E212" s="17" t="s">
        <v>12</v>
      </c>
      <c r="F212" s="17">
        <f>F210*0.05</f>
        <v>6.2774999999999999</v>
      </c>
      <c r="G212" s="67">
        <v>1384.71</v>
      </c>
      <c r="H212" s="45">
        <f t="shared" si="15"/>
        <v>8692.5170249999992</v>
      </c>
      <c r="I212" s="16" t="s">
        <v>378</v>
      </c>
      <c r="J212" s="5"/>
    </row>
    <row r="213" spans="1:10" s="6" customFormat="1" x14ac:dyDescent="0.3">
      <c r="A213" s="15" t="s">
        <v>398</v>
      </c>
      <c r="B213" s="15" t="s">
        <v>115</v>
      </c>
      <c r="C213" s="17" t="s">
        <v>60</v>
      </c>
      <c r="D213" s="18" t="s">
        <v>61</v>
      </c>
      <c r="E213" s="17" t="s">
        <v>12</v>
      </c>
      <c r="F213" s="17">
        <f>F212</f>
        <v>6.2774999999999999</v>
      </c>
      <c r="G213" s="67">
        <v>1555.42</v>
      </c>
      <c r="H213" s="45">
        <f t="shared" si="15"/>
        <v>9764.14905</v>
      </c>
      <c r="I213" s="16" t="s">
        <v>379</v>
      </c>
      <c r="J213" s="5"/>
    </row>
    <row r="214" spans="1:10" s="6" customFormat="1" x14ac:dyDescent="0.3">
      <c r="A214" s="15" t="s">
        <v>399</v>
      </c>
      <c r="B214" s="15" t="s">
        <v>115</v>
      </c>
      <c r="C214" s="15" t="s">
        <v>65</v>
      </c>
      <c r="D214" s="16" t="s">
        <v>66</v>
      </c>
      <c r="E214" s="15" t="s">
        <v>12</v>
      </c>
      <c r="F214" s="15">
        <f>F215*0.6*0.1</f>
        <v>3.12</v>
      </c>
      <c r="G214" s="67">
        <v>460.68</v>
      </c>
      <c r="H214" s="42">
        <f t="shared" si="15"/>
        <v>1437.3216</v>
      </c>
      <c r="I214" s="16" t="s">
        <v>380</v>
      </c>
      <c r="J214" s="5"/>
    </row>
    <row r="215" spans="1:10" s="6" customFormat="1" ht="28.8" x14ac:dyDescent="0.3">
      <c r="A215" s="15" t="s">
        <v>400</v>
      </c>
      <c r="B215" s="15" t="s">
        <v>115</v>
      </c>
      <c r="C215" s="32">
        <v>51403</v>
      </c>
      <c r="D215" s="21" t="s">
        <v>113</v>
      </c>
      <c r="E215" s="17" t="s">
        <v>64</v>
      </c>
      <c r="F215" s="17">
        <v>52</v>
      </c>
      <c r="G215" s="67">
        <v>46.59</v>
      </c>
      <c r="H215" s="45">
        <f t="shared" si="15"/>
        <v>2422.6800000000003</v>
      </c>
      <c r="I215" s="16" t="s">
        <v>381</v>
      </c>
      <c r="J215" s="5"/>
    </row>
    <row r="216" spans="1:10" s="6" customFormat="1" x14ac:dyDescent="0.3">
      <c r="A216" s="15" t="s">
        <v>401</v>
      </c>
      <c r="B216" s="15" t="s">
        <v>115</v>
      </c>
      <c r="C216" s="15" t="s">
        <v>67</v>
      </c>
      <c r="D216" s="16" t="s">
        <v>68</v>
      </c>
      <c r="E216" s="15" t="s">
        <v>12</v>
      </c>
      <c r="F216" s="15">
        <f>F189</f>
        <v>5.2650000000000006</v>
      </c>
      <c r="G216" s="67">
        <v>664.34</v>
      </c>
      <c r="H216" s="42">
        <f t="shared" si="15"/>
        <v>3497.7501000000007</v>
      </c>
      <c r="I216" s="16" t="s">
        <v>382</v>
      </c>
      <c r="J216" s="5"/>
    </row>
    <row r="217" spans="1:10" s="6" customFormat="1" x14ac:dyDescent="0.3">
      <c r="A217" s="15" t="s">
        <v>402</v>
      </c>
      <c r="B217" s="15" t="s">
        <v>115</v>
      </c>
      <c r="C217" s="15" t="s">
        <v>73</v>
      </c>
      <c r="D217" s="16" t="s">
        <v>74</v>
      </c>
      <c r="E217" s="15" t="s">
        <v>12</v>
      </c>
      <c r="F217" s="15">
        <f>(26*3)*0.05</f>
        <v>3.9000000000000004</v>
      </c>
      <c r="G217" s="67">
        <v>160.32</v>
      </c>
      <c r="H217" s="42">
        <f t="shared" si="15"/>
        <v>625.24800000000005</v>
      </c>
      <c r="I217" s="16" t="s">
        <v>384</v>
      </c>
      <c r="J217" s="5"/>
    </row>
    <row r="218" spans="1:10" s="6" customFormat="1" ht="15" thickBot="1" x14ac:dyDescent="0.35">
      <c r="A218" s="64" t="s">
        <v>403</v>
      </c>
      <c r="B218" s="64" t="s">
        <v>115</v>
      </c>
      <c r="C218" s="65" t="s">
        <v>71</v>
      </c>
      <c r="D218" s="66" t="s">
        <v>72</v>
      </c>
      <c r="E218" s="65" t="s">
        <v>12</v>
      </c>
      <c r="F218" s="65">
        <f>26*(3)*0.1</f>
        <v>7.8000000000000007</v>
      </c>
      <c r="G218" s="67">
        <v>768.54</v>
      </c>
      <c r="H218" s="67">
        <f t="shared" si="15"/>
        <v>5994.6120000000001</v>
      </c>
      <c r="I218" s="16" t="s">
        <v>383</v>
      </c>
      <c r="J218" s="5"/>
    </row>
    <row r="219" spans="1:10" s="6" customFormat="1" ht="15" thickBot="1" x14ac:dyDescent="0.35">
      <c r="A219" s="70" t="s">
        <v>404</v>
      </c>
      <c r="B219" s="124" t="s">
        <v>75</v>
      </c>
      <c r="C219" s="124"/>
      <c r="D219" s="124"/>
      <c r="E219" s="124"/>
      <c r="F219" s="124"/>
      <c r="G219" s="124"/>
      <c r="H219" s="71">
        <f>SUM(H221:H221)</f>
        <v>14505.635200000001</v>
      </c>
      <c r="I219" s="63"/>
      <c r="J219" s="5"/>
    </row>
    <row r="220" spans="1:10" s="4" customFormat="1" ht="28.8" x14ac:dyDescent="0.3">
      <c r="A220" s="123"/>
      <c r="B220" s="123"/>
      <c r="C220" s="123"/>
      <c r="D220" s="68" t="s">
        <v>21</v>
      </c>
      <c r="E220" s="68" t="s">
        <v>22</v>
      </c>
      <c r="F220" s="68" t="s">
        <v>24</v>
      </c>
      <c r="G220" s="69" t="s">
        <v>111</v>
      </c>
      <c r="H220" s="69" t="s">
        <v>112</v>
      </c>
      <c r="I220" s="31"/>
      <c r="J220" s="2"/>
    </row>
    <row r="221" spans="1:10" s="4" customFormat="1" x14ac:dyDescent="0.3">
      <c r="A221" s="15" t="s">
        <v>405</v>
      </c>
      <c r="B221" s="15" t="s">
        <v>115</v>
      </c>
      <c r="C221" s="19" t="s">
        <v>333</v>
      </c>
      <c r="D221" s="31" t="s">
        <v>334</v>
      </c>
      <c r="E221" s="20" t="s">
        <v>2</v>
      </c>
      <c r="F221" s="85">
        <f>SUM(F170,F117,F62,F210)</f>
        <v>1427.72</v>
      </c>
      <c r="G221" s="42">
        <v>10.16</v>
      </c>
      <c r="H221" s="42">
        <f>G221*F221</f>
        <v>14505.635200000001</v>
      </c>
      <c r="I221" s="16"/>
      <c r="J221" s="2"/>
    </row>
    <row r="222" spans="1:10" s="4" customFormat="1" x14ac:dyDescent="0.3">
      <c r="A222" s="119"/>
      <c r="B222" s="119"/>
      <c r="C222" s="119"/>
      <c r="D222" s="119"/>
      <c r="E222" s="119"/>
      <c r="F222" s="119"/>
      <c r="G222" s="119"/>
      <c r="H222" s="119"/>
      <c r="I222" s="16"/>
      <c r="J222" s="2"/>
    </row>
    <row r="223" spans="1:10" s="4" customFormat="1" x14ac:dyDescent="0.3">
      <c r="A223" s="119" t="s">
        <v>76</v>
      </c>
      <c r="B223" s="119"/>
      <c r="C223" s="119"/>
      <c r="D223" s="119"/>
      <c r="E223" s="119"/>
      <c r="F223" s="119"/>
      <c r="G223" s="119"/>
      <c r="H223" s="42">
        <f>SUM(H219,H128,H73,H20,H13,H181)</f>
        <v>1622574.0060072874</v>
      </c>
      <c r="I223" s="16"/>
      <c r="J223" s="2"/>
    </row>
    <row r="224" spans="1:10" x14ac:dyDescent="0.3">
      <c r="A224" s="119" t="s">
        <v>442</v>
      </c>
      <c r="B224" s="119"/>
      <c r="C224" s="119"/>
      <c r="D224" s="119"/>
      <c r="E224" s="119"/>
      <c r="F224" s="119"/>
      <c r="G224" s="119"/>
      <c r="H224" s="42">
        <f>H223*0.22</f>
        <v>356966.28132160322</v>
      </c>
      <c r="I224" s="16"/>
    </row>
    <row r="225" spans="1:9" x14ac:dyDescent="0.3">
      <c r="A225" s="119" t="s">
        <v>35</v>
      </c>
      <c r="B225" s="119"/>
      <c r="C225" s="119"/>
      <c r="D225" s="119"/>
      <c r="E225" s="119"/>
      <c r="F225" s="119"/>
      <c r="G225" s="119"/>
      <c r="H225" s="55">
        <f>H223+H224</f>
        <v>1979540.2873288905</v>
      </c>
      <c r="I225" s="16"/>
    </row>
    <row r="226" spans="1:9" x14ac:dyDescent="0.3">
      <c r="A226" s="119"/>
      <c r="B226" s="119"/>
      <c r="C226" s="119"/>
      <c r="D226" s="119"/>
      <c r="E226" s="119"/>
      <c r="F226" s="119"/>
      <c r="G226" s="119"/>
      <c r="H226" s="119"/>
      <c r="I226" s="16"/>
    </row>
    <row r="227" spans="1:9" x14ac:dyDescent="0.3">
      <c r="A227" s="115" t="s">
        <v>45</v>
      </c>
      <c r="B227" s="115"/>
      <c r="C227" s="115"/>
      <c r="D227" s="37" t="s">
        <v>117</v>
      </c>
      <c r="E227" s="10"/>
      <c r="F227" s="10"/>
      <c r="G227" s="54"/>
      <c r="H227" s="48"/>
      <c r="I227" s="16"/>
    </row>
    <row r="228" spans="1:9" ht="28.8" x14ac:dyDescent="0.3">
      <c r="A228" s="11"/>
      <c r="B228" s="11"/>
      <c r="C228" s="11" t="s">
        <v>20</v>
      </c>
      <c r="D228" s="11" t="s">
        <v>21</v>
      </c>
      <c r="E228" s="11" t="s">
        <v>22</v>
      </c>
      <c r="F228" s="11" t="s">
        <v>24</v>
      </c>
      <c r="G228" s="49" t="s">
        <v>23</v>
      </c>
      <c r="H228" s="49" t="s">
        <v>25</v>
      </c>
      <c r="I228" s="16"/>
    </row>
    <row r="229" spans="1:9" x14ac:dyDescent="0.3">
      <c r="A229" s="11"/>
      <c r="B229" s="11" t="s">
        <v>115</v>
      </c>
      <c r="C229" s="11" t="s">
        <v>26</v>
      </c>
      <c r="D229" s="11" t="s">
        <v>27</v>
      </c>
      <c r="E229" s="11" t="s">
        <v>28</v>
      </c>
      <c r="F229" s="11">
        <f>(2.4*4)+(2*4)</f>
        <v>17.600000000000001</v>
      </c>
      <c r="G229" s="49">
        <v>181.75</v>
      </c>
      <c r="H229" s="49">
        <f>G229*F229</f>
        <v>3198.8</v>
      </c>
      <c r="I229" s="16"/>
    </row>
    <row r="230" spans="1:9" x14ac:dyDescent="0.3">
      <c r="A230" s="11"/>
      <c r="B230" s="11" t="s">
        <v>115</v>
      </c>
      <c r="C230" s="11" t="s">
        <v>29</v>
      </c>
      <c r="D230" s="11" t="s">
        <v>30</v>
      </c>
      <c r="E230" s="11" t="s">
        <v>31</v>
      </c>
      <c r="F230" s="11">
        <f>F231*120</f>
        <v>211.20000000000002</v>
      </c>
      <c r="G230" s="49">
        <v>10.99</v>
      </c>
      <c r="H230" s="49">
        <f t="shared" ref="H230:H231" si="21">G230*F230</f>
        <v>2321.0880000000002</v>
      </c>
      <c r="I230" s="16"/>
    </row>
    <row r="231" spans="1:9" x14ac:dyDescent="0.3">
      <c r="A231" s="11"/>
      <c r="B231" s="11" t="s">
        <v>115</v>
      </c>
      <c r="C231" s="11" t="s">
        <v>32</v>
      </c>
      <c r="D231" s="11" t="s">
        <v>33</v>
      </c>
      <c r="E231" s="11" t="s">
        <v>34</v>
      </c>
      <c r="F231" s="11">
        <f>2.2*4*0.2</f>
        <v>1.7600000000000002</v>
      </c>
      <c r="G231" s="49">
        <v>439.38</v>
      </c>
      <c r="H231" s="49">
        <f t="shared" si="21"/>
        <v>773.30880000000013</v>
      </c>
      <c r="I231" s="16"/>
    </row>
    <row r="232" spans="1:9" x14ac:dyDescent="0.3">
      <c r="A232" s="11"/>
      <c r="B232" s="11"/>
      <c r="C232" s="11"/>
      <c r="D232" s="11"/>
      <c r="E232" s="11"/>
      <c r="F232" s="11"/>
      <c r="G232" s="49"/>
      <c r="H232" s="49">
        <f>SUM(H229:H231)</f>
        <v>6293.1968000000006</v>
      </c>
      <c r="I232" s="16"/>
    </row>
    <row r="233" spans="1:9" x14ac:dyDescent="0.3">
      <c r="A233" s="119"/>
      <c r="B233" s="119"/>
      <c r="C233" s="119"/>
      <c r="D233" s="119"/>
      <c r="E233" s="119"/>
      <c r="F233" s="119"/>
      <c r="G233" s="119"/>
      <c r="H233" s="55"/>
      <c r="I233" s="16"/>
    </row>
    <row r="234" spans="1:9" x14ac:dyDescent="0.3">
      <c r="A234" s="115" t="s">
        <v>45</v>
      </c>
      <c r="B234" s="115"/>
      <c r="C234" s="115"/>
      <c r="D234" s="37" t="s">
        <v>231</v>
      </c>
      <c r="E234" s="10"/>
      <c r="F234" s="10"/>
      <c r="G234" s="54"/>
      <c r="H234" s="48"/>
      <c r="I234" s="16"/>
    </row>
    <row r="235" spans="1:9" ht="28.8" x14ac:dyDescent="0.3">
      <c r="A235" s="11"/>
      <c r="B235" s="11"/>
      <c r="C235" s="11" t="s">
        <v>20</v>
      </c>
      <c r="D235" s="11" t="s">
        <v>21</v>
      </c>
      <c r="E235" s="11" t="s">
        <v>22</v>
      </c>
      <c r="F235" s="11" t="s">
        <v>24</v>
      </c>
      <c r="G235" s="49" t="s">
        <v>23</v>
      </c>
      <c r="H235" s="49" t="s">
        <v>25</v>
      </c>
      <c r="I235" s="16"/>
    </row>
    <row r="236" spans="1:9" x14ac:dyDescent="0.3">
      <c r="A236" s="11"/>
      <c r="B236" s="11" t="s">
        <v>115</v>
      </c>
      <c r="C236" s="11" t="s">
        <v>26</v>
      </c>
      <c r="D236" s="11" t="s">
        <v>27</v>
      </c>
      <c r="E236" s="11" t="s">
        <v>28</v>
      </c>
      <c r="F236" s="11">
        <f>(1.9+1.9+3.4+3.4)+(1.5+3+1.5+3)</f>
        <v>19.600000000000001</v>
      </c>
      <c r="G236" s="49">
        <v>181.75</v>
      </c>
      <c r="H236" s="49">
        <f>G236*F236</f>
        <v>3562.3</v>
      </c>
      <c r="I236" s="16"/>
    </row>
    <row r="237" spans="1:9" x14ac:dyDescent="0.3">
      <c r="A237" s="11"/>
      <c r="B237" s="11" t="s">
        <v>115</v>
      </c>
      <c r="C237" s="11" t="s">
        <v>29</v>
      </c>
      <c r="D237" s="11" t="s">
        <v>30</v>
      </c>
      <c r="E237" s="11" t="s">
        <v>31</v>
      </c>
      <c r="F237" s="11">
        <f>F238*120</f>
        <v>216</v>
      </c>
      <c r="G237" s="49">
        <v>10.99</v>
      </c>
      <c r="H237" s="49">
        <f t="shared" ref="H237:H238" si="22">G237*F237</f>
        <v>2373.84</v>
      </c>
      <c r="I237" s="16"/>
    </row>
    <row r="238" spans="1:9" x14ac:dyDescent="0.3">
      <c r="A238" s="11"/>
      <c r="B238" s="11" t="s">
        <v>115</v>
      </c>
      <c r="C238" s="11" t="s">
        <v>32</v>
      </c>
      <c r="D238" s="11" t="s">
        <v>33</v>
      </c>
      <c r="E238" s="11" t="s">
        <v>34</v>
      </c>
      <c r="F238" s="11">
        <f>(2*(1.5+3))*0.2</f>
        <v>1.8</v>
      </c>
      <c r="G238" s="49">
        <v>439.38</v>
      </c>
      <c r="H238" s="49">
        <f t="shared" si="22"/>
        <v>790.88400000000001</v>
      </c>
      <c r="I238" s="16"/>
    </row>
    <row r="239" spans="1:9" x14ac:dyDescent="0.3">
      <c r="A239" s="11"/>
      <c r="B239" s="11"/>
      <c r="C239" s="11"/>
      <c r="D239" s="11"/>
      <c r="E239" s="11"/>
      <c r="F239" s="11"/>
      <c r="G239" s="49"/>
      <c r="H239" s="49">
        <f>SUM(H236:H238)</f>
        <v>6727.0240000000003</v>
      </c>
      <c r="I239" s="16"/>
    </row>
  </sheetData>
  <mergeCells count="58">
    <mergeCell ref="A180:H180"/>
    <mergeCell ref="A155:H155"/>
    <mergeCell ref="A127:H127"/>
    <mergeCell ref="A102:H102"/>
    <mergeCell ref="A72:H72"/>
    <mergeCell ref="B138:G138"/>
    <mergeCell ref="B156:G156"/>
    <mergeCell ref="A164:H164"/>
    <mergeCell ref="B165:G165"/>
    <mergeCell ref="A166:C166"/>
    <mergeCell ref="A2:H5"/>
    <mergeCell ref="B30:G30"/>
    <mergeCell ref="B21:G21"/>
    <mergeCell ref="B13:G13"/>
    <mergeCell ref="B57:G57"/>
    <mergeCell ref="A19:H19"/>
    <mergeCell ref="A29:H29"/>
    <mergeCell ref="A56:H56"/>
    <mergeCell ref="A9:H9"/>
    <mergeCell ref="A11:H11"/>
    <mergeCell ref="A12:H12"/>
    <mergeCell ref="G7:H7"/>
    <mergeCell ref="G8:H8"/>
    <mergeCell ref="B48:G48"/>
    <mergeCell ref="E7:F8"/>
    <mergeCell ref="A47:H47"/>
    <mergeCell ref="A233:G233"/>
    <mergeCell ref="A58:C58"/>
    <mergeCell ref="A220:C220"/>
    <mergeCell ref="A22:C22"/>
    <mergeCell ref="A14:C14"/>
    <mergeCell ref="A223:G223"/>
    <mergeCell ref="A224:G224"/>
    <mergeCell ref="A225:G225"/>
    <mergeCell ref="A226:H226"/>
    <mergeCell ref="B219:G219"/>
    <mergeCell ref="A222:H222"/>
    <mergeCell ref="A227:C227"/>
    <mergeCell ref="B181:G181"/>
    <mergeCell ref="A111:H111"/>
    <mergeCell ref="B112:G112"/>
    <mergeCell ref="A113:C113"/>
    <mergeCell ref="A234:C234"/>
    <mergeCell ref="B73:F73"/>
    <mergeCell ref="B74:G74"/>
    <mergeCell ref="A75:C75"/>
    <mergeCell ref="A84:H84"/>
    <mergeCell ref="B85:G85"/>
    <mergeCell ref="B103:G103"/>
    <mergeCell ref="A183:C183"/>
    <mergeCell ref="B182:G182"/>
    <mergeCell ref="B208:G208"/>
    <mergeCell ref="B191:G191"/>
    <mergeCell ref="B200:G200"/>
    <mergeCell ref="B128:F128"/>
    <mergeCell ref="B129:G129"/>
    <mergeCell ref="A130:C130"/>
    <mergeCell ref="A137:H137"/>
  </mergeCells>
  <phoneticPr fontId="9" type="noConversion"/>
  <printOptions horizontalCentered="1"/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tabSelected="1" workbookViewId="0">
      <selection activeCell="H13" sqref="H13"/>
    </sheetView>
  </sheetViews>
  <sheetFormatPr defaultRowHeight="14.4" x14ac:dyDescent="0.3"/>
  <cols>
    <col min="1" max="1" width="5.5546875" customWidth="1"/>
    <col min="2" max="2" width="25" customWidth="1"/>
    <col min="3" max="3" width="7" bestFit="1" customWidth="1"/>
    <col min="4" max="5" width="12.109375" bestFit="1" customWidth="1"/>
    <col min="6" max="6" width="13.5546875" bestFit="1" customWidth="1"/>
    <col min="7" max="9" width="13.5546875" style="4" bestFit="1" customWidth="1"/>
    <col min="10" max="10" width="13.5546875" bestFit="1" customWidth="1"/>
    <col min="11" max="11" width="13.5546875" style="98" bestFit="1" customWidth="1"/>
    <col min="12" max="12" width="15.88671875" bestFit="1" customWidth="1"/>
  </cols>
  <sheetData>
    <row r="1" spans="1:12" s="4" customFormat="1" x14ac:dyDescent="0.3">
      <c r="A1" s="169" t="s">
        <v>408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2" s="4" customFormat="1" x14ac:dyDescent="0.3">
      <c r="A2" s="172"/>
      <c r="B2" s="168"/>
      <c r="C2" s="168"/>
      <c r="D2" s="168"/>
      <c r="E2" s="168"/>
      <c r="F2" s="168"/>
      <c r="G2" s="168"/>
      <c r="H2" s="168"/>
      <c r="I2" s="168"/>
      <c r="J2" s="168"/>
      <c r="K2" s="173"/>
    </row>
    <row r="3" spans="1:12" s="4" customFormat="1" x14ac:dyDescent="0.3">
      <c r="A3" s="172"/>
      <c r="B3" s="168"/>
      <c r="C3" s="168"/>
      <c r="D3" s="168"/>
      <c r="E3" s="168"/>
      <c r="F3" s="168"/>
      <c r="G3" s="168"/>
      <c r="H3" s="168"/>
      <c r="I3" s="168"/>
      <c r="J3" s="168"/>
      <c r="K3" s="173"/>
    </row>
    <row r="4" spans="1:12" ht="21" customHeight="1" thickBot="1" x14ac:dyDescent="0.3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2" ht="7.5" customHeight="1" x14ac:dyDescent="0.3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2" x14ac:dyDescent="0.3">
      <c r="A6" s="131" t="s">
        <v>416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2" ht="8.25" customHeight="1" x14ac:dyDescent="0.3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2" x14ac:dyDescent="0.3">
      <c r="A8" s="103" t="s">
        <v>409</v>
      </c>
      <c r="B8" s="103" t="s">
        <v>410</v>
      </c>
      <c r="C8" s="103" t="s">
        <v>411</v>
      </c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3" t="s">
        <v>35</v>
      </c>
      <c r="K8" s="105" t="s">
        <v>443</v>
      </c>
    </row>
    <row r="9" spans="1:12" x14ac:dyDescent="0.3">
      <c r="A9" s="154" t="str">
        <f>'PLANILHA ORÇAMENTÁRIA'!A13</f>
        <v>1.0</v>
      </c>
      <c r="B9" s="156" t="s">
        <v>8</v>
      </c>
      <c r="C9" s="153">
        <f>J9/$J$56</f>
        <v>1.9953795561947756E-2</v>
      </c>
      <c r="D9" s="92">
        <f>('PLANILHA ORÇAMENTÁRIA'!H15)+(('PLANILHA ORÇAMENTÁRIA'!H16+'PLANILHA ORÇAMENTÁRIA'!H17+'PLANILHA ORÇAMENTÁRIA'!H18)/6)</f>
        <v>8562.4349999999995</v>
      </c>
      <c r="E9" s="92">
        <f>('PLANILHA ORÇAMENTÁRIA'!$H$16+'PLANILHA ORÇAMENTÁRIA'!$H$17+'PLANILHA ORÇAMENTÁRIA'!$H$18)/6</f>
        <v>4762.8149999999996</v>
      </c>
      <c r="F9" s="92">
        <f>('PLANILHA ORÇAMENTÁRIA'!$H$16+'PLANILHA ORÇAMENTÁRIA'!$H$17+'PLANILHA ORÇAMENTÁRIA'!$H$18)/6</f>
        <v>4762.8149999999996</v>
      </c>
      <c r="G9" s="92">
        <f>('PLANILHA ORÇAMENTÁRIA'!$H$16+'PLANILHA ORÇAMENTÁRIA'!$H$17+'PLANILHA ORÇAMENTÁRIA'!$H$18)/6</f>
        <v>4762.8149999999996</v>
      </c>
      <c r="H9" s="92">
        <f>('PLANILHA ORÇAMENTÁRIA'!$H$16+'PLANILHA ORÇAMENTÁRIA'!$H$17+'PLANILHA ORÇAMENTÁRIA'!$H$18)/6</f>
        <v>4762.8149999999996</v>
      </c>
      <c r="I9" s="92">
        <f>('PLANILHA ORÇAMENTÁRIA'!$H$16+'PLANILHA ORÇAMENTÁRIA'!$H$17+'PLANILHA ORÇAMENTÁRIA'!$H$18)/6</f>
        <v>4762.8149999999996</v>
      </c>
      <c r="J9" s="92">
        <f>'PLANILHA ORÇAMENTÁRIA'!H13</f>
        <v>32376.510000000002</v>
      </c>
      <c r="K9" s="106">
        <f>J9*1.22</f>
        <v>39499.342199999999</v>
      </c>
      <c r="L9" s="99"/>
    </row>
    <row r="10" spans="1:12" x14ac:dyDescent="0.3">
      <c r="A10" s="155"/>
      <c r="B10" s="156"/>
      <c r="C10" s="153"/>
      <c r="D10" s="94">
        <f>D9/$J$9</f>
        <v>0.26446442189105618</v>
      </c>
      <c r="E10" s="94">
        <f t="shared" ref="E10:I10" si="0">E9/$J$9</f>
        <v>0.14710711562178874</v>
      </c>
      <c r="F10" s="94">
        <f t="shared" si="0"/>
        <v>0.14710711562178874</v>
      </c>
      <c r="G10" s="94">
        <f t="shared" si="0"/>
        <v>0.14710711562178874</v>
      </c>
      <c r="H10" s="94">
        <f t="shared" si="0"/>
        <v>0.14710711562178874</v>
      </c>
      <c r="I10" s="94">
        <f t="shared" si="0"/>
        <v>0.14710711562178874</v>
      </c>
      <c r="J10" s="94">
        <f>J9/$J$56</f>
        <v>1.9953795561947756E-2</v>
      </c>
      <c r="K10" s="106"/>
    </row>
    <row r="11" spans="1:12" x14ac:dyDescent="0.3">
      <c r="A11" s="154" t="str">
        <f>'PLANILHA ORÇAMENTÁRIA'!A20</f>
        <v>2.0</v>
      </c>
      <c r="B11" s="156" t="s">
        <v>253</v>
      </c>
      <c r="C11" s="153">
        <f>J11/$J$56</f>
        <v>0.23671454769692335</v>
      </c>
      <c r="D11" s="148"/>
      <c r="E11" s="148"/>
      <c r="F11" s="148"/>
      <c r="G11" s="148"/>
      <c r="H11" s="148"/>
      <c r="I11" s="148"/>
      <c r="J11" s="92">
        <f>'PLANILHA ORÇAMENTÁRIA'!H20</f>
        <v>384086.87193680002</v>
      </c>
      <c r="K11" s="106">
        <f t="shared" ref="K11:K51" si="1">J11*1.22</f>
        <v>468585.98376289604</v>
      </c>
    </row>
    <row r="12" spans="1:12" x14ac:dyDescent="0.3">
      <c r="A12" s="155"/>
      <c r="B12" s="156"/>
      <c r="C12" s="153"/>
      <c r="D12" s="148"/>
      <c r="E12" s="148"/>
      <c r="F12" s="148"/>
      <c r="G12" s="148"/>
      <c r="H12" s="148"/>
      <c r="I12" s="148"/>
      <c r="J12" s="94">
        <f>J11/$J$56</f>
        <v>0.23671454769692335</v>
      </c>
      <c r="K12" s="106"/>
    </row>
    <row r="13" spans="1:12" x14ac:dyDescent="0.3">
      <c r="A13" s="150" t="str">
        <f>'PLANILHA ORÇAMENTÁRIA'!A21</f>
        <v>2.1</v>
      </c>
      <c r="B13" s="152" t="s">
        <v>9</v>
      </c>
      <c r="C13" s="153">
        <f>J13/$J$56</f>
        <v>4.7011820328432775E-3</v>
      </c>
      <c r="D13" s="92">
        <f>J13</f>
        <v>7628.0157639999998</v>
      </c>
      <c r="E13" s="92"/>
      <c r="F13" s="92"/>
      <c r="G13" s="92"/>
      <c r="H13" s="92"/>
      <c r="I13" s="92"/>
      <c r="J13" s="92">
        <f>'PLANILHA ORÇAMENTÁRIA'!H21</f>
        <v>7628.0157639999998</v>
      </c>
      <c r="K13" s="106">
        <f t="shared" si="1"/>
        <v>9306.1792320799996</v>
      </c>
    </row>
    <row r="14" spans="1:12" x14ac:dyDescent="0.3">
      <c r="A14" s="151"/>
      <c r="B14" s="152"/>
      <c r="C14" s="153"/>
      <c r="D14" s="94">
        <f>D13/J13</f>
        <v>1</v>
      </c>
      <c r="E14" s="94"/>
      <c r="F14" s="94"/>
      <c r="G14" s="94"/>
      <c r="H14" s="94"/>
      <c r="I14" s="94"/>
      <c r="J14" s="94">
        <f>J13/$J$56</f>
        <v>4.7011820328432775E-3</v>
      </c>
      <c r="K14" s="106"/>
    </row>
    <row r="15" spans="1:12" x14ac:dyDescent="0.3">
      <c r="A15" s="150" t="str">
        <f>'PLANILHA ORÇAMENTÁRIA'!A30</f>
        <v>2.2</v>
      </c>
      <c r="B15" s="152" t="s">
        <v>77</v>
      </c>
      <c r="C15" s="153">
        <f t="shared" ref="C15" si="2">J15/$J$56</f>
        <v>0.14758960110428671</v>
      </c>
      <c r="D15" s="92">
        <f>J15/2</f>
        <v>119737.52515440002</v>
      </c>
      <c r="E15" s="92">
        <f>J15/2</f>
        <v>119737.52515440002</v>
      </c>
      <c r="F15" s="92"/>
      <c r="G15" s="92"/>
      <c r="H15" s="92"/>
      <c r="I15" s="92"/>
      <c r="J15" s="92">
        <f>'PLANILHA ORÇAMENTÁRIA'!H30</f>
        <v>239475.05030880004</v>
      </c>
      <c r="K15" s="106">
        <f t="shared" si="1"/>
        <v>292159.56137673603</v>
      </c>
    </row>
    <row r="16" spans="1:12" x14ac:dyDescent="0.3">
      <c r="A16" s="151"/>
      <c r="B16" s="152"/>
      <c r="C16" s="153"/>
      <c r="D16" s="94">
        <f>D15/J15</f>
        <v>0.5</v>
      </c>
      <c r="E16" s="94">
        <f>E15/J15</f>
        <v>0.5</v>
      </c>
      <c r="F16" s="94"/>
      <c r="G16" s="94"/>
      <c r="H16" s="94"/>
      <c r="I16" s="94"/>
      <c r="J16" s="94">
        <f>J15/$J$56</f>
        <v>0.14758960110428671</v>
      </c>
      <c r="K16" s="106"/>
    </row>
    <row r="17" spans="1:11" x14ac:dyDescent="0.3">
      <c r="A17" s="150" t="str">
        <f>'PLANILHA ORÇAMENTÁRIA'!A48</f>
        <v>2.3</v>
      </c>
      <c r="B17" s="152" t="s">
        <v>52</v>
      </c>
      <c r="C17" s="153">
        <f t="shared" ref="C17" si="3">J17/$J$56</f>
        <v>2.8585709090788728E-2</v>
      </c>
      <c r="D17" s="94"/>
      <c r="E17" s="92">
        <f>J17</f>
        <v>46382.428513999999</v>
      </c>
      <c r="F17" s="108"/>
      <c r="G17" s="108"/>
      <c r="H17" s="108"/>
      <c r="I17" s="108"/>
      <c r="J17" s="108">
        <f>'PLANILHA ORÇAMENTÁRIA'!H48</f>
        <v>46382.428513999999</v>
      </c>
      <c r="K17" s="106">
        <f t="shared" si="1"/>
        <v>56586.562787079994</v>
      </c>
    </row>
    <row r="18" spans="1:11" x14ac:dyDescent="0.3">
      <c r="A18" s="151"/>
      <c r="B18" s="152"/>
      <c r="C18" s="153"/>
      <c r="D18" s="94"/>
      <c r="E18" s="94">
        <f>E17/J17</f>
        <v>1</v>
      </c>
      <c r="F18" s="94"/>
      <c r="G18" s="94"/>
      <c r="H18" s="94"/>
      <c r="I18" s="94"/>
      <c r="J18" s="94">
        <f>J17/$J$56</f>
        <v>2.8585709090788728E-2</v>
      </c>
      <c r="K18" s="106"/>
    </row>
    <row r="19" spans="1:11" s="4" customFormat="1" x14ac:dyDescent="0.3">
      <c r="A19" s="150" t="str">
        <f>'PLANILHA ORÇAMENTÁRIA'!A57</f>
        <v>2.4</v>
      </c>
      <c r="B19" s="152" t="s">
        <v>53</v>
      </c>
      <c r="C19" s="153">
        <f t="shared" ref="C19" si="4">J19/$J$56</f>
        <v>5.5838055469004638E-2</v>
      </c>
      <c r="D19" s="92"/>
      <c r="E19" s="92">
        <f>J19</f>
        <v>90601.377349999981</v>
      </c>
      <c r="F19" s="92"/>
      <c r="G19" s="92"/>
      <c r="H19" s="92"/>
      <c r="I19" s="92"/>
      <c r="J19" s="92">
        <f>'PLANILHA ORÇAMENTÁRIA'!H57</f>
        <v>90601.377349999981</v>
      </c>
      <c r="K19" s="106">
        <f t="shared" si="1"/>
        <v>110533.68036699998</v>
      </c>
    </row>
    <row r="20" spans="1:11" s="4" customFormat="1" x14ac:dyDescent="0.3">
      <c r="A20" s="151"/>
      <c r="B20" s="152"/>
      <c r="C20" s="153"/>
      <c r="D20" s="94"/>
      <c r="E20" s="94">
        <f>E19/J19</f>
        <v>1</v>
      </c>
      <c r="F20" s="94"/>
      <c r="G20" s="94"/>
      <c r="H20" s="94"/>
      <c r="I20" s="94"/>
      <c r="J20" s="94">
        <f>J19/$J$56</f>
        <v>5.5838055469004638E-2</v>
      </c>
      <c r="K20" s="106"/>
    </row>
    <row r="21" spans="1:11" s="4" customFormat="1" x14ac:dyDescent="0.3">
      <c r="A21" s="154" t="str">
        <f>'PLANILHA ORÇAMENTÁRIA'!A73</f>
        <v>3.0</v>
      </c>
      <c r="B21" s="156" t="s">
        <v>407</v>
      </c>
      <c r="C21" s="153">
        <f t="shared" ref="C21" si="5">J21/$J$56</f>
        <v>0.2402872309580491</v>
      </c>
      <c r="D21" s="148"/>
      <c r="E21" s="148"/>
      <c r="F21" s="148"/>
      <c r="G21" s="148"/>
      <c r="H21" s="148"/>
      <c r="I21" s="148"/>
      <c r="J21" s="92">
        <f>'PLANILHA ORÇAMENTÁRIA'!H73</f>
        <v>389883.81492800004</v>
      </c>
      <c r="K21" s="106">
        <f t="shared" si="1"/>
        <v>475658.25421216001</v>
      </c>
    </row>
    <row r="22" spans="1:11" s="4" customFormat="1" x14ac:dyDescent="0.3">
      <c r="A22" s="155"/>
      <c r="B22" s="156"/>
      <c r="C22" s="153"/>
      <c r="D22" s="148"/>
      <c r="E22" s="148"/>
      <c r="F22" s="148"/>
      <c r="G22" s="148"/>
      <c r="H22" s="148"/>
      <c r="I22" s="148"/>
      <c r="J22" s="94">
        <f>J21/$J$56</f>
        <v>0.2402872309580491</v>
      </c>
      <c r="K22" s="106"/>
    </row>
    <row r="23" spans="1:11" s="4" customFormat="1" x14ac:dyDescent="0.3">
      <c r="A23" s="150" t="str">
        <f>'PLANILHA ORÇAMENTÁRIA'!A74</f>
        <v>3.1</v>
      </c>
      <c r="B23" s="152" t="s">
        <v>9</v>
      </c>
      <c r="C23" s="153">
        <f t="shared" ref="C23" si="6">J23/$J$56</f>
        <v>1.8429132717084646E-2</v>
      </c>
      <c r="D23" s="92"/>
      <c r="E23" s="92">
        <f>J23</f>
        <v>29902.631700000002</v>
      </c>
      <c r="F23" s="92"/>
      <c r="G23" s="92"/>
      <c r="H23" s="92"/>
      <c r="I23" s="92"/>
      <c r="J23" s="92">
        <f>'PLANILHA ORÇAMENTÁRIA'!H74</f>
        <v>29902.631700000002</v>
      </c>
      <c r="K23" s="106">
        <f t="shared" si="1"/>
        <v>36481.210674000002</v>
      </c>
    </row>
    <row r="24" spans="1:11" s="4" customFormat="1" x14ac:dyDescent="0.3">
      <c r="A24" s="151"/>
      <c r="B24" s="152"/>
      <c r="C24" s="153"/>
      <c r="D24" s="94"/>
      <c r="E24" s="94">
        <f>E23/J23</f>
        <v>1</v>
      </c>
      <c r="F24" s="94"/>
      <c r="G24" s="94"/>
      <c r="H24" s="94"/>
      <c r="I24" s="94"/>
      <c r="J24" s="94">
        <f>J23/$J$56</f>
        <v>1.8429132717084646E-2</v>
      </c>
      <c r="K24" s="106"/>
    </row>
    <row r="25" spans="1:11" s="4" customFormat="1" x14ac:dyDescent="0.3">
      <c r="A25" s="150" t="str">
        <f>'PLANILHA ORÇAMENTÁRIA'!A85</f>
        <v>3.2</v>
      </c>
      <c r="B25" s="152" t="s">
        <v>77</v>
      </c>
      <c r="C25" s="153">
        <f t="shared" ref="C25:C45" si="7">J25/$J$56</f>
        <v>0.10972520347598887</v>
      </c>
      <c r="D25" s="92"/>
      <c r="E25" s="92">
        <f>$J$25/2</f>
        <v>89018.631481999997</v>
      </c>
      <c r="F25" s="92">
        <f>$J$25/2</f>
        <v>89018.631481999997</v>
      </c>
      <c r="G25" s="92"/>
      <c r="H25" s="92"/>
      <c r="I25" s="92"/>
      <c r="J25" s="92">
        <f>'PLANILHA ORÇAMENTÁRIA'!H85</f>
        <v>178037.26296399999</v>
      </c>
      <c r="K25" s="106">
        <f t="shared" si="1"/>
        <v>217205.46081607998</v>
      </c>
    </row>
    <row r="26" spans="1:11" s="4" customFormat="1" x14ac:dyDescent="0.3">
      <c r="A26" s="151"/>
      <c r="B26" s="152"/>
      <c r="C26" s="153"/>
      <c r="D26" s="94"/>
      <c r="E26" s="94">
        <f>E25/J25</f>
        <v>0.5</v>
      </c>
      <c r="F26" s="94">
        <f>F25/J25</f>
        <v>0.5</v>
      </c>
      <c r="G26" s="94"/>
      <c r="H26" s="94"/>
      <c r="I26" s="94"/>
      <c r="J26" s="94">
        <f>J25/$J$56</f>
        <v>0.10972520347598887</v>
      </c>
      <c r="K26" s="106"/>
    </row>
    <row r="27" spans="1:11" s="4" customFormat="1" x14ac:dyDescent="0.3">
      <c r="A27" s="150" t="str">
        <f>'PLANILHA ORÇAMENTÁRIA'!A103</f>
        <v>3.3</v>
      </c>
      <c r="B27" s="152" t="s">
        <v>52</v>
      </c>
      <c r="C27" s="153">
        <f t="shared" ref="C27:C47" si="8">J27/$J$56</f>
        <v>2.5463681139370132E-2</v>
      </c>
      <c r="D27" s="92"/>
      <c r="E27" s="92"/>
      <c r="F27" s="92">
        <f>J27</f>
        <v>41316.707114000004</v>
      </c>
      <c r="G27" s="92"/>
      <c r="H27" s="92"/>
      <c r="I27" s="92"/>
      <c r="J27" s="92">
        <f>'PLANILHA ORÇAMENTÁRIA'!H103</f>
        <v>41316.707114000004</v>
      </c>
      <c r="K27" s="106">
        <f t="shared" si="1"/>
        <v>50406.382679080001</v>
      </c>
    </row>
    <row r="28" spans="1:11" s="4" customFormat="1" x14ac:dyDescent="0.3">
      <c r="A28" s="151"/>
      <c r="B28" s="152"/>
      <c r="C28" s="153"/>
      <c r="D28" s="94"/>
      <c r="E28" s="94"/>
      <c r="F28" s="94">
        <f>F27/J27</f>
        <v>1</v>
      </c>
      <c r="G28" s="94"/>
      <c r="H28" s="94"/>
      <c r="I28" s="94"/>
      <c r="J28" s="94">
        <f>J27/$J$56</f>
        <v>2.5463681139370132E-2</v>
      </c>
      <c r="K28" s="106"/>
    </row>
    <row r="29" spans="1:11" s="4" customFormat="1" x14ac:dyDescent="0.3">
      <c r="A29" s="150" t="str">
        <f>'PLANILHA ORÇAMENTÁRIA'!A112</f>
        <v>3.4</v>
      </c>
      <c r="B29" s="152" t="s">
        <v>53</v>
      </c>
      <c r="C29" s="153">
        <f t="shared" ref="C29:C49" si="9">J29/$J$56</f>
        <v>8.6669213625605451E-2</v>
      </c>
      <c r="D29" s="92"/>
      <c r="E29" s="92"/>
      <c r="F29" s="92">
        <f>J29</f>
        <v>140627.21315000003</v>
      </c>
      <c r="G29" s="92"/>
      <c r="H29" s="92"/>
      <c r="I29" s="92"/>
      <c r="J29" s="92">
        <f>'PLANILHA ORÇAMENTÁRIA'!H112</f>
        <v>140627.21315000003</v>
      </c>
      <c r="K29" s="106">
        <f t="shared" si="1"/>
        <v>171565.20004300002</v>
      </c>
    </row>
    <row r="30" spans="1:11" s="4" customFormat="1" x14ac:dyDescent="0.3">
      <c r="A30" s="151"/>
      <c r="B30" s="152"/>
      <c r="C30" s="153"/>
      <c r="D30" s="94"/>
      <c r="E30" s="94"/>
      <c r="F30" s="94">
        <f>F29/J29</f>
        <v>1</v>
      </c>
      <c r="G30" s="94"/>
      <c r="H30" s="94"/>
      <c r="I30" s="94"/>
      <c r="J30" s="94">
        <f>J29/$J$56</f>
        <v>8.6669213625605451E-2</v>
      </c>
      <c r="K30" s="106"/>
    </row>
    <row r="31" spans="1:11" s="4" customFormat="1" x14ac:dyDescent="0.3">
      <c r="A31" s="154" t="str">
        <f>'PLANILHA ORÇAMENTÁRIA'!A128</f>
        <v>4.0</v>
      </c>
      <c r="B31" s="156" t="s">
        <v>446</v>
      </c>
      <c r="C31" s="153">
        <f t="shared" ref="C31:C51" si="10">J31/$J$56</f>
        <v>0.31906971820086882</v>
      </c>
      <c r="D31" s="149"/>
      <c r="E31" s="149"/>
      <c r="F31" s="149"/>
      <c r="G31" s="149"/>
      <c r="H31" s="149"/>
      <c r="I31" s="149"/>
      <c r="J31" s="108">
        <f>'PLANILHA ORÇAMENTÁRIA'!H128</f>
        <v>517714.23085680004</v>
      </c>
      <c r="K31" s="106">
        <f t="shared" si="1"/>
        <v>631611.36164529598</v>
      </c>
    </row>
    <row r="32" spans="1:11" s="4" customFormat="1" x14ac:dyDescent="0.3">
      <c r="A32" s="155"/>
      <c r="B32" s="156"/>
      <c r="C32" s="153"/>
      <c r="D32" s="149"/>
      <c r="E32" s="149"/>
      <c r="F32" s="149"/>
      <c r="G32" s="149"/>
      <c r="H32" s="149"/>
      <c r="I32" s="149"/>
      <c r="J32" s="94">
        <f>J31/$J$56</f>
        <v>0.31906971820086882</v>
      </c>
      <c r="K32" s="106"/>
    </row>
    <row r="33" spans="1:11" s="4" customFormat="1" x14ac:dyDescent="0.3">
      <c r="A33" s="150" t="str">
        <f>'PLANILHA ORÇAMENTÁRIA'!A129</f>
        <v>4.1</v>
      </c>
      <c r="B33" s="152" t="s">
        <v>9</v>
      </c>
      <c r="C33" s="153">
        <f t="shared" ref="C33" si="11">J33/$J$56</f>
        <v>9.6630792128747957E-3</v>
      </c>
      <c r="D33" s="92"/>
      <c r="E33" s="92"/>
      <c r="F33" s="92">
        <f>J33</f>
        <v>15679.061148800003</v>
      </c>
      <c r="G33" s="92"/>
      <c r="H33" s="92"/>
      <c r="I33" s="92"/>
      <c r="J33" s="92">
        <f>'PLANILHA ORÇAMENTÁRIA'!H129</f>
        <v>15679.061148800003</v>
      </c>
      <c r="K33" s="106">
        <f t="shared" si="1"/>
        <v>19128.454601536003</v>
      </c>
    </row>
    <row r="34" spans="1:11" s="4" customFormat="1" x14ac:dyDescent="0.3">
      <c r="A34" s="151"/>
      <c r="B34" s="152"/>
      <c r="C34" s="153"/>
      <c r="D34" s="94"/>
      <c r="E34" s="94"/>
      <c r="F34" s="94">
        <f>F33/J33</f>
        <v>1</v>
      </c>
      <c r="G34" s="94"/>
      <c r="H34" s="94"/>
      <c r="I34" s="94"/>
      <c r="J34" s="94">
        <f>J33/$J$56</f>
        <v>9.6630792128747957E-3</v>
      </c>
      <c r="K34" s="106"/>
    </row>
    <row r="35" spans="1:11" s="4" customFormat="1" x14ac:dyDescent="0.3">
      <c r="A35" s="150" t="str">
        <f>'PLANILHA ORÇAMENTÁRIA'!A138</f>
        <v>4.2</v>
      </c>
      <c r="B35" s="152" t="s">
        <v>77</v>
      </c>
      <c r="C35" s="153">
        <f t="shared" si="7"/>
        <v>0.1809250712492195</v>
      </c>
      <c r="D35" s="92"/>
      <c r="E35" s="92"/>
      <c r="F35" s="92">
        <f>J35/2</f>
        <v>146782.158822</v>
      </c>
      <c r="G35" s="92">
        <f>J35/2</f>
        <v>146782.158822</v>
      </c>
      <c r="H35" s="92"/>
      <c r="I35" s="92"/>
      <c r="J35" s="92">
        <f>'PLANILHA ORÇAMENTÁRIA'!H138</f>
        <v>293564.317644</v>
      </c>
      <c r="K35" s="106">
        <f t="shared" si="1"/>
        <v>358148.46752567997</v>
      </c>
    </row>
    <row r="36" spans="1:11" s="4" customFormat="1" x14ac:dyDescent="0.3">
      <c r="A36" s="151"/>
      <c r="B36" s="152"/>
      <c r="C36" s="153"/>
      <c r="D36" s="94"/>
      <c r="E36" s="94"/>
      <c r="F36" s="94">
        <f>F35/J35</f>
        <v>0.5</v>
      </c>
      <c r="G36" s="94">
        <f>G35/J35</f>
        <v>0.5</v>
      </c>
      <c r="H36" s="94"/>
      <c r="I36" s="94"/>
      <c r="J36" s="94">
        <f>J35/$J$56</f>
        <v>0.1809250712492195</v>
      </c>
      <c r="K36" s="106"/>
    </row>
    <row r="37" spans="1:11" s="4" customFormat="1" x14ac:dyDescent="0.3">
      <c r="A37" s="150" t="str">
        <f>'PLANILHA ORÇAMENTÁRIA'!A156</f>
        <v>4.3</v>
      </c>
      <c r="B37" s="152" t="s">
        <v>52</v>
      </c>
      <c r="C37" s="153">
        <f t="shared" si="8"/>
        <v>2.626174643266695E-2</v>
      </c>
      <c r="D37" s="92"/>
      <c r="E37" s="92"/>
      <c r="F37" s="92"/>
      <c r="G37" s="92">
        <f>J37</f>
        <v>42611.627114000003</v>
      </c>
      <c r="H37" s="92"/>
      <c r="I37" s="92"/>
      <c r="J37" s="92">
        <f>'PLANILHA ORÇAMENTÁRIA'!H156</f>
        <v>42611.627114000003</v>
      </c>
      <c r="K37" s="106">
        <f t="shared" si="1"/>
        <v>51986.185079080002</v>
      </c>
    </row>
    <row r="38" spans="1:11" s="4" customFormat="1" x14ac:dyDescent="0.3">
      <c r="A38" s="151"/>
      <c r="B38" s="152"/>
      <c r="C38" s="153"/>
      <c r="D38" s="94"/>
      <c r="E38" s="94"/>
      <c r="F38" s="94"/>
      <c r="G38" s="94">
        <f>G37/J37</f>
        <v>1</v>
      </c>
      <c r="H38" s="94"/>
      <c r="I38" s="94"/>
      <c r="J38" s="94">
        <f>J37/$J$56</f>
        <v>2.626174643266695E-2</v>
      </c>
      <c r="K38" s="106"/>
    </row>
    <row r="39" spans="1:11" s="4" customFormat="1" x14ac:dyDescent="0.3">
      <c r="A39" s="150" t="str">
        <f>'PLANILHA ORÇAMENTÁRIA'!A165</f>
        <v>4.4</v>
      </c>
      <c r="B39" s="152" t="s">
        <v>53</v>
      </c>
      <c r="C39" s="153">
        <f t="shared" si="9"/>
        <v>0.10221982130610757</v>
      </c>
      <c r="D39" s="92"/>
      <c r="E39" s="92"/>
      <c r="F39" s="92"/>
      <c r="G39" s="92">
        <f>J39</f>
        <v>165859.22495000003</v>
      </c>
      <c r="H39" s="92"/>
      <c r="I39" s="92"/>
      <c r="J39" s="92">
        <f>'PLANILHA ORÇAMENTÁRIA'!H165</f>
        <v>165859.22495000003</v>
      </c>
      <c r="K39" s="106">
        <f t="shared" si="1"/>
        <v>202348.25443900004</v>
      </c>
    </row>
    <row r="40" spans="1:11" s="4" customFormat="1" x14ac:dyDescent="0.3">
      <c r="A40" s="151"/>
      <c r="B40" s="152"/>
      <c r="C40" s="153"/>
      <c r="D40" s="94"/>
      <c r="E40" s="94"/>
      <c r="F40" s="94"/>
      <c r="G40" s="94">
        <f>G39/J39</f>
        <v>1</v>
      </c>
      <c r="H40" s="94"/>
      <c r="I40" s="94"/>
      <c r="J40" s="94">
        <f>J39/$J$56</f>
        <v>0.10221982130610757</v>
      </c>
      <c r="K40" s="106"/>
    </row>
    <row r="41" spans="1:11" s="4" customFormat="1" x14ac:dyDescent="0.3">
      <c r="A41" s="154" t="str">
        <f>'PLANILHA ORÇAMENTÁRIA'!A181</f>
        <v>5.0</v>
      </c>
      <c r="B41" s="156" t="s">
        <v>335</v>
      </c>
      <c r="C41" s="153">
        <f t="shared" si="10"/>
        <v>0.1750348163068082</v>
      </c>
      <c r="D41" s="149"/>
      <c r="E41" s="149"/>
      <c r="F41" s="149"/>
      <c r="G41" s="149"/>
      <c r="H41" s="149"/>
      <c r="I41" s="149"/>
      <c r="J41" s="108">
        <f>'PLANILHA ORÇAMENTÁRIA'!H181</f>
        <v>284006.94308568747</v>
      </c>
      <c r="K41" s="106">
        <f t="shared" si="1"/>
        <v>346488.47056453873</v>
      </c>
    </row>
    <row r="42" spans="1:11" s="4" customFormat="1" x14ac:dyDescent="0.3">
      <c r="A42" s="155"/>
      <c r="B42" s="156"/>
      <c r="C42" s="153"/>
      <c r="D42" s="149"/>
      <c r="E42" s="149"/>
      <c r="F42" s="149"/>
      <c r="G42" s="149"/>
      <c r="H42" s="149"/>
      <c r="I42" s="149"/>
      <c r="J42" s="94">
        <f>J41/$J$56</f>
        <v>0.1750348163068082</v>
      </c>
      <c r="K42" s="106"/>
    </row>
    <row r="43" spans="1:11" s="4" customFormat="1" x14ac:dyDescent="0.3">
      <c r="A43" s="150" t="str">
        <f>'PLANILHA ORÇAMENTÁRIA'!A182</f>
        <v>5.1</v>
      </c>
      <c r="B43" s="152" t="s">
        <v>336</v>
      </c>
      <c r="C43" s="153">
        <f t="shared" ref="C43" si="12">J43/$J$56</f>
        <v>7.0679643822350834E-3</v>
      </c>
      <c r="D43" s="92"/>
      <c r="E43" s="92"/>
      <c r="F43" s="92"/>
      <c r="G43" s="92"/>
      <c r="H43" s="92">
        <f>J43</f>
        <v>11468.295282000001</v>
      </c>
      <c r="I43" s="92"/>
      <c r="J43" s="92">
        <f>'PLANILHA ORÇAMENTÁRIA'!H182</f>
        <v>11468.295282000001</v>
      </c>
      <c r="K43" s="106">
        <f t="shared" si="1"/>
        <v>13991.32024404</v>
      </c>
    </row>
    <row r="44" spans="1:11" s="4" customFormat="1" x14ac:dyDescent="0.3">
      <c r="A44" s="151"/>
      <c r="B44" s="152"/>
      <c r="C44" s="153"/>
      <c r="D44" s="94"/>
      <c r="E44" s="94"/>
      <c r="F44" s="94"/>
      <c r="G44" s="94"/>
      <c r="H44" s="94">
        <f>H43/J43</f>
        <v>1</v>
      </c>
      <c r="I44" s="94"/>
      <c r="J44" s="94">
        <f>J43/$J$56</f>
        <v>7.0679643822350834E-3</v>
      </c>
      <c r="K44" s="106"/>
    </row>
    <row r="45" spans="1:11" s="4" customFormat="1" x14ac:dyDescent="0.3">
      <c r="A45" s="150" t="str">
        <f>'PLANILHA ORÇAMENTÁRIA'!A191</f>
        <v>5.2</v>
      </c>
      <c r="B45" s="152" t="s">
        <v>337</v>
      </c>
      <c r="C45" s="153">
        <f t="shared" si="7"/>
        <v>0.11856222610028888</v>
      </c>
      <c r="D45" s="92"/>
      <c r="E45" s="92"/>
      <c r="F45" s="92"/>
      <c r="G45" s="92"/>
      <c r="H45" s="92">
        <f>J45*0.7</f>
        <v>134663.19031528124</v>
      </c>
      <c r="I45" s="92">
        <f>J45*0.3</f>
        <v>57712.795849406248</v>
      </c>
      <c r="J45" s="92">
        <f>'PLANILHA ORÇAMENTÁRIA'!H191</f>
        <v>192375.98616468749</v>
      </c>
      <c r="K45" s="106">
        <f t="shared" si="1"/>
        <v>234698.70312091874</v>
      </c>
    </row>
    <row r="46" spans="1:11" s="4" customFormat="1" x14ac:dyDescent="0.3">
      <c r="A46" s="151"/>
      <c r="B46" s="152"/>
      <c r="C46" s="153"/>
      <c r="D46" s="94"/>
      <c r="E46" s="94"/>
      <c r="F46" s="94"/>
      <c r="G46" s="94"/>
      <c r="H46" s="94">
        <f>H45/J45</f>
        <v>0.7</v>
      </c>
      <c r="I46" s="94">
        <f>I45/J45</f>
        <v>0.3</v>
      </c>
      <c r="J46" s="94">
        <f>J45/$J$56</f>
        <v>0.11856222610028888</v>
      </c>
      <c r="K46" s="106"/>
    </row>
    <row r="47" spans="1:11" s="4" customFormat="1" x14ac:dyDescent="0.3">
      <c r="A47" s="150" t="str">
        <f>'PLANILHA ORÇAMENTÁRIA'!A200</f>
        <v>5.3</v>
      </c>
      <c r="B47" s="152" t="s">
        <v>52</v>
      </c>
      <c r="C47" s="153">
        <f t="shared" si="8"/>
        <v>2.3417577332882123E-2</v>
      </c>
      <c r="D47" s="94"/>
      <c r="E47" s="94"/>
      <c r="F47" s="108"/>
      <c r="G47" s="108"/>
      <c r="H47" s="108">
        <f>J47*0.7</f>
        <v>26597.726584799995</v>
      </c>
      <c r="I47" s="108">
        <f>J47*0.3</f>
        <v>11399.025679199998</v>
      </c>
      <c r="J47" s="108">
        <f>'PLANILHA ORÇAMENTÁRIA'!H200</f>
        <v>37996.752263999995</v>
      </c>
      <c r="K47" s="106">
        <f t="shared" si="1"/>
        <v>46356.037762079992</v>
      </c>
    </row>
    <row r="48" spans="1:11" s="4" customFormat="1" x14ac:dyDescent="0.3">
      <c r="A48" s="151"/>
      <c r="B48" s="152"/>
      <c r="C48" s="153"/>
      <c r="D48" s="94"/>
      <c r="E48" s="94"/>
      <c r="F48" s="94"/>
      <c r="G48" s="94"/>
      <c r="H48" s="94">
        <f>H47/J47</f>
        <v>0.7</v>
      </c>
      <c r="I48" s="94">
        <f>I47/J47</f>
        <v>0.3</v>
      </c>
      <c r="J48" s="94">
        <f>J47/$J$56</f>
        <v>2.3417577332882123E-2</v>
      </c>
      <c r="K48" s="106"/>
    </row>
    <row r="49" spans="1:12" s="4" customFormat="1" x14ac:dyDescent="0.3">
      <c r="A49" s="150" t="str">
        <f>'PLANILHA ORÇAMENTÁRIA'!A208</f>
        <v>5.4</v>
      </c>
      <c r="B49" s="152" t="s">
        <v>53</v>
      </c>
      <c r="C49" s="153">
        <f t="shared" si="9"/>
        <v>2.5987048491402133E-2</v>
      </c>
      <c r="D49" s="92"/>
      <c r="E49" s="92"/>
      <c r="F49" s="92"/>
      <c r="G49" s="92"/>
      <c r="H49" s="92"/>
      <c r="I49" s="92">
        <f>J49</f>
        <v>42165.909374999996</v>
      </c>
      <c r="J49" s="92">
        <f>'PLANILHA ORÇAMENTÁRIA'!H208</f>
        <v>42165.909374999996</v>
      </c>
      <c r="K49" s="106">
        <f t="shared" si="1"/>
        <v>51442.409437499991</v>
      </c>
    </row>
    <row r="50" spans="1:12" s="4" customFormat="1" x14ac:dyDescent="0.3">
      <c r="A50" s="151"/>
      <c r="B50" s="152"/>
      <c r="C50" s="153"/>
      <c r="D50" s="94"/>
      <c r="E50" s="94"/>
      <c r="F50" s="94"/>
      <c r="G50" s="94"/>
      <c r="H50" s="94"/>
      <c r="I50" s="94">
        <f>I49/J49</f>
        <v>1</v>
      </c>
      <c r="J50" s="94">
        <f>J49/$J$56</f>
        <v>2.5987048491402133E-2</v>
      </c>
      <c r="K50" s="106"/>
    </row>
    <row r="51" spans="1:12" s="4" customFormat="1" x14ac:dyDescent="0.3">
      <c r="A51" s="154" t="str">
        <f>'PLANILHA ORÇAMENTÁRIA'!A219</f>
        <v>6.0</v>
      </c>
      <c r="B51" s="156" t="s">
        <v>439</v>
      </c>
      <c r="C51" s="153">
        <f t="shared" si="10"/>
        <v>8.93989127540285E-3</v>
      </c>
      <c r="D51" s="92"/>
      <c r="E51" s="92"/>
      <c r="F51" s="92"/>
      <c r="G51" s="92"/>
      <c r="H51" s="92"/>
      <c r="I51" s="92">
        <f>J51</f>
        <v>14505.635200000001</v>
      </c>
      <c r="J51" s="92">
        <f>'PLANILHA ORÇAMENTÁRIA'!H219</f>
        <v>14505.635200000001</v>
      </c>
      <c r="K51" s="106">
        <f t="shared" si="1"/>
        <v>17696.874943999999</v>
      </c>
    </row>
    <row r="52" spans="1:12" s="4" customFormat="1" x14ac:dyDescent="0.3">
      <c r="A52" s="155"/>
      <c r="B52" s="156"/>
      <c r="C52" s="153"/>
      <c r="D52" s="94"/>
      <c r="E52" s="94"/>
      <c r="F52" s="94"/>
      <c r="G52" s="94"/>
      <c r="H52" s="94"/>
      <c r="I52" s="94">
        <f>I51/J51</f>
        <v>1</v>
      </c>
      <c r="J52" s="94">
        <f>J51/$J$56</f>
        <v>8.93989127540285E-3</v>
      </c>
      <c r="K52" s="106"/>
    </row>
    <row r="53" spans="1:12" s="4" customFormat="1" x14ac:dyDescent="0.3">
      <c r="A53" s="109"/>
      <c r="B53" s="110"/>
      <c r="C53" s="111"/>
      <c r="D53" s="94"/>
      <c r="E53" s="94"/>
      <c r="F53" s="94"/>
      <c r="G53" s="94"/>
      <c r="H53" s="94"/>
      <c r="I53" s="94"/>
      <c r="J53" s="94"/>
      <c r="K53" s="106"/>
    </row>
    <row r="54" spans="1:12" x14ac:dyDescent="0.3">
      <c r="A54" s="109"/>
      <c r="B54" s="90" t="s">
        <v>412</v>
      </c>
      <c r="C54" s="112">
        <f>SUM(C51,C41,C31,C21,C11,C9)</f>
        <v>1</v>
      </c>
      <c r="D54" s="94"/>
      <c r="E54" s="94"/>
      <c r="F54" s="94"/>
      <c r="G54" s="94"/>
      <c r="H54" s="94"/>
      <c r="I54" s="94"/>
      <c r="J54" s="113"/>
      <c r="K54" s="114"/>
    </row>
    <row r="55" spans="1:12" x14ac:dyDescent="0.3">
      <c r="A55" s="86"/>
      <c r="B55" s="87"/>
      <c r="C55" s="88"/>
      <c r="D55" s="89"/>
      <c r="E55" s="89"/>
      <c r="F55" s="89"/>
      <c r="G55" s="89"/>
      <c r="H55" s="89"/>
      <c r="I55" s="89"/>
      <c r="J55" s="89"/>
      <c r="K55" s="96"/>
    </row>
    <row r="56" spans="1:12" x14ac:dyDescent="0.3">
      <c r="A56" s="90"/>
      <c r="B56" s="90" t="s">
        <v>413</v>
      </c>
      <c r="C56" s="91"/>
      <c r="D56" s="92">
        <f>SUM(D9,D11,D13,D15,D17,D19,D21,D23,D25,D27,D29,D31,D33,D35,D37,D39,D41,D43,D45,D47,D49,D51)</f>
        <v>135927.97591840001</v>
      </c>
      <c r="E56" s="92">
        <f t="shared" ref="E56:I56" si="13">SUM(E9,E11,E13,E15,E17,E19,E21,E23,E25,E27,E29,E31,E33,E35,E37,E39,E41,E43,E45,E47,E49,E51)</f>
        <v>380405.4092004</v>
      </c>
      <c r="F56" s="92">
        <f t="shared" si="13"/>
        <v>438186.5867168</v>
      </c>
      <c r="G56" s="92">
        <f t="shared" si="13"/>
        <v>360015.82588600006</v>
      </c>
      <c r="H56" s="92">
        <f t="shared" si="13"/>
        <v>177492.02718208125</v>
      </c>
      <c r="I56" s="92">
        <f t="shared" si="13"/>
        <v>130546.18110360626</v>
      </c>
      <c r="J56" s="92">
        <f>SUM(J9,J11,J21,J31,J41,J51)</f>
        <v>1622574.0060072874</v>
      </c>
      <c r="K56" s="93">
        <f>SUM(K9,K11,K21,K31,K41,K51)</f>
        <v>1979540.287328891</v>
      </c>
      <c r="L56" s="99"/>
    </row>
    <row r="57" spans="1:12" x14ac:dyDescent="0.3">
      <c r="A57" s="90"/>
      <c r="B57" s="90" t="s">
        <v>444</v>
      </c>
      <c r="C57" s="91"/>
      <c r="D57" s="92">
        <f>D56*1.22</f>
        <v>165832.13062044801</v>
      </c>
      <c r="E57" s="107">
        <f t="shared" ref="E57:I57" si="14">E56*1.22</f>
        <v>464094.59922448796</v>
      </c>
      <c r="F57" s="107">
        <f t="shared" si="14"/>
        <v>534587.63579449593</v>
      </c>
      <c r="G57" s="107">
        <f t="shared" si="14"/>
        <v>439219.30758092005</v>
      </c>
      <c r="H57" s="107">
        <f t="shared" si="14"/>
        <v>216540.27316213911</v>
      </c>
      <c r="I57" s="107">
        <f t="shared" si="14"/>
        <v>159266.34094639964</v>
      </c>
      <c r="J57" s="93">
        <f>J56*1.22</f>
        <v>1979540.2873288905</v>
      </c>
      <c r="K57" s="93"/>
    </row>
    <row r="58" spans="1:12" x14ac:dyDescent="0.3">
      <c r="A58" s="90"/>
      <c r="B58" s="90" t="s">
        <v>414</v>
      </c>
      <c r="C58" s="91"/>
      <c r="D58" s="94">
        <f>D57/$J$57</f>
        <v>8.3773051592809455E-2</v>
      </c>
      <c r="E58" s="94">
        <f t="shared" ref="E58:I58" si="15">E57/$J$57</f>
        <v>0.23444564487784078</v>
      </c>
      <c r="F58" s="94">
        <f t="shared" si="15"/>
        <v>0.27005645665127953</v>
      </c>
      <c r="G58" s="94">
        <f t="shared" si="15"/>
        <v>0.22187944867420928</v>
      </c>
      <c r="H58" s="94">
        <f t="shared" si="15"/>
        <v>0.10938917209627977</v>
      </c>
      <c r="I58" s="94">
        <f t="shared" si="15"/>
        <v>8.0456226107581283E-2</v>
      </c>
      <c r="J58" s="95">
        <f>SUM(D58:I58)</f>
        <v>1</v>
      </c>
      <c r="K58" s="97"/>
    </row>
    <row r="59" spans="1:12" x14ac:dyDescent="0.3">
      <c r="A59" s="90"/>
      <c r="B59" s="90" t="s">
        <v>445</v>
      </c>
      <c r="C59" s="91"/>
      <c r="D59" s="92">
        <f>D57</f>
        <v>165832.13062044801</v>
      </c>
      <c r="E59" s="92">
        <f>D59+E57</f>
        <v>629926.72984493594</v>
      </c>
      <c r="F59" s="92">
        <f t="shared" ref="F59:H59" si="16">E59+F57</f>
        <v>1164514.3656394319</v>
      </c>
      <c r="G59" s="92">
        <f t="shared" si="16"/>
        <v>1603733.6732203518</v>
      </c>
      <c r="H59" s="92">
        <f t="shared" si="16"/>
        <v>1820273.9463824909</v>
      </c>
      <c r="I59" s="92">
        <f>H59+I57</f>
        <v>1979540.2873288905</v>
      </c>
      <c r="J59" s="92"/>
      <c r="K59" s="97"/>
    </row>
    <row r="60" spans="1:12" x14ac:dyDescent="0.3">
      <c r="A60" s="90"/>
      <c r="B60" s="90" t="s">
        <v>415</v>
      </c>
      <c r="C60" s="91"/>
      <c r="D60" s="94">
        <f>D59/$J$57</f>
        <v>8.3773051592809455E-2</v>
      </c>
      <c r="E60" s="94">
        <f t="shared" ref="E60:I60" si="17">E59/$J$57</f>
        <v>0.31821869647065021</v>
      </c>
      <c r="F60" s="94">
        <f t="shared" si="17"/>
        <v>0.58827515312192979</v>
      </c>
      <c r="G60" s="94">
        <f t="shared" si="17"/>
        <v>0.81015460179613896</v>
      </c>
      <c r="H60" s="94">
        <f t="shared" si="17"/>
        <v>0.9195437738924187</v>
      </c>
      <c r="I60" s="94">
        <f t="shared" si="17"/>
        <v>1</v>
      </c>
      <c r="J60" s="92"/>
      <c r="K60" s="97"/>
    </row>
  </sheetData>
  <mergeCells count="74">
    <mergeCell ref="A5:K5"/>
    <mergeCell ref="A6:K6"/>
    <mergeCell ref="A7:K7"/>
    <mergeCell ref="A9:A10"/>
    <mergeCell ref="B9:B10"/>
    <mergeCell ref="C9:C10"/>
    <mergeCell ref="A1:K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B17:B18"/>
    <mergeCell ref="C17:C18"/>
    <mergeCell ref="A17:A18"/>
    <mergeCell ref="A19:A20"/>
    <mergeCell ref="B19:B20"/>
    <mergeCell ref="C19:C20"/>
    <mergeCell ref="A21:A22"/>
    <mergeCell ref="B21:B22"/>
    <mergeCell ref="C21:C22"/>
    <mergeCell ref="B27:B28"/>
    <mergeCell ref="C27:C28"/>
    <mergeCell ref="A27:A28"/>
    <mergeCell ref="A23:A24"/>
    <mergeCell ref="B23:B24"/>
    <mergeCell ref="C23:C24"/>
    <mergeCell ref="A25:A26"/>
    <mergeCell ref="B25:B26"/>
    <mergeCell ref="C25:C26"/>
    <mergeCell ref="A29:A30"/>
    <mergeCell ref="B29:B30"/>
    <mergeCell ref="C29:C30"/>
    <mergeCell ref="A31:A32"/>
    <mergeCell ref="B31:B32"/>
    <mergeCell ref="C31:C32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D11:I12"/>
    <mergeCell ref="D21:I22"/>
    <mergeCell ref="D31:I32"/>
    <mergeCell ref="D41:I42"/>
    <mergeCell ref="A49:A50"/>
    <mergeCell ref="B49:B50"/>
    <mergeCell ref="C49:C50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ORÇAMENTÁRIA</vt:lpstr>
      <vt:lpstr>CRONOGRAMA</vt:lpstr>
      <vt:lpstr>CRONOGRAMA!Area_de_impressao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de Poá</dc:creator>
  <cp:lastModifiedBy>Computer</cp:lastModifiedBy>
  <cp:lastPrinted>2022-05-02T18:56:06Z</cp:lastPrinted>
  <dcterms:created xsi:type="dcterms:W3CDTF">2021-12-21T13:05:49Z</dcterms:created>
  <dcterms:modified xsi:type="dcterms:W3CDTF">2022-06-06T19:31:20Z</dcterms:modified>
</cp:coreProperties>
</file>