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ÇAMENTO" sheetId="1" r:id="rId1"/>
    <sheet name="CRONOGRAMA" sheetId="2" r:id="rId2"/>
    <sheet name="Plan3" sheetId="3" r:id="rId3"/>
  </sheets>
  <externalReferences>
    <externalReference r:id="rId6"/>
  </externalReferences>
  <definedNames>
    <definedName name="_xlnm.Print_Area" localSheetId="0">'ORÇAMENTO'!$J$1:$T$43</definedName>
    <definedName name="CFF.NumLinha">ROW('CRONOGRAMA'!$D$14)-ROW('CRONOGRAMA'!$D$10)-1</definedName>
    <definedName name="Dados.Lista.BDI">'[1]DADOS'!$T$37:$X$37</definedName>
    <definedName name="Import.DataBase">'[1]DADOS'!$A$38</definedName>
    <definedName name="Import.Desoneracao">'[1]DADOS'!$C$38</definedName>
    <definedName name="Import.Município">'[1]DADOS'!$G$32</definedName>
    <definedName name="PO.CustoUnitario">ROUND('ORÇAMENTO'!$Q1,15-13*'ORÇAMENTO'!$X$4)</definedName>
    <definedName name="PO.PrecoUnitario">ROUND('ORÇAMENTO'!$S1,15-13*'ORÇAMENTO'!$X$6)</definedName>
    <definedName name="PO.Quantidade">ROUND('ORÇAMENTO'!$P1,15-13*'ORÇAMENTO'!$X$3)</definedName>
    <definedName name="Referencia.Descricao">IF(ISNUMBER("[1]po!linhasinapixls"),INDEX(INDIRECT("'[Referência "&amp;_xlnm.Database&amp;".xls]Banco'!$b:$g"),"[1]po!linhasinapixls",3),"")</definedName>
    <definedName name="_xlnm.Database">TEXT(Import.DataBase,"mm-aaaa")</definedName>
    <definedName name="Referencia.Desonerado">IF(ISNUMBER("[1]po!linhasinapixls"),VALUE(INDEX(INDIRECT("'[Referência "&amp;_xlnm.Database&amp;".xls]Banco'!$b:$g"),"[1]po!linhasinapixls",5)),0)</definedName>
    <definedName name="Referencia.NaoDesonerado">IF(ISNUMBER("[1]po!linhasinapixls"),VALUE(INDEX(INDIRECT("'[Referência "&amp;_xlnm.Database&amp;".xls]Banco'!$b:$g"),"[1]po!linhasinapixls",6)),0)</definedName>
    <definedName name="Referencia.Unidade">IF(ISNUMBER("[1]po!linhasinapixls"),INDEX(INDIRECT("'[Referência "&amp;_xlnm.Database&amp;".xls]Banco'!$b:$g"),"[1]po!linhasinapixls",4),"")</definedName>
    <definedName name="SomaAgrup">SUMIF(OFFSET('ORÇAMENTO'!$A1,1,0,'ORÇAMENTO'!$B1),"S",OFFSET('ORÇAMENTO'!A1,1,0,'ORÇAMENTO'!$B1))</definedName>
    <definedName name="TipoOrçamento">"BASE"</definedName>
    <definedName name="VTOTAL1">ROUND(PO.Quantidade*PO.PrecoUnitario,15-13*'ORÇAMENTO'!$X$7)</definedName>
    <definedName name="Código" localSheetId="0">'ORÇAMENTO'!$M1</definedName>
    <definedName name="Fonte" localSheetId="0">'ORÇAMENTO'!$L1</definedName>
  </definedNames>
  <calcPr fullCalcOnLoad="1"/>
</workbook>
</file>

<file path=xl/sharedStrings.xml><?xml version="1.0" encoding="utf-8"?>
<sst xmlns="http://schemas.openxmlformats.org/spreadsheetml/2006/main" count="131" uniqueCount="81">
  <si>
    <t>PO - PLANILHA ORÇAMENTÁRIA</t>
  </si>
  <si>
    <t>Grau de Sigilo</t>
  </si>
  <si>
    <t>LOTE</t>
  </si>
  <si>
    <t>Meta</t>
  </si>
  <si>
    <t>Nível 2</t>
  </si>
  <si>
    <t>Nível 3</t>
  </si>
  <si>
    <t>Nível 4</t>
  </si>
  <si>
    <t>Serviço</t>
  </si>
  <si>
    <t>#PUBLICO</t>
  </si>
  <si>
    <t>Arredondamento</t>
  </si>
  <si>
    <t>Quantidade</t>
  </si>
  <si>
    <t>Nmax</t>
  </si>
  <si>
    <t>ERRO GERAL</t>
  </si>
  <si>
    <t>Custo Unitáro</t>
  </si>
  <si>
    <t>BDI</t>
  </si>
  <si>
    <t>Preço Unitário</t>
  </si>
  <si>
    <t>Preço Total</t>
  </si>
  <si>
    <t>DATA BASE</t>
  </si>
  <si>
    <t>DESON.</t>
  </si>
  <si>
    <t>LOCALIDADE DO SINAPI</t>
  </si>
  <si>
    <t>DESCRIÇÃO DO LOTE</t>
  </si>
  <si>
    <t>Não</t>
  </si>
  <si>
    <t>São Paulo/SP</t>
  </si>
  <si>
    <t>Nível</t>
  </si>
  <si>
    <t>Altura</t>
  </si>
  <si>
    <t>n1</t>
  </si>
  <si>
    <t>n2</t>
  </si>
  <si>
    <t>n3</t>
  </si>
  <si>
    <t>n4</t>
  </si>
  <si>
    <t>n5</t>
  </si>
  <si>
    <t>Czero</t>
  </si>
  <si>
    <t>Cnível</t>
  </si>
  <si>
    <t>Item</t>
  </si>
  <si>
    <t>Fonte</t>
  </si>
  <si>
    <t>Código</t>
  </si>
  <si>
    <t>Descrição</t>
  </si>
  <si>
    <t>Unidade</t>
  </si>
  <si>
    <t>BDI
(%)</t>
  </si>
  <si>
    <t>Preço Unitário (R$)</t>
  </si>
  <si>
    <t>Preço Total
(R$)</t>
  </si>
  <si>
    <t>BDI 1</t>
  </si>
  <si>
    <t>Recapeamento de Vias do Municipio de Caçapava-SP</t>
  </si>
  <si>
    <t>SERVIÇOS PRELIMINARES</t>
  </si>
  <si>
    <t>SINAPI</t>
  </si>
  <si>
    <t>74209/001</t>
  </si>
  <si>
    <t>PLACA DE OBRA EM CHAPA DE ACO GALVANIZADO</t>
  </si>
  <si>
    <t>M2</t>
  </si>
  <si>
    <t>FRESAGEM DO PAVIMENTO</t>
  </si>
  <si>
    <t>96001</t>
  </si>
  <si>
    <t>FRESAGEM DE PAVIMENTO ASFÁLTICO (PROFUNDIDADE 5,0 CM), EM LOCAIS COM NIVEL BAIXO DE INTERFERÊNCIA. AF_03/2017</t>
  </si>
  <si>
    <t>95875</t>
  </si>
  <si>
    <t>TRANSPORTE COM CAMINHÃO BASCULANTE DE 10 M3, EM VIA URBANA PAVIMENTADA, DMT ATÉ 30 KM (UNIDADE: M3XKM). AF_12/2016</t>
  </si>
  <si>
    <t>M3XKM</t>
  </si>
  <si>
    <t>RECAPEAMENTO  (TRÁFEGO MÉDIO)</t>
  </si>
  <si>
    <t>72942</t>
  </si>
  <si>
    <t>PINTURA DE LIGACAO COM EMULSAO RR-1C</t>
  </si>
  <si>
    <t>95993</t>
  </si>
  <si>
    <t>CONSTRUÇÃO DE PAVIMENTO COM APLICAÇÃO DE CONCRETO BETUMINOSO USINADO A QUENTE (CBUQ), CAMADA DE ROLAMENTO, COM ESPESSURA DE 4,0 CM PARA AV LUIZ NANI E 3,5 CM PARA A RUA JORGE KALLIL (CONFORME PROJETO) - EXCLUSIVE TRANSPORTE. AF_03/2017</t>
  </si>
  <si>
    <t>M3</t>
  </si>
  <si>
    <t>Encargos sociais:</t>
  </si>
  <si>
    <t>Para elaboração deste orçamento, foram utilizados os encargos sociais do SINAPI para a Unidade da Federação indicada.</t>
  </si>
  <si>
    <t>Observações:</t>
  </si>
  <si>
    <t>Local</t>
  </si>
  <si>
    <t>Data</t>
  </si>
  <si>
    <t xml:space="preserve">    CFF -</t>
  </si>
  <si>
    <t>CRONOGRAMA FÍSICO-FINANCEIRO</t>
  </si>
  <si>
    <t>Nível Máx Crono</t>
  </si>
  <si>
    <t>Lista Crono</t>
  </si>
  <si>
    <t>Último Nível</t>
  </si>
  <si>
    <t>N1</t>
  </si>
  <si>
    <t>N2</t>
  </si>
  <si>
    <t>N3</t>
  </si>
  <si>
    <t>N4</t>
  </si>
  <si>
    <t>VTOTAL SOMA</t>
  </si>
  <si>
    <t>Descrição das Metas / Macrosserviços</t>
  </si>
  <si>
    <t>Valores Totais (R$)</t>
  </si>
  <si>
    <t>Parcela (%)</t>
  </si>
  <si>
    <t>Acumulado (%)</t>
  </si>
  <si>
    <t>Acumulado (R$)</t>
  </si>
  <si>
    <t>CRONOGRAMA GLOBAL DO LOTE</t>
  </si>
  <si>
    <t>Parcela (R$)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</si>
</sst>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General"/>
    <numFmt numFmtId="166" formatCode="[$-416]MMM/YY"/>
    <numFmt numFmtId="167" formatCode="@"/>
    <numFmt numFmtId="168" formatCode="_-* #,##0.00_-;\-* #,##0.00_-;_-* \-??_-;_-@_-"/>
    <numFmt numFmtId="169" formatCode="_(* #,##0.00_);_(* \(#,##0.00\);_(* \-??_);_(@_)"/>
    <numFmt numFmtId="170" formatCode="0%"/>
    <numFmt numFmtId="171" formatCode="0.00%"/>
    <numFmt numFmtId="172" formatCode="General;General;;"/>
    <numFmt numFmtId="173" formatCode="DD&quot; de &quot;MMMM&quot; de &quot;YYYY"/>
    <numFmt numFmtId="174" formatCode="[$-416]D/M/YYYY"/>
    <numFmt numFmtId="175" formatCode="#,##0.00"/>
    <numFmt numFmtId="176" formatCode="[$-F800]DDDD&quot;, &quot;MMMM\ DD&quot;, &quot;YYYY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0"/>
    </font>
    <font>
      <sz val="14"/>
      <color indexed="9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Protection="0">
      <alignment/>
    </xf>
  </cellStyleXfs>
  <cellXfs count="154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Alignment="1">
      <alignment vertical="center"/>
    </xf>
    <xf numFmtId="164" fontId="3" fillId="0" borderId="0" xfId="0" applyFont="1" applyAlignment="1">
      <alignment horizontal="left" vertical="center"/>
    </xf>
    <xf numFmtId="164" fontId="1" fillId="0" borderId="0" xfId="0" applyFont="1" applyFill="1" applyAlignment="1">
      <alignment horizontal="center" vertical="top"/>
    </xf>
    <xf numFmtId="164" fontId="1" fillId="0" borderId="1" xfId="0" applyFont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4" fillId="0" borderId="0" xfId="0" applyFont="1" applyAlignment="1">
      <alignment horizontal="left" vertical="center"/>
    </xf>
    <xf numFmtId="164" fontId="5" fillId="0" borderId="2" xfId="0" applyFont="1" applyBorder="1" applyAlignment="1" applyProtection="1">
      <alignment horizontal="center"/>
      <protection/>
    </xf>
    <xf numFmtId="164" fontId="1" fillId="0" borderId="3" xfId="0" applyFont="1" applyBorder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3" xfId="0" applyFont="1" applyBorder="1" applyAlignment="1">
      <alignment/>
    </xf>
    <xf numFmtId="164" fontId="1" fillId="0" borderId="3" xfId="0" applyFont="1" applyBorder="1" applyAlignment="1" applyProtection="1">
      <alignment/>
      <protection locked="0"/>
    </xf>
    <xf numFmtId="164" fontId="7" fillId="0" borderId="4" xfId="0" applyFont="1" applyBorder="1" applyAlignment="1" applyProtection="1">
      <alignment horizontal="center" vertical="center" wrapText="1"/>
      <protection/>
    </xf>
    <xf numFmtId="164" fontId="1" fillId="0" borderId="0" xfId="0" applyFont="1" applyAlignment="1">
      <alignment horizontal="center"/>
    </xf>
    <xf numFmtId="164" fontId="8" fillId="0" borderId="2" xfId="0" applyFont="1" applyBorder="1" applyAlignment="1">
      <alignment horizontal="center"/>
    </xf>
    <xf numFmtId="164" fontId="1" fillId="0" borderId="0" xfId="0" applyFont="1" applyAlignment="1" applyProtection="1">
      <alignment/>
      <protection/>
    </xf>
    <xf numFmtId="164" fontId="1" fillId="0" borderId="5" xfId="0" applyFont="1" applyBorder="1" applyAlignment="1" applyProtection="1">
      <alignment/>
      <protection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 wrapText="1"/>
    </xf>
    <xf numFmtId="164" fontId="1" fillId="0" borderId="0" xfId="0" applyFont="1" applyBorder="1" applyAlignment="1" applyProtection="1">
      <alignment/>
      <protection locked="0"/>
    </xf>
    <xf numFmtId="166" fontId="1" fillId="0" borderId="6" xfId="0" applyNumberFormat="1" applyFont="1" applyBorder="1" applyAlignment="1" applyProtection="1">
      <alignment horizontal="left"/>
      <protection/>
    </xf>
    <xf numFmtId="164" fontId="1" fillId="0" borderId="6" xfId="0" applyFont="1" applyBorder="1" applyAlignment="1">
      <alignment horizontal="left"/>
    </xf>
    <xf numFmtId="164" fontId="1" fillId="2" borderId="0" xfId="0" applyFont="1" applyFill="1" applyAlignment="1">
      <alignment/>
    </xf>
    <xf numFmtId="164" fontId="5" fillId="0" borderId="3" xfId="0" applyFont="1" applyBorder="1" applyAlignment="1" applyProtection="1">
      <alignment horizontal="center" vertical="center" wrapText="1"/>
      <protection/>
    </xf>
    <xf numFmtId="164" fontId="5" fillId="0" borderId="3" xfId="0" applyFont="1" applyBorder="1" applyAlignment="1" applyProtection="1">
      <alignment horizontal="center" vertical="center"/>
      <protection/>
    </xf>
    <xf numFmtId="164" fontId="9" fillId="0" borderId="3" xfId="0" applyFont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7" xfId="0" applyFont="1" applyBorder="1" applyAlignment="1" applyProtection="1">
      <alignment horizontal="center" vertical="center" wrapText="1"/>
      <protection/>
    </xf>
    <xf numFmtId="164" fontId="7" fillId="0" borderId="8" xfId="0" applyFont="1" applyBorder="1" applyAlignment="1" applyProtection="1">
      <alignment horizontal="center" vertical="center" wrapText="1"/>
      <protection/>
    </xf>
    <xf numFmtId="164" fontId="10" fillId="3" borderId="9" xfId="0" applyNumberFormat="1" applyFont="1" applyFill="1" applyBorder="1" applyAlignment="1" applyProtection="1">
      <alignment vertical="center" wrapText="1"/>
      <protection locked="0"/>
    </xf>
    <xf numFmtId="164" fontId="1" fillId="0" borderId="10" xfId="0" applyNumberFormat="1" applyFont="1" applyFill="1" applyBorder="1" applyAlignment="1">
      <alignment vertical="center" wrapText="1" shrinkToFit="1"/>
    </xf>
    <xf numFmtId="167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1" xfId="0" applyNumberFormat="1" applyFont="1" applyFill="1" applyBorder="1" applyAlignment="1" applyProtection="1">
      <alignment vertical="center" wrapText="1"/>
      <protection locked="0"/>
    </xf>
    <xf numFmtId="164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169" fontId="1" fillId="3" borderId="11" xfId="15" applyNumberFormat="1" applyFont="1" applyFill="1" applyBorder="1" applyAlignment="1" applyProtection="1">
      <alignment vertical="center" shrinkToFit="1"/>
      <protection/>
    </xf>
    <xf numFmtId="168" fontId="1" fillId="3" borderId="11" xfId="15" applyFont="1" applyFill="1" applyBorder="1" applyAlignment="1" applyProtection="1">
      <alignment vertical="center" wrapText="1"/>
      <protection locked="0"/>
    </xf>
    <xf numFmtId="171" fontId="11" fillId="3" borderId="11" xfId="19" applyNumberFormat="1" applyFont="1" applyFill="1" applyBorder="1" applyAlignment="1" applyProtection="1">
      <alignment horizontal="center" vertical="center" wrapText="1"/>
      <protection locked="0"/>
    </xf>
    <xf numFmtId="169" fontId="1" fillId="0" borderId="11" xfId="15" applyNumberFormat="1" applyFont="1" applyFill="1" applyBorder="1" applyAlignment="1" applyProtection="1">
      <alignment vertical="center" shrinkToFit="1"/>
      <protection/>
    </xf>
    <xf numFmtId="169" fontId="1" fillId="0" borderId="12" xfId="15" applyNumberFormat="1" applyFont="1" applyFill="1" applyBorder="1" applyAlignment="1" applyProtection="1">
      <alignment horizontal="center" vertical="center" shrinkToFit="1"/>
      <protection/>
    </xf>
    <xf numFmtId="164" fontId="8" fillId="0" borderId="0" xfId="0" applyFont="1" applyAlignment="1">
      <alignment/>
    </xf>
    <xf numFmtId="171" fontId="1" fillId="0" borderId="11" xfId="15" applyNumberFormat="1" applyFont="1" applyFill="1" applyBorder="1" applyAlignment="1" applyProtection="1">
      <alignment vertical="center" shrinkToFit="1"/>
      <protection/>
    </xf>
    <xf numFmtId="164" fontId="5" fillId="4" borderId="3" xfId="0" applyNumberFormat="1" applyFont="1" applyFill="1" applyBorder="1" applyAlignment="1" applyProtection="1">
      <alignment horizontal="center" vertical="center"/>
      <protection/>
    </xf>
    <xf numFmtId="164" fontId="12" fillId="4" borderId="6" xfId="0" applyNumberFormat="1" applyFont="1" applyFill="1" applyBorder="1" applyAlignment="1" applyProtection="1">
      <alignment horizontal="center" vertical="center" wrapText="1"/>
      <protection/>
    </xf>
    <xf numFmtId="167" fontId="5" fillId="4" borderId="13" xfId="0" applyNumberFormat="1" applyFont="1" applyFill="1" applyBorder="1" applyAlignment="1" applyProtection="1">
      <alignment horizontal="center" vertical="center"/>
      <protection/>
    </xf>
    <xf numFmtId="164" fontId="5" fillId="4" borderId="13" xfId="0" applyNumberFormat="1" applyFont="1" applyFill="1" applyBorder="1" applyAlignment="1" applyProtection="1">
      <alignment horizontal="center" vertical="center" wrapText="1"/>
      <protection/>
    </xf>
    <xf numFmtId="169" fontId="5" fillId="4" borderId="13" xfId="15" applyNumberFormat="1" applyFont="1" applyFill="1" applyBorder="1" applyAlignment="1" applyProtection="1">
      <alignment horizontal="center" vertical="center"/>
      <protection/>
    </xf>
    <xf numFmtId="171" fontId="9" fillId="4" borderId="13" xfId="19" applyNumberFormat="1" applyFont="1" applyFill="1" applyBorder="1" applyAlignment="1" applyProtection="1">
      <alignment horizontal="center" vertical="center"/>
      <protection/>
    </xf>
    <xf numFmtId="169" fontId="5" fillId="4" borderId="14" xfId="15" applyNumberFormat="1" applyFont="1" applyFill="1" applyBorder="1" applyAlignment="1" applyProtection="1">
      <alignment horizontal="center" vertical="center" shrinkToFit="1"/>
      <protection/>
    </xf>
    <xf numFmtId="171" fontId="5" fillId="4" borderId="13" xfId="15" applyNumberFormat="1" applyFont="1" applyFill="1" applyBorder="1" applyAlignment="1" applyProtection="1">
      <alignment horizontal="center" vertical="center"/>
      <protection/>
    </xf>
    <xf numFmtId="164" fontId="10" fillId="5" borderId="9" xfId="0" applyNumberFormat="1" applyFont="1" applyFill="1" applyBorder="1" applyAlignment="1" applyProtection="1">
      <alignment vertical="center" wrapText="1"/>
      <protection/>
    </xf>
    <xf numFmtId="164" fontId="1" fillId="3" borderId="11" xfId="0" applyNumberFormat="1" applyFont="1" applyFill="1" applyBorder="1" applyAlignment="1" applyProtection="1">
      <alignment vertical="center" wrapText="1"/>
      <protection locked="0"/>
    </xf>
    <xf numFmtId="164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5" xfId="0" applyFont="1" applyBorder="1" applyAlignment="1">
      <alignment/>
    </xf>
    <xf numFmtId="164" fontId="11" fillId="0" borderId="15" xfId="0" applyFont="1" applyBorder="1" applyAlignment="1">
      <alignment/>
    </xf>
    <xf numFmtId="164" fontId="13" fillId="0" borderId="0" xfId="0" applyFont="1" applyAlignment="1">
      <alignment/>
    </xf>
    <xf numFmtId="164" fontId="13" fillId="0" borderId="3" xfId="0" applyFont="1" applyBorder="1" applyAlignment="1" applyProtection="1">
      <alignment horizontal="left" vertical="center"/>
      <protection locked="0"/>
    </xf>
    <xf numFmtId="164" fontId="13" fillId="0" borderId="16" xfId="0" applyFont="1" applyBorder="1" applyAlignment="1" applyProtection="1">
      <alignment horizontal="left" vertical="center"/>
      <protection/>
    </xf>
    <xf numFmtId="164" fontId="1" fillId="0" borderId="17" xfId="0" applyFont="1" applyBorder="1" applyAlignment="1">
      <alignment/>
    </xf>
    <xf numFmtId="164" fontId="13" fillId="3" borderId="2" xfId="0" applyFont="1" applyFill="1" applyBorder="1" applyAlignment="1" applyProtection="1">
      <alignment horizontal="left" wrapText="1"/>
      <protection locked="0"/>
    </xf>
    <xf numFmtId="164" fontId="13" fillId="0" borderId="0" xfId="0" applyFont="1" applyFill="1" applyBorder="1" applyAlignment="1" applyProtection="1">
      <alignment horizontal="left" wrapText="1"/>
      <protection locked="0"/>
    </xf>
    <xf numFmtId="164" fontId="14" fillId="0" borderId="3" xfId="0" applyFont="1" applyFill="1" applyBorder="1" applyAlignment="1" applyProtection="1">
      <alignment horizontal="left" wrapText="1"/>
      <protection/>
    </xf>
    <xf numFmtId="172" fontId="1" fillId="0" borderId="18" xfId="0" applyNumberFormat="1" applyFont="1" applyBorder="1" applyAlignment="1" applyProtection="1">
      <alignment horizontal="left"/>
      <protection locked="0"/>
    </xf>
    <xf numFmtId="164" fontId="5" fillId="0" borderId="0" xfId="0" applyFont="1" applyAlignment="1">
      <alignment/>
    </xf>
    <xf numFmtId="173" fontId="1" fillId="0" borderId="0" xfId="0" applyNumberFormat="1" applyFont="1" applyBorder="1" applyAlignment="1" applyProtection="1">
      <alignment horizontal="left"/>
      <protection locked="0"/>
    </xf>
    <xf numFmtId="164" fontId="5" fillId="0" borderId="15" xfId="0" applyFont="1" applyBorder="1" applyAlignment="1">
      <alignment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10" fillId="0" borderId="0" xfId="0" applyFont="1" applyAlignment="1" applyProtection="1">
      <alignment/>
      <protection hidden="1"/>
    </xf>
    <xf numFmtId="164" fontId="0" fillId="0" borderId="0" xfId="0" applyFill="1" applyAlignment="1" applyProtection="1">
      <alignment/>
      <protection/>
    </xf>
    <xf numFmtId="164" fontId="16" fillId="0" borderId="0" xfId="0" applyFont="1" applyFill="1" applyAlignment="1" applyProtection="1">
      <alignment vertical="center"/>
      <protection/>
    </xf>
    <xf numFmtId="164" fontId="3" fillId="0" borderId="0" xfId="0" applyFont="1" applyAlignment="1" applyProtection="1">
      <alignment horizontal="right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0" fillId="0" borderId="0" xfId="0" applyFill="1" applyAlignment="1" applyProtection="1">
      <alignment horizontal="center" vertical="top"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/>
    </xf>
    <xf numFmtId="164" fontId="1" fillId="0" borderId="0" xfId="0" applyFont="1" applyAlignment="1" applyProtection="1">
      <alignment horizontal="center" wrapText="1"/>
      <protection/>
    </xf>
    <xf numFmtId="164" fontId="13" fillId="0" borderId="0" xfId="0" applyFont="1" applyBorder="1" applyAlignment="1" applyProtection="1">
      <alignment horizontal="center" vertical="top" wrapText="1"/>
      <protection/>
    </xf>
    <xf numFmtId="164" fontId="7" fillId="0" borderId="0" xfId="0" applyFont="1" applyAlignment="1" applyProtection="1">
      <alignment horizontal="center" wrapText="1"/>
      <protection/>
    </xf>
    <xf numFmtId="164" fontId="6" fillId="0" borderId="0" xfId="0" applyFont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horizontal="center"/>
      <protection locked="0"/>
    </xf>
    <xf numFmtId="164" fontId="0" fillId="3" borderId="3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horizontal="center"/>
      <protection/>
    </xf>
    <xf numFmtId="164" fontId="11" fillId="0" borderId="0" xfId="0" applyFont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wrapText="1"/>
      <protection/>
    </xf>
    <xf numFmtId="164" fontId="14" fillId="0" borderId="1" xfId="0" applyFont="1" applyFill="1" applyBorder="1" applyAlignment="1" applyProtection="1">
      <alignment horizontal="center" vertical="center"/>
      <protection/>
    </xf>
    <xf numFmtId="164" fontId="14" fillId="0" borderId="1" xfId="0" applyFont="1" applyFill="1" applyBorder="1" applyAlignment="1" applyProtection="1">
      <alignment horizontal="center" vertical="center" wrapText="1"/>
      <protection/>
    </xf>
    <xf numFmtId="164" fontId="14" fillId="0" borderId="4" xfId="0" applyFont="1" applyFill="1" applyBorder="1" applyAlignment="1" applyProtection="1">
      <alignment horizontal="center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 shrinkToFit="1"/>
      <protection/>
    </xf>
    <xf numFmtId="17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17" xfId="0" applyFont="1" applyFill="1" applyBorder="1" applyAlignment="1" applyProtection="1">
      <alignment horizontal="center" vertical="center" wrapText="1"/>
      <protection/>
    </xf>
    <xf numFmtId="164" fontId="5" fillId="0" borderId="16" xfId="0" applyFont="1" applyFill="1" applyBorder="1" applyAlignment="1" applyProtection="1">
      <alignment wrapText="1"/>
      <protection/>
    </xf>
    <xf numFmtId="164" fontId="5" fillId="0" borderId="0" xfId="0" applyFont="1" applyFill="1" applyBorder="1" applyAlignment="1" applyProtection="1">
      <alignment wrapText="1"/>
      <protection hidden="1"/>
    </xf>
    <xf numFmtId="164" fontId="13" fillId="6" borderId="19" xfId="0" applyFont="1" applyFill="1" applyBorder="1" applyAlignment="1" applyProtection="1">
      <alignment horizontal="center" vertical="center" shrinkToFit="1"/>
      <protection/>
    </xf>
    <xf numFmtId="164" fontId="13" fillId="6" borderId="20" xfId="0" applyFont="1" applyFill="1" applyBorder="1" applyAlignment="1" applyProtection="1">
      <alignment horizontal="center" vertical="center" wrapText="1"/>
      <protection/>
    </xf>
    <xf numFmtId="175" fontId="13" fillId="6" borderId="21" xfId="0" applyNumberFormat="1" applyFont="1" applyFill="1" applyBorder="1" applyAlignment="1" applyProtection="1">
      <alignment horizontal="center" vertical="center"/>
      <protection/>
    </xf>
    <xf numFmtId="164" fontId="1" fillId="0" borderId="21" xfId="0" applyFont="1" applyFill="1" applyBorder="1" applyAlignment="1" applyProtection="1">
      <alignment horizontal="center" vertical="center"/>
      <protection/>
    </xf>
    <xf numFmtId="171" fontId="13" fillId="3" borderId="19" xfId="19" applyNumberFormat="1" applyFont="1" applyFill="1" applyBorder="1" applyAlignment="1" applyProtection="1">
      <alignment horizontal="center" vertical="center"/>
      <protection locked="0"/>
    </xf>
    <xf numFmtId="171" fontId="13" fillId="3" borderId="22" xfId="19" applyNumberFormat="1" applyFont="1" applyFill="1" applyBorder="1" applyAlignment="1" applyProtection="1">
      <alignment horizontal="center" vertical="center"/>
      <protection locked="0"/>
    </xf>
    <xf numFmtId="171" fontId="13" fillId="3" borderId="20" xfId="19" applyNumberFormat="1" applyFont="1" applyFill="1" applyBorder="1" applyAlignment="1" applyProtection="1">
      <alignment horizontal="center" vertical="center"/>
      <protection locked="0"/>
    </xf>
    <xf numFmtId="164" fontId="0" fillId="0" borderId="16" xfId="0" applyBorder="1" applyAlignment="1" applyProtection="1">
      <alignment/>
      <protection/>
    </xf>
    <xf numFmtId="171" fontId="13" fillId="3" borderId="22" xfId="19" applyNumberFormat="1" applyFont="1" applyFill="1" applyBorder="1" applyAlignment="1" applyProtection="1">
      <alignment horizontal="center" vertical="center"/>
      <protection hidden="1" locked="0"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16" xfId="0" applyFont="1" applyFill="1" applyBorder="1" applyAlignment="1" applyProtection="1">
      <alignment horizontal="center" vertical="center"/>
      <protection/>
    </xf>
    <xf numFmtId="171" fontId="13" fillId="0" borderId="16" xfId="19" applyNumberFormat="1" applyFont="1" applyFill="1" applyBorder="1" applyAlignment="1" applyProtection="1">
      <alignment horizontal="center" vertical="center"/>
      <protection/>
    </xf>
    <xf numFmtId="171" fontId="13" fillId="0" borderId="0" xfId="19" applyNumberFormat="1" applyFont="1" applyFill="1" applyBorder="1" applyAlignment="1" applyProtection="1">
      <alignment horizontal="center" vertical="center"/>
      <protection/>
    </xf>
    <xf numFmtId="175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75" fontId="13" fillId="0" borderId="16" xfId="19" applyNumberFormat="1" applyFont="1" applyFill="1" applyBorder="1" applyAlignment="1" applyProtection="1">
      <alignment horizontal="center" vertical="center"/>
      <protection/>
    </xf>
    <xf numFmtId="175" fontId="13" fillId="0" borderId="0" xfId="19" applyNumberFormat="1" applyFont="1" applyFill="1" applyBorder="1" applyAlignment="1" applyProtection="1">
      <alignment horizontal="center" vertical="center"/>
      <protection/>
    </xf>
    <xf numFmtId="175" fontId="13" fillId="0" borderId="17" xfId="19" applyNumberFormat="1" applyFont="1" applyFill="1" applyBorder="1" applyAlignment="1" applyProtection="1">
      <alignment horizontal="center" vertical="center"/>
      <protection/>
    </xf>
    <xf numFmtId="164" fontId="14" fillId="4" borderId="3" xfId="0" applyFont="1" applyFill="1" applyBorder="1" applyAlignment="1" applyProtection="1">
      <alignment horizontal="center" vertical="center" wrapText="1"/>
      <protection/>
    </xf>
    <xf numFmtId="175" fontId="14" fillId="4" borderId="3" xfId="0" applyNumberFormat="1" applyFont="1" applyFill="1" applyBorder="1" applyAlignment="1" applyProtection="1">
      <alignment horizontal="center" vertical="center" shrinkToFit="1"/>
      <protection/>
    </xf>
    <xf numFmtId="164" fontId="5" fillId="7" borderId="16" xfId="0" applyFont="1" applyFill="1" applyBorder="1" applyAlignment="1" applyProtection="1">
      <alignment horizontal="center" vertical="center"/>
      <protection/>
    </xf>
    <xf numFmtId="171" fontId="14" fillId="7" borderId="16" xfId="19" applyNumberFormat="1" applyFont="1" applyFill="1" applyBorder="1" applyAlignment="1" applyProtection="1">
      <alignment horizontal="center" vertical="center" shrinkToFit="1"/>
      <protection/>
    </xf>
    <xf numFmtId="171" fontId="14" fillId="7" borderId="0" xfId="19" applyNumberFormat="1" applyFont="1" applyFill="1" applyBorder="1" applyAlignment="1" applyProtection="1">
      <alignment horizontal="center" vertical="center" shrinkToFit="1"/>
      <protection/>
    </xf>
    <xf numFmtId="164" fontId="5" fillId="0" borderId="16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7" borderId="5" xfId="0" applyFont="1" applyFill="1" applyBorder="1" applyAlignment="1" applyProtection="1">
      <alignment horizontal="center" vertical="center"/>
      <protection/>
    </xf>
    <xf numFmtId="175" fontId="14" fillId="7" borderId="5" xfId="15" applyNumberFormat="1" applyFont="1" applyFill="1" applyBorder="1" applyAlignment="1" applyProtection="1">
      <alignment horizontal="center" vertical="center" shrinkToFit="1"/>
      <protection/>
    </xf>
    <xf numFmtId="175" fontId="14" fillId="7" borderId="18" xfId="15" applyNumberFormat="1" applyFont="1" applyFill="1" applyBorder="1" applyAlignment="1" applyProtection="1">
      <alignment horizontal="center" vertical="center" shrinkToFit="1"/>
      <protection/>
    </xf>
    <xf numFmtId="164" fontId="5" fillId="5" borderId="16" xfId="0" applyFont="1" applyFill="1" applyBorder="1" applyAlignment="1" applyProtection="1">
      <alignment horizontal="center" vertical="center"/>
      <protection/>
    </xf>
    <xf numFmtId="171" fontId="14" fillId="5" borderId="16" xfId="19" applyNumberFormat="1" applyFont="1" applyFill="1" applyBorder="1" applyAlignment="1" applyProtection="1">
      <alignment horizontal="center" vertical="center" shrinkToFit="1"/>
      <protection/>
    </xf>
    <xf numFmtId="171" fontId="14" fillId="5" borderId="0" xfId="19" applyNumberFormat="1" applyFont="1" applyFill="1" applyBorder="1" applyAlignment="1" applyProtection="1">
      <alignment horizontal="center" vertical="center" shrinkToFit="1"/>
      <protection/>
    </xf>
    <xf numFmtId="164" fontId="0" fillId="0" borderId="0" xfId="0" applyAlignment="1" applyProtection="1">
      <alignment horizontal="center"/>
      <protection/>
    </xf>
    <xf numFmtId="164" fontId="5" fillId="5" borderId="5" xfId="0" applyFont="1" applyFill="1" applyBorder="1" applyAlignment="1" applyProtection="1">
      <alignment horizontal="center" vertical="center"/>
      <protection/>
    </xf>
    <xf numFmtId="175" fontId="14" fillId="5" borderId="5" xfId="15" applyNumberFormat="1" applyFont="1" applyFill="1" applyBorder="1" applyAlignment="1" applyProtection="1">
      <alignment horizontal="center" vertical="center" shrinkToFit="1"/>
      <protection/>
    </xf>
    <xf numFmtId="175" fontId="14" fillId="5" borderId="18" xfId="15" applyNumberFormat="1" applyFont="1" applyFill="1" applyBorder="1" applyAlignment="1" applyProtection="1">
      <alignment horizontal="center" vertical="center" shrinkToFit="1"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1" fillId="0" borderId="15" xfId="0" applyFont="1" applyFill="1" applyBorder="1" applyAlignment="1" applyProtection="1">
      <alignment/>
      <protection/>
    </xf>
    <xf numFmtId="164" fontId="1" fillId="0" borderId="15" xfId="0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72" fontId="1" fillId="0" borderId="18" xfId="0" applyNumberFormat="1" applyFont="1" applyFill="1" applyBorder="1" applyAlignment="1" applyProtection="1">
      <alignment horizontal="left" vertical="center"/>
      <protection/>
    </xf>
    <xf numFmtId="164" fontId="1" fillId="0" borderId="0" xfId="0" applyFont="1" applyBorder="1" applyAlignment="1" applyProtection="1">
      <alignment vertical="top"/>
      <protection/>
    </xf>
    <xf numFmtId="176" fontId="1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7" fontId="1" fillId="0" borderId="0" xfId="0" applyNumberFormat="1" applyFont="1" applyFill="1" applyBorder="1" applyAlignment="1" applyProtection="1">
      <alignment horizontal="left"/>
      <protection/>
    </xf>
    <xf numFmtId="173" fontId="1" fillId="0" borderId="18" xfId="0" applyNumberFormat="1" applyFont="1" applyBorder="1" applyAlignment="1" applyProtection="1">
      <alignment horizontal="left" vertical="center"/>
      <protection/>
    </xf>
    <xf numFmtId="175" fontId="10" fillId="0" borderId="0" xfId="0" applyNumberFormat="1" applyFont="1" applyAlignment="1" applyProtection="1">
      <alignment/>
      <protection/>
    </xf>
    <xf numFmtId="164" fontId="5" fillId="0" borderId="15" xfId="0" applyFont="1" applyFill="1" applyBorder="1" applyAlignment="1" applyProtection="1">
      <alignment horizontal="left" vertical="center"/>
      <protection/>
    </xf>
    <xf numFmtId="164" fontId="1" fillId="0" borderId="15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9">
    <dxf>
      <font>
        <b/>
        <i val="0"/>
      </font>
      <fill>
        <patternFill patternType="solid">
          <fgColor rgb="FF808080"/>
          <bgColor rgb="FF969696"/>
        </patternFill>
      </fill>
      <border/>
    </dxf>
    <dxf>
      <font>
        <b/>
        <i val="0"/>
      </font>
      <fill>
        <patternFill patternType="solid">
          <fgColor rgb="FFCCCCFF"/>
          <bgColor rgb="FFC0C0C0"/>
        </patternFill>
      </fill>
      <border/>
    </dxf>
    <dxf>
      <font>
        <b val="0"/>
        <color rgb="FF000000"/>
      </font>
      <border/>
    </dxf>
    <dxf>
      <font>
        <b/>
        <i val="0"/>
      </font>
      <fill>
        <patternFill patternType="solid">
          <fgColor rgb="FF808080"/>
          <bgColor rgb="FF969696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</font>
      <fill>
        <patternFill patternType="solid">
          <fgColor rgb="FFC0C0C0"/>
          <bgColor rgb="FFFFCC99"/>
        </patternFill>
      </fill>
      <border/>
    </dxf>
    <dxf>
      <font>
        <b val="0"/>
        <color rgb="FFFFCC99"/>
      </font>
      <fill>
        <patternFill patternType="solid">
          <fgColor rgb="FFC0C0C0"/>
          <bgColor rgb="FFFFCC99"/>
        </patternFill>
      </fill>
      <border/>
    </dxf>
    <dxf>
      <font>
        <b/>
        <i val="0"/>
        <color rgb="FF969696"/>
      </font>
      <fill>
        <patternFill patternType="solid">
          <fgColor rgb="FF808080"/>
          <bgColor rgb="FF969696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color rgb="FFFFCC99"/>
      </font>
      <fill>
        <patternFill patternType="solid">
          <fgColor rgb="FFC0C0C0"/>
          <bgColor rgb="FFFFCC99"/>
        </patternFill>
      </fill>
      <border/>
    </dxf>
    <dxf>
      <fill>
        <patternFill patternType="solid">
          <fgColor rgb="FFFFFFCC"/>
          <bgColor rgb="FFFFFFFF"/>
        </patternFill>
      </fill>
      <border/>
    </dxf>
    <dxf>
      <font>
        <b val="0"/>
        <i val="0"/>
        <color rgb="FF969696"/>
      </font>
      <fill>
        <patternFill patternType="solid">
          <fgColor rgb="FF808080"/>
          <bgColor rgb="FF969696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i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solid">
          <fgColor rgb="FFFFFFCC"/>
          <bgColor rgb="FFFFFF99"/>
        </patternFill>
      </fill>
      <border/>
    </dxf>
    <dxf>
      <font>
        <b/>
        <i val="0"/>
        <u val="single"/>
        <color rgb="FF000000"/>
      </font>
      <fill>
        <patternFill patternType="solid">
          <fgColor rgb="FF808080"/>
          <bgColor rgb="FF969696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  <dxf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19050</xdr:rowOff>
    </xdr:from>
    <xdr:to>
      <xdr:col>11</xdr:col>
      <xdr:colOff>352425</xdr:colOff>
      <xdr:row>2</xdr:row>
      <xdr:rowOff>104775</xdr:rowOff>
    </xdr:to>
    <xdr:sp>
      <xdr:nvSpPr>
        <xdr:cNvPr id="1" name="Object 5675" hidden="1"/>
        <xdr:cNvSpPr>
          <a:spLocks/>
        </xdr:cNvSpPr>
      </xdr:nvSpPr>
      <xdr:spPr>
        <a:xfrm>
          <a:off x="638175" y="19050"/>
          <a:ext cx="1143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13</xdr:col>
      <xdr:colOff>133350</xdr:colOff>
      <xdr:row>10</xdr:row>
      <xdr:rowOff>171450</xdr:rowOff>
    </xdr:from>
    <xdr:to>
      <xdr:col>13</xdr:col>
      <xdr:colOff>1524000</xdr:colOff>
      <xdr:row>10</xdr:row>
      <xdr:rowOff>352425</xdr:rowOff>
    </xdr:to>
    <xdr:sp>
      <xdr:nvSpPr>
        <xdr:cNvPr id="2" name="EditarButton"/>
        <xdr:cNvSpPr>
          <a:spLocks/>
        </xdr:cNvSpPr>
      </xdr:nvSpPr>
      <xdr:spPr>
        <a:xfrm>
          <a:off x="3657600" y="2438400"/>
          <a:ext cx="1390650" cy="180975"/>
        </a:xfrm>
        <a:prstGeom prst="rect">
          <a:avLst/>
        </a:prstGeom>
        <a:solidFill>
          <a:srgbClr val="99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EDITAR PLANILHA</a:t>
          </a:r>
        </a:p>
      </xdr:txBody>
    </xdr:sp>
    <xdr:clientData/>
  </xdr:twoCellAnchor>
  <xdr:twoCellAnchor editAs="absolute">
    <xdr:from>
      <xdr:col>13</xdr:col>
      <xdr:colOff>3562350</xdr:colOff>
      <xdr:row>10</xdr:row>
      <xdr:rowOff>171450</xdr:rowOff>
    </xdr:from>
    <xdr:to>
      <xdr:col>13</xdr:col>
      <xdr:colOff>4800600</xdr:colOff>
      <xdr:row>12</xdr:row>
      <xdr:rowOff>152400</xdr:rowOff>
    </xdr:to>
    <xdr:sp>
      <xdr:nvSpPr>
        <xdr:cNvPr id="3" name="LicitButton"/>
        <xdr:cNvSpPr>
          <a:spLocks/>
        </xdr:cNvSpPr>
      </xdr:nvSpPr>
      <xdr:spPr>
        <a:xfrm>
          <a:off x="7086600" y="2438400"/>
          <a:ext cx="1238250" cy="361950"/>
        </a:xfrm>
        <a:prstGeom prst="rect">
          <a:avLst/>
        </a:prstGeom>
        <a:solidFill>
          <a:srgbClr val="33CC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LICITAR / REPROGRAMAR</a:t>
          </a:r>
        </a:p>
      </xdr:txBody>
    </xdr:sp>
    <xdr:clientData/>
  </xdr:twoCellAnchor>
  <xdr:twoCellAnchor editAs="absolute">
    <xdr:from>
      <xdr:col>13</xdr:col>
      <xdr:colOff>1866900</xdr:colOff>
      <xdr:row>10</xdr:row>
      <xdr:rowOff>171450</xdr:rowOff>
    </xdr:from>
    <xdr:to>
      <xdr:col>13</xdr:col>
      <xdr:colOff>3267075</xdr:colOff>
      <xdr:row>10</xdr:row>
      <xdr:rowOff>352425</xdr:rowOff>
    </xdr:to>
    <xdr:sp>
      <xdr:nvSpPr>
        <xdr:cNvPr id="4" name="FixarButton"/>
        <xdr:cNvSpPr>
          <a:spLocks/>
        </xdr:cNvSpPr>
      </xdr:nvSpPr>
      <xdr:spPr>
        <a:xfrm>
          <a:off x="5391150" y="2438400"/>
          <a:ext cx="1400175" cy="180975"/>
        </a:xfrm>
        <a:prstGeom prst="rect">
          <a:avLst/>
        </a:prstGeom>
        <a:solidFill>
          <a:srgbClr val="99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FIXAR DESCRICOES</a:t>
          </a:r>
        </a:p>
      </xdr:txBody>
    </xdr:sp>
    <xdr:clientData/>
  </xdr:twoCellAnchor>
  <xdr:twoCellAnchor editAs="absolute">
    <xdr:from>
      <xdr:col>11</xdr:col>
      <xdr:colOff>361950</xdr:colOff>
      <xdr:row>10</xdr:row>
      <xdr:rowOff>161925</xdr:rowOff>
    </xdr:from>
    <xdr:to>
      <xdr:col>12</xdr:col>
      <xdr:colOff>762000</xdr:colOff>
      <xdr:row>10</xdr:row>
      <xdr:rowOff>342900</xdr:rowOff>
    </xdr:to>
    <xdr:sp>
      <xdr:nvSpPr>
        <xdr:cNvPr id="5" name="BuscarButton"/>
        <xdr:cNvSpPr>
          <a:spLocks/>
        </xdr:cNvSpPr>
      </xdr:nvSpPr>
      <xdr:spPr>
        <a:xfrm>
          <a:off x="1790700" y="2428875"/>
          <a:ext cx="1447800" cy="180975"/>
        </a:xfrm>
        <a:prstGeom prst="rect">
          <a:avLst/>
        </a:prstGeom>
        <a:solidFill>
          <a:srgbClr val="99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BUSCAR CÓDIGO</a:t>
          </a:r>
        </a:p>
      </xdr:txBody>
    </xdr:sp>
    <xdr:clientData/>
  </xdr:twoCellAnchor>
  <xdr:twoCellAnchor>
    <xdr:from>
      <xdr:col>10</xdr:col>
      <xdr:colOff>57150</xdr:colOff>
      <xdr:row>0</xdr:row>
      <xdr:rowOff>19050</xdr:rowOff>
    </xdr:from>
    <xdr:to>
      <xdr:col>11</xdr:col>
      <xdr:colOff>352425</xdr:colOff>
      <xdr:row>2</xdr:row>
      <xdr:rowOff>104775</xdr:rowOff>
    </xdr:to>
    <xdr:pic>
      <xdr:nvPicPr>
        <xdr:cNvPr id="6" name="Picture 5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050"/>
          <a:ext cx="11430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3</xdr:row>
      <xdr:rowOff>0</xdr:rowOff>
    </xdr:from>
    <xdr:to>
      <xdr:col>19</xdr:col>
      <xdr:colOff>876300</xdr:colOff>
      <xdr:row>5</xdr:row>
      <xdr:rowOff>161925</xdr:rowOff>
    </xdr:to>
    <xdr:pic>
      <xdr:nvPicPr>
        <xdr:cNvPr id="7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85775"/>
          <a:ext cx="130778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13</xdr:col>
      <xdr:colOff>3486150</xdr:colOff>
      <xdr:row>38</xdr:row>
      <xdr:rowOff>0</xdr:rowOff>
    </xdr:from>
    <xdr:to>
      <xdr:col>19</xdr:col>
      <xdr:colOff>104775</xdr:colOff>
      <xdr:row>43</xdr:row>
      <xdr:rowOff>9525</xdr:rowOff>
    </xdr:to>
    <xdr:pic>
      <xdr:nvPicPr>
        <xdr:cNvPr id="8" name="Picture 4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9525000"/>
          <a:ext cx="58769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38100</xdr:rowOff>
    </xdr:from>
    <xdr:to>
      <xdr:col>12</xdr:col>
      <xdr:colOff>476250</xdr:colOff>
      <xdr:row>2</xdr:row>
      <xdr:rowOff>123825</xdr:rowOff>
    </xdr:to>
    <xdr:sp>
      <xdr:nvSpPr>
        <xdr:cNvPr id="1" name="Object 125890" hidden="1"/>
        <xdr:cNvSpPr>
          <a:spLocks/>
        </xdr:cNvSpPr>
      </xdr:nvSpPr>
      <xdr:spPr>
        <a:xfrm>
          <a:off x="57150" y="38100"/>
          <a:ext cx="1133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590550</xdr:colOff>
      <xdr:row>7</xdr:row>
      <xdr:rowOff>209550</xdr:rowOff>
    </xdr:from>
    <xdr:to>
      <xdr:col>12</xdr:col>
      <xdr:colOff>495300</xdr:colOff>
      <xdr:row>8</xdr:row>
      <xdr:rowOff>19050</xdr:rowOff>
    </xdr:to>
    <xdr:sp>
      <xdr:nvSpPr>
        <xdr:cNvPr id="2" name="AddCFF"/>
        <xdr:cNvSpPr>
          <a:spLocks/>
        </xdr:cNvSpPr>
      </xdr:nvSpPr>
      <xdr:spPr>
        <a:xfrm>
          <a:off x="590550" y="1914525"/>
          <a:ext cx="619125" cy="190500"/>
        </a:xfrm>
        <a:prstGeom prst="rect">
          <a:avLst/>
        </a:prstGeom>
        <a:solidFill>
          <a:srgbClr val="99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EDITAR / ATUALIZAR CRONOGRAMA</a:t>
          </a:r>
        </a:p>
      </xdr:txBody>
    </xdr:sp>
    <xdr:clientData/>
  </xdr:twoCellAnchor>
  <xdr:twoCellAnchor>
    <xdr:from>
      <xdr:col>11</xdr:col>
      <xdr:colOff>57150</xdr:colOff>
      <xdr:row>0</xdr:row>
      <xdr:rowOff>38100</xdr:rowOff>
    </xdr:from>
    <xdr:to>
      <xdr:col>12</xdr:col>
      <xdr:colOff>476250</xdr:colOff>
      <xdr:row>2</xdr:row>
      <xdr:rowOff>123825</xdr:rowOff>
    </xdr:to>
    <xdr:pic>
      <xdr:nvPicPr>
        <xdr:cNvPr id="3" name="Picture 125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334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914400</xdr:colOff>
      <xdr:row>22</xdr:row>
      <xdr:rowOff>0</xdr:rowOff>
    </xdr:from>
    <xdr:to>
      <xdr:col>22</xdr:col>
      <xdr:colOff>28575</xdr:colOff>
      <xdr:row>26</xdr:row>
      <xdr:rowOff>142875</xdr:rowOff>
    </xdr:to>
    <xdr:pic>
      <xdr:nvPicPr>
        <xdr:cNvPr id="4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4162425"/>
          <a:ext cx="64484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21</xdr:col>
      <xdr:colOff>866775</xdr:colOff>
      <xdr:row>0</xdr:row>
      <xdr:rowOff>66675</xdr:rowOff>
    </xdr:from>
    <xdr:to>
      <xdr:col>22</xdr:col>
      <xdr:colOff>942975</xdr:colOff>
      <xdr:row>2</xdr:row>
      <xdr:rowOff>123825</xdr:rowOff>
    </xdr:to>
    <xdr:pic>
      <xdr:nvPicPr>
        <xdr:cNvPr id="5" name="SigiloP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73025" y="66675"/>
          <a:ext cx="1123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22</xdr:row>
      <xdr:rowOff>0</xdr:rowOff>
    </xdr:from>
    <xdr:to>
      <xdr:col>23</xdr:col>
      <xdr:colOff>0</xdr:colOff>
      <xdr:row>26</xdr:row>
      <xdr:rowOff>142875</xdr:rowOff>
    </xdr:to>
    <xdr:pic>
      <xdr:nvPicPr>
        <xdr:cNvPr id="6" name="Picture 1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62425"/>
          <a:ext cx="14001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0</xdr:row>
      <xdr:rowOff>66675</xdr:rowOff>
    </xdr:from>
    <xdr:to>
      <xdr:col>23</xdr:col>
      <xdr:colOff>0</xdr:colOff>
      <xdr:row>2</xdr:row>
      <xdr:rowOff>123825</xdr:rowOff>
    </xdr:to>
    <xdr:pic>
      <xdr:nvPicPr>
        <xdr:cNvPr id="7" name="Picture 1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6675"/>
          <a:ext cx="14001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22</xdr:row>
      <xdr:rowOff>0</xdr:rowOff>
    </xdr:from>
    <xdr:to>
      <xdr:col>23</xdr:col>
      <xdr:colOff>0</xdr:colOff>
      <xdr:row>26</xdr:row>
      <xdr:rowOff>142875</xdr:rowOff>
    </xdr:to>
    <xdr:pic>
      <xdr:nvPicPr>
        <xdr:cNvPr id="8" name="Picture 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62425"/>
          <a:ext cx="14001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0</xdr:row>
      <xdr:rowOff>66675</xdr:rowOff>
    </xdr:from>
    <xdr:to>
      <xdr:col>23</xdr:col>
      <xdr:colOff>0</xdr:colOff>
      <xdr:row>2</xdr:row>
      <xdr:rowOff>123825</xdr:rowOff>
    </xdr:to>
    <xdr:pic>
      <xdr:nvPicPr>
        <xdr:cNvPr id="9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675"/>
          <a:ext cx="14001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22</xdr:row>
      <xdr:rowOff>0</xdr:rowOff>
    </xdr:from>
    <xdr:to>
      <xdr:col>23</xdr:col>
      <xdr:colOff>0</xdr:colOff>
      <xdr:row>26</xdr:row>
      <xdr:rowOff>142875</xdr:rowOff>
    </xdr:to>
    <xdr:pic>
      <xdr:nvPicPr>
        <xdr:cNvPr id="10" name="Picture 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62425"/>
          <a:ext cx="14001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0</xdr:row>
      <xdr:rowOff>66675</xdr:rowOff>
    </xdr:from>
    <xdr:to>
      <xdr:col>23</xdr:col>
      <xdr:colOff>0</xdr:colOff>
      <xdr:row>2</xdr:row>
      <xdr:rowOff>123825</xdr:rowOff>
    </xdr:to>
    <xdr:pic>
      <xdr:nvPicPr>
        <xdr:cNvPr id="11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675"/>
          <a:ext cx="14001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22</xdr:row>
      <xdr:rowOff>0</xdr:rowOff>
    </xdr:from>
    <xdr:to>
      <xdr:col>23</xdr:col>
      <xdr:colOff>0</xdr:colOff>
      <xdr:row>26</xdr:row>
      <xdr:rowOff>142875</xdr:rowOff>
    </xdr:to>
    <xdr:pic>
      <xdr:nvPicPr>
        <xdr:cNvPr id="12" name="Picture 1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62425"/>
          <a:ext cx="14001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0</xdr:row>
      <xdr:rowOff>66675</xdr:rowOff>
    </xdr:from>
    <xdr:to>
      <xdr:col>23</xdr:col>
      <xdr:colOff>0</xdr:colOff>
      <xdr:row>2</xdr:row>
      <xdr:rowOff>123825</xdr:rowOff>
    </xdr:to>
    <xdr:pic>
      <xdr:nvPicPr>
        <xdr:cNvPr id="13" name="Picture 1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6675"/>
          <a:ext cx="14001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22</xdr:row>
      <xdr:rowOff>0</xdr:rowOff>
    </xdr:from>
    <xdr:to>
      <xdr:col>23</xdr:col>
      <xdr:colOff>0</xdr:colOff>
      <xdr:row>26</xdr:row>
      <xdr:rowOff>142875</xdr:rowOff>
    </xdr:to>
    <xdr:pic>
      <xdr:nvPicPr>
        <xdr:cNvPr id="14" name="Picture 1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62425"/>
          <a:ext cx="14001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0</xdr:row>
      <xdr:rowOff>66675</xdr:rowOff>
    </xdr:from>
    <xdr:to>
      <xdr:col>23</xdr:col>
      <xdr:colOff>0</xdr:colOff>
      <xdr:row>2</xdr:row>
      <xdr:rowOff>123825</xdr:rowOff>
    </xdr:to>
    <xdr:pic>
      <xdr:nvPicPr>
        <xdr:cNvPr id="15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675"/>
          <a:ext cx="14001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22</xdr:col>
      <xdr:colOff>152400</xdr:colOff>
      <xdr:row>5</xdr:row>
      <xdr:rowOff>171450</xdr:rowOff>
    </xdr:to>
    <xdr:pic>
      <xdr:nvPicPr>
        <xdr:cNvPr id="16" name="Picture 4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85775"/>
          <a:ext cx="131064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\Desktop\Meus%20Documentos\Arquivo%20Licita&#231;&#227;o\Atalho%20Edital\EDITAL%202019\TP\TP-06%20recapeamento%20(caixa)\CD-LICITACAO%20LUIZ%20NANNI\ORCAMENTO-1058748-12-2018.C%20TRANSPORT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  <sheetName val="ORCAMENTO-1058748-12-2018"/>
    </sheetNames>
    <sheetDataSet>
      <sheetData sheetId="0">
        <row r="48">
          <cell r="A48">
            <v>43800</v>
          </cell>
        </row>
      </sheetData>
      <sheetData sheetId="2">
        <row r="12">
          <cell r="A12">
            <v>0</v>
          </cell>
          <cell r="K12">
            <v>0</v>
          </cell>
          <cell r="N12">
            <v>0</v>
          </cell>
          <cell r="T12">
            <v>299483.56</v>
          </cell>
          <cell r="V12">
            <v>0</v>
          </cell>
        </row>
        <row r="13">
          <cell r="A13">
            <v>1</v>
          </cell>
          <cell r="K13" t="str">
            <v>1.</v>
          </cell>
          <cell r="N13" t="str">
            <v>Recapeamento de Vias do Municipio de Caçapava-SP</v>
          </cell>
          <cell r="T13">
            <v>299483.56</v>
          </cell>
          <cell r="V13">
            <v>1</v>
          </cell>
        </row>
        <row r="14">
          <cell r="A14">
            <v>2</v>
          </cell>
          <cell r="K14" t="str">
            <v>1.1.</v>
          </cell>
          <cell r="N14" t="str">
            <v>SERVIÇOS PRELIMINARES</v>
          </cell>
          <cell r="T14">
            <v>1168.73</v>
          </cell>
        </row>
        <row r="15">
          <cell r="A15" t="str">
            <v>S</v>
          </cell>
          <cell r="K15" t="str">
            <v>1.1.1.</v>
          </cell>
          <cell r="N15" t="str">
            <v>PLACA DE OBRA EM CHAPA DE ACO GALVANIZADO</v>
          </cell>
          <cell r="T15">
            <v>1168.73</v>
          </cell>
        </row>
        <row r="16">
          <cell r="A16">
            <v>2</v>
          </cell>
          <cell r="K16" t="str">
            <v>1.2.</v>
          </cell>
          <cell r="N16" t="str">
            <v>FRESAGEM DO PAVIMENTO</v>
          </cell>
          <cell r="T16">
            <v>11240.5</v>
          </cell>
        </row>
        <row r="17">
          <cell r="A17" t="str">
            <v>S</v>
          </cell>
          <cell r="K17" t="str">
            <v>1.2.1.</v>
          </cell>
          <cell r="N17" t="str">
            <v>FRESAGEM DE PAVIMENTO ASFÁLTICO (PROFUNDIDADE 5,0 CM), EM LOCAIS COM NIVEL BAIXO DE INTERFERÊNCIA. AF_03/2017</v>
          </cell>
          <cell r="T17">
            <v>11068.44</v>
          </cell>
        </row>
        <row r="18">
          <cell r="A18" t="str">
            <v>S</v>
          </cell>
          <cell r="K18" t="str">
            <v>1.2.2.</v>
          </cell>
          <cell r="N18" t="str">
            <v>TRANSPORTE COM CAMINHÃO BASCULANTE DE 10 M3, EM VIA URBANA PAVIMENTADA, DMT ATÉ 30 KM (UNIDADE: M3XKM). AF_12/2016</v>
          </cell>
          <cell r="T18">
            <v>172.06</v>
          </cell>
        </row>
        <row r="19">
          <cell r="A19">
            <v>2</v>
          </cell>
          <cell r="K19" t="str">
            <v>1.3.</v>
          </cell>
          <cell r="N19" t="str">
            <v>RECAPEAMENTO  (TRÁFEGO MÉDIO)</v>
          </cell>
          <cell r="T19">
            <v>287074.33</v>
          </cell>
        </row>
        <row r="20">
          <cell r="A20" t="str">
            <v>S</v>
          </cell>
          <cell r="K20" t="str">
            <v>1.3.1.</v>
          </cell>
          <cell r="N20" t="str">
            <v>PINTURA DE LIGACAO COM EMULSAO RR-1C</v>
          </cell>
          <cell r="T20">
            <v>13268.44</v>
          </cell>
        </row>
        <row r="21">
          <cell r="A21" t="str">
            <v>S</v>
          </cell>
          <cell r="K21" t="str">
            <v>1.3.2.</v>
          </cell>
          <cell r="N21" t="str">
            <v>CONSTRUÇÃO DE PAVIMENTO COM APLICAÇÃO DE CONCRETO BETUMINOSO USINADO A QUENTE (CBUQ), CAMADA DE ROLAMENTO, COM ESPESSURA DE 4,0 CM PARA AV LUIZ NANI E 3,5 CM PARA A RUA JORGE KALLIL (CONFORME PROJETO) - EXCLUSIVE TRANSPORTE. AF_03/2017</v>
          </cell>
          <cell r="T21">
            <v>270977.01</v>
          </cell>
        </row>
        <row r="22">
          <cell r="A22" t="str">
            <v>S</v>
          </cell>
          <cell r="K22" t="str">
            <v>1.3.3.</v>
          </cell>
          <cell r="N22" t="str">
            <v>TRANSPORTE COM CAMINHÃO BASCULANTE DE 10 M3, EM VIA URBANA PAVIMENTADA, DMT ATÉ 30 KM (UNIDADE: M3XKM). AF_12/2016</v>
          </cell>
          <cell r="T22">
            <v>2828.88</v>
          </cell>
        </row>
        <row r="23">
          <cell r="A23" t="str">
            <v>S</v>
          </cell>
          <cell r="K23" t="str">
            <v>1.3.4.</v>
          </cell>
          <cell r="T23">
            <v>0</v>
          </cell>
        </row>
        <row r="24">
          <cell r="A24" t="str">
            <v>S</v>
          </cell>
          <cell r="K24" t="str">
            <v>1.3.5.</v>
          </cell>
          <cell r="T24">
            <v>0</v>
          </cell>
        </row>
        <row r="25">
          <cell r="A25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view="pageBreakPreview" zoomScaleSheetLayoutView="100" workbookViewId="0" topLeftCell="J1">
      <selection activeCell="P25" sqref="P25"/>
    </sheetView>
  </sheetViews>
  <sheetFormatPr defaultColWidth="8.00390625" defaultRowHeight="15"/>
  <cols>
    <col min="1" max="2" width="6.7109375" style="0" hidden="1" customWidth="1"/>
    <col min="3" max="7" width="5.7109375" style="0" hidden="1" customWidth="1"/>
    <col min="8" max="9" width="6.7109375" style="0" hidden="1" customWidth="1"/>
    <col min="10" max="10" width="8.7109375" style="0" customWidth="1"/>
    <col min="11" max="11" width="12.7109375" style="0" customWidth="1"/>
    <col min="12" max="13" width="15.7109375" style="0" customWidth="1"/>
    <col min="14" max="14" width="80.8515625" style="0" customWidth="1"/>
    <col min="15" max="15" width="10.7109375" style="0" customWidth="1"/>
    <col min="16" max="17" width="15.7109375" style="0" customWidth="1"/>
    <col min="18" max="18" width="0.13671875" style="0" customWidth="1"/>
    <col min="19" max="21" width="15.7109375" style="0" customWidth="1"/>
    <col min="22" max="22" width="9.140625" style="0" hidden="1" customWidth="1"/>
    <col min="23" max="23" width="15.7109375" style="0" hidden="1" customWidth="1"/>
    <col min="24" max="24" width="20.7109375" style="0" hidden="1" customWidth="1"/>
    <col min="25" max="25" width="15.7109375" style="0" customWidth="1"/>
    <col min="26" max="16384" width="8.7109375" style="0" customWidth="1"/>
  </cols>
  <sheetData>
    <row r="1" spans="1:27" ht="12.75" customHeight="1">
      <c r="A1" s="1"/>
      <c r="B1" s="1"/>
      <c r="D1" s="2"/>
      <c r="E1" s="3"/>
      <c r="F1" s="1"/>
      <c r="G1" s="1"/>
      <c r="H1" s="1"/>
      <c r="I1" s="1"/>
      <c r="J1" s="4"/>
      <c r="K1" s="1"/>
      <c r="L1" s="1"/>
      <c r="M1" s="1"/>
      <c r="N1" s="5" t="s">
        <v>0</v>
      </c>
      <c r="O1" s="1"/>
      <c r="P1" s="6"/>
      <c r="Q1" s="1"/>
      <c r="R1" s="1"/>
      <c r="S1" s="1"/>
      <c r="T1" s="7" t="s">
        <v>1</v>
      </c>
      <c r="U1" s="8"/>
      <c r="V1" s="8"/>
      <c r="W1" s="8"/>
      <c r="X1" s="8"/>
      <c r="Y1" s="8"/>
      <c r="Z1" s="8"/>
      <c r="AA1" s="8"/>
    </row>
    <row r="2" spans="1:27" ht="12.75" customHeight="1">
      <c r="A2" s="8"/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/>
      <c r="I2" s="8"/>
      <c r="J2" s="8"/>
      <c r="K2" s="8"/>
      <c r="L2" s="8"/>
      <c r="M2" s="8"/>
      <c r="N2" s="10">
        <f>CHOOSE(1+LOG(1+2*(TipoOrçamento="BASE")+4*(TipoOrçamento="LICITADO")+8*(TipoOrçamento="REPROGRAMADOAC")+16*(TipoOrçamento="REPROGRAMADONPL"),2),"nada","Orçamento Base para Licitação","Orçamento Licitado","Orçamento Licitado Reprogramado","Orçamento Base para Licitação - Reprogramado")</f>
        <v>0</v>
      </c>
      <c r="O2" s="8"/>
      <c r="P2" s="8"/>
      <c r="Q2" s="8"/>
      <c r="R2" s="8"/>
      <c r="S2" s="8"/>
      <c r="T2" s="11" t="s">
        <v>8</v>
      </c>
      <c r="U2" s="8"/>
      <c r="V2" s="8"/>
      <c r="W2" s="12" t="s">
        <v>9</v>
      </c>
      <c r="X2" s="12"/>
      <c r="Y2" s="8"/>
      <c r="Z2" s="8"/>
      <c r="AA2" s="8"/>
    </row>
    <row r="3" spans="1:27" ht="12.75" customHeight="1">
      <c r="A3" s="8"/>
      <c r="B3" s="8"/>
      <c r="D3" s="2"/>
      <c r="F3" s="13"/>
      <c r="G3" s="8"/>
      <c r="H3" s="8"/>
      <c r="I3" s="8"/>
      <c r="J3" s="8"/>
      <c r="K3" s="8"/>
      <c r="L3" s="8"/>
      <c r="M3" s="8"/>
      <c r="N3" s="14"/>
      <c r="O3" s="8"/>
      <c r="P3" s="8"/>
      <c r="Q3" s="8"/>
      <c r="R3" s="8"/>
      <c r="S3" s="8"/>
      <c r="T3" s="8"/>
      <c r="U3" s="8"/>
      <c r="V3" s="8"/>
      <c r="W3" s="15" t="s">
        <v>10</v>
      </c>
      <c r="X3" s="16">
        <f aca="true" t="shared" si="0" ref="X3:X7">TRUE</f>
        <v>1</v>
      </c>
      <c r="Y3" s="8"/>
      <c r="Z3" s="8"/>
      <c r="AA3" s="8"/>
    </row>
    <row r="4" spans="1:27" ht="24.75" customHeight="1">
      <c r="A4" s="8" t="s">
        <v>11</v>
      </c>
      <c r="B4" s="8"/>
      <c r="D4" s="2"/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7" t="s">
        <v>12</v>
      </c>
      <c r="W4" s="15" t="s">
        <v>13</v>
      </c>
      <c r="X4" s="16">
        <f t="shared" si="0"/>
        <v>1</v>
      </c>
      <c r="Y4" s="8"/>
      <c r="Z4" s="8"/>
      <c r="AA4" s="8"/>
    </row>
    <row r="5" spans="1:27" ht="24.75" customHeight="1">
      <c r="A5" s="18">
        <f>MAX($A$15:$A$28)</f>
        <v>2</v>
      </c>
      <c r="B5" s="8"/>
      <c r="D5" s="2"/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9">
        <f ca="1">IF(COUNTIF($U$15:OFFSET($U$28,-1,0),"DESCRIÇÃO")+COUNTIF($U$15:OFFSET($U$28,-1,0),"UNIDADE")+COUNTIF($U$15:OFFSET($U$28,-1,0),"SEM VALOR")&gt;0,"NÃO OK","OK")</f>
        <v>0</v>
      </c>
      <c r="W5" s="15" t="s">
        <v>14</v>
      </c>
      <c r="X5" s="16">
        <f t="shared" si="0"/>
        <v>1</v>
      </c>
      <c r="Y5" s="8"/>
      <c r="Z5" s="8"/>
      <c r="AA5" s="8"/>
    </row>
    <row r="6" spans="1:27" ht="24.75" customHeight="1">
      <c r="A6" s="8"/>
      <c r="B6" s="8"/>
      <c r="D6" s="2"/>
      <c r="F6" s="13"/>
      <c r="G6" s="8"/>
      <c r="H6" s="8"/>
      <c r="I6" s="8"/>
      <c r="J6" s="8"/>
      <c r="K6" s="20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5" t="s">
        <v>15</v>
      </c>
      <c r="X6" s="16">
        <f t="shared" si="0"/>
        <v>1</v>
      </c>
      <c r="Y6" s="8"/>
      <c r="Z6" s="8"/>
      <c r="AA6" s="8"/>
    </row>
    <row r="7" spans="1:27" ht="1.5" customHeight="1">
      <c r="A7" s="8"/>
      <c r="B7" s="8"/>
      <c r="C7" s="9"/>
      <c r="D7" s="2"/>
      <c r="E7" s="13"/>
      <c r="F7" s="13"/>
      <c r="G7" s="8"/>
      <c r="H7" s="8"/>
      <c r="I7" s="8"/>
      <c r="J7" s="8"/>
      <c r="K7" s="2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5" t="s">
        <v>16</v>
      </c>
      <c r="X7" s="16">
        <f t="shared" si="0"/>
        <v>1</v>
      </c>
      <c r="Y7" s="8"/>
      <c r="Z7" s="8"/>
      <c r="AA7" s="8"/>
    </row>
    <row r="8" spans="1:27" ht="24.75" customHeight="1">
      <c r="A8" s="8"/>
      <c r="B8" s="8"/>
      <c r="C8" s="9"/>
      <c r="D8" s="2"/>
      <c r="E8" s="13"/>
      <c r="F8" s="13"/>
      <c r="G8" s="8"/>
      <c r="H8" s="8"/>
      <c r="I8" s="8"/>
      <c r="J8" s="8"/>
      <c r="K8" s="21" t="s">
        <v>17</v>
      </c>
      <c r="L8" s="22" t="s">
        <v>18</v>
      </c>
      <c r="M8" s="23" t="s">
        <v>19</v>
      </c>
      <c r="N8" s="22" t="s">
        <v>20</v>
      </c>
      <c r="O8" s="8"/>
      <c r="P8" s="8"/>
      <c r="Q8" s="8"/>
      <c r="R8" s="8"/>
      <c r="S8" s="8"/>
      <c r="T8" s="8"/>
      <c r="U8" s="8"/>
      <c r="V8" s="8"/>
      <c r="W8" s="9"/>
      <c r="X8" s="24"/>
      <c r="Y8" s="8"/>
      <c r="Z8" s="8"/>
      <c r="AA8" s="8"/>
    </row>
    <row r="9" spans="1:27" ht="15">
      <c r="A9" s="8"/>
      <c r="B9" s="8"/>
      <c r="C9" s="9"/>
      <c r="D9" s="2"/>
      <c r="E9" s="13"/>
      <c r="F9" s="13"/>
      <c r="G9" s="8"/>
      <c r="H9" s="8"/>
      <c r="I9" s="8"/>
      <c r="J9" s="8"/>
      <c r="K9" s="25"/>
      <c r="L9" s="26" t="s">
        <v>21</v>
      </c>
      <c r="M9" s="26" t="s">
        <v>22</v>
      </c>
      <c r="N9" s="22"/>
      <c r="O9" s="8"/>
      <c r="P9" s="8"/>
      <c r="Q9" s="8"/>
      <c r="R9" s="8"/>
      <c r="S9" s="8"/>
      <c r="T9" s="8"/>
      <c r="U9" s="8"/>
      <c r="V9" s="8"/>
      <c r="W9" s="9"/>
      <c r="X9" s="24"/>
      <c r="Y9" s="8"/>
      <c r="Z9" s="8"/>
      <c r="AA9" s="8"/>
    </row>
    <row r="10" spans="1:27" ht="24.75" customHeight="1">
      <c r="A10" s="8"/>
      <c r="B10" s="8"/>
      <c r="C10" s="9"/>
      <c r="D10" s="2"/>
      <c r="E10" s="13"/>
      <c r="F10" s="13"/>
      <c r="G10" s="8"/>
      <c r="H10" s="8"/>
      <c r="I10" s="8"/>
      <c r="J10" s="8"/>
      <c r="K10" s="20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  <c r="X10" s="24"/>
      <c r="Y10" s="8"/>
      <c r="Z10" s="8"/>
      <c r="AA10" s="8"/>
    </row>
    <row r="11" spans="1:27" ht="30" customHeight="1">
      <c r="A11" s="8"/>
      <c r="B11" s="8"/>
      <c r="C11" s="9"/>
      <c r="D11" s="9"/>
      <c r="E11" s="13"/>
      <c r="F11" s="13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 customHeight="1" hidden="1">
      <c r="A12" s="8"/>
      <c r="B12" s="8"/>
      <c r="C12" s="9"/>
      <c r="D12" s="9"/>
      <c r="E12" s="13"/>
      <c r="F12" s="13"/>
      <c r="G12" s="8"/>
      <c r="H12" s="8"/>
      <c r="I12" s="8"/>
      <c r="J12" s="8"/>
      <c r="K12" s="8"/>
      <c r="L12" s="8"/>
      <c r="M12" s="8"/>
      <c r="N12" s="8"/>
      <c r="O12" s="8"/>
      <c r="P12" s="27">
        <f ca="1">OFFSET('[1]PLQ'!$E$12,ROW($P12)-ROW(P$15),0)</f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30" customHeight="1">
      <c r="A13" s="28" t="s">
        <v>23</v>
      </c>
      <c r="B13" s="28" t="s">
        <v>24</v>
      </c>
      <c r="C13" s="28" t="s">
        <v>25</v>
      </c>
      <c r="D13" s="28" t="s">
        <v>26</v>
      </c>
      <c r="E13" s="28" t="s">
        <v>27</v>
      </c>
      <c r="F13" s="28" t="s">
        <v>28</v>
      </c>
      <c r="G13" s="28" t="s">
        <v>29</v>
      </c>
      <c r="H13" s="28" t="s">
        <v>30</v>
      </c>
      <c r="I13" s="28" t="s">
        <v>31</v>
      </c>
      <c r="J13" s="28" t="s">
        <v>23</v>
      </c>
      <c r="K13" s="28" t="s">
        <v>32</v>
      </c>
      <c r="L13" s="28" t="s">
        <v>33</v>
      </c>
      <c r="M13" s="28" t="s">
        <v>34</v>
      </c>
      <c r="N13" s="28" t="s">
        <v>35</v>
      </c>
      <c r="O13" s="29" t="s">
        <v>36</v>
      </c>
      <c r="P13" s="28" t="s">
        <v>10</v>
      </c>
      <c r="Q13" s="28">
        <f>IF(OR(TipoOrçamento="LICITADO",TipoOrçamento="REPROGRAMADOAC"),"Preço Unitário (R$)","Custo Unitário (R$)")</f>
        <v>0</v>
      </c>
      <c r="R13" s="30" t="s">
        <v>37</v>
      </c>
      <c r="S13" s="28" t="s">
        <v>38</v>
      </c>
      <c r="T13" s="28" t="s">
        <v>39</v>
      </c>
      <c r="U13" s="28"/>
      <c r="V13" s="31"/>
      <c r="W13" s="31"/>
      <c r="X13" s="31"/>
      <c r="Y13" s="32"/>
      <c r="Z13" s="33"/>
      <c r="AA13" s="8"/>
    </row>
    <row r="14" spans="1:27" ht="51" hidden="1">
      <c r="A14">
        <f>CHOOSE(1+LOG(1+2*(J14="Meta")+4*(J14="Nível 2")+8*(J14="Nível 3")+16*(J14="Nível 4")+32*(J14="Serviço"),2),0,1,2,3,4,"S")</f>
        <v>0</v>
      </c>
      <c r="B14">
        <f>IF(OR(A14="S",A14=0),0,IF(ISERROR(I14),H14,SMALL(H14:I14,1)))</f>
        <v>0</v>
      </c>
      <c r="C14">
        <f ca="1">IF($A14=1,OFFSET(C14,-1,0)+1,OFFSET(C14,-1,0))</f>
        <v>0</v>
      </c>
      <c r="D14">
        <f ca="1">IF($A14=1,0,IF($A14=2,OFFSET(D14,-1,0)+1,OFFSET(D14,-1,0)))</f>
        <v>0</v>
      </c>
      <c r="E14">
        <f ca="1">IF(AND($A14&lt;=2,$A14&lt;&gt;0),0,IF($A14=3,OFFSET(E14,-1,0)+1,OFFSET(E14,-1,0)))</f>
        <v>0</v>
      </c>
      <c r="F14">
        <f ca="1">IF(AND($A14&lt;=3,$A14&lt;&gt;0),0,IF($A14=4,OFFSET(F14,-1,0)+1,OFFSET(F14,-1,0)))</f>
        <v>0</v>
      </c>
      <c r="G14" t="e">
        <f ca="1">IF(AND($A14&lt;=4,$A14&lt;&gt;0),0,IF($A14="S",OFFSET(G14,-1,0)+1,OFFSET(G14,-1,0)))</f>
        <v>#VALUE!</v>
      </c>
      <c r="H14">
        <f ca="1">IF(OR($A14="S",$A14=0),0,MATCH(0,OFFSET($B14,1,$A14,ROW($A$28)-ROW($A14)),0))</f>
        <v>0</v>
      </c>
      <c r="I14">
        <f ca="1">IF(OR($A14="S",$A14=0),0,MATCH(OFFSET($B14,0,$A14)+1,OFFSET($B14,1,$A14,ROW($A$28)-ROW($A14)),0))</f>
        <v>0</v>
      </c>
      <c r="J14" s="34" t="s">
        <v>7</v>
      </c>
      <c r="K14" s="35" t="e">
        <f>IF($A14=0,"-",CONCATENATE(C14&amp;".",IF(AND($A$5&gt;=2,$A14&gt;=2),D14&amp;".",""),IF(AND($A$5&gt;=3,$A14&gt;=3),E14&amp;".",""),IF(AND($A$5&gt;=4,$A14&gt;=4),F14&amp;".",""),IF($A14="S",G14&amp;".","")))</f>
        <v>#VALUE!</v>
      </c>
      <c r="L14" s="36"/>
      <c r="M14" s="36"/>
      <c r="N14" s="37">
        <f ca="1">IF($A14="S",Referencia.Descricao,"(digite a descrição aqui)")</f>
        <v>0</v>
      </c>
      <c r="O14" s="38">
        <f ca="1">Referencia.Unidade</f>
        <v>0</v>
      </c>
      <c r="P14" s="39">
        <f ca="1">OFFSET('[1]PLQ'!$E$12,ROW($P14)-ROW(P$15),0)</f>
        <v>0</v>
      </c>
      <c r="Q14" s="40"/>
      <c r="R14" s="41" t="s">
        <v>40</v>
      </c>
      <c r="S14" s="42">
        <f>IF($A14="S",IF($Q$13="Preço Unitário (R$)",PO.CustoUnitario,ROUND(PO.CustoUnitario*(1+$Z14),15-13*$X$6)),0)</f>
        <v>0</v>
      </c>
      <c r="T14" s="43">
        <f ca="1">IF($A14="S",VTOTAL1,IF($A14=0,0,ROUND(SomaAgrup,15-13*$X$7)))</f>
        <v>0</v>
      </c>
      <c r="U14" s="44"/>
      <c r="V14" s="8"/>
      <c r="W14" s="18"/>
      <c r="X14" s="8"/>
      <c r="Y14" s="42"/>
      <c r="Z14" s="45"/>
      <c r="AA14" s="8"/>
    </row>
    <row r="15" spans="1:27" ht="15">
      <c r="A15">
        <v>0</v>
      </c>
      <c r="B15">
        <f ca="1">COUNTA(OFFSET(B15,1,0):B$28)</f>
        <v>12</v>
      </c>
      <c r="J15" s="46">
        <f>IF(OR(TipoOrçamento="LICITADO",TipoOrçamento="REPROGRAMADOAC"),"CTEF","LOTE")</f>
        <v>0</v>
      </c>
      <c r="K15" s="47">
        <v>0</v>
      </c>
      <c r="L15" s="48"/>
      <c r="M15" s="48"/>
      <c r="N15" s="49">
        <f>IF(TipoOrçamento="LICITADO",'[1]DADOS'!O43,'[1]DADOS'!G38)</f>
        <v>0</v>
      </c>
      <c r="O15" s="48"/>
      <c r="P15" s="50"/>
      <c r="Q15" s="50"/>
      <c r="R15" s="51"/>
      <c r="S15" s="50"/>
      <c r="T15" s="52">
        <f ca="1">SUMIF(OFFSET($J15,1,0,ROW(T28)-ROW(T15)-1),"Serviço",OFFSET(T15,1,0,ROW(T28)-ROW(T15)-1))</f>
        <v>0</v>
      </c>
      <c r="U15" s="44"/>
      <c r="V15" s="8"/>
      <c r="W15" s="8"/>
      <c r="X15" s="8"/>
      <c r="Y15" s="50"/>
      <c r="Z15" s="53"/>
      <c r="AA15" s="8"/>
    </row>
    <row r="16" spans="1:27" ht="17.25" customHeight="1">
      <c r="A16">
        <f aca="true" t="shared" si="1" ref="A16:A27">CHOOSE(1+LOG(1+2*(J16="Meta")+4*(J16="Nível 2")+8*(J16="Nível 3")+16*(J16="Nível 4")+32*(J16="Serviço"),2),0,1,2,3,4,"S")</f>
        <v>1</v>
      </c>
      <c r="B16">
        <f aca="true" t="shared" si="2" ref="B16:B27">IF(OR(A16="S",A16=0),0,IF(ISERROR(I16),H16,SMALL(H16:I16,1)))</f>
        <v>12</v>
      </c>
      <c r="C16">
        <f aca="true" ca="1" t="shared" si="3" ref="C16:C27">IF($A16=1,OFFSET(C16,-1,0)+1,OFFSET(C16,-1,0))</f>
        <v>1</v>
      </c>
      <c r="D16">
        <f aca="true" ca="1" t="shared" si="4" ref="D16:D27">IF($A16=1,0,IF($A16=2,OFFSET(D16,-1,0)+1,OFFSET(D16,-1,0)))</f>
        <v>0</v>
      </c>
      <c r="E16">
        <f aca="true" ca="1" t="shared" si="5" ref="E16:E27">IF(AND($A16&lt;=2,$A16&lt;&gt;0),0,IF($A16=3,OFFSET(E16,-1,0)+1,OFFSET(E16,-1,0)))</f>
        <v>0</v>
      </c>
      <c r="F16">
        <f aca="true" ca="1" t="shared" si="6" ref="F16:F27">IF(AND($A16&lt;=3,$A16&lt;&gt;0),0,IF($A16=4,OFFSET(F16,-1,0)+1,OFFSET(F16,-1,0)))</f>
        <v>0</v>
      </c>
      <c r="G16">
        <f aca="true" ca="1" t="shared" si="7" ref="G16:G27">IF(AND($A16&lt;=4,$A16&lt;&gt;0),0,IF($A16="S",OFFSET(G16,-1,0)+1,OFFSET(G16,-1,0)))</f>
        <v>0</v>
      </c>
      <c r="H16">
        <f aca="true" ca="1" t="shared" si="8" ref="H16:H27">IF(OR($A16="S",$A16=0),0,MATCH(0,OFFSET($B16,1,$A16,ROW($A$28)-ROW($A16)),0))</f>
        <v>12</v>
      </c>
      <c r="I16" t="e">
        <f aca="true" ca="1" t="shared" si="9" ref="I16:I27">IF(OR($A16="S",$A16=0),0,MATCH(OFFSET($B16,0,$A16)+1,OFFSET($B16,1,$A16,ROW($A$28)-ROW($A16)),0))</f>
        <v>#N/A</v>
      </c>
      <c r="J16" s="54" t="s">
        <v>3</v>
      </c>
      <c r="K16" s="35">
        <f aca="true" t="shared" si="10" ref="K16:K27">IF($A16=0,"-",CONCATENATE(C16&amp;".",IF(AND($A$5&gt;=2,$A16&gt;=2),D16&amp;".",""),IF(AND($A$5&gt;=3,$A16&gt;=3),E16&amp;".",""),IF(AND($A$5&gt;=4,$A16&gt;=4),F16&amp;".",""),IF($A16="S",G16&amp;".","")))</f>
        <v>0</v>
      </c>
      <c r="L16" s="36"/>
      <c r="M16" s="36"/>
      <c r="N16" s="55" t="s">
        <v>41</v>
      </c>
      <c r="O16" s="38"/>
      <c r="P16" s="39">
        <f ca="1">OFFSET('[1]PLQ'!$E$12,ROW($P16)-ROW(P$15),0)</f>
        <v>0</v>
      </c>
      <c r="Q16" s="40"/>
      <c r="R16" s="41" t="s">
        <v>40</v>
      </c>
      <c r="S16" s="42">
        <f aca="true" t="shared" si="11" ref="S16:S27">IF($A16="S",IF($Q$13="Preço Unitário (R$)",PO.CustoUnitario,ROUND(PO.CustoUnitario*(1+$Z16),15-13*$X$6)),0)</f>
        <v>0</v>
      </c>
      <c r="T16" s="43">
        <f aca="true" ca="1" t="shared" si="12" ref="T16:T27">IF($A16="S",VTOTAL1,IF($A16=0,0,ROUND(SomaAgrup,15-13*$X$7)))</f>
        <v>0</v>
      </c>
      <c r="U16" s="44"/>
      <c r="V16" s="8"/>
      <c r="W16" s="18"/>
      <c r="X16" s="8"/>
      <c r="Y16" s="42"/>
      <c r="Z16" s="45"/>
      <c r="AA16" s="8"/>
    </row>
    <row r="17" spans="1:27" ht="23.25" customHeight="1">
      <c r="A17">
        <f t="shared" si="1"/>
        <v>2</v>
      </c>
      <c r="B17">
        <f t="shared" si="2"/>
        <v>2</v>
      </c>
      <c r="C17">
        <f ca="1" t="shared" si="3"/>
        <v>1</v>
      </c>
      <c r="D17">
        <f ca="1" t="shared" si="4"/>
        <v>1</v>
      </c>
      <c r="E17">
        <f ca="1" t="shared" si="5"/>
        <v>0</v>
      </c>
      <c r="F17">
        <f ca="1" t="shared" si="6"/>
        <v>0</v>
      </c>
      <c r="G17">
        <f ca="1" t="shared" si="7"/>
        <v>0</v>
      </c>
      <c r="H17">
        <f ca="1" t="shared" si="8"/>
        <v>11</v>
      </c>
      <c r="I17">
        <f ca="1" t="shared" si="9"/>
        <v>2</v>
      </c>
      <c r="J17" s="34" t="s">
        <v>4</v>
      </c>
      <c r="K17" s="35">
        <f t="shared" si="10"/>
        <v>0</v>
      </c>
      <c r="L17" s="36"/>
      <c r="M17" s="36"/>
      <c r="N17" s="55" t="s">
        <v>42</v>
      </c>
      <c r="O17" s="38">
        <f ca="1">Referencia.Unidade</f>
        <v>0</v>
      </c>
      <c r="P17" s="39">
        <f ca="1">OFFSET('[1]PLQ'!$E$12,ROW($P17)-ROW(P$15),0)</f>
        <v>0</v>
      </c>
      <c r="Q17" s="40"/>
      <c r="R17" s="41" t="s">
        <v>40</v>
      </c>
      <c r="S17" s="42">
        <f t="shared" si="11"/>
        <v>0</v>
      </c>
      <c r="T17" s="43">
        <f ca="1" t="shared" si="12"/>
        <v>0</v>
      </c>
      <c r="U17" s="44"/>
      <c r="V17" s="8"/>
      <c r="W17" s="18"/>
      <c r="X17" s="8"/>
      <c r="Y17" s="42"/>
      <c r="Z17" s="45"/>
      <c r="AA17" s="8"/>
    </row>
    <row r="18" spans="1:27" ht="24.75" customHeight="1">
      <c r="A18">
        <f t="shared" si="1"/>
        <v>0</v>
      </c>
      <c r="B18">
        <f t="shared" si="2"/>
        <v>0</v>
      </c>
      <c r="C18">
        <f ca="1" t="shared" si="3"/>
        <v>1</v>
      </c>
      <c r="D18">
        <f ca="1" t="shared" si="4"/>
        <v>1</v>
      </c>
      <c r="E18">
        <f ca="1" t="shared" si="5"/>
        <v>0</v>
      </c>
      <c r="F18">
        <f ca="1" t="shared" si="6"/>
        <v>0</v>
      </c>
      <c r="G18">
        <f ca="1" t="shared" si="7"/>
        <v>1</v>
      </c>
      <c r="H18">
        <f ca="1" t="shared" si="8"/>
        <v>0</v>
      </c>
      <c r="I18">
        <f ca="1" t="shared" si="9"/>
        <v>0</v>
      </c>
      <c r="J18" s="34" t="s">
        <v>7</v>
      </c>
      <c r="K18" s="35">
        <f t="shared" si="10"/>
        <v>0</v>
      </c>
      <c r="L18" s="36" t="s">
        <v>43</v>
      </c>
      <c r="M18" s="36" t="s">
        <v>44</v>
      </c>
      <c r="N18" s="55" t="s">
        <v>45</v>
      </c>
      <c r="O18" s="38" t="s">
        <v>46</v>
      </c>
      <c r="P18" s="39">
        <v>2.88</v>
      </c>
      <c r="Q18" s="40"/>
      <c r="R18" s="41" t="s">
        <v>40</v>
      </c>
      <c r="S18" s="42">
        <f t="shared" si="11"/>
        <v>0</v>
      </c>
      <c r="T18" s="43">
        <f ca="1" t="shared" si="12"/>
        <v>0</v>
      </c>
      <c r="U18" s="44"/>
      <c r="V18" s="8"/>
      <c r="W18" s="18"/>
      <c r="X18" s="8"/>
      <c r="Y18" s="42"/>
      <c r="Z18" s="45"/>
      <c r="AA18" s="8"/>
    </row>
    <row r="19" spans="1:27" ht="10.5" customHeight="1">
      <c r="A19">
        <f t="shared" si="1"/>
        <v>2</v>
      </c>
      <c r="B19">
        <f t="shared" si="2"/>
        <v>3</v>
      </c>
      <c r="C19">
        <f ca="1" t="shared" si="3"/>
        <v>1</v>
      </c>
      <c r="D19">
        <f ca="1" t="shared" si="4"/>
        <v>2</v>
      </c>
      <c r="E19">
        <f ca="1" t="shared" si="5"/>
        <v>0</v>
      </c>
      <c r="F19">
        <f ca="1" t="shared" si="6"/>
        <v>0</v>
      </c>
      <c r="G19">
        <f ca="1" t="shared" si="7"/>
        <v>0</v>
      </c>
      <c r="H19">
        <f ca="1" t="shared" si="8"/>
        <v>9</v>
      </c>
      <c r="I19">
        <f ca="1" t="shared" si="9"/>
        <v>3</v>
      </c>
      <c r="J19" s="34" t="s">
        <v>4</v>
      </c>
      <c r="K19" s="35">
        <f t="shared" si="10"/>
        <v>0</v>
      </c>
      <c r="L19" s="36"/>
      <c r="M19" s="36"/>
      <c r="N19" s="55" t="s">
        <v>47</v>
      </c>
      <c r="O19" s="38">
        <f ca="1">Referencia.Unidade</f>
        <v>0</v>
      </c>
      <c r="P19" s="39"/>
      <c r="Q19" s="40"/>
      <c r="R19" s="41" t="s">
        <v>40</v>
      </c>
      <c r="S19" s="42">
        <f t="shared" si="11"/>
        <v>0</v>
      </c>
      <c r="T19" s="43">
        <f ca="1" t="shared" si="12"/>
        <v>0</v>
      </c>
      <c r="U19" s="44"/>
      <c r="V19" s="8"/>
      <c r="W19" s="18"/>
      <c r="X19" s="8"/>
      <c r="Y19" s="42"/>
      <c r="Z19" s="45"/>
      <c r="AA19" s="8"/>
    </row>
    <row r="20" spans="1:27" ht="29.25" customHeight="1">
      <c r="A20">
        <f t="shared" si="1"/>
        <v>0</v>
      </c>
      <c r="B20">
        <f t="shared" si="2"/>
        <v>0</v>
      </c>
      <c r="C20">
        <f ca="1" t="shared" si="3"/>
        <v>1</v>
      </c>
      <c r="D20">
        <f ca="1" t="shared" si="4"/>
        <v>2</v>
      </c>
      <c r="E20">
        <f ca="1" t="shared" si="5"/>
        <v>0</v>
      </c>
      <c r="F20">
        <f ca="1" t="shared" si="6"/>
        <v>0</v>
      </c>
      <c r="G20">
        <f ca="1" t="shared" si="7"/>
        <v>1</v>
      </c>
      <c r="H20">
        <f ca="1" t="shared" si="8"/>
        <v>0</v>
      </c>
      <c r="I20">
        <f ca="1" t="shared" si="9"/>
        <v>0</v>
      </c>
      <c r="J20" s="34" t="s">
        <v>7</v>
      </c>
      <c r="K20" s="35">
        <f t="shared" si="10"/>
        <v>0</v>
      </c>
      <c r="L20" s="36" t="s">
        <v>43</v>
      </c>
      <c r="M20" s="36" t="s">
        <v>48</v>
      </c>
      <c r="N20" s="37" t="s">
        <v>49</v>
      </c>
      <c r="O20" s="38" t="s">
        <v>46</v>
      </c>
      <c r="P20" s="39">
        <v>1601.8</v>
      </c>
      <c r="Q20" s="40"/>
      <c r="R20" s="41" t="s">
        <v>40</v>
      </c>
      <c r="S20" s="42">
        <f t="shared" si="11"/>
        <v>0</v>
      </c>
      <c r="T20" s="43">
        <f ca="1" t="shared" si="12"/>
        <v>0</v>
      </c>
      <c r="U20" s="44"/>
      <c r="V20" s="8"/>
      <c r="W20" s="18"/>
      <c r="X20" s="8"/>
      <c r="Y20" s="42"/>
      <c r="Z20" s="45"/>
      <c r="AA20" s="8"/>
    </row>
    <row r="21" spans="1:27" ht="29.25" customHeight="1">
      <c r="A21">
        <f t="shared" si="1"/>
        <v>0</v>
      </c>
      <c r="B21">
        <f t="shared" si="2"/>
        <v>0</v>
      </c>
      <c r="C21">
        <f ca="1" t="shared" si="3"/>
        <v>1</v>
      </c>
      <c r="D21">
        <f ca="1" t="shared" si="4"/>
        <v>2</v>
      </c>
      <c r="E21">
        <f ca="1" t="shared" si="5"/>
        <v>0</v>
      </c>
      <c r="F21">
        <f ca="1" t="shared" si="6"/>
        <v>0</v>
      </c>
      <c r="G21">
        <f ca="1" t="shared" si="7"/>
        <v>2</v>
      </c>
      <c r="H21">
        <f ca="1" t="shared" si="8"/>
        <v>0</v>
      </c>
      <c r="I21">
        <f ca="1" t="shared" si="9"/>
        <v>0</v>
      </c>
      <c r="J21" s="34" t="s">
        <v>7</v>
      </c>
      <c r="K21" s="35">
        <f t="shared" si="10"/>
        <v>0</v>
      </c>
      <c r="L21" s="36" t="s">
        <v>43</v>
      </c>
      <c r="M21" s="36" t="s">
        <v>50</v>
      </c>
      <c r="N21" s="55" t="s">
        <v>51</v>
      </c>
      <c r="O21" s="56" t="s">
        <v>52</v>
      </c>
      <c r="P21" s="39">
        <v>121.17</v>
      </c>
      <c r="Q21" s="40"/>
      <c r="R21" s="41" t="s">
        <v>40</v>
      </c>
      <c r="S21" s="42">
        <f t="shared" si="11"/>
        <v>0</v>
      </c>
      <c r="T21" s="43">
        <f ca="1" t="shared" si="12"/>
        <v>0</v>
      </c>
      <c r="U21" s="44"/>
      <c r="V21" s="8"/>
      <c r="W21" s="18"/>
      <c r="X21" s="8"/>
      <c r="Y21" s="42"/>
      <c r="Z21" s="45"/>
      <c r="AA21" s="8"/>
    </row>
    <row r="22" spans="1:27" ht="20.25" customHeight="1">
      <c r="A22">
        <f t="shared" si="1"/>
        <v>2</v>
      </c>
      <c r="B22">
        <f t="shared" si="2"/>
        <v>6</v>
      </c>
      <c r="C22">
        <f ca="1" t="shared" si="3"/>
        <v>1</v>
      </c>
      <c r="D22">
        <f ca="1" t="shared" si="4"/>
        <v>3</v>
      </c>
      <c r="E22">
        <f ca="1" t="shared" si="5"/>
        <v>0</v>
      </c>
      <c r="F22">
        <f ca="1" t="shared" si="6"/>
        <v>0</v>
      </c>
      <c r="G22">
        <f ca="1" t="shared" si="7"/>
        <v>0</v>
      </c>
      <c r="H22">
        <f ca="1" t="shared" si="8"/>
        <v>6</v>
      </c>
      <c r="I22" t="e">
        <f ca="1" t="shared" si="9"/>
        <v>#N/A</v>
      </c>
      <c r="J22" s="34" t="s">
        <v>4</v>
      </c>
      <c r="K22" s="35">
        <f t="shared" si="10"/>
        <v>0</v>
      </c>
      <c r="L22" s="36"/>
      <c r="M22" s="36"/>
      <c r="N22" s="37" t="s">
        <v>53</v>
      </c>
      <c r="O22" s="38">
        <f ca="1">Referencia.Unidade</f>
        <v>0</v>
      </c>
      <c r="P22" s="39">
        <f ca="1">OFFSET('[1]PLQ'!$E$12,ROW($P22)-ROW(P$15),0)</f>
        <v>0</v>
      </c>
      <c r="Q22" s="40"/>
      <c r="R22" s="41" t="s">
        <v>40</v>
      </c>
      <c r="S22" s="42">
        <f t="shared" si="11"/>
        <v>0</v>
      </c>
      <c r="T22" s="43">
        <f ca="1" t="shared" si="12"/>
        <v>0</v>
      </c>
      <c r="U22" s="44"/>
      <c r="V22" s="8"/>
      <c r="W22" s="18"/>
      <c r="X22" s="8"/>
      <c r="Y22" s="42"/>
      <c r="Z22" s="45"/>
      <c r="AA22" s="8"/>
    </row>
    <row r="23" spans="1:27" ht="29.25" customHeight="1">
      <c r="A23">
        <f t="shared" si="1"/>
        <v>0</v>
      </c>
      <c r="B23">
        <f t="shared" si="2"/>
        <v>0</v>
      </c>
      <c r="C23">
        <f ca="1" t="shared" si="3"/>
        <v>1</v>
      </c>
      <c r="D23">
        <f ca="1" t="shared" si="4"/>
        <v>3</v>
      </c>
      <c r="E23">
        <f ca="1" t="shared" si="5"/>
        <v>0</v>
      </c>
      <c r="F23">
        <f ca="1" t="shared" si="6"/>
        <v>0</v>
      </c>
      <c r="G23">
        <f ca="1" t="shared" si="7"/>
        <v>1</v>
      </c>
      <c r="H23">
        <f ca="1" t="shared" si="8"/>
        <v>0</v>
      </c>
      <c r="I23">
        <f ca="1" t="shared" si="9"/>
        <v>0</v>
      </c>
      <c r="J23" s="34" t="s">
        <v>7</v>
      </c>
      <c r="K23" s="35">
        <f t="shared" si="10"/>
        <v>0</v>
      </c>
      <c r="L23" s="36" t="s">
        <v>43</v>
      </c>
      <c r="M23" s="36" t="s">
        <v>54</v>
      </c>
      <c r="N23" s="37" t="s">
        <v>55</v>
      </c>
      <c r="O23" s="38" t="s">
        <v>46</v>
      </c>
      <c r="P23" s="39">
        <v>6288.36</v>
      </c>
      <c r="Q23" s="40"/>
      <c r="R23" s="41" t="s">
        <v>40</v>
      </c>
      <c r="S23" s="42">
        <f t="shared" si="11"/>
        <v>0</v>
      </c>
      <c r="T23" s="43">
        <f ca="1" t="shared" si="12"/>
        <v>0</v>
      </c>
      <c r="U23" s="44"/>
      <c r="V23" s="8"/>
      <c r="W23" s="18"/>
      <c r="X23" s="8"/>
      <c r="Y23" s="42"/>
      <c r="Z23" s="45"/>
      <c r="AA23" s="8"/>
    </row>
    <row r="24" spans="1:27" ht="51" customHeight="1">
      <c r="A24">
        <f t="shared" si="1"/>
        <v>0</v>
      </c>
      <c r="B24">
        <f t="shared" si="2"/>
        <v>0</v>
      </c>
      <c r="C24">
        <f ca="1" t="shared" si="3"/>
        <v>1</v>
      </c>
      <c r="D24">
        <f ca="1" t="shared" si="4"/>
        <v>3</v>
      </c>
      <c r="E24">
        <f ca="1" t="shared" si="5"/>
        <v>0</v>
      </c>
      <c r="F24">
        <f ca="1" t="shared" si="6"/>
        <v>0</v>
      </c>
      <c r="G24">
        <f ca="1" t="shared" si="7"/>
        <v>2</v>
      </c>
      <c r="H24">
        <f ca="1" t="shared" si="8"/>
        <v>0</v>
      </c>
      <c r="I24">
        <f ca="1" t="shared" si="9"/>
        <v>0</v>
      </c>
      <c r="J24" s="34" t="s">
        <v>7</v>
      </c>
      <c r="K24" s="35">
        <f t="shared" si="10"/>
        <v>0</v>
      </c>
      <c r="L24" s="36" t="s">
        <v>43</v>
      </c>
      <c r="M24" s="36" t="s">
        <v>56</v>
      </c>
      <c r="N24" s="37" t="s">
        <v>57</v>
      </c>
      <c r="O24" s="38" t="s">
        <v>58</v>
      </c>
      <c r="P24" s="39">
        <v>248.71</v>
      </c>
      <c r="Q24" s="40"/>
      <c r="R24" s="41" t="s">
        <v>40</v>
      </c>
      <c r="S24" s="42">
        <f t="shared" si="11"/>
        <v>0</v>
      </c>
      <c r="T24" s="43">
        <f ca="1" t="shared" si="12"/>
        <v>0</v>
      </c>
      <c r="U24" s="44"/>
      <c r="V24" s="8"/>
      <c r="W24" s="18"/>
      <c r="X24" s="8"/>
      <c r="Y24" s="42"/>
      <c r="Z24" s="45"/>
      <c r="AA24" s="8"/>
    </row>
    <row r="25" spans="1:27" ht="29.25" customHeight="1">
      <c r="A25">
        <f t="shared" si="1"/>
        <v>0</v>
      </c>
      <c r="B25">
        <f t="shared" si="2"/>
        <v>0</v>
      </c>
      <c r="C25">
        <f ca="1" t="shared" si="3"/>
        <v>1</v>
      </c>
      <c r="D25">
        <f ca="1" t="shared" si="4"/>
        <v>3</v>
      </c>
      <c r="E25">
        <f ca="1" t="shared" si="5"/>
        <v>0</v>
      </c>
      <c r="F25">
        <f ca="1" t="shared" si="6"/>
        <v>0</v>
      </c>
      <c r="G25">
        <f ca="1" t="shared" si="7"/>
        <v>3</v>
      </c>
      <c r="H25">
        <f ca="1" t="shared" si="8"/>
        <v>0</v>
      </c>
      <c r="I25">
        <f ca="1" t="shared" si="9"/>
        <v>0</v>
      </c>
      <c r="J25" s="34" t="s">
        <v>7</v>
      </c>
      <c r="K25" s="35">
        <f t="shared" si="10"/>
        <v>0</v>
      </c>
      <c r="L25" s="36" t="s">
        <v>43</v>
      </c>
      <c r="M25" s="36" t="s">
        <v>50</v>
      </c>
      <c r="N25" s="37" t="s">
        <v>51</v>
      </c>
      <c r="O25" s="38" t="s">
        <v>52</v>
      </c>
      <c r="P25" s="39">
        <v>1992.17</v>
      </c>
      <c r="Q25" s="40"/>
      <c r="R25" s="41" t="s">
        <v>40</v>
      </c>
      <c r="S25" s="42">
        <f t="shared" si="11"/>
        <v>0</v>
      </c>
      <c r="T25" s="43">
        <f ca="1" t="shared" si="12"/>
        <v>0</v>
      </c>
      <c r="U25" s="44"/>
      <c r="V25" s="8"/>
      <c r="W25" s="18"/>
      <c r="X25" s="8"/>
      <c r="Y25" s="42"/>
      <c r="Z25" s="45"/>
      <c r="AA25" s="8"/>
    </row>
    <row r="26" spans="1:27" ht="29.25" customHeight="1">
      <c r="A26">
        <f t="shared" si="1"/>
        <v>0</v>
      </c>
      <c r="B26">
        <f t="shared" si="2"/>
        <v>0</v>
      </c>
      <c r="C26">
        <f ca="1" t="shared" si="3"/>
        <v>1</v>
      </c>
      <c r="D26">
        <f ca="1" t="shared" si="4"/>
        <v>3</v>
      </c>
      <c r="E26">
        <f ca="1" t="shared" si="5"/>
        <v>0</v>
      </c>
      <c r="F26">
        <f ca="1" t="shared" si="6"/>
        <v>0</v>
      </c>
      <c r="G26">
        <f ca="1" t="shared" si="7"/>
        <v>4</v>
      </c>
      <c r="H26">
        <f ca="1" t="shared" si="8"/>
        <v>0</v>
      </c>
      <c r="I26">
        <f ca="1" t="shared" si="9"/>
        <v>0</v>
      </c>
      <c r="J26" s="34" t="s">
        <v>7</v>
      </c>
      <c r="K26" s="35">
        <f t="shared" si="10"/>
        <v>0</v>
      </c>
      <c r="L26" s="36"/>
      <c r="M26" s="36"/>
      <c r="N26" s="37">
        <f ca="1">IF($A26="S",Referencia.Descricao,"(digite a descrição aqui)")</f>
        <v>0</v>
      </c>
      <c r="O26" s="38">
        <f aca="true" ca="1" t="shared" si="13" ref="O26:O27">Referencia.Unidade</f>
        <v>0</v>
      </c>
      <c r="P26" s="39"/>
      <c r="Q26" s="40"/>
      <c r="R26" s="41" t="s">
        <v>40</v>
      </c>
      <c r="S26" s="42">
        <f t="shared" si="11"/>
        <v>0</v>
      </c>
      <c r="T26" s="43">
        <f ca="1" t="shared" si="12"/>
        <v>0</v>
      </c>
      <c r="U26" s="44"/>
      <c r="V26" s="8"/>
      <c r="W26" s="18"/>
      <c r="X26" s="8"/>
      <c r="Y26" s="42"/>
      <c r="Z26" s="45"/>
      <c r="AA26" s="8"/>
    </row>
    <row r="27" spans="1:27" ht="29.25" customHeight="1">
      <c r="A27">
        <f t="shared" si="1"/>
        <v>0</v>
      </c>
      <c r="B27">
        <f t="shared" si="2"/>
        <v>0</v>
      </c>
      <c r="C27">
        <f ca="1" t="shared" si="3"/>
        <v>1</v>
      </c>
      <c r="D27">
        <f ca="1" t="shared" si="4"/>
        <v>3</v>
      </c>
      <c r="E27">
        <f ca="1" t="shared" si="5"/>
        <v>0</v>
      </c>
      <c r="F27">
        <f ca="1" t="shared" si="6"/>
        <v>0</v>
      </c>
      <c r="G27">
        <f ca="1" t="shared" si="7"/>
        <v>5</v>
      </c>
      <c r="H27">
        <f ca="1" t="shared" si="8"/>
        <v>0</v>
      </c>
      <c r="I27">
        <f ca="1" t="shared" si="9"/>
        <v>0</v>
      </c>
      <c r="J27" s="34" t="s">
        <v>7</v>
      </c>
      <c r="K27" s="35">
        <f t="shared" si="10"/>
        <v>0</v>
      </c>
      <c r="L27" s="36"/>
      <c r="M27" s="36"/>
      <c r="N27" s="37">
        <f ca="1">IF($A27="S",Referencia.Descricao,"(digite a descrição aqui)")</f>
        <v>0</v>
      </c>
      <c r="O27" s="38">
        <f ca="1" t="shared" si="13"/>
        <v>0</v>
      </c>
      <c r="P27" s="39"/>
      <c r="Q27" s="40"/>
      <c r="R27" s="41" t="s">
        <v>40</v>
      </c>
      <c r="S27" s="42">
        <f t="shared" si="11"/>
        <v>0</v>
      </c>
      <c r="T27" s="43">
        <f ca="1" t="shared" si="12"/>
        <v>0</v>
      </c>
      <c r="U27" s="44"/>
      <c r="V27" s="8"/>
      <c r="W27" s="18"/>
      <c r="X27" s="8"/>
      <c r="Y27" s="42"/>
      <c r="Z27" s="45"/>
      <c r="AA27" s="8"/>
    </row>
    <row r="28" spans="1:27" ht="29.25" customHeight="1">
      <c r="A28">
        <v>-1</v>
      </c>
      <c r="C28">
        <v>0</v>
      </c>
      <c r="D28">
        <v>0</v>
      </c>
      <c r="E28">
        <v>0</v>
      </c>
      <c r="F28">
        <v>0</v>
      </c>
      <c r="G28">
        <v>0</v>
      </c>
      <c r="J28" s="57"/>
      <c r="K28" s="57"/>
      <c r="L28" s="57"/>
      <c r="M28" s="57"/>
      <c r="N28" s="57"/>
      <c r="O28" s="57"/>
      <c r="P28" s="57"/>
      <c r="Q28" s="57"/>
      <c r="R28" s="58"/>
      <c r="S28" s="57"/>
      <c r="T28" s="57"/>
      <c r="U28" s="8"/>
      <c r="V28" s="8"/>
      <c r="W28" s="8"/>
      <c r="X28" s="8"/>
      <c r="Y28" s="8"/>
      <c r="Z28" s="8"/>
      <c r="AA28" s="8"/>
    </row>
    <row r="29" spans="1:27" ht="29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59" t="s">
        <v>59</v>
      </c>
      <c r="L29" s="8"/>
      <c r="M29" s="60" t="s">
        <v>60</v>
      </c>
      <c r="N29" s="60"/>
      <c r="O29" s="60"/>
      <c r="P29" s="60"/>
      <c r="Q29" s="60"/>
      <c r="R29" s="60"/>
      <c r="S29" s="60"/>
      <c r="T29" s="60"/>
      <c r="U29" s="8"/>
      <c r="V29" s="8"/>
      <c r="W29" s="8"/>
      <c r="X29" s="8"/>
      <c r="Y29" s="8"/>
      <c r="Z29" s="8"/>
      <c r="AA29" s="8"/>
    </row>
    <row r="30" spans="1:27" ht="29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29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61" t="s">
        <v>61</v>
      </c>
      <c r="L31" s="9"/>
      <c r="M31" s="9"/>
      <c r="N31" s="9"/>
      <c r="O31" s="9"/>
      <c r="P31" s="9"/>
      <c r="Q31" s="9"/>
      <c r="R31" s="9"/>
      <c r="S31" s="9"/>
      <c r="T31" s="62"/>
      <c r="U31" s="8"/>
      <c r="V31" s="8"/>
      <c r="W31" s="8"/>
      <c r="X31" s="8"/>
      <c r="Y31" s="8"/>
      <c r="Z31" s="8"/>
      <c r="AA31" s="8"/>
    </row>
    <row r="32" spans="1:27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8"/>
      <c r="V32" s="8"/>
      <c r="W32" s="8"/>
      <c r="X32" s="8"/>
      <c r="Y32" s="8"/>
      <c r="Z32" s="8"/>
      <c r="AA32" s="8"/>
    </row>
    <row r="33" spans="1:27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8"/>
      <c r="V33" s="8"/>
      <c r="W33" s="8"/>
      <c r="X33" s="8"/>
      <c r="Y33" s="8"/>
      <c r="Z33" s="8"/>
      <c r="AA33" s="8"/>
    </row>
    <row r="34" spans="1:27" ht="15" hidden="1">
      <c r="A34" s="8"/>
      <c r="B34" s="8"/>
      <c r="C34" s="8"/>
      <c r="D34" s="8"/>
      <c r="E34" s="8"/>
      <c r="F34" s="8"/>
      <c r="G34" s="8"/>
      <c r="H34" s="8"/>
      <c r="I34" s="8"/>
      <c r="J34" s="8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8"/>
      <c r="V34" s="8"/>
      <c r="W34" s="8"/>
      <c r="X34" s="8"/>
      <c r="Y34" s="8"/>
      <c r="Z34" s="8"/>
      <c r="AA34" s="8"/>
    </row>
    <row r="35" spans="1:27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8"/>
      <c r="V35" s="8"/>
      <c r="W35" s="8"/>
      <c r="X35" s="8"/>
      <c r="Y35" s="8"/>
      <c r="Z35" s="8"/>
      <c r="AA35" s="8"/>
    </row>
    <row r="36" spans="1:27" ht="2.25" customHeight="1" hidden="1">
      <c r="A36" s="8"/>
      <c r="B36" s="8"/>
      <c r="C36" s="8"/>
      <c r="D36" s="8"/>
      <c r="E36" s="8"/>
      <c r="F36" s="8"/>
      <c r="G36" s="8"/>
      <c r="H36" s="8"/>
      <c r="I36" s="8"/>
      <c r="J36" s="8"/>
      <c r="K36" s="65">
        <f>IF(AND($X$3=0,$X$4=0,$X$5=0,$X$6=0,$X$7=0),"Não foi considerado arredondamento nos valores da planilha.",CONCATENATE("Foi considerado arredondamento de duas casas decimais para ",IF($X$3=1,"Quantidade; ",""),IF($X$4=1,"Custo Unitário; ",""),IF($X$5=1,"BDI; ",""),IF($X$6=1,"Preço Unitário; ",""),IF($X$7=1,"Preço Total.","")))</f>
        <v>0</v>
      </c>
      <c r="L36" s="65"/>
      <c r="M36" s="65"/>
      <c r="N36" s="65"/>
      <c r="O36" s="65"/>
      <c r="P36" s="65"/>
      <c r="Q36" s="65"/>
      <c r="R36" s="65"/>
      <c r="S36" s="65"/>
      <c r="T36" s="65"/>
      <c r="U36" s="8"/>
      <c r="V36" s="8"/>
      <c r="W36" s="8"/>
      <c r="X36" s="8"/>
      <c r="Y36" s="8"/>
      <c r="Z36" s="8"/>
      <c r="AA36" s="8"/>
    </row>
    <row r="37" spans="1:27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66">
        <f>Import.Município</f>
        <v>0</v>
      </c>
      <c r="L39" s="66"/>
      <c r="M39" s="6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67" t="s">
        <v>62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68"/>
      <c r="L42" s="68"/>
      <c r="M42" s="6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69" t="s">
        <v>63</v>
      </c>
      <c r="L43" s="57"/>
      <c r="M43" s="5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</sheetData>
  <sheetProtection selectLockedCells="1" selectUnlockedCells="1"/>
  <mergeCells count="6">
    <mergeCell ref="W2:X2"/>
    <mergeCell ref="M29:T29"/>
    <mergeCell ref="K32:T34"/>
    <mergeCell ref="K36:T36"/>
    <mergeCell ref="K39:M39"/>
    <mergeCell ref="K42:M42"/>
  </mergeCells>
  <conditionalFormatting sqref="O15:R15 L15:M15">
    <cfRule type="expression" priority="1" dxfId="0" stopIfTrue="1">
      <formula>$J15=$C$2</formula>
    </cfRule>
    <cfRule type="expression" priority="2" dxfId="1" stopIfTrue="1">
      <formula>UPPER(LEFT($J15,5))="NÍVEL"</formula>
    </cfRule>
    <cfRule type="expression" priority="3" dxfId="2" stopIfTrue="1">
      <formula>$J15=$C$11</formula>
    </cfRule>
  </conditionalFormatting>
  <conditionalFormatting sqref="Y15:Z15 S15:T15 K15">
    <cfRule type="expression" priority="4" dxfId="0" stopIfTrue="1">
      <formula>$J15=$C$2</formula>
    </cfRule>
    <cfRule type="expression" priority="5" dxfId="1" stopIfTrue="1">
      <formula>UPPER(LEFT($J15,5))="NÍVEL"</formula>
    </cfRule>
  </conditionalFormatting>
  <conditionalFormatting sqref="K14 K16:K20 K22:K27">
    <cfRule type="expression" priority="6" dxfId="3" stopIfTrue="1">
      <formula>$J14=$C$2</formula>
    </cfRule>
    <cfRule type="expression" priority="7" dxfId="4" stopIfTrue="1">
      <formula>AND($J14&lt;&gt;"",$J14&lt;&gt;"Serviço")</formula>
    </cfRule>
    <cfRule type="expression" priority="8" dxfId="5" stopIfTrue="1">
      <formula>$J14=""</formula>
    </cfRule>
  </conditionalFormatting>
  <conditionalFormatting sqref="P14 P22:P27 P16:P20">
    <cfRule type="expression" priority="9" dxfId="6" stopIfTrue="1">
      <formula>$J14=$C$2</formula>
    </cfRule>
    <cfRule type="expression" priority="10" dxfId="7" stopIfTrue="1">
      <formula>AND($J14&lt;&gt;"Serviço")</formula>
    </cfRule>
    <cfRule type="expression" priority="11" dxfId="8" stopIfTrue="1">
      <formula>CELL("proteger",P14)</formula>
    </cfRule>
  </conditionalFormatting>
  <conditionalFormatting sqref="Q14:R14 Q16:R20 Q22:R27">
    <cfRule type="expression" priority="12" dxfId="9" stopIfTrue="1">
      <formula>$J14=$C$2</formula>
    </cfRule>
    <cfRule type="expression" priority="13" dxfId="5" stopIfTrue="1">
      <formula>$J14&lt;&gt;"Serviço"</formula>
    </cfRule>
    <cfRule type="expression" priority="14" dxfId="10" stopIfTrue="1">
      <formula>CELL("proteger",Q14)</formula>
    </cfRule>
  </conditionalFormatting>
  <conditionalFormatting sqref="S14:T14 Y14:Z14 Y16:Z20 S16:T20 S22:T27 Y22:Z27">
    <cfRule type="expression" priority="15" dxfId="3" stopIfTrue="1">
      <formula>$J14=$C$2</formula>
    </cfRule>
    <cfRule type="expression" priority="16" dxfId="4" stopIfTrue="1">
      <formula>$J14&lt;&gt;"Serviço"</formula>
    </cfRule>
  </conditionalFormatting>
  <conditionalFormatting sqref="L14:M14 L16:M16 L20:M20 L22:M27">
    <cfRule type="expression" priority="17" dxfId="9" stopIfTrue="1">
      <formula>$J14=$C$2</formula>
    </cfRule>
    <cfRule type="expression" priority="18" dxfId="5" stopIfTrue="1">
      <formula>$J14&lt;&gt;"Serviço"</formula>
    </cfRule>
    <cfRule type="expression" priority="19" dxfId="10" stopIfTrue="1">
      <formula>OR(CELL("proteger",L14),$J14="",TipoOrçamento="Licitado")</formula>
    </cfRule>
  </conditionalFormatting>
  <conditionalFormatting sqref="K29:T29">
    <cfRule type="expression" priority="20" dxfId="11" stopIfTrue="1">
      <formula>OR("tipo.orçamento"="LICITADO","tipo.orçamento"="REPROGRAMADOAC")</formula>
    </cfRule>
    <cfRule type="expression" priority="21" dxfId="12" stopIfTrue="1">
      <formula>$M$29=""</formula>
    </cfRule>
  </conditionalFormatting>
  <conditionalFormatting sqref="J14 J16:J20 J22:J27">
    <cfRule type="expression" priority="22" dxfId="10" stopIfTrue="1">
      <formula>TipoOrçamento="Licitado"</formula>
    </cfRule>
  </conditionalFormatting>
  <conditionalFormatting sqref="O14 O16:O20 O22:O27">
    <cfRule type="expression" priority="23" dxfId="9" stopIfTrue="1">
      <formula>$J14=$C$2</formula>
    </cfRule>
    <cfRule type="expression" priority="24" dxfId="5" stopIfTrue="1">
      <formula>AND($J14&lt;&gt;"Serviço")</formula>
    </cfRule>
    <cfRule type="expression" priority="25" dxfId="10" stopIfTrue="1">
      <formula>CELL("proteger",O14)</formula>
    </cfRule>
  </conditionalFormatting>
  <conditionalFormatting sqref="N14 N20 N22:N27">
    <cfRule type="expression" priority="26" dxfId="13" stopIfTrue="1">
      <formula>$J14=$C$2</formula>
    </cfRule>
    <cfRule type="expression" priority="27" dxfId="4" stopIfTrue="1">
      <formula>$J14&lt;&gt;"Serviço"</formula>
    </cfRule>
    <cfRule type="expression" priority="28" dxfId="10" stopIfTrue="1">
      <formula>CELL("proteger",N14)</formula>
    </cfRule>
  </conditionalFormatting>
  <conditionalFormatting sqref="L17:M17 L19:M19 L18">
    <cfRule type="expression" priority="29" dxfId="9" stopIfTrue="1">
      <formula>$J17=$C$2</formula>
    </cfRule>
    <cfRule type="expression" priority="30" dxfId="5" stopIfTrue="1">
      <formula>$J17&lt;&gt;"Serviço"</formula>
    </cfRule>
    <cfRule type="expression" priority="31" dxfId="10" stopIfTrue="1">
      <formula>OR(CELL("proteger",L17),$J17="",TipoOrçamento="Licitado")</formula>
    </cfRule>
  </conditionalFormatting>
  <conditionalFormatting sqref="N18:N19">
    <cfRule type="expression" priority="32" dxfId="13" stopIfTrue="1">
      <formula>$J18=$C$2</formula>
    </cfRule>
    <cfRule type="expression" priority="33" dxfId="4" stopIfTrue="1">
      <formula>$J18&lt;&gt;"Serviço"</formula>
    </cfRule>
    <cfRule type="expression" priority="34" dxfId="10" stopIfTrue="1">
      <formula>CELL("proteger",N18)</formula>
    </cfRule>
  </conditionalFormatting>
  <conditionalFormatting sqref="N17">
    <cfRule type="expression" priority="35" dxfId="13" stopIfTrue="1">
      <formula>$J17=$C$2</formula>
    </cfRule>
    <cfRule type="expression" priority="36" dxfId="4" stopIfTrue="1">
      <formula>$J17&lt;&gt;"Serviço"</formula>
    </cfRule>
    <cfRule type="expression" priority="37" dxfId="10" stopIfTrue="1">
      <formula>CELL("proteger",N17)</formula>
    </cfRule>
  </conditionalFormatting>
  <conditionalFormatting sqref="N16">
    <cfRule type="expression" priority="38" dxfId="13" stopIfTrue="1">
      <formula>$J16=$C$2</formula>
    </cfRule>
    <cfRule type="expression" priority="39" dxfId="4" stopIfTrue="1">
      <formula>$J16&lt;&gt;"Serviço"</formula>
    </cfRule>
    <cfRule type="expression" priority="40" dxfId="10" stopIfTrue="1">
      <formula>CELL("proteger",N16)</formula>
    </cfRule>
  </conditionalFormatting>
  <conditionalFormatting sqref="M18">
    <cfRule type="expression" priority="41" dxfId="9" stopIfTrue="1">
      <formula>$J18=$C$2</formula>
    </cfRule>
    <cfRule type="expression" priority="42" dxfId="5" stopIfTrue="1">
      <formula>$J18&lt;&gt;"Serviço"</formula>
    </cfRule>
    <cfRule type="expression" priority="43" dxfId="10" stopIfTrue="1">
      <formula>OR(CELL("proteger",M18),$J18="",TipoOrçamento="Licitado")</formula>
    </cfRule>
  </conditionalFormatting>
  <conditionalFormatting sqref="K21">
    <cfRule type="expression" priority="44" dxfId="3" stopIfTrue="1">
      <formula>$J21=$C$2</formula>
    </cfRule>
    <cfRule type="expression" priority="45" dxfId="4" stopIfTrue="1">
      <formula>AND($J21&lt;&gt;"",$J21&lt;&gt;"Serviço")</formula>
    </cfRule>
    <cfRule type="expression" priority="46" dxfId="5" stopIfTrue="1">
      <formula>$J21=""</formula>
    </cfRule>
  </conditionalFormatting>
  <conditionalFormatting sqref="P21">
    <cfRule type="expression" priority="47" dxfId="6" stopIfTrue="1">
      <formula>$J21=$C$2</formula>
    </cfRule>
    <cfRule type="expression" priority="48" dxfId="7" stopIfTrue="1">
      <formula>AND($J21&lt;&gt;"Serviço")</formula>
    </cfRule>
    <cfRule type="expression" priority="49" dxfId="8" stopIfTrue="1">
      <formula>CELL("proteger",P21)</formula>
    </cfRule>
  </conditionalFormatting>
  <conditionalFormatting sqref="Q21:R21">
    <cfRule type="expression" priority="50" dxfId="9" stopIfTrue="1">
      <formula>$J21=$C$2</formula>
    </cfRule>
    <cfRule type="expression" priority="51" dxfId="5" stopIfTrue="1">
      <formula>$J21&lt;&gt;"Serviço"</formula>
    </cfRule>
    <cfRule type="expression" priority="52" dxfId="10" stopIfTrue="1">
      <formula>CELL("proteger",Q21)</formula>
    </cfRule>
  </conditionalFormatting>
  <conditionalFormatting sqref="S21:T21 Y21:Z21">
    <cfRule type="expression" priority="53" dxfId="3" stopIfTrue="1">
      <formula>$J21=$C$2</formula>
    </cfRule>
    <cfRule type="expression" priority="54" dxfId="4" stopIfTrue="1">
      <formula>$J21&lt;&gt;"Serviço"</formula>
    </cfRule>
  </conditionalFormatting>
  <conditionalFormatting sqref="L21">
    <cfRule type="expression" priority="55" dxfId="9" stopIfTrue="1">
      <formula>$J21=$C$2</formula>
    </cfRule>
    <cfRule type="expression" priority="56" dxfId="5" stopIfTrue="1">
      <formula>$J21&lt;&gt;"Serviço"</formula>
    </cfRule>
    <cfRule type="expression" priority="57" dxfId="10" stopIfTrue="1">
      <formula>OR(CELL("proteger",L21),$J21="",TipoOrçamento="Licitado")</formula>
    </cfRule>
  </conditionalFormatting>
  <conditionalFormatting sqref="J21">
    <cfRule type="expression" priority="58" dxfId="10" stopIfTrue="1">
      <formula>TipoOrçamento="Licitado"</formula>
    </cfRule>
  </conditionalFormatting>
  <conditionalFormatting sqref="M21">
    <cfRule type="expression" priority="59" dxfId="9" stopIfTrue="1">
      <formula>$J21=$C$2</formula>
    </cfRule>
    <cfRule type="expression" priority="60" dxfId="5" stopIfTrue="1">
      <formula>$J21&lt;&gt;"Serviço"</formula>
    </cfRule>
    <cfRule type="expression" priority="61" dxfId="10" stopIfTrue="1">
      <formula>OR(CELL("proteger",M21),$J21="",TipoOrçamento="Licitado")</formula>
    </cfRule>
  </conditionalFormatting>
  <conditionalFormatting sqref="O21">
    <cfRule type="expression" priority="62" dxfId="9" stopIfTrue="1">
      <formula>$J21=$C$2</formula>
    </cfRule>
    <cfRule type="expression" priority="63" dxfId="5" stopIfTrue="1">
      <formula>AND($J21&lt;&gt;"Serviço")</formula>
    </cfRule>
    <cfRule type="expression" priority="64" dxfId="10" stopIfTrue="1">
      <formula>CELL("proteger",O21)</formula>
    </cfRule>
  </conditionalFormatting>
  <conditionalFormatting sqref="N21">
    <cfRule type="expression" priority="65" dxfId="13" stopIfTrue="1">
      <formula>$J21=$C$2</formula>
    </cfRule>
    <cfRule type="expression" priority="66" dxfId="4" stopIfTrue="1">
      <formula>$J21&lt;&gt;"Serviço"</formula>
    </cfRule>
    <cfRule type="expression" priority="67" dxfId="10" stopIfTrue="1">
      <formula>CELL("proteger",N21)</formula>
    </cfRule>
  </conditionalFormatting>
  <dataValidations count="3">
    <dataValidation type="list" showInputMessage="1" showErrorMessage="1" promptTitle="Nível:" prompt="Selecione na lista o nível de itemização da Planilha." errorTitle="Erro de Entrada" error="Selecione somente os itens da lista." sqref="J14 J17:J27">
      <formula1>$C$2:$G$2</formula1>
      <formula2>0</formula2>
    </dataValidation>
    <dataValidation errorStyle="warning" type="list" allowBlank="1" showInputMessage="1" showErrorMessage="1" error="Selecione um dos 5 BDI da lista.&#10;&#10;Caso tenha mais de 5 BDI nesta Planilha Orçamentária digite apenas valor percentual." sqref="R14 R16:R27">
      <formula1>Dados.Lista.BDI</formula1>
      <formula2>0</formula2>
    </dataValidation>
    <dataValidation type="decimal" operator="greaterThan" allowBlank="1" showInputMessage="1" showErrorMessage="1" error="Apenas números decimais maiores que zero." sqref="Q14 Q16:Q27">
      <formula1>0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landscape" paperSize="9" scale="55"/>
  <rowBreaks count="1" manualBreakCount="1">
    <brk id="4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view="pageBreakPreview" zoomScaleSheetLayoutView="100" workbookViewId="0" topLeftCell="L1">
      <selection activeCell="Q18" sqref="Q18"/>
    </sheetView>
  </sheetViews>
  <sheetFormatPr defaultColWidth="8.00390625" defaultRowHeight="15"/>
  <cols>
    <col min="1" max="4" width="9.140625" style="70" hidden="1" customWidth="1"/>
    <col min="5" max="8" width="5.7109375" style="70" hidden="1" customWidth="1"/>
    <col min="9" max="10" width="6.7109375" style="70" hidden="1" customWidth="1"/>
    <col min="11" max="11" width="10.7109375" style="70" hidden="1" customWidth="1"/>
    <col min="12" max="12" width="10.7109375" style="70" customWidth="1"/>
    <col min="13" max="13" width="40.57421875" style="70" customWidth="1"/>
    <col min="14" max="14" width="16.421875" style="71" customWidth="1"/>
    <col min="15" max="15" width="16.57421875" style="70" customWidth="1"/>
    <col min="16" max="23" width="15.7109375" style="70" customWidth="1"/>
    <col min="24" max="24" width="0.85546875" style="72" customWidth="1"/>
    <col min="25" max="28" width="9.140625" style="70" customWidth="1"/>
    <col min="29" max="29" width="15.7109375" style="70" hidden="1" customWidth="1"/>
    <col min="30" max="16384" width="9.140625" style="70" customWidth="1"/>
  </cols>
  <sheetData>
    <row r="1" spans="1:29" s="79" customFormat="1" ht="12.75" customHeight="1">
      <c r="A1" s="73"/>
      <c r="B1" s="73"/>
      <c r="C1" s="73"/>
      <c r="D1" s="73"/>
      <c r="E1" s="74"/>
      <c r="F1" s="74"/>
      <c r="G1" s="74"/>
      <c r="H1" s="74"/>
      <c r="I1" s="74"/>
      <c r="J1" s="74"/>
      <c r="K1" s="74"/>
      <c r="L1" s="73"/>
      <c r="M1" s="73"/>
      <c r="N1" s="73"/>
      <c r="O1" s="75" t="s">
        <v>64</v>
      </c>
      <c r="P1" s="76" t="s">
        <v>65</v>
      </c>
      <c r="Q1" s="77"/>
      <c r="R1" s="73"/>
      <c r="S1" s="73"/>
      <c r="T1" s="73"/>
      <c r="U1" s="78"/>
      <c r="V1" s="78"/>
      <c r="W1" s="78"/>
      <c r="X1" s="78"/>
      <c r="AC1" s="78"/>
    </row>
    <row r="2" spans="1:29" s="79" customFormat="1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5"/>
      <c r="P2" s="80">
        <f>CHOOSE(1+LOG(1+2*(TipoOrçamento="BASE")+4*(TipoOrçamento="LICITADO")+8*(TipoOrçamento="REPROGRAMADOAC")+16*(TipoOrçamento="REPROGRAMADONPL"),2),"nada","Cronograma Base para Licitação","Cronograma Licitado","Cronograma Licitado Reprogramado","Cronograma Base para Licitação - Reprogramado")</f>
        <v>0</v>
      </c>
      <c r="Q2" s="78"/>
      <c r="R2" s="78"/>
      <c r="S2" s="78"/>
      <c r="T2" s="78"/>
      <c r="U2" s="78"/>
      <c r="V2" s="76"/>
      <c r="W2" s="78"/>
      <c r="X2" s="78"/>
      <c r="AC2" s="78"/>
    </row>
    <row r="3" spans="1:29" s="79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20"/>
      <c r="T3" s="78"/>
      <c r="U3" s="78"/>
      <c r="V3" s="78"/>
      <c r="W3" s="78"/>
      <c r="X3" s="78"/>
      <c r="AC3" s="78"/>
    </row>
    <row r="4" spans="1:29" s="79" customFormat="1" ht="24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AC4" s="78"/>
    </row>
    <row r="5" spans="1:29" s="79" customFormat="1" ht="24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AC5" s="78"/>
    </row>
    <row r="6" spans="1:29" s="79" customFormat="1" ht="24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AC6" s="78"/>
    </row>
    <row r="7" spans="1:29" s="79" customFormat="1" ht="21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AC7" s="78"/>
    </row>
    <row r="8" spans="1:29" s="79" customFormat="1" ht="30" customHeight="1">
      <c r="A8" s="81" t="s">
        <v>66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82">
        <f ca="1">IF(MAX($A$14:$A$22)&lt;&gt;MAX('[1]PO'!$V$12:$V$25),"ERRO: CRONOGRAMA DESATUALIZADO",IF(OR(COUNTIF($O$16:$X$16,"&gt;1")&gt;0,OFFSET($X$17,0,-1)&lt;&gt;$N$14),"ERRO: CRONOGRAMA NÃO FECHA EM 100%",""))</f>
        <v>0</v>
      </c>
      <c r="M8" s="82"/>
      <c r="N8" s="83">
        <f>IF(TipoOrçamento="REPROGRAMADOAC","Qtde de Medições realizadas","")</f>
        <v>0</v>
      </c>
      <c r="O8" s="84"/>
      <c r="P8" s="85"/>
      <c r="Q8" s="78"/>
      <c r="R8" s="78"/>
      <c r="S8" s="78"/>
      <c r="T8" s="78"/>
      <c r="U8" s="78"/>
      <c r="V8" s="78"/>
      <c r="W8" s="78"/>
      <c r="X8" s="78"/>
      <c r="AC8" s="78"/>
    </row>
    <row r="9" spans="1:29" s="79" customFormat="1" ht="13.5" customHeight="1">
      <c r="A9" s="86">
        <v>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20"/>
      <c r="M9" s="20"/>
      <c r="N9" s="87">
        <v>1</v>
      </c>
      <c r="O9" s="88">
        <f>IF(AND(TipoOrçamento="REPROGRAMADOAC",$N$9&gt;0),$N$9-1,0)</f>
        <v>0</v>
      </c>
      <c r="P9" s="89">
        <f ca="1">OFFSET(P9,0,-1)+1</f>
        <v>1</v>
      </c>
      <c r="Q9" s="89">
        <f ca="1">OFFSET(Q9,0,-1)+1</f>
        <v>2</v>
      </c>
      <c r="R9" s="89">
        <f ca="1">OFFSET(R9,0,-1)+1</f>
        <v>3</v>
      </c>
      <c r="S9" s="89">
        <f ca="1">OFFSET(S9,0,-1)+1</f>
        <v>4</v>
      </c>
      <c r="T9" s="89">
        <f ca="1">OFFSET(T9,0,-1)+1</f>
        <v>5</v>
      </c>
      <c r="U9" s="89">
        <f ca="1">OFFSET(U9,0,-1)+1</f>
        <v>6</v>
      </c>
      <c r="V9" s="89">
        <f ca="1">OFFSET(V9,0,-1)+1</f>
        <v>7</v>
      </c>
      <c r="W9" s="89">
        <f ca="1">OFFSET(W9,0,-1)+1</f>
        <v>8</v>
      </c>
      <c r="X9" s="78"/>
      <c r="AC9" s="89">
        <f ca="1">OFFSET(AC9,0,-1)+1</f>
        <v>1</v>
      </c>
    </row>
    <row r="10" spans="1:29" s="99" customFormat="1" ht="30" customHeight="1">
      <c r="A10" s="90" t="s">
        <v>67</v>
      </c>
      <c r="B10" s="90" t="s">
        <v>68</v>
      </c>
      <c r="C10" s="90" t="s">
        <v>23</v>
      </c>
      <c r="D10" s="90" t="s">
        <v>24</v>
      </c>
      <c r="E10" s="90" t="s">
        <v>69</v>
      </c>
      <c r="F10" s="90" t="s">
        <v>70</v>
      </c>
      <c r="G10" s="90" t="s">
        <v>71</v>
      </c>
      <c r="H10" s="90" t="s">
        <v>72</v>
      </c>
      <c r="I10" s="90" t="s">
        <v>30</v>
      </c>
      <c r="J10" s="90" t="s">
        <v>31</v>
      </c>
      <c r="K10" s="90" t="s">
        <v>73</v>
      </c>
      <c r="L10" s="91" t="s">
        <v>32</v>
      </c>
      <c r="M10" s="92" t="s">
        <v>74</v>
      </c>
      <c r="N10" s="93" t="s">
        <v>75</v>
      </c>
      <c r="O10" s="94">
        <f>IF(TipoOrçamento="REPROGRAMADOAC","Reinício de Obra","Início de Obra")&amp;CHAR(10)&amp;TEXT('[1]DADOS'!A48,"dd/mm/aa")</f>
        <v>0</v>
      </c>
      <c r="P10" s="95">
        <f>IF(AND(TipoOrçamento="REPROGRAMADOAC",$N$9&gt;0,N10="Valores Totais (R$)"),"Parcela "&amp;$N$9&amp;" Executado","Parcela "&amp;P$9&amp;CHAR(10)&amp;TEXT(DATE(YEAR('[1]DADOS'!$A$48),MONTH('[1]DADOS'!$A$48)+P$9-IF(AND(TipoOrçamento="REPROGRAMADOAC",$N$9&gt;0),$N$9,0),1),"mmm/aa"))</f>
        <v>0</v>
      </c>
      <c r="Q10" s="96">
        <f>IF(AND(TipoOrçamento="REPROGRAMADOAC",$N$9&gt;0,O10="Valores Totais (R$)"),"Parcela "&amp;$N$9&amp;" Executado","Parcela "&amp;Q$9&amp;CHAR(10)&amp;TEXT(DATE(YEAR('[1]DADOS'!$A$48),MONTH('[1]DADOS'!$A$48)+Q$9-IF(AND(TipoOrçamento="REPROGRAMADOAC",$N$9&gt;0),$N$9,0),1),"mmm/aa"))</f>
        <v>0</v>
      </c>
      <c r="R10" s="96">
        <f>IF(AND(TipoOrçamento="REPROGRAMADOAC",$N$9&gt;0,P10="Valores Totais (R$)"),"Parcela "&amp;$N$9&amp;" Executado","Parcela "&amp;R$9&amp;CHAR(10)&amp;TEXT(DATE(YEAR('[1]DADOS'!$A$48),MONTH('[1]DADOS'!$A$48)+R$9-IF(AND(TipoOrçamento="REPROGRAMADOAC",$N$9&gt;0),$N$9,0),1),"mmm/aa"))</f>
        <v>0</v>
      </c>
      <c r="S10" s="96"/>
      <c r="T10" s="96"/>
      <c r="U10" s="96"/>
      <c r="V10" s="96"/>
      <c r="W10" s="97"/>
      <c r="X10" s="98"/>
      <c r="AC10" s="96">
        <f>IF(AND(TipoOrçamento="REPROGRAMADOAC",$N$9&gt;0,AA10="Valores Totais (R$)"),"Parcela "&amp;$N$9&amp;" Executado","Parcela "&amp;AC$9&amp;CHAR(10)&amp;TEXT(DATE(YEAR('[1]DADOS'!$A$48),MONTH('[1]DADOS'!$A$48)+AC$9-IF(AND(TipoOrçamento="REPROGRAMADOAC",$N$9&gt;0),$N$9,0),1),"mmm/aa"))</f>
        <v>0</v>
      </c>
    </row>
    <row r="11" spans="1:29" ht="14.25" customHeight="1" hidden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00" t="e">
        <f>INDEX('[1]PO'!K$12:K$25,MATCH($A13,'[1]PO'!$V$12:$V$25,0))</f>
        <v>#VALUE!</v>
      </c>
      <c r="M11" s="101" t="e">
        <f>INDEX('[1]PO'!N$12:N$25,MATCH($A13,'[1]PO'!$V$12:$V$25,0))</f>
        <v>#VALUE!</v>
      </c>
      <c r="N11" s="102" t="e">
        <f>IF(ROUND(K13,2)=0,K13,ROUND(K13,2))</f>
        <v>#VALUE!</v>
      </c>
      <c r="O11" s="103" t="s">
        <v>76</v>
      </c>
      <c r="P11" s="104" t="e">
        <f>IF($B13,0,P12-IF(ISNUMBER(O12),O12,0))</f>
        <v>#VALUE!</v>
      </c>
      <c r="Q11" s="105" t="e">
        <f>IF($B13,0,Q12-IF(ISNUMBER(P12),P12,0))</f>
        <v>#VALUE!</v>
      </c>
      <c r="R11" s="105" t="e">
        <f>IF($B13,0,R12-IF(ISNUMBER(Q12),Q12,0))</f>
        <v>#VALUE!</v>
      </c>
      <c r="S11" s="105" t="e">
        <f>IF($B13,0,S12-IF(ISNUMBER(R12),R12,0))</f>
        <v>#VALUE!</v>
      </c>
      <c r="T11" s="105" t="e">
        <f>IF($B13,0,T12-IF(ISNUMBER(S12),S12,0))</f>
        <v>#VALUE!</v>
      </c>
      <c r="U11" s="105" t="e">
        <f>IF($B13,0,U12-IF(ISNUMBER(T12),T12,0))</f>
        <v>#VALUE!</v>
      </c>
      <c r="V11" s="105" t="e">
        <f>IF($B13,0,V12-IF(ISNUMBER(U12),U12,0))</f>
        <v>#VALUE!</v>
      </c>
      <c r="W11" s="106" t="e">
        <f>IF($B13,0,W12-IF(ISNUMBER(V12),V12,0))</f>
        <v>#VALUE!</v>
      </c>
      <c r="X11" s="107"/>
      <c r="AC11" s="108" t="e">
        <f>#N/A</f>
        <v>#VALUE!</v>
      </c>
    </row>
    <row r="12" spans="1:29" ht="15" hidden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0"/>
      <c r="M12" s="101"/>
      <c r="N12" s="102"/>
      <c r="O12" s="110" t="s">
        <v>77</v>
      </c>
      <c r="P12" s="111" t="e">
        <f>MIN(IF($B13,P11+IF(ISNUMBER(O12),O12,0),P13/$N11),1)</f>
        <v>#VALUE!</v>
      </c>
      <c r="Q12" s="112" t="e">
        <f>MIN(IF($B13,Q11+IF(ISNUMBER(P12),P12,0),Q13/$N11),1)</f>
        <v>#VALUE!</v>
      </c>
      <c r="R12" s="112" t="e">
        <f>MIN(IF($B13,R11+IF(ISNUMBER(Q12),Q12,0),R13/$N11),1)</f>
        <v>#VALUE!</v>
      </c>
      <c r="S12" s="112" t="e">
        <f>MIN(IF($B13,S11+IF(ISNUMBER(R12),R12,0),S13/$N11),1)</f>
        <v>#VALUE!</v>
      </c>
      <c r="T12" s="112" t="e">
        <f>MIN(IF($B13,T11+IF(ISNUMBER(S12),S12,0),T13/$N11),1)</f>
        <v>#VALUE!</v>
      </c>
      <c r="U12" s="112" t="e">
        <f>MIN(IF($B13,U11+IF(ISNUMBER(T12),T12,0),U13/$N11),1)</f>
        <v>#VALUE!</v>
      </c>
      <c r="V12" s="112" t="e">
        <f>MIN(IF($B13,V11+IF(ISNUMBER(U12),U12,0),V13/$N11),1)</f>
        <v>#VALUE!</v>
      </c>
      <c r="W12" s="112" t="e">
        <f>MIN(IF($B13,W11+IF(ISNUMBER(V12),V12,0),W13/$N11),1)</f>
        <v>#VALUE!</v>
      </c>
      <c r="X12" s="107"/>
      <c r="AC12" s="112" t="e">
        <f>MIN(IF($B13,AC11+IF(ISNUMBER(AB12),AB12,0),AC13/$N11),1)</f>
        <v>#VALUE!</v>
      </c>
    </row>
    <row r="13" spans="1:29" ht="15" hidden="1">
      <c r="A13" s="109" t="e">
        <f ca="1">OFFSET(A13,-CFF.NumLinha,0)+1</f>
        <v>#VALUE!</v>
      </c>
      <c r="B13" s="109" t="e">
        <f ca="1">$C13&gt;=OFFSET($C13,CFF.NumLinha,0)</f>
        <v>#VALUE!</v>
      </c>
      <c r="C13" s="109" t="e">
        <f>INDEX('[1]PO'!A$12:A$25,MATCH($A13,'[1]PO'!$V$12:$V$25,0))</f>
        <v>#VALUE!</v>
      </c>
      <c r="D13" s="109" t="e">
        <f>IF(ISERROR(J13),I13,SMALL(I13:J13,1))-1</f>
        <v>#VALUE!</v>
      </c>
      <c r="E13" s="109" t="e">
        <f ca="1">IF($C13=1,OFFSET(E13,-CFF.NumLinha,0)+1,OFFSET(E13,-CFF.NumLinha,0))</f>
        <v>#VALUE!</v>
      </c>
      <c r="F13" s="109" t="e">
        <f ca="1">IF($C13=1,0,IF($C13=2,OFFSET(F13,-CFF.NumLinha,0)+1,OFFSET(F13,-CFF.NumLinha,0)))</f>
        <v>#VALUE!</v>
      </c>
      <c r="G13" s="109" t="e">
        <f ca="1">IF(AND($C13&lt;=2,$C13&lt;&gt;0),0,IF($C13=3,OFFSET(G13,-CFF.NumLinha,0)+1,OFFSET(G13,-CFF.NumLinha,0)))</f>
        <v>#VALUE!</v>
      </c>
      <c r="H13" s="109" t="e">
        <f ca="1">IF(AND($C13&lt;=3,$C13&lt;&gt;0),0,IF($C13=4,OFFSET(H13,-CFF.NumLinha,0)+1,OFFSET(H13,-CFF.NumLinha,0)))</f>
        <v>#VALUE!</v>
      </c>
      <c r="I13" s="109" t="e">
        <f ca="1">MATCH(0,OFFSET($D13,1,$C13,ROW($A$21)-ROW($A13)),0)</f>
        <v>#VALUE!</v>
      </c>
      <c r="J13" s="109" t="e">
        <f ca="1">MATCH(OFFSET($D13,0,$C13)+1,OFFSET($D13,1,$C13,ROW($A$21)-ROW($A13)),0)</f>
        <v>#VALUE!</v>
      </c>
      <c r="K13" s="113" t="e">
        <f>ROUND(INDEX('[1]PO'!T$12:T$25,MATCH($A13,'[1]PO'!$V$12:$V$25,0)),2)+10^-12</f>
        <v>#VALUE!</v>
      </c>
      <c r="L13" s="100"/>
      <c r="M13" s="101"/>
      <c r="N13" s="102"/>
      <c r="O13" s="114" t="s">
        <v>78</v>
      </c>
      <c r="P13" s="115" t="e">
        <f ca="1">IF($B13,ROUND(P12*$N11,2),ROUND(SUMIF(OFFSET($B13,1,0,$D13),1,OFFSET(P13,1,0,$D13))/SUMIF(OFFSET($B13,1,0,$D13),1,OFFSET($K13,1,0,$D13))*$N11,2))</f>
        <v>#VALUE!</v>
      </c>
      <c r="Q13" s="116" t="e">
        <f ca="1">IF($B13,ROUND(Q12*$N11,2),ROUND(SUMIF(OFFSET($B13,1,0,$D13),1,OFFSET(Q13,1,0,$D13))/SUMIF(OFFSET($B13,1,0,$D13),1,OFFSET($K13,1,0,$D13))*$N11,2))</f>
        <v>#VALUE!</v>
      </c>
      <c r="R13" s="116" t="e">
        <f ca="1">IF($B13,ROUND(R12*$N11,2),ROUND(SUMIF(OFFSET($B13,1,0,$D13),1,OFFSET(R13,1,0,$D13))/SUMIF(OFFSET($B13,1,0,$D13),1,OFFSET($K13,1,0,$D13))*$N11,2))</f>
        <v>#VALUE!</v>
      </c>
      <c r="S13" s="116" t="e">
        <f ca="1">IF($B13,ROUND(S12*$N11,2),ROUND(SUMIF(OFFSET($B13,1,0,$D13),1,OFFSET(S13,1,0,$D13))/SUMIF(OFFSET($B13,1,0,$D13),1,OFFSET($K13,1,0,$D13))*$N11,2))</f>
        <v>#VALUE!</v>
      </c>
      <c r="T13" s="116" t="e">
        <f ca="1">IF($B13,ROUND(T12*$N11,2),ROUND(SUMIF(OFFSET($B13,1,0,$D13),1,OFFSET(T13,1,0,$D13))/SUMIF(OFFSET($B13,1,0,$D13),1,OFFSET($K13,1,0,$D13))*$N11,2))</f>
        <v>#VALUE!</v>
      </c>
      <c r="U13" s="116" t="e">
        <f ca="1">IF($B13,ROUND(U12*$N11,2),ROUND(SUMIF(OFFSET($B13,1,0,$D13),1,OFFSET(U13,1,0,$D13))/SUMIF(OFFSET($B13,1,0,$D13),1,OFFSET($K13,1,0,$D13))*$N11,2))</f>
        <v>#VALUE!</v>
      </c>
      <c r="V13" s="116" t="e">
        <f ca="1">IF($B13,ROUND(V12*$N11,2),ROUND(SUMIF(OFFSET($B13,1,0,$D13),1,OFFSET(V13,1,0,$D13))/SUMIF(OFFSET($B13,1,0,$D13),1,OFFSET($K13,1,0,$D13))*$N11,2))</f>
        <v>#VALUE!</v>
      </c>
      <c r="W13" s="117" t="e">
        <f ca="1">IF($B13,ROUND(W12*$N11,2),ROUND(SUMIF(OFFSET($B13,1,0,$D13),1,OFFSET(W13,1,0,$D13))/SUMIF(OFFSET($B13,1,0,$D13),1,OFFSET($K13,1,0,$D13))*$N11,2))</f>
        <v>#VALUE!</v>
      </c>
      <c r="X13" s="107"/>
      <c r="AC13" s="116" t="e">
        <f ca="1">IF($B13,ROUND(AC12*$N11,2),ROUND(SUMIF(OFFSET($B13,1,0,$D13),1,OFFSET(AC13,1,0,$D13))/SUMIF(OFFSET($B13,1,0,$D13),1,OFFSET($K13,1,0,$D13))*$N11,2))</f>
        <v>#VALUE!</v>
      </c>
    </row>
    <row r="14" spans="1:29" s="124" customFormat="1" ht="12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118" t="s">
        <v>79</v>
      </c>
      <c r="M14" s="118"/>
      <c r="N14" s="119"/>
      <c r="O14" s="120" t="s">
        <v>76</v>
      </c>
      <c r="P14" s="121" t="e">
        <f>ROUND(P15/$N14,4)</f>
        <v>#DIV/0!</v>
      </c>
      <c r="Q14" s="122" t="e">
        <f>ROUND(Q15/$N14,4)</f>
        <v>#DIV/0!</v>
      </c>
      <c r="R14" s="122" t="e">
        <f>ROUND(R15/$N14,4)</f>
        <v>#DIV/0!</v>
      </c>
      <c r="S14" s="122" t="e">
        <f>ROUND(S15/$N14,4)</f>
        <v>#DIV/0!</v>
      </c>
      <c r="T14" s="122" t="e">
        <f>ROUND(T15/$N14,4)</f>
        <v>#DIV/0!</v>
      </c>
      <c r="U14" s="122" t="e">
        <f>ROUND(U15/$N14,4)</f>
        <v>#DIV/0!</v>
      </c>
      <c r="V14" s="122" t="e">
        <f>ROUND(V15/$N14,4)</f>
        <v>#DIV/0!</v>
      </c>
      <c r="W14" s="122" t="e">
        <f>ROUND(W15/$N14,4)</f>
        <v>#DIV/0!</v>
      </c>
      <c r="X14" s="123"/>
      <c r="AC14" s="122" t="e">
        <f>ROUND(AC15/$N14,4)</f>
        <v>#DIV/0!</v>
      </c>
    </row>
    <row r="15" spans="1:29" s="124" customFormat="1" ht="12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18"/>
      <c r="M15" s="118"/>
      <c r="N15" s="119"/>
      <c r="O15" s="125" t="s">
        <v>80</v>
      </c>
      <c r="P15" s="126">
        <f>P17-IF(ISNUMBER(O17),O17,0)</f>
        <v>0</v>
      </c>
      <c r="Q15" s="127">
        <f>Q17-IF(ISNUMBER(P17),P17,0)</f>
        <v>0</v>
      </c>
      <c r="R15" s="127">
        <f>R17-IF(ISNUMBER(Q17),Q17,0)</f>
        <v>0</v>
      </c>
      <c r="S15" s="127">
        <f>S17-IF(ISNUMBER(R17),R17,0)</f>
        <v>0</v>
      </c>
      <c r="T15" s="127">
        <f>T17-IF(ISNUMBER(S17),S17,0)</f>
        <v>0</v>
      </c>
      <c r="U15" s="127">
        <f>U17-IF(ISNUMBER(T17),T17,0)</f>
        <v>0</v>
      </c>
      <c r="V15" s="127">
        <f>V17-IF(ISNUMBER(U17),U17,0)</f>
        <v>0</v>
      </c>
      <c r="W15" s="127">
        <f>W17-IF(ISNUMBER(V17),V17,0)</f>
        <v>0</v>
      </c>
      <c r="X15" s="123"/>
      <c r="AC15" s="127">
        <f>AC17-IF(ISNUMBER(AB17),AB17,0)</f>
        <v>0</v>
      </c>
    </row>
    <row r="16" spans="1:29" s="124" customFormat="1" ht="12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118"/>
      <c r="M16" s="118"/>
      <c r="N16" s="119"/>
      <c r="O16" s="128" t="s">
        <v>77</v>
      </c>
      <c r="P16" s="129" t="e">
        <f>ROUND(P17/$N14,4)</f>
        <v>#DIV/0!</v>
      </c>
      <c r="Q16" s="130" t="e">
        <f>ROUND(Q17/$N14,4)</f>
        <v>#DIV/0!</v>
      </c>
      <c r="R16" s="130" t="e">
        <f>ROUND(R17/$N14,4)</f>
        <v>#DIV/0!</v>
      </c>
      <c r="S16" s="130" t="e">
        <f>ROUND(S17/$N14,4)</f>
        <v>#DIV/0!</v>
      </c>
      <c r="T16" s="130" t="e">
        <f>ROUND(T17/$N14,4)</f>
        <v>#DIV/0!</v>
      </c>
      <c r="U16" s="130" t="e">
        <f>ROUND(U17/$N14,4)</f>
        <v>#DIV/0!</v>
      </c>
      <c r="V16" s="130" t="e">
        <f>ROUND(V17/$N14,4)</f>
        <v>#DIV/0!</v>
      </c>
      <c r="W16" s="130" t="e">
        <f>ROUND(W17/$N14,4)</f>
        <v>#DIV/0!</v>
      </c>
      <c r="X16" s="123"/>
      <c r="AC16" s="130" t="e">
        <f>ROUND(AC17/$N14,4)</f>
        <v>#DIV/0!</v>
      </c>
    </row>
    <row r="17" spans="1:29" s="124" customFormat="1" ht="12.75" customHeight="1">
      <c r="A17" s="131">
        <v>0</v>
      </c>
      <c r="B17" s="78"/>
      <c r="C17" s="78"/>
      <c r="D17" s="131">
        <f>ROW(D$21)-ROW(D18)</f>
        <v>3</v>
      </c>
      <c r="E17" s="78"/>
      <c r="F17" s="78"/>
      <c r="G17" s="78"/>
      <c r="H17" s="78"/>
      <c r="I17" s="78"/>
      <c r="J17" s="78"/>
      <c r="K17" s="78"/>
      <c r="L17" s="118"/>
      <c r="M17" s="118"/>
      <c r="N17" s="119"/>
      <c r="O17" s="132" t="s">
        <v>78</v>
      </c>
      <c r="P17" s="133">
        <f ca="1">SUMIF(OFFSET($C17,1,0):$C$21,1,OFFSET(P17,1,0):P$21)</f>
        <v>0</v>
      </c>
      <c r="Q17" s="134">
        <f ca="1">SUMIF(OFFSET($C17,1,0):$C$21,1,OFFSET(Q17,1,0):Q$21)</f>
        <v>0</v>
      </c>
      <c r="R17" s="134">
        <f ca="1">SUMIF(OFFSET($C17,1,0):$C$21,1,OFFSET(R17,1,0):R$21)</f>
        <v>0</v>
      </c>
      <c r="S17" s="134">
        <f ca="1">SUMIF(OFFSET($C17,1,0):$C$21,1,OFFSET(S17,1,0):S$21)</f>
        <v>0</v>
      </c>
      <c r="T17" s="134">
        <f ca="1">SUMIF(OFFSET($C17,1,0):$C$21,1,OFFSET(T17,1,0):T$21)</f>
        <v>0</v>
      </c>
      <c r="U17" s="134">
        <f ca="1">SUMIF(OFFSET($C17,1,0):$C$21,1,OFFSET(U17,1,0):U$21)</f>
        <v>0</v>
      </c>
      <c r="V17" s="134">
        <f ca="1">SUMIF(OFFSET($C17,1,0):$C$21,1,OFFSET(V17,1,0):V$21)</f>
        <v>0</v>
      </c>
      <c r="W17" s="134">
        <f ca="1">SUMIF(OFFSET($C17,1,0):$C$21,1,OFFSET(W17,1,0):W$21)</f>
        <v>0</v>
      </c>
      <c r="X17" s="123"/>
      <c r="AC17" s="134">
        <f ca="1">SUMIF(OFFSET($C17,1,0):$C$21,1,OFFSET(AC17,1,0):AC$21)</f>
        <v>0</v>
      </c>
    </row>
    <row r="18" spans="1:29" ht="14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00">
        <f>INDEX('[1]PO'!K$12:K$25,MATCH($A20,'[1]PO'!$V$12:$V$25,0))</f>
        <v>0</v>
      </c>
      <c r="M18" s="101">
        <f>INDEX('[1]PO'!N$12:N$25,MATCH($A20,'[1]PO'!$V$12:$V$25,0))</f>
        <v>0</v>
      </c>
      <c r="N18" s="102"/>
      <c r="O18" s="135" t="s">
        <v>76</v>
      </c>
      <c r="P18" s="104"/>
      <c r="Q18" s="105"/>
      <c r="R18" s="105"/>
      <c r="S18" s="105"/>
      <c r="T18" s="105"/>
      <c r="U18" s="105"/>
      <c r="V18" s="105">
        <f>IF($B20,0,V19-IF(ISNUMBER(U19),U19,0))</f>
        <v>0</v>
      </c>
      <c r="W18" s="106">
        <f>IF($B20,0,W19-IF(ISNUMBER(V19),V19,0))</f>
        <v>0</v>
      </c>
      <c r="X18" s="107"/>
      <c r="AC18" s="108">
        <v>0</v>
      </c>
    </row>
    <row r="19" spans="1:29" ht="1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100"/>
      <c r="M19" s="101"/>
      <c r="N19" s="102"/>
      <c r="O19" s="110" t="s">
        <v>77</v>
      </c>
      <c r="P19" s="111">
        <f>MIN(IF($B20,P18+IF(ISNUMBER(O19),O19,0),P20/$N18),1)</f>
        <v>0</v>
      </c>
      <c r="Q19" s="112">
        <f>MIN(IF($B20,Q18+IF(ISNUMBER(P19),P19,0),Q20/$N18),1)</f>
        <v>0</v>
      </c>
      <c r="R19" s="112">
        <f>MIN(IF($B20,R18+IF(ISNUMBER(Q19),Q19,0),R20/$N18),1)</f>
        <v>0</v>
      </c>
      <c r="S19" s="112">
        <f>MIN(IF($B20,S18+IF(ISNUMBER(R19),R19,0),S20/$N18),1)</f>
        <v>0</v>
      </c>
      <c r="T19" s="112">
        <f>MIN(IF($B20,T18+IF(ISNUMBER(S19),S19,0),T20/$N18),1)</f>
        <v>0</v>
      </c>
      <c r="U19" s="112">
        <f>MIN(IF($B20,U18+IF(ISNUMBER(T19),T19,0),U20/$N18),1)</f>
        <v>0</v>
      </c>
      <c r="V19" s="112">
        <f>MIN(IF($B20,V18+IF(ISNUMBER(U19),U19,0),V20/$N18),1)</f>
        <v>0</v>
      </c>
      <c r="W19" s="112">
        <f>MIN(IF($B20,W18+IF(ISNUMBER(V19),V19,0),W20/$N18),1)</f>
        <v>0</v>
      </c>
      <c r="X19" s="107"/>
      <c r="AC19" s="112">
        <f>MIN(IF($B20,AC18+IF(ISNUMBER(AB19),AB19,0),AC20/$N18),1)</f>
        <v>0</v>
      </c>
    </row>
    <row r="20" spans="1:29" ht="15">
      <c r="A20" s="131">
        <f ca="1">OFFSET(A20,-CFF.NumLinha,0)+1</f>
        <v>1</v>
      </c>
      <c r="B20" s="78">
        <f ca="1">$C20&gt;=OFFSET($C20,CFF.NumLinha,0)</f>
        <v>1</v>
      </c>
      <c r="C20" s="109">
        <f>INDEX('[1]PO'!A$12:A$25,MATCH($A20,'[1]PO'!$V$12:$V$25,0))</f>
        <v>1</v>
      </c>
      <c r="D20" s="109">
        <f>IF(ISERROR(J20),I20,SMALL(I20:J20,1))-1</f>
        <v>0</v>
      </c>
      <c r="E20" s="109">
        <f ca="1">IF($C20=1,OFFSET(E20,-CFF.NumLinha,0)+1,OFFSET(E20,-CFF.NumLinha,0))</f>
        <v>1</v>
      </c>
      <c r="F20" s="109">
        <f ca="1">IF($C20=1,0,IF($C20=2,OFFSET(F20,-CFF.NumLinha,0)+1,OFFSET(F20,-CFF.NumLinha,0)))</f>
        <v>0</v>
      </c>
      <c r="G20" s="109">
        <f ca="1">IF(AND($C20&lt;=2,$C20&lt;&gt;0),0,IF($C20=3,OFFSET(G20,-CFF.NumLinha,0)+1,OFFSET(G20,-CFF.NumLinha,0)))</f>
        <v>0</v>
      </c>
      <c r="H20" s="109">
        <f ca="1">IF(AND($C20&lt;=3,$C20&lt;&gt;0),0,IF($C20=4,OFFSET(H20,-CFF.NumLinha,0)+1,OFFSET(H20,-CFF.NumLinha,0)))</f>
        <v>0</v>
      </c>
      <c r="I20" s="109">
        <f ca="1">MATCH(0,OFFSET($D20,1,$C20,ROW($A$21)-ROW($A20)),0)</f>
        <v>1</v>
      </c>
      <c r="J20" s="109" t="e">
        <f ca="1">MATCH(OFFSET($D20,0,$C20)+1,OFFSET($D20,1,$C20,ROW($A$21)-ROW($A20)),0)</f>
        <v>#N/A</v>
      </c>
      <c r="K20" s="113">
        <f>ROUND(INDEX('[1]PO'!T$12:T$25,MATCH($A20,'[1]PO'!$V$12:$V$25,0)),2)+10^-12</f>
        <v>299483.56</v>
      </c>
      <c r="L20" s="100"/>
      <c r="M20" s="101"/>
      <c r="N20" s="102"/>
      <c r="O20" s="114" t="s">
        <v>78</v>
      </c>
      <c r="P20" s="115">
        <f ca="1">IF($B20,ROUND(P19*$N18,2),ROUND(SUMIF(OFFSET($B20,1,0,$D20),1,OFFSET(P20,1,0,$D20))/SUMIF(OFFSET($B20,1,0,$D20),1,OFFSET($K20,1,0,$D20))*$N18,2))</f>
        <v>0</v>
      </c>
      <c r="Q20" s="116">
        <f ca="1">IF($B20,ROUND(Q19*$N18,2),ROUND(SUMIF(OFFSET($B20,1,0,$D20),1,OFFSET(Q20,1,0,$D20))/SUMIF(OFFSET($B20,1,0,$D20),1,OFFSET($K20,1,0,$D20))*$N18,2))</f>
        <v>0</v>
      </c>
      <c r="R20" s="116">
        <f ca="1">IF($B20,ROUND(R19*$N18,2),ROUND(SUMIF(OFFSET($B20,1,0,$D20),1,OFFSET(R20,1,0,$D20))/SUMIF(OFFSET($B20,1,0,$D20),1,OFFSET($K20,1,0,$D20))*$N18,2))</f>
        <v>0</v>
      </c>
      <c r="S20" s="116">
        <f ca="1">IF($B20,ROUND(S19*$N18,2),ROUND(SUMIF(OFFSET($B20,1,0,$D20),1,OFFSET(S20,1,0,$D20))/SUMIF(OFFSET($B20,1,0,$D20),1,OFFSET($K20,1,0,$D20))*$N18,2))</f>
        <v>0</v>
      </c>
      <c r="T20" s="116">
        <f ca="1">IF($B20,ROUND(T19*$N18,2),ROUND(SUMIF(OFFSET($B20,1,0,$D20),1,OFFSET(T20,1,0,$D20))/SUMIF(OFFSET($B20,1,0,$D20),1,OFFSET($K20,1,0,$D20))*$N18,2))</f>
        <v>0</v>
      </c>
      <c r="U20" s="116">
        <f ca="1">IF($B20,ROUND(U19*$N18,2),ROUND(SUMIF(OFFSET($B20,1,0,$D20),1,OFFSET(U20,1,0,$D20))/SUMIF(OFFSET($B20,1,0,$D20),1,OFFSET($K20,1,0,$D20))*$N18,2))</f>
        <v>0</v>
      </c>
      <c r="V20" s="116">
        <f ca="1">IF($B20,ROUND(V19*$N18,2),ROUND(SUMIF(OFFSET($B20,1,0,$D20),1,OFFSET(V20,1,0,$D20))/SUMIF(OFFSET($B20,1,0,$D20),1,OFFSET($K20,1,0,$D20))*$N18,2))</f>
        <v>0</v>
      </c>
      <c r="W20" s="117">
        <f ca="1">IF($B20,ROUND(W19*$N18,2),ROUND(SUMIF(OFFSET($B20,1,0,$D20),1,OFFSET(W20,1,0,$D20))/SUMIF(OFFSET($B20,1,0,$D20),1,OFFSET($K20,1,0,$D20))*$N18,2))</f>
        <v>0</v>
      </c>
      <c r="X20" s="107"/>
      <c r="AC20" s="116">
        <f ca="1">IF($B20,ROUND(AC19*$N18,2),ROUND(SUMIF(OFFSET($B20,1,0,$D20),1,OFFSET(AC20,1,0,$D20))/SUMIF(OFFSET($B20,1,0,$D20),1,OFFSET($K20,1,0,$D20))*$N18,2))</f>
        <v>0</v>
      </c>
    </row>
    <row r="21" spans="1:29" s="139" customFormat="1" ht="12.75" customHeight="1">
      <c r="A21" s="78"/>
      <c r="B21" s="78"/>
      <c r="C21" s="109">
        <v>-1</v>
      </c>
      <c r="D21" s="109"/>
      <c r="E21" s="109">
        <v>0</v>
      </c>
      <c r="F21" s="109">
        <v>0</v>
      </c>
      <c r="G21" s="109">
        <v>0</v>
      </c>
      <c r="H21" s="109">
        <v>0</v>
      </c>
      <c r="I21" s="78"/>
      <c r="J21" s="78"/>
      <c r="K21" s="78"/>
      <c r="L21" s="136"/>
      <c r="M21" s="136"/>
      <c r="N21" s="137"/>
      <c r="O21" s="136"/>
      <c r="P21" s="136"/>
      <c r="Q21" s="137"/>
      <c r="R21" s="136"/>
      <c r="S21" s="136"/>
      <c r="T21" s="136"/>
      <c r="U21" s="136"/>
      <c r="V21" s="136"/>
      <c r="W21" s="136"/>
      <c r="X21" s="138"/>
      <c r="AC21" s="136"/>
    </row>
    <row r="22" spans="1:29" ht="12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1"/>
      <c r="AC22" s="140"/>
    </row>
    <row r="23" spans="1:29" ht="1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142">
        <f>'[1]DADOS'!I32</f>
        <v>0</v>
      </c>
      <c r="M23" s="142"/>
      <c r="N23" s="142"/>
      <c r="O23" s="140"/>
      <c r="P23" s="143"/>
      <c r="Q23" s="144"/>
      <c r="R23" s="144"/>
      <c r="S23" s="144"/>
      <c r="T23" s="140"/>
      <c r="U23" s="140"/>
      <c r="V23" s="140"/>
      <c r="W23" s="140"/>
      <c r="X23" s="141"/>
      <c r="AC23" s="140"/>
    </row>
    <row r="24" spans="1:29" ht="1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145" t="s">
        <v>62</v>
      </c>
      <c r="M24" s="146"/>
      <c r="N24" s="146"/>
      <c r="O24" s="140"/>
      <c r="P24" s="143"/>
      <c r="Q24" s="144"/>
      <c r="R24" s="144"/>
      <c r="S24" s="144"/>
      <c r="T24" s="140"/>
      <c r="U24" s="140"/>
      <c r="V24" s="140"/>
      <c r="W24" s="140"/>
      <c r="X24" s="141"/>
      <c r="AC24" s="140"/>
    </row>
    <row r="25" spans="1:29" ht="1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143"/>
      <c r="M25" s="147"/>
      <c r="N25" s="147"/>
      <c r="O25" s="140"/>
      <c r="P25" s="143"/>
      <c r="Q25" s="144"/>
      <c r="R25" s="144"/>
      <c r="S25" s="144"/>
      <c r="T25" s="140"/>
      <c r="U25" s="140"/>
      <c r="V25" s="140"/>
      <c r="W25" s="140"/>
      <c r="X25" s="141"/>
      <c r="AC25" s="140"/>
    </row>
    <row r="26" spans="1:29" ht="1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148"/>
      <c r="M26" s="148"/>
      <c r="N26" s="148"/>
      <c r="O26" s="140"/>
      <c r="P26" s="140"/>
      <c r="Q26" s="140"/>
      <c r="R26" s="140"/>
      <c r="S26" s="140"/>
      <c r="T26" s="140"/>
      <c r="U26" s="140"/>
      <c r="V26" s="140"/>
      <c r="W26" s="140"/>
      <c r="X26" s="149"/>
      <c r="AC26" s="140"/>
    </row>
    <row r="27" spans="1:29" ht="1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150" t="s">
        <v>63</v>
      </c>
      <c r="M27" s="151"/>
      <c r="N27" s="151"/>
      <c r="O27" s="140"/>
      <c r="P27" s="140"/>
      <c r="Q27" s="140"/>
      <c r="R27" s="140"/>
      <c r="S27" s="140"/>
      <c r="T27" s="140"/>
      <c r="U27" s="140"/>
      <c r="V27" s="140"/>
      <c r="W27" s="140"/>
      <c r="X27" s="149"/>
      <c r="AC27" s="140"/>
    </row>
    <row r="28" spans="1:29" ht="1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9"/>
      <c r="AC28" s="140"/>
    </row>
    <row r="29" spans="1:29" ht="1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140"/>
      <c r="M29" s="140"/>
      <c r="N29" s="152"/>
      <c r="O29" s="140"/>
      <c r="P29" s="140"/>
      <c r="Q29" s="140"/>
      <c r="R29" s="140"/>
      <c r="S29" s="140"/>
      <c r="T29" s="140"/>
      <c r="U29" s="140"/>
      <c r="V29" s="140"/>
      <c r="W29" s="140"/>
      <c r="X29" s="141"/>
      <c r="AC29" s="140"/>
    </row>
    <row r="30" spans="1:29" ht="1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140"/>
      <c r="M30" s="140"/>
      <c r="N30" s="152"/>
      <c r="O30" s="140"/>
      <c r="P30" s="140"/>
      <c r="Q30" s="140"/>
      <c r="R30" s="140"/>
      <c r="S30" s="140"/>
      <c r="T30" s="140"/>
      <c r="U30" s="140"/>
      <c r="V30" s="140"/>
      <c r="W30" s="140"/>
      <c r="X30" s="141"/>
      <c r="AC30" s="140"/>
    </row>
    <row r="31" spans="1:29" ht="1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0"/>
      <c r="M31" s="20"/>
      <c r="N31" s="153"/>
      <c r="O31" s="20"/>
      <c r="P31" s="20"/>
      <c r="Q31" s="20"/>
      <c r="R31" s="20"/>
      <c r="S31" s="20"/>
      <c r="T31" s="20"/>
      <c r="U31" s="20"/>
      <c r="V31" s="20"/>
      <c r="W31" s="140"/>
      <c r="X31" s="141"/>
      <c r="AC31" s="20"/>
    </row>
  </sheetData>
  <sheetProtection selectLockedCells="1" selectUnlockedCells="1"/>
  <mergeCells count="16">
    <mergeCell ref="L8:M8"/>
    <mergeCell ref="L11:L13"/>
    <mergeCell ref="M11:M13"/>
    <mergeCell ref="N11:N13"/>
    <mergeCell ref="L14:M17"/>
    <mergeCell ref="N14:N17"/>
    <mergeCell ref="L18:L20"/>
    <mergeCell ref="M18:M20"/>
    <mergeCell ref="N18:N20"/>
    <mergeCell ref="L23:N23"/>
    <mergeCell ref="Q23:S23"/>
    <mergeCell ref="M24:N24"/>
    <mergeCell ref="Q24:S24"/>
    <mergeCell ref="M25:N25"/>
    <mergeCell ref="Q25:S25"/>
    <mergeCell ref="L26:N26"/>
  </mergeCells>
  <conditionalFormatting sqref="L11:N11 L12:M13 L18:N18">
    <cfRule type="expression" priority="1" dxfId="3" stopIfTrue="1">
      <formula>$C13=1</formula>
    </cfRule>
  </conditionalFormatting>
  <conditionalFormatting sqref="O11 O18">
    <cfRule type="expression" priority="2" dxfId="0" stopIfTrue="1">
      <formula>$B13=0</formula>
    </cfRule>
    <cfRule type="expression" priority="3" dxfId="14" stopIfTrue="1">
      <formula>$C13=1</formula>
    </cfRule>
  </conditionalFormatting>
  <conditionalFormatting sqref="P12:W12">
    <cfRule type="expression" priority="4" dxfId="15" stopIfTrue="1">
      <formula>AND(ISNUMBER(O13),O13&gt;=$N11)</formula>
    </cfRule>
    <cfRule type="cellIs" priority="5" dxfId="16" operator="notBetween" stopIfTrue="1">
      <formula>0</formula>
      <formula>1</formula>
    </cfRule>
  </conditionalFormatting>
  <conditionalFormatting sqref="P13:W13">
    <cfRule type="expression" priority="6" dxfId="17" stopIfTrue="1">
      <formula>AND(ISNUMBER(O13),O13&gt;=$N11)</formula>
    </cfRule>
    <cfRule type="cellIs" priority="7" dxfId="16" operator="notBetween" stopIfTrue="1">
      <formula>0</formula>
      <formula>$N11</formula>
    </cfRule>
  </conditionalFormatting>
  <conditionalFormatting sqref="P14:W14">
    <cfRule type="expression" priority="8" dxfId="17" stopIfTrue="1">
      <formula>AND(ISNUMBER(O17),O17&gt;=$N14)</formula>
    </cfRule>
  </conditionalFormatting>
  <conditionalFormatting sqref="P15:W15">
    <cfRule type="expression" priority="9" dxfId="17" stopIfTrue="1">
      <formula>AND(ISNUMBER(O17),O17&gt;=$N14)</formula>
    </cfRule>
  </conditionalFormatting>
  <conditionalFormatting sqref="P16:W16">
    <cfRule type="expression" priority="10" dxfId="17" stopIfTrue="1">
      <formula>AND(ISNUMBER(O17),O17&gt;=$N14)</formula>
    </cfRule>
    <cfRule type="cellIs" priority="11" dxfId="16" operator="notBetween" stopIfTrue="1">
      <formula>0</formula>
      <formula>1</formula>
    </cfRule>
  </conditionalFormatting>
  <conditionalFormatting sqref="P17:W17">
    <cfRule type="expression" priority="12" dxfId="17" stopIfTrue="1">
      <formula>AND(ISNUMBER(O17),O17&gt;=$N14)</formula>
    </cfRule>
    <cfRule type="cellIs" priority="13" dxfId="16" operator="notBetween" stopIfTrue="1">
      <formula>0</formula>
      <formula>$N14</formula>
    </cfRule>
  </conditionalFormatting>
  <conditionalFormatting sqref="L8">
    <cfRule type="cellIs" priority="14" dxfId="16" operator="notEqual" stopIfTrue="1">
      <formula>""</formula>
    </cfRule>
  </conditionalFormatting>
  <conditionalFormatting sqref="N9">
    <cfRule type="expression" priority="15" dxfId="11" stopIfTrue="1">
      <formula>TipoOrçamento&lt;&gt;"REPROGRAMADOAC"</formula>
    </cfRule>
  </conditionalFormatting>
  <conditionalFormatting sqref="L19:M20">
    <cfRule type="expression" priority="16" dxfId="3" stopIfTrue="1">
      <formula>"#ref!"=1</formula>
    </cfRule>
  </conditionalFormatting>
  <conditionalFormatting sqref="P11:W11">
    <cfRule type="expression" priority="17" dxfId="11" stopIfTrue="1">
      <formula>AND(ISNUMBER(O13),O13&gt;=$N11)</formula>
    </cfRule>
    <cfRule type="expression" priority="18" dxfId="0" stopIfTrue="1">
      <formula>$B13=0</formula>
    </cfRule>
    <cfRule type="expression" priority="19" dxfId="14" stopIfTrue="1">
      <formula>$C13=1</formula>
    </cfRule>
  </conditionalFormatting>
  <conditionalFormatting sqref="P19:W19">
    <cfRule type="expression" priority="20" dxfId="15" stopIfTrue="1">
      <formula>AND(ISNUMBER(O20),O20&gt;=$N18)</formula>
    </cfRule>
    <cfRule type="cellIs" priority="21" dxfId="16" operator="notBetween" stopIfTrue="1">
      <formula>0</formula>
      <formula>1</formula>
    </cfRule>
  </conditionalFormatting>
  <conditionalFormatting sqref="P20:W20">
    <cfRule type="expression" priority="22" dxfId="17" stopIfTrue="1">
      <formula>AND(ISNUMBER(O20),O20&gt;=$N18)</formula>
    </cfRule>
    <cfRule type="cellIs" priority="23" dxfId="16" operator="notBetween" stopIfTrue="1">
      <formula>0</formula>
      <formula>$N18</formula>
    </cfRule>
  </conditionalFormatting>
  <conditionalFormatting sqref="O10:W10">
    <cfRule type="expression" priority="24" dxfId="18" stopIfTrue="1">
      <formula>1=1</formula>
    </cfRule>
  </conditionalFormatting>
  <conditionalFormatting sqref="P18:W18">
    <cfRule type="expression" priority="25" dxfId="11" stopIfTrue="1">
      <formula>AND(ISNUMBER(O20),O20&gt;=$N18)</formula>
    </cfRule>
    <cfRule type="expression" priority="26" dxfId="0" stopIfTrue="1">
      <formula>$B20=0</formula>
    </cfRule>
    <cfRule type="expression" priority="27" dxfId="14" stopIfTrue="1">
      <formula>$C20=1</formula>
    </cfRule>
  </conditionalFormatting>
  <conditionalFormatting sqref="AC18">
    <cfRule type="expression" priority="28" dxfId="11" stopIfTrue="1">
      <formula>AND(ISNUMBER(AB20),AB20&gt;=$N18)</formula>
    </cfRule>
    <cfRule type="expression" priority="29" dxfId="0" stopIfTrue="1">
      <formula>$B20=0</formula>
    </cfRule>
    <cfRule type="expression" priority="30" dxfId="14" stopIfTrue="1">
      <formula>$C20=1</formula>
    </cfRule>
  </conditionalFormatting>
  <conditionalFormatting sqref="AC12">
    <cfRule type="expression" priority="31" dxfId="15" stopIfTrue="1">
      <formula>AND(ISNUMBER(AB13),AB13&gt;=$N11)</formula>
    </cfRule>
    <cfRule type="cellIs" priority="32" dxfId="16" operator="notBetween" stopIfTrue="1">
      <formula>0</formula>
      <formula>1</formula>
    </cfRule>
  </conditionalFormatting>
  <conditionalFormatting sqref="AC13">
    <cfRule type="expression" priority="33" dxfId="17" stopIfTrue="1">
      <formula>AND(ISNUMBER(AB13),AB13&gt;=$N11)</formula>
    </cfRule>
    <cfRule type="cellIs" priority="34" dxfId="16" operator="notBetween" stopIfTrue="1">
      <formula>0</formula>
      <formula>$N11</formula>
    </cfRule>
  </conditionalFormatting>
  <conditionalFormatting sqref="AC14">
    <cfRule type="expression" priority="35" dxfId="17" stopIfTrue="1">
      <formula>AND(ISNUMBER(AB17),AB17&gt;=$N14)</formula>
    </cfRule>
  </conditionalFormatting>
  <conditionalFormatting sqref="AC15">
    <cfRule type="expression" priority="36" dxfId="17" stopIfTrue="1">
      <formula>AND(ISNUMBER(AB17),AB17&gt;=$N14)</formula>
    </cfRule>
  </conditionalFormatting>
  <conditionalFormatting sqref="AC16">
    <cfRule type="expression" priority="37" dxfId="17" stopIfTrue="1">
      <formula>AND(ISNUMBER(AB17),AB17&gt;=$N14)</formula>
    </cfRule>
    <cfRule type="cellIs" priority="38" dxfId="16" operator="notBetween" stopIfTrue="1">
      <formula>0</formula>
      <formula>1</formula>
    </cfRule>
  </conditionalFormatting>
  <conditionalFormatting sqref="AC17">
    <cfRule type="expression" priority="39" dxfId="17" stopIfTrue="1">
      <formula>AND(ISNUMBER(AB17),AB17&gt;=$N14)</formula>
    </cfRule>
    <cfRule type="cellIs" priority="40" dxfId="16" operator="notBetween" stopIfTrue="1">
      <formula>0</formula>
      <formula>$N14</formula>
    </cfRule>
  </conditionalFormatting>
  <conditionalFormatting sqref="AC11">
    <cfRule type="expression" priority="41" dxfId="11" stopIfTrue="1">
      <formula>AND(ISNUMBER(AB13),AB13&gt;=$N11)</formula>
    </cfRule>
    <cfRule type="expression" priority="42" dxfId="0" stopIfTrue="1">
      <formula>$B13=0</formula>
    </cfRule>
    <cfRule type="expression" priority="43" dxfId="14" stopIfTrue="1">
      <formula>$C13=1</formula>
    </cfRule>
  </conditionalFormatting>
  <conditionalFormatting sqref="AC19">
    <cfRule type="expression" priority="44" dxfId="15" stopIfTrue="1">
      <formula>AND(ISNUMBER(AB20),AB20&gt;=$N18)</formula>
    </cfRule>
    <cfRule type="cellIs" priority="45" dxfId="16" operator="notBetween" stopIfTrue="1">
      <formula>0</formula>
      <formula>1</formula>
    </cfRule>
  </conditionalFormatting>
  <conditionalFormatting sqref="AC20">
    <cfRule type="expression" priority="46" dxfId="17" stopIfTrue="1">
      <formula>AND(ISNUMBER(AB20),AB20&gt;=$N18)</formula>
    </cfRule>
    <cfRule type="cellIs" priority="47" dxfId="16" operator="notBetween" stopIfTrue="1">
      <formula>0</formula>
      <formula>$N18</formula>
    </cfRule>
  </conditionalFormatting>
  <conditionalFormatting sqref="AC10">
    <cfRule type="expression" priority="48" dxfId="18" stopIfTrue="1">
      <formula>1=1</formula>
    </cfRule>
  </conditionalFormatting>
  <dataValidations count="2">
    <dataValidation type="decimal" allowBlank="1" showInputMessage="1" showErrorMessage="1" errorTitle="Erro de Dados" error="Digite valores maiores ou iguais à 0%. O % acumulado não deve ultrapassar 100%." sqref="P11:W11 AC11 P18:W18 AC18">
      <formula1>0</formula1>
      <formula2>1-SUM($P11:P11)+P11</formula2>
    </dataValidation>
    <dataValidation type="whole" operator="greaterThanOrEqual" allowBlank="1" showInputMessage="1" showErrorMessage="1" promptTitle="Qtde de Medições já realizadas:" prompt="Digite a quantidade de medições já realizadas para o CTEF antes da Reprogramação." errorTitle="Erro de Valor" error="Digite somente números inteiros positivos." sqref="N9">
      <formula1>0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 scale="4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Nanni</dc:creator>
  <cp:keywords/>
  <dc:description/>
  <cp:lastModifiedBy>Jonas Nanni</cp:lastModifiedBy>
  <cp:lastPrinted>2019-09-23T19:13:55Z</cp:lastPrinted>
  <dcterms:created xsi:type="dcterms:W3CDTF">2019-09-23T16:54:10Z</dcterms:created>
  <dcterms:modified xsi:type="dcterms:W3CDTF">2019-09-23T20:42:25Z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