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ADOS" sheetId="1" r:id="rId1"/>
    <sheet name="QCI" sheetId="2" r:id="rId2"/>
    <sheet name="CRONO" sheetId="3" r:id="rId3"/>
    <sheet name="RRE" sheetId="4" r:id="rId4"/>
    <sheet name="Ofício" sheetId="5" r:id="rId5"/>
    <sheet name="Listas" sheetId="6" state="hidden" r:id="rId6"/>
  </sheets>
  <definedNames>
    <definedName name="_xlnm.Print_Area" localSheetId="2">'CRONO'!$E$1:$S$80</definedName>
    <definedName name="_xlnm.Print_Titles" localSheetId="2">('CRONO'!$E:$J,'CRONO'!$8:$9)</definedName>
    <definedName name="_xlnm.Print_Area" localSheetId="0">'DADOS'!$A$1:$J$83</definedName>
    <definedName name="_xlnm.Print_Area" localSheetId="4">'Ofício'!$A$1:$J$55</definedName>
    <definedName name="_xlnm.Print_Area" localSheetId="1">'QCI'!$B$2:$O$39</definedName>
    <definedName name="_xlnm.Print_Titles" localSheetId="1">'QCI'!$9:$10</definedName>
    <definedName name="_xlnm.Print_Area" localSheetId="3">'RRE'!$A$2:$R$43</definedName>
    <definedName name="_xlnm.Print_Titles" localSheetId="3">'RRE'!$9:$10</definedName>
    <definedName name="BlankField">OR('DADOS'!$H$28="",'DADOS'!$J$22="",AND('DADOS'!$B$37="",'DADOS'!$C$37=""))</definedName>
    <definedName name="Brasao">'Ofício'!$A$1</definedName>
    <definedName name="CalculadoCPFin">SUMIF('QCI'!$R$15:$R$26,"Calculado",'QCI'!$AB$15:$AB$26)</definedName>
    <definedName name="CalculadoCPFisica">SUMIF('QCI'!$R$15:$R$26,"Calculado",'QCI'!$AC$15:$AC$26)</definedName>
    <definedName name="CalculadoInv">CalculadoRep+CalculadoCPFin+CalculadoCPFisica</definedName>
    <definedName name="CalculadoRep">SUMIF('QCI'!$R$15:$R$26,"Calculado",'QCI'!$AA$15:$AA$26)</definedName>
    <definedName name="CRONO.100Perc">MATCH(1,'CRONO'!$K$15:$S$15,0)</definedName>
    <definedName name="Crono.ColunaPadrão">'CRONO'!$X:$X</definedName>
    <definedName name="CRONO.firstcol">'CRONO'!$J:$J</definedName>
    <definedName name="CRONO.firstrow">'CRONO'!$19:$19</definedName>
    <definedName name="CRONO.formrow">'CRONO'!$8:$8</definedName>
    <definedName name="CRONO.InicioPrevisto">'CRONO'!$J$6</definedName>
    <definedName name="CRONO.lastcol">'CRONO'!$S:$S</definedName>
    <definedName name="CRONO.lastrow">'CRONO'!$70:$70</definedName>
    <definedName name="CRONO.MedicoesRealizadas">'CRONO'!$I$6</definedName>
    <definedName name="CRONO.ObsGeral1">'CRONO'!$72:$73</definedName>
    <definedName name="CRONO.ObsGeral2">'CRONO'!$74:$74</definedName>
    <definedName name="CRONO.ObsGeralBranco">'CRONO'!$75:$75</definedName>
    <definedName name="CRONO.ParcelasFolha">8</definedName>
    <definedName name="DifCrono">(ROW('QCI'!$B$26)-ROW('QCI'!$B$15)-1)*numlinhaCrono-(ROW('CRONO'!$E$70)-ROW('CRONO'!$E$19)-1)</definedName>
    <definedName name="numlinhaCrono">ROW('CRONO'!$A$24)-ROW('CRONO'!$A$20)+1</definedName>
    <definedName name="I.CTEF">OFFSET('DADOS'!$B$55,IF('DADOS'!$J$22="OGU não-PAC",1,0),0,COUNTA('DADOS'!$B$55:$B$77))</definedName>
    <definedName name="I.Lotes">OFFSET('QCI'!$AH$15,IF('DADOS'!$J$22="OGU não-PAC",1,0),0):OFFSET('QCI'!$AH$26,-1,0)</definedName>
    <definedName name="Import.Apelido">OFFSET('DADOS'!$F$27,1,0)</definedName>
    <definedName name="Import.Ação">OFFSET('DADOS'!$G$21,1,0)</definedName>
    <definedName name="Import.CNPJLista">'DADOS'!$F$56:$F$77</definedName>
    <definedName name="Import.Contrapartida">OFFSET('DADOS'!$I$27,1,0)</definedName>
    <definedName name="Import.CPMinAbsoluta">OFFSET('DADOS'!$C$36,1,0)</definedName>
    <definedName name="Import.CPMinPerc">OFFSET('DADOS'!$B$36,1,0)</definedName>
    <definedName name="Import.CR">OFFSET('DADOS'!$A$21,1,0)</definedName>
    <definedName name="Import.CTEFLista">'DADOS'!$B$56:$B$77</definedName>
    <definedName name="Import.FornecedorLista">'DADOS'!$C$56:$E$77</definedName>
    <definedName name="Import.Gestor">OFFSET('DADOS'!$C$21,1,0)</definedName>
    <definedName name="Import.Localidade">OFFSET('DADOS'!$F$24,1,0)</definedName>
    <definedName name="Import.Município">OFFSET('DADOS'!$E$24,1,0)</definedName>
    <definedName name="Import.ObjetoCR">OFFSET('DADOS'!$A$27,1,0)</definedName>
    <definedName name="Import.Programa">OFFSET('DADOS'!$E$21,1,0)</definedName>
    <definedName name="Import.Proponente">OFFSET('DADOS'!$A$24,1,0)</definedName>
    <definedName name="Import.Recurso">OFFSET('DADOS'!$J$21,1,0)</definedName>
    <definedName name="Import.Repasse">OFFSET('DADOS'!$H$27,1,0)</definedName>
    <definedName name="Import.SICONV">OFFSET('DADOS'!$B$21,1,0)</definedName>
    <definedName name="ItemInvestimento">OFFSET('Listas'!$B$2,1,0,COUNTA('Listas'!$B:$B)-1)</definedName>
    <definedName name="ListaGIGOV">'Listas'!$A$3:$A$74</definedName>
    <definedName name="mcol">IF(COUNTIF('RRE'!$AC$9:$BA$9,'RRE'!$I$5)=0,0,MATCH('RRE'!$I$5,'RRE'!$AC$9:$BA$9,0))</definedName>
    <definedName name="NUM_OPERACAO">TEXT(SUBSTITUTE(LEFT(SUBSTITUTE(Import.CR,".",""),7),"-",""),"0000000")</definedName>
    <definedName name="Objeto">'DADOS'!$A$1</definedName>
    <definedName name="QCI.CP">'QCI'!$M$9</definedName>
    <definedName name="QCI.CPEnter">'QCI'!$S$9</definedName>
    <definedName name="QCI.Dados">OFFSET('QCI'!$A$9,0,1):OFFSET('QCI'!$P$9,0,-1)</definedName>
    <definedName name="QCI.Descricao">'QCI'!$G$9</definedName>
    <definedName name="QCI.Divisao">'QCI'!$R$9</definedName>
    <definedName name="QCI.Etapa">'QCI'!$B$9</definedName>
    <definedName name="QCI.firstrow">'QCI'!$15:$15</definedName>
    <definedName name="QCI.Investimento">'QCI'!$O$9</definedName>
    <definedName name="QCI.InvestimentoEnter">'QCI'!$Q$9</definedName>
    <definedName name="QCI.Item">'QCI'!$E$9</definedName>
    <definedName name="QCI.lastrow">'QCI'!$26:$26</definedName>
    <definedName name="QCI.LinhaPadrão">'QCI'!$11:$11</definedName>
    <definedName name="QCI.Lote">'QCI'!$K$9</definedName>
    <definedName name="QCI.MetaNumero">'QCI'!$D$9</definedName>
    <definedName name="QCI.Meta_SubMeta">'QCI'!$C$9</definedName>
    <definedName name="QCI.ObsGeral1">'QCI'!$28:$29</definedName>
    <definedName name="QCI.ObsGeral2">'QCI'!$30:$30</definedName>
    <definedName name="QCI.ObsGeralBranco">'QCI'!$31:$31</definedName>
    <definedName name="QCI.Outros">'QCI'!$N$9</definedName>
    <definedName name="QCI.OutrosEnter">'QCI'!$T$9</definedName>
    <definedName name="QCI.Quadro">OFFSET('QCI'!$B$15:$O$15,1,0):OFFSET('QCI'!$B$26:$O$26,-1,0)</definedName>
    <definedName name="QCI.Quantidade">'QCI'!$I$9</definedName>
    <definedName name="QCI.Repasse">'QCI'!$L$9</definedName>
    <definedName name="QCI.Situacao">'QCI'!$H$9</definedName>
    <definedName name="QCI.SubItem">'QCI'!$F$9</definedName>
    <definedName name="QCI.Unidade">'QCI'!$J$9</definedName>
    <definedName name="RRE.Acumulado">OFFSET('RRE'!$Q$15,1,0):OFFSET('RRE'!$Q$26,-1,0)</definedName>
    <definedName name="RRE.firstrow">'RRE'!$15:$15</definedName>
    <definedName name="RRE.lastrow">'RRE'!$26:$26</definedName>
    <definedName name="RRE.LinhaPadrão">'RRE'!$A$11:$R$11</definedName>
    <definedName name="RRE.NumMedicao">'RRE'!$I$5</definedName>
    <definedName name="RRE.ObsGeral1">'RRE'!$28:$29</definedName>
    <definedName name="RRE.ObsGeral2">'RRE'!$30:$30</definedName>
    <definedName name="RRE.ObsGeralBranco">'RRE'!$31:$31</definedName>
    <definedName name="RREAferAnterior">OFFSET('RRE'!$Z$15,1,0):OFFSET('RRE'!$Z$26,-1,0)</definedName>
    <definedName name="RREAferAtual">OFFSET('RRE'!$AA$15,1,0):OFFSET('RRE'!$AA$26,-1,0)</definedName>
    <definedName name="RREMedAtual">OFFSET('RRE'!$X$15,1,0):OFFSET('RRE'!$X$26,-1,0)</definedName>
    <definedName name="RREMedições">OFFSET('RRE'!$AC$15,1,0):OFFSET('RRE'!$BA$26,-1,-1)</definedName>
    <definedName name="RREMode">'RRE'!$T$1</definedName>
    <definedName name="SENHAGT">"consolidado"</definedName>
    <definedName name="SubItemInvestimento">OFFSET('Listas'!$A$2,1,MATCH('QCI'!$E1,'Listas'!$2:$2,0)-1,INDEX('Listas'!$2:$2,MATCH('QCI'!$E1,'Listas'!$2:$2,0)+1))</definedName>
    <definedName name="SumCrono">SUMIF(OFFSET('CRONO'!$B1,1,0,'CRONO'!$A1),'CRONO'!$J1,OFFSET('CRONO'!A1,1,0,'CRONO'!$A1))</definedName>
    <definedName name="Versao">'DADOS'!$A$2</definedName>
    <definedName name="_xlnm._FilterDatabase" localSheetId="0">"dados!#ref!"</definedName>
    <definedName name="_xlnm._FilterDatabase" localSheetId="1">'QCI'!$B$9:$Q$16</definedName>
    <definedName name="_xlnm._FilterDatabase" localSheetId="2">'CRONO'!$E$8:$P$22</definedName>
    <definedName name="I.Lotes" localSheetId="3">'RRE'!$U$12:$U$15</definedName>
    <definedName name="_xlnm._FilterDatabase" localSheetId="3">'RRE'!$A$9:$J$15</definedName>
  </definedNames>
  <calcPr fullCalcOnLoad="1"/>
</workbook>
</file>

<file path=xl/sharedStrings.xml><?xml version="1.0" encoding="utf-8"?>
<sst xmlns="http://schemas.openxmlformats.org/spreadsheetml/2006/main" count="432" uniqueCount="239">
  <si>
    <t>QCI - Quadro de Composição do Investimento / RRE - Relatório Resumo do Empreendimento</t>
  </si>
  <si>
    <t>v009</t>
  </si>
  <si>
    <t>INSTRUÇÕES DE USO E PREENCHIMENTO</t>
  </si>
  <si>
    <r>
      <rPr>
        <sz val="10"/>
        <rFont val="Arial"/>
        <family val="2"/>
      </rPr>
      <t xml:space="preserve">1. Este documento somente pode ser utilizado nas versões do Excel 2003 ou superior. Não deve ser utilizado versões do BROffice. O Documento deve ser salvo </t>
    </r>
    <r>
      <rPr>
        <b/>
        <sz val="10"/>
        <rFont val="Arial"/>
        <family val="2"/>
      </rPr>
      <t>SOMENTE</t>
    </r>
    <r>
      <rPr>
        <sz val="10"/>
        <rFont val="Arial"/>
        <family val="2"/>
      </rPr>
      <t xml:space="preserve"> em extensão habilitada para macros </t>
    </r>
    <r>
      <rPr>
        <b/>
        <sz val="10"/>
        <rFont val="Arial"/>
        <family val="2"/>
      </rPr>
      <t>(.xls ou .xlsm)</t>
    </r>
    <r>
      <rPr>
        <sz val="10"/>
        <rFont val="Arial"/>
        <family val="2"/>
      </rPr>
      <t xml:space="preserve">. Se o documento for salvo na extensão </t>
    </r>
    <r>
      <rPr>
        <b/>
        <sz val="10"/>
        <rFont val="Arial"/>
        <family val="2"/>
      </rPr>
      <t>.xlsx</t>
    </r>
    <r>
      <rPr>
        <sz val="10"/>
        <rFont val="Arial"/>
        <family val="2"/>
      </rPr>
      <t xml:space="preserve">, o arquivo será </t>
    </r>
    <r>
      <rPr>
        <b/>
        <sz val="10"/>
        <rFont val="Arial"/>
        <family val="2"/>
      </rPr>
      <t>INUTILIZADO</t>
    </r>
    <r>
      <rPr>
        <sz val="10"/>
        <rFont val="Arial"/>
        <family val="2"/>
      </rPr>
      <t>.</t>
    </r>
  </si>
  <si>
    <t>2. Para funcionamento pleno desse arquivo, a Segurança de Macros do Excel deve ser habilitada.</t>
  </si>
  <si>
    <t>2.1  Na Versão Excel 2003, selecione na Faixa de Opções: Ferramentas --&gt; Macro --&gt; Segurança --&gt; Na aba Nível de Segurança selecione a Opção "Baixo" --&gt; Clique em OK --&gt; Feche e abra o Excel novamente para utilizar a Planilha.</t>
  </si>
  <si>
    <t>2.2 Na Versão Excel 2007 ou superior, selecione na Faixa de Opções: Arquivo --&gt; Opções --&gt; Central de Confiabilidade --&gt; Configurações da Central de Confiabilidade --&gt; Configurações de Macro --&gt; Habilitar todas as Macros --&gt; Clique em OK --&gt; Feche e abra o excel novamente para utilizar a Planilha.</t>
  </si>
  <si>
    <t>3. O Preenchimento deve ser feito somente nas células em amarelo. As outras células são de preenchimento Automático.</t>
  </si>
  <si>
    <t>4. Ordem de Preenchimento</t>
  </si>
  <si>
    <t>4.1. Fase de Análise</t>
  </si>
  <si>
    <t>4.1.1. Primeiramente, preencha no Quadro abaixo os Dados do TC/CR:</t>
  </si>
  <si>
    <t>Nº OPERAÇÃO</t>
  </si>
  <si>
    <t>Nº SICONV</t>
  </si>
  <si>
    <t>GESTOR</t>
  </si>
  <si>
    <t>PROGRAMA</t>
  </si>
  <si>
    <t>AÇÃO / MODALIDADE</t>
  </si>
  <si>
    <t>RECURSO</t>
  </si>
  <si>
    <t>1058748-12/2018</t>
  </si>
  <si>
    <t>MINISTÉRIO DAS CIDADES</t>
  </si>
  <si>
    <t>PLANEJAMENTO URBANO</t>
  </si>
  <si>
    <t>APOIO A POLITICA NACIONAL DE DESENVOLVIMENTO URBANO/PAVIMENTO</t>
  </si>
  <si>
    <t>OGU não-PAC</t>
  </si>
  <si>
    <t>PROPONENTE / TOMADOR</t>
  </si>
  <si>
    <t>MUNICÍPIO / UF</t>
  </si>
  <si>
    <t>LOCALIDADE / ENDEREÇO</t>
  </si>
  <si>
    <t xml:space="preserve">MUNICIPIO DE CAÇAPAVA </t>
  </si>
  <si>
    <t>CAÇAPAVA / SP</t>
  </si>
  <si>
    <t>AV LUIZ NANI E RUA JORGE KALLIL</t>
  </si>
  <si>
    <t>VALORES CONTRATADOS (R$)</t>
  </si>
  <si>
    <t>OBJETO</t>
  </si>
  <si>
    <t>APELIDO DO EMPREENDIMENTO</t>
  </si>
  <si>
    <t>CONTRAPARTIDA</t>
  </si>
  <si>
    <t>INVESTIMENTO</t>
  </si>
  <si>
    <t>Recapeamento de Vias do Municipio de Caçapava-SP</t>
  </si>
  <si>
    <t>4.1.2. Digite abaixo os valores mínimos de Contrapartida exigidos pelo Programa.</t>
  </si>
  <si>
    <t>% MÍNIMO</t>
  </si>
  <si>
    <t>VALOR ABSOLUTO (R$)</t>
  </si>
  <si>
    <t>4.1.3. Clique no botão "Preencher QCI" abaixo.</t>
  </si>
  <si>
    <t>4.1.4. Preencha os Campos das Metas na Aba QCI - Quadro de Composição de Investimento.</t>
  </si>
  <si>
    <t>4.1.5. Preencha os Campos das Parcelas de Desembolso na Aba Crono - CFF-CT - Cronograma Físico-Financeiro do Contrato.</t>
  </si>
  <si>
    <t>4.2. Fase de Licitação</t>
  </si>
  <si>
    <t>4.2.1. Atualize os Dados do QCI e Cronograma Físico-Financeiro.</t>
  </si>
  <si>
    <t>4.2.2. Insira no Quadro abaixo os dados dos CTEFs.</t>
  </si>
  <si>
    <t>CTEF:</t>
  </si>
  <si>
    <t>Nome do Fornecedor:</t>
  </si>
  <si>
    <t>CNPJ / CPF:</t>
  </si>
  <si>
    <t>Adm. Direta</t>
  </si>
  <si>
    <t>4.3. Fase de Solicitação de Recursos</t>
  </si>
  <si>
    <t>4.3.1. Preencha os Dados da Medição na Aba RRE - Relatório Resumo do Empreendimento.</t>
  </si>
  <si>
    <t>4.3.2. Preencha os Campos na Aba Ofício, para o Ofício de Solicitação de Recursos e Relação de Fornecedores.</t>
  </si>
  <si>
    <t>sumvalue1</t>
  </si>
  <si>
    <t>sumheight1</t>
  </si>
  <si>
    <t>Grau de Sigilo</t>
  </si>
  <si>
    <t>QCI - QUADRO DE COMPOSIÇÃO DO INVESTIMENTO</t>
  </si>
  <si>
    <t>#PUBLICO</t>
  </si>
  <si>
    <t>Saldo a Reprogramar</t>
  </si>
  <si>
    <t>Contrapartida (R$)</t>
  </si>
  <si>
    <t>% Rateio CP Fin:</t>
  </si>
  <si>
    <t>% CP Min Prog:</t>
  </si>
  <si>
    <t>% CP Absoluta:</t>
  </si>
  <si>
    <t>% CP Max Rep:</t>
  </si>
  <si>
    <t>% Maior:</t>
  </si>
  <si>
    <t>Etapa</t>
  </si>
  <si>
    <t>Meta / 
Sub-Meta</t>
  </si>
  <si>
    <t>Item de Investimento</t>
  </si>
  <si>
    <t>Sub-Item de Investimento</t>
  </si>
  <si>
    <t>Descrição da Meta / Sub-Meta</t>
  </si>
  <si>
    <t>Situação</t>
  </si>
  <si>
    <t>Quantidade</t>
  </si>
  <si>
    <t>Unid.</t>
  </si>
  <si>
    <t>Lote de Licitação / nº CTEF</t>
  </si>
  <si>
    <t>Contrapartida Financeira</t>
  </si>
  <si>
    <t>Outros</t>
  </si>
  <si>
    <t>Investimento</t>
  </si>
  <si>
    <t>Divisão do Investimento</t>
  </si>
  <si>
    <t>Nº Meta</t>
  </si>
  <si>
    <t>Nº Sub-Meta</t>
  </si>
  <si>
    <t>Altura</t>
  </si>
  <si>
    <t>Somar Meta</t>
  </si>
  <si>
    <t>Lotes</t>
  </si>
  <si>
    <t>Total Etapa</t>
  </si>
  <si>
    <t>Valores Previstos</t>
  </si>
  <si>
    <t>Meta</t>
  </si>
  <si>
    <t>Proporcional</t>
  </si>
  <si>
    <t>TOTAL</t>
  </si>
  <si>
    <t>Repasse</t>
  </si>
  <si>
    <t>CP Financeira</t>
  </si>
  <si>
    <t>CP Fís / Outros</t>
  </si>
  <si>
    <t>Arred</t>
  </si>
  <si>
    <t>Pavimentação</t>
  </si>
  <si>
    <t>Recapeamento de vias</t>
  </si>
  <si>
    <t>Em Análise</t>
  </si>
  <si>
    <t>Observações:</t>
  </si>
  <si>
    <t>TOTAL - ETAPA</t>
  </si>
  <si>
    <t>Representante Tomador / Agente Promotor</t>
  </si>
  <si>
    <t>Nome:</t>
  </si>
  <si>
    <t>Local:</t>
  </si>
  <si>
    <t>Cargo:</t>
  </si>
  <si>
    <t>Data:</t>
  </si>
  <si>
    <t>CFF-CT - CRONOGRAMA FÍSICO FINANCEIRO DO CONTRATO</t>
  </si>
  <si>
    <t>Informação da 1ª Coluna</t>
  </si>
  <si>
    <t>Valores Totais (R$)</t>
  </si>
  <si>
    <t>SOMASE</t>
  </si>
  <si>
    <t>Valores</t>
  </si>
  <si>
    <t>Parcela</t>
  </si>
  <si>
    <t>(%)</t>
  </si>
  <si>
    <t>CP Fin. (R$)</t>
  </si>
  <si>
    <t>Invest. (R$)</t>
  </si>
  <si>
    <t>Acumulado</t>
  </si>
  <si>
    <t>Acum. Inv. (R$)</t>
  </si>
  <si>
    <t>Acumulado (%)</t>
  </si>
  <si>
    <t>RRET</t>
  </si>
  <si>
    <t>Acum. Previsto</t>
  </si>
  <si>
    <t>Acum. Chegada</t>
  </si>
  <si>
    <t>Vmax</t>
  </si>
  <si>
    <t>Situação do TC/CR:</t>
  </si>
  <si>
    <t>Percentual previsto em:</t>
  </si>
  <si>
    <t>Medição nº:</t>
  </si>
  <si>
    <t>Saldo a Reprogramar:</t>
  </si>
  <si>
    <t>CP. Financ.</t>
  </si>
  <si>
    <t>Execução Física Acum.</t>
  </si>
  <si>
    <t>Valores Aferidos Acumulados (R$)</t>
  </si>
  <si>
    <t>Valores Medidos Acumulados (R$)</t>
  </si>
  <si>
    <t>Lote de Licitação
 / nº CTEF</t>
  </si>
  <si>
    <t>nº do BM</t>
  </si>
  <si>
    <t>Valor Total (R$)</t>
  </si>
  <si>
    <t>Acum. Período Anterior</t>
  </si>
  <si>
    <t>No Período</t>
  </si>
  <si>
    <t>Acum. Incluindo o Período</t>
  </si>
  <si>
    <t>Acum. incluindo o Período</t>
  </si>
  <si>
    <t>Rel. Forn.</t>
  </si>
  <si>
    <t>Aferição Anterior</t>
  </si>
  <si>
    <t>Aferição Atual</t>
  </si>
  <si>
    <t>Medição Ant.</t>
  </si>
  <si>
    <t>Medição Acum.</t>
  </si>
  <si>
    <t># PÚBLICO</t>
  </si>
  <si>
    <t>Ofício n°:</t>
  </si>
  <si>
    <t>À</t>
  </si>
  <si>
    <t>CAIXA ECONÔMICA FEDERAL</t>
  </si>
  <si>
    <t>GIGOV</t>
  </si>
  <si>
    <t>Assunto:</t>
  </si>
  <si>
    <t>REF:</t>
  </si>
  <si>
    <t>Programa:</t>
  </si>
  <si>
    <t>Objeto:</t>
  </si>
  <si>
    <t>1. Informamos abaixo a relação de fornecedores para a Solicitação de Recursos referenciada:</t>
  </si>
  <si>
    <t>CTEF</t>
  </si>
  <si>
    <t>Valor (R$):</t>
  </si>
  <si>
    <t>Valores Vigentes do TC/CR</t>
  </si>
  <si>
    <t>Valores Medidos Acumulados</t>
  </si>
  <si>
    <t>Contrapartida Financeira:</t>
  </si>
  <si>
    <t>Investimento:</t>
  </si>
  <si>
    <t>Execução Física:</t>
  </si>
  <si>
    <t>-</t>
  </si>
  <si>
    <t>Atenciosamente,</t>
  </si>
  <si>
    <t>Sub-Itens de Investimento</t>
  </si>
  <si>
    <t>Itens de Investimento</t>
  </si>
  <si>
    <t>Unidades habitacionais</t>
  </si>
  <si>
    <t>Equipamentos comunitários</t>
  </si>
  <si>
    <t xml:space="preserve">Drenagem </t>
  </si>
  <si>
    <t>Abastecimento de água</t>
  </si>
  <si>
    <t>Esgotamento sanitário</t>
  </si>
  <si>
    <t>Energia elétrica e iluminação pública</t>
  </si>
  <si>
    <t>Coleta e tratamento de resíduos sólidos</t>
  </si>
  <si>
    <t xml:space="preserve">Contenção e estabilização de encostas </t>
  </si>
  <si>
    <t>Regularização fundiária</t>
  </si>
  <si>
    <t>Aquisição de terreno</t>
  </si>
  <si>
    <t>Aquisição de equipamentos e insumos</t>
  </si>
  <si>
    <t>Elaboração de estudos e projetos</t>
  </si>
  <si>
    <t>Instrumentos e ações em planejamento e gestão pública</t>
  </si>
  <si>
    <t>Ações complementares às obras</t>
  </si>
  <si>
    <t>Gerenciamento</t>
  </si>
  <si>
    <t>Trabalho social</t>
  </si>
  <si>
    <t>Aquisição</t>
  </si>
  <si>
    <t>un</t>
  </si>
  <si>
    <t>Convivência comunitária, assistência social e/ou comunitária</t>
  </si>
  <si>
    <t>m²</t>
  </si>
  <si>
    <t>Capeamento de vias</t>
  </si>
  <si>
    <t xml:space="preserve">Obras de microdrenagem </t>
  </si>
  <si>
    <t>m</t>
  </si>
  <si>
    <t>Captação subterrânea</t>
  </si>
  <si>
    <t>m³/s</t>
  </si>
  <si>
    <t>Ligações domiciliares e/ou intradomiciliares</t>
  </si>
  <si>
    <t>Iluminação pública - luminárias</t>
  </si>
  <si>
    <t xml:space="preserve">Acondicionamento </t>
  </si>
  <si>
    <t>Estabilização de taludes</t>
  </si>
  <si>
    <t>Desapropriacões/Indenizações</t>
  </si>
  <si>
    <t>Avaliação pós intervenção</t>
  </si>
  <si>
    <t>%CT</t>
  </si>
  <si>
    <t>Projeto de Trabalho Social Preliminar</t>
  </si>
  <si>
    <t>nº fam</t>
  </si>
  <si>
    <t>Construção</t>
  </si>
  <si>
    <t>Educação e cultura</t>
  </si>
  <si>
    <t>Desassoreamento de cursos de água</t>
  </si>
  <si>
    <t>Captação superficial</t>
  </si>
  <si>
    <t>Rede coletora e/ou condominial</t>
  </si>
  <si>
    <t>Ligações domiciliares</t>
  </si>
  <si>
    <t>Aterro sanitário e/ou disposição final</t>
  </si>
  <si>
    <t>m³</t>
  </si>
  <si>
    <t>Obras complementares a ações de redução de risco e/ou contenções</t>
  </si>
  <si>
    <t>Projeto de Regularização Fundiária</t>
  </si>
  <si>
    <t>Benfeitorias</t>
  </si>
  <si>
    <t>Demolições</t>
  </si>
  <si>
    <t>Projeto de Trabalho Social</t>
  </si>
  <si>
    <t>Reforma e/ou melhoria</t>
  </si>
  <si>
    <t>Esportes</t>
  </si>
  <si>
    <t>Obras de artes especiais</t>
  </si>
  <si>
    <t>Canalização de cursos de água</t>
  </si>
  <si>
    <t>Estação de bombeamento de água bruta</t>
  </si>
  <si>
    <t>Coletor tronco e/ou interceptores</t>
  </si>
  <si>
    <t xml:space="preserve">Linhas de distribuição - baixa tensão </t>
  </si>
  <si>
    <t>Erradicação de lixões</t>
  </si>
  <si>
    <t>Plano de Reassentamento e medidas compensatórias</t>
  </si>
  <si>
    <t>Plano de Desenvolvimento Socioterritorial</t>
  </si>
  <si>
    <t>Lazer e turismo</t>
  </si>
  <si>
    <t>Pavimentação de calçadas</t>
  </si>
  <si>
    <t>Recomposição de vegetação ciliar, renaturalização de cursos de água ou restauração de margens</t>
  </si>
  <si>
    <t>Adução</t>
  </si>
  <si>
    <t>Emissário</t>
  </si>
  <si>
    <t xml:space="preserve">Linhas de transmissão - alta tensão </t>
  </si>
  <si>
    <t>Sistema de coleta seletiva tradicional, transporte e/ou equipamentos</t>
  </si>
  <si>
    <t>Plano de Gestão Condominial</t>
  </si>
  <si>
    <t>Saúde</t>
  </si>
  <si>
    <t>Pavimentação de vias</t>
  </si>
  <si>
    <t>Reservatório de amortecimento de cheias</t>
  </si>
  <si>
    <t>Estação de Tratamento de Água (ETA)</t>
  </si>
  <si>
    <t>Estação Elevatória</t>
  </si>
  <si>
    <t xml:space="preserve">Tratamento local </t>
  </si>
  <si>
    <t>Segurança pública</t>
  </si>
  <si>
    <t>Sinalização</t>
  </si>
  <si>
    <t>Estação de Bombeamento</t>
  </si>
  <si>
    <t>Estação de bombeamento de água tratada</t>
  </si>
  <si>
    <t>Estação de Tratamento de Esgoto (ETE)</t>
  </si>
  <si>
    <t xml:space="preserve">Usinas de reciclagem </t>
  </si>
  <si>
    <t>Linha de recalque</t>
  </si>
  <si>
    <t>Sistema simplificado de tratamento</t>
  </si>
  <si>
    <t>Reservação</t>
  </si>
  <si>
    <t>Unidades sanitárias</t>
  </si>
  <si>
    <t>Rede de distribuição</t>
  </si>
  <si>
    <t>Sistema simplificado de abastecimento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</si>
</sst>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(&quot;R$&quot;* #,##0.00_);_(&quot;R$&quot;* \(#,##0.00\);_(&quot;R$&quot;* \-??_);_(@_)"/>
    <numFmt numFmtId="166" formatCode="#,##0"/>
    <numFmt numFmtId="167" formatCode="@"/>
    <numFmt numFmtId="168" formatCode="General"/>
    <numFmt numFmtId="169" formatCode="#,##0.00"/>
    <numFmt numFmtId="170" formatCode="0.00%"/>
    <numFmt numFmtId="171" formatCode="_-&quot;R$ &quot;* #,##0.00_-;&quot;-R$ &quot;* #,##0.00_-;_-&quot;R$ &quot;* \-??_-;_-@_-"/>
    <numFmt numFmtId="172" formatCode="_-#,##0.00_-;\-#,##0.00_-;_-\-??_-;_-@_-"/>
    <numFmt numFmtId="173" formatCode="@&quot; (R$)&quot;"/>
    <numFmt numFmtId="174" formatCode="0.00"/>
    <numFmt numFmtId="175" formatCode="_-#,##0.00_-;\-#,##0.00_-;_-&quot; -&quot;??_-;_-@_-"/>
    <numFmt numFmtId="176" formatCode="&quot;( &quot;0.00%&quot; )&quot;"/>
    <numFmt numFmtId="177" formatCode="DD&quot; de &quot;MMMM&quot; de &quot;YYYY"/>
    <numFmt numFmtId="178" formatCode="[$-416]MMM\-YY;@"/>
    <numFmt numFmtId="179" formatCode="[$-416]D/M/YYYY"/>
    <numFmt numFmtId="180" formatCode="General;General;;"/>
    <numFmt numFmtId="181" formatCode="#,##0.00_ ;\-#,##0.00\ "/>
    <numFmt numFmtId="182" formatCode="&quot;Medição &quot;#"/>
    <numFmt numFmtId="183" formatCode="_-#,##0.00%_-;\-#,##0.00%_-;_-&quot; -&quot;??_-;_-@_-"/>
    <numFmt numFmtId="184" formatCode="[$-F800]DDDD&quot;, &quot;MMMM\ DD&quot;, &quot;YYYY"/>
    <numFmt numFmtId="185" formatCode="&quot;R$ 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0"/>
    </font>
    <font>
      <sz val="10"/>
      <color indexed="55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Segoe UI"/>
      <family val="0"/>
    </font>
    <font>
      <sz val="8"/>
      <color indexed="63"/>
      <name val="Arial"/>
      <family val="2"/>
    </font>
    <font>
      <i/>
      <sz val="9"/>
      <name val="Arial"/>
      <family val="2"/>
    </font>
    <font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1" fillId="7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9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3" fillId="17" borderId="0" applyNumberFormat="0" applyBorder="0" applyProtection="0">
      <alignment/>
    </xf>
    <xf numFmtId="164" fontId="4" fillId="9" borderId="1" applyNumberFormat="0" applyProtection="0">
      <alignment/>
    </xf>
    <xf numFmtId="164" fontId="5" fillId="14" borderId="2" applyNumberFormat="0" applyProtection="0">
      <alignment/>
    </xf>
    <xf numFmtId="164" fontId="6" fillId="0" borderId="0" applyNumberFormat="0" applyFill="0" applyBorder="0" applyProtection="0">
      <alignment/>
    </xf>
    <xf numFmtId="164" fontId="7" fillId="7" borderId="0" applyNumberFormat="0" applyBorder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3" borderId="1" applyNumberFormat="0" applyProtection="0">
      <alignment/>
    </xf>
    <xf numFmtId="164" fontId="12" fillId="0" borderId="6" applyNumberFormat="0" applyFill="0" applyProtection="0">
      <alignment/>
    </xf>
    <xf numFmtId="165" fontId="0" fillId="0" borderId="0" applyFill="0" applyBorder="0" applyProtection="0">
      <alignment/>
    </xf>
    <xf numFmtId="164" fontId="13" fillId="10" borderId="0" applyNumberFormat="0" applyBorder="0" applyProtection="0">
      <alignment/>
    </xf>
    <xf numFmtId="164" fontId="0" fillId="0" borderId="0">
      <alignment/>
      <protection/>
    </xf>
    <xf numFmtId="164" fontId="14" fillId="0" borderId="0">
      <alignment/>
      <protection/>
    </xf>
    <xf numFmtId="164" fontId="0" fillId="5" borderId="7" applyNumberFormat="0" applyProtection="0">
      <alignment/>
    </xf>
    <xf numFmtId="164" fontId="15" fillId="9" borderId="8" applyNumberFormat="0" applyProtection="0">
      <alignment/>
    </xf>
    <xf numFmtId="164" fontId="16" fillId="0" borderId="0" applyNumberFormat="0" applyFill="0" applyBorder="0" applyProtection="0">
      <alignment/>
    </xf>
    <xf numFmtId="164" fontId="17" fillId="0" borderId="0" applyNumberFormat="0" applyFill="0" applyBorder="0" applyProtection="0">
      <alignment/>
    </xf>
  </cellStyleXfs>
  <cellXfs count="46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center"/>
    </xf>
    <xf numFmtId="166" fontId="0" fillId="9" borderId="9" xfId="0" applyNumberFormat="1" applyFont="1" applyFill="1" applyBorder="1" applyAlignment="1" applyProtection="1">
      <alignment horizontal="left" vertical="center" wrapText="1"/>
      <protection/>
    </xf>
    <xf numFmtId="164" fontId="18" fillId="9" borderId="10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/>
    </xf>
    <xf numFmtId="164" fontId="0" fillId="9" borderId="11" xfId="0" applyFont="1" applyFill="1" applyBorder="1" applyAlignment="1" applyProtection="1">
      <alignment vertical="center" wrapText="1"/>
      <protection/>
    </xf>
    <xf numFmtId="164" fontId="19" fillId="0" borderId="12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left"/>
      <protection/>
    </xf>
    <xf numFmtId="164" fontId="0" fillId="0" borderId="0" xfId="0" applyFill="1" applyAlignment="1" applyProtection="1">
      <alignment/>
      <protection/>
    </xf>
    <xf numFmtId="164" fontId="0" fillId="0" borderId="0" xfId="0" applyFont="1" applyFill="1" applyAlignment="1" applyProtection="1">
      <alignment horizontal="center"/>
      <protection/>
    </xf>
    <xf numFmtId="164" fontId="0" fillId="0" borderId="13" xfId="0" applyFont="1" applyFill="1" applyBorder="1" applyAlignment="1" applyProtection="1">
      <alignment horizontal="left" wrapText="1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Fill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left" indent="3"/>
      <protection/>
    </xf>
    <xf numFmtId="164" fontId="0" fillId="0" borderId="0" xfId="0" applyAlignment="1">
      <alignment horizontal="left" indent="3"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 wrapText="1" indent="3"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left" indent="6"/>
      <protection/>
    </xf>
    <xf numFmtId="164" fontId="0" fillId="0" borderId="0" xfId="0" applyAlignment="1" applyProtection="1">
      <alignment horizontal="left" wrapText="1"/>
      <protection/>
    </xf>
    <xf numFmtId="164" fontId="0" fillId="0" borderId="0" xfId="0" applyFont="1" applyAlignment="1" applyProtection="1">
      <alignment horizontal="center"/>
      <protection/>
    </xf>
    <xf numFmtId="164" fontId="21" fillId="0" borderId="0" xfId="58" applyFont="1" applyBorder="1" applyAlignment="1" applyProtection="1">
      <alignment/>
      <protection/>
    </xf>
    <xf numFmtId="164" fontId="20" fillId="0" borderId="14" xfId="58" applyFont="1" applyBorder="1" applyAlignment="1" applyProtection="1">
      <alignment vertical="top"/>
      <protection/>
    </xf>
    <xf numFmtId="164" fontId="20" fillId="0" borderId="14" xfId="58" applyFont="1" applyBorder="1" applyAlignment="1" applyProtection="1">
      <alignment horizontal="left" vertical="top"/>
      <protection/>
    </xf>
    <xf numFmtId="167" fontId="0" fillId="10" borderId="15" xfId="0" applyNumberFormat="1" applyFont="1" applyFill="1" applyBorder="1" applyAlignment="1" applyProtection="1">
      <alignment horizontal="left" vertical="top" wrapText="1"/>
      <protection locked="0"/>
    </xf>
    <xf numFmtId="164" fontId="0" fillId="10" borderId="15" xfId="0" applyFont="1" applyFill="1" applyBorder="1" applyAlignment="1" applyProtection="1">
      <alignment horizontal="left" vertical="top" wrapText="1"/>
      <protection locked="0"/>
    </xf>
    <xf numFmtId="164" fontId="0" fillId="10" borderId="15" xfId="0" applyFont="1" applyFill="1" applyBorder="1" applyAlignment="1" applyProtection="1">
      <alignment horizontal="left" vertical="top" wrapText="1"/>
      <protection locked="0"/>
    </xf>
    <xf numFmtId="164" fontId="0" fillId="10" borderId="15" xfId="0" applyFont="1" applyFill="1" applyBorder="1" applyAlignment="1" applyProtection="1">
      <alignment vertical="top" wrapText="1"/>
      <protection locked="0"/>
    </xf>
    <xf numFmtId="164" fontId="0" fillId="0" borderId="0" xfId="0" applyBorder="1" applyAlignment="1">
      <alignment/>
    </xf>
    <xf numFmtId="164" fontId="20" fillId="0" borderId="0" xfId="58" applyFont="1" applyBorder="1" applyAlignment="1" applyProtection="1">
      <alignment vertical="top"/>
      <protection/>
    </xf>
    <xf numFmtId="164" fontId="0" fillId="0" borderId="16" xfId="0" applyBorder="1" applyAlignment="1">
      <alignment/>
    </xf>
    <xf numFmtId="164" fontId="20" fillId="0" borderId="16" xfId="58" applyFont="1" applyBorder="1" applyAlignment="1" applyProtection="1">
      <alignment horizontal="center"/>
      <protection/>
    </xf>
    <xf numFmtId="164" fontId="20" fillId="0" borderId="14" xfId="58" applyFont="1" applyBorder="1" applyAlignment="1" applyProtection="1">
      <alignment vertical="top" shrinkToFit="1"/>
      <protection/>
    </xf>
    <xf numFmtId="169" fontId="0" fillId="10" borderId="15" xfId="0" applyNumberFormat="1" applyFill="1" applyBorder="1" applyAlignment="1" applyProtection="1">
      <alignment horizontal="left" vertical="top" shrinkToFit="1"/>
      <protection locked="0"/>
    </xf>
    <xf numFmtId="169" fontId="0" fillId="0" borderId="15" xfId="0" applyNumberFormat="1" applyFill="1" applyBorder="1" applyAlignment="1" applyProtection="1">
      <alignment horizontal="left" vertical="top" shrinkToFit="1"/>
      <protection/>
    </xf>
    <xf numFmtId="164" fontId="20" fillId="0" borderId="17" xfId="58" applyFont="1" applyBorder="1" applyAlignment="1" applyProtection="1">
      <alignment vertical="top" wrapText="1"/>
      <protection/>
    </xf>
    <xf numFmtId="170" fontId="0" fillId="10" borderId="15" xfId="0" applyNumberFormat="1" applyFill="1" applyBorder="1" applyAlignment="1" applyProtection="1">
      <alignment wrapText="1"/>
      <protection locked="0"/>
    </xf>
    <xf numFmtId="169" fontId="0" fillId="10" borderId="15" xfId="0" applyNumberFormat="1" applyFill="1" applyBorder="1" applyAlignment="1" applyProtection="1">
      <alignment horizontal="left" vertical="top" wrapText="1"/>
      <protection locked="0"/>
    </xf>
    <xf numFmtId="164" fontId="20" fillId="0" borderId="18" xfId="58" applyFont="1" applyBorder="1" applyAlignment="1" applyProtection="1">
      <alignment vertical="top"/>
      <protection/>
    </xf>
    <xf numFmtId="164" fontId="20" fillId="0" borderId="19" xfId="58" applyFont="1" applyBorder="1" applyAlignment="1" applyProtection="1">
      <alignment horizontal="left" vertical="top"/>
      <protection/>
    </xf>
    <xf numFmtId="164" fontId="20" fillId="0" borderId="20" xfId="58" applyFont="1" applyBorder="1" applyAlignment="1" applyProtection="1">
      <alignment vertical="top"/>
      <protection/>
    </xf>
    <xf numFmtId="164" fontId="0" fillId="0" borderId="21" xfId="58" applyFont="1" applyBorder="1" applyAlignment="1" applyProtection="1">
      <alignment vertical="top"/>
      <protection/>
    </xf>
    <xf numFmtId="164" fontId="20" fillId="0" borderId="0" xfId="58" applyFont="1" applyBorder="1" applyAlignment="1" applyProtection="1">
      <alignment horizontal="left" vertical="top"/>
      <protection/>
    </xf>
    <xf numFmtId="164" fontId="20" fillId="0" borderId="16" xfId="58" applyFont="1" applyBorder="1" applyAlignment="1" applyProtection="1">
      <alignment vertical="top"/>
      <protection/>
    </xf>
    <xf numFmtId="167" fontId="0" fillId="10" borderId="22" xfId="0" applyNumberFormat="1" applyFont="1" applyFill="1" applyBorder="1" applyAlignment="1" applyProtection="1">
      <alignment horizontal="left" wrapText="1"/>
      <protection locked="0"/>
    </xf>
    <xf numFmtId="164" fontId="0" fillId="10" borderId="23" xfId="0" applyNumberFormat="1" applyFont="1" applyFill="1" applyBorder="1" applyAlignment="1" applyProtection="1">
      <alignment horizontal="left" wrapText="1"/>
      <protection locked="0"/>
    </xf>
    <xf numFmtId="164" fontId="0" fillId="10" borderId="24" xfId="0" applyNumberFormat="1" applyFont="1" applyFill="1" applyBorder="1" applyAlignment="1" applyProtection="1">
      <alignment wrapText="1"/>
      <protection locked="0"/>
    </xf>
    <xf numFmtId="167" fontId="0" fillId="10" borderId="25" xfId="0" applyNumberFormat="1" applyFont="1" applyFill="1" applyBorder="1" applyAlignment="1" applyProtection="1">
      <alignment horizontal="left" wrapText="1"/>
      <protection locked="0"/>
    </xf>
    <xf numFmtId="164" fontId="0" fillId="10" borderId="26" xfId="0" applyNumberFormat="1" applyFill="1" applyBorder="1" applyAlignment="1" applyProtection="1">
      <alignment horizontal="left" wrapText="1"/>
      <protection locked="0"/>
    </xf>
    <xf numFmtId="164" fontId="0" fillId="10" borderId="27" xfId="0" applyNumberFormat="1" applyFont="1" applyFill="1" applyBorder="1" applyAlignment="1" applyProtection="1">
      <alignment wrapText="1"/>
      <protection locked="0"/>
    </xf>
    <xf numFmtId="164" fontId="0" fillId="10" borderId="26" xfId="0" applyNumberFormat="1" applyFont="1" applyFill="1" applyBorder="1" applyAlignment="1" applyProtection="1">
      <alignment horizontal="left" wrapText="1"/>
      <protection locked="0"/>
    </xf>
    <xf numFmtId="167" fontId="0" fillId="10" borderId="28" xfId="0" applyNumberFormat="1" applyFill="1" applyBorder="1" applyAlignment="1" applyProtection="1">
      <alignment horizontal="left" wrapText="1"/>
      <protection locked="0"/>
    </xf>
    <xf numFmtId="164" fontId="0" fillId="10" borderId="29" xfId="0" applyNumberFormat="1" applyFill="1" applyBorder="1" applyAlignment="1" applyProtection="1">
      <alignment horizontal="left" wrapText="1"/>
      <protection locked="0"/>
    </xf>
    <xf numFmtId="164" fontId="0" fillId="10" borderId="30" xfId="0" applyNumberFormat="1" applyFont="1" applyFill="1" applyBorder="1" applyAlignment="1" applyProtection="1">
      <alignment wrapText="1"/>
      <protection locked="0"/>
    </xf>
    <xf numFmtId="164" fontId="22" fillId="0" borderId="0" xfId="0" applyFont="1" applyFill="1" applyAlignment="1" applyProtection="1">
      <alignment horizontal="center"/>
      <protection/>
    </xf>
    <xf numFmtId="164" fontId="24" fillId="0" borderId="0" xfId="0" applyFont="1" applyAlignment="1" applyProtection="1">
      <alignment/>
      <protection/>
    </xf>
    <xf numFmtId="164" fontId="22" fillId="0" borderId="0" xfId="0" applyFont="1" applyAlignment="1" applyProtection="1">
      <alignment/>
      <protection/>
    </xf>
    <xf numFmtId="164" fontId="14" fillId="0" borderId="14" xfId="0" applyFont="1" applyBorder="1" applyAlignment="1" applyProtection="1">
      <alignment horizontal="center"/>
      <protection/>
    </xf>
    <xf numFmtId="164" fontId="20" fillId="0" borderId="0" xfId="0" applyFont="1" applyBorder="1" applyAlignment="1" applyProtection="1">
      <alignment horizontal="center"/>
      <protection/>
    </xf>
    <xf numFmtId="164" fontId="14" fillId="0" borderId="15" xfId="0" applyFont="1" applyBorder="1" applyAlignment="1" applyProtection="1">
      <alignment horizontal="center"/>
      <protection/>
    </xf>
    <xf numFmtId="164" fontId="25" fillId="0" borderId="16" xfId="0" applyFont="1" applyBorder="1" applyAlignment="1" applyProtection="1">
      <alignment horizontal="center" wrapText="1"/>
      <protection/>
    </xf>
    <xf numFmtId="164" fontId="26" fillId="0" borderId="31" xfId="0" applyFont="1" applyBorder="1" applyAlignment="1" applyProtection="1">
      <alignment horizontal="center" vertical="center" wrapText="1"/>
      <protection/>
    </xf>
    <xf numFmtId="169" fontId="27" fillId="0" borderId="32" xfId="0" applyNumberFormat="1" applyFont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72" fontId="27" fillId="0" borderId="15" xfId="17" applyNumberFormat="1" applyFont="1" applyFill="1" applyBorder="1" applyAlignment="1" applyProtection="1">
      <alignment horizontal="center" vertical="center" shrinkToFit="1"/>
      <protection/>
    </xf>
    <xf numFmtId="170" fontId="0" fillId="0" borderId="0" xfId="0" applyNumberFormat="1" applyFont="1" applyAlignment="1" applyProtection="1">
      <alignment horizontal="center" vertical="center" wrapText="1"/>
      <protection/>
    </xf>
    <xf numFmtId="170" fontId="0" fillId="0" borderId="0" xfId="0" applyNumberFormat="1" applyFont="1" applyAlignment="1" applyProtection="1">
      <alignment vertical="center" wrapText="1"/>
      <protection/>
    </xf>
    <xf numFmtId="164" fontId="0" fillId="0" borderId="0" xfId="0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0" fillId="0" borderId="14" xfId="0" applyFont="1" applyBorder="1" applyAlignment="1" applyProtection="1">
      <alignment horizontal="center" vertical="center"/>
      <protection/>
    </xf>
    <xf numFmtId="164" fontId="20" fillId="0" borderId="0" xfId="0" applyFont="1" applyBorder="1" applyAlignment="1" applyProtection="1">
      <alignment horizontal="center" vertical="center" wrapText="1"/>
      <protection/>
    </xf>
    <xf numFmtId="164" fontId="20" fillId="0" borderId="18" xfId="0" applyFont="1" applyBorder="1" applyAlignment="1" applyProtection="1">
      <alignment horizontal="center" vertical="center" wrapText="1"/>
      <protection/>
    </xf>
    <xf numFmtId="164" fontId="20" fillId="0" borderId="19" xfId="0" applyFont="1" applyBorder="1" applyAlignment="1" applyProtection="1">
      <alignment horizontal="center" vertical="center"/>
      <protection/>
    </xf>
    <xf numFmtId="164" fontId="20" fillId="0" borderId="20" xfId="0" applyFont="1" applyBorder="1" applyAlignment="1" applyProtection="1">
      <alignment horizontal="center" vertical="center" wrapText="1"/>
      <protection/>
    </xf>
    <xf numFmtId="173" fontId="20" fillId="0" borderId="0" xfId="0" applyNumberFormat="1" applyFont="1" applyBorder="1" applyAlignment="1" applyProtection="1">
      <alignment horizontal="center" vertical="center" wrapText="1"/>
      <protection/>
    </xf>
    <xf numFmtId="173" fontId="20" fillId="0" borderId="14" xfId="0" applyNumberFormat="1" applyFont="1" applyBorder="1" applyAlignment="1" applyProtection="1">
      <alignment horizontal="center" vertical="center" wrapText="1"/>
      <protection/>
    </xf>
    <xf numFmtId="164" fontId="20" fillId="0" borderId="14" xfId="0" applyFont="1" applyBorder="1" applyAlignment="1" applyProtection="1">
      <alignment horizontal="center" vertical="center" wrapText="1"/>
      <protection/>
    </xf>
    <xf numFmtId="173" fontId="20" fillId="0" borderId="22" xfId="0" applyNumberFormat="1" applyFont="1" applyBorder="1" applyAlignment="1" applyProtection="1">
      <alignment horizontal="center" vertical="center" wrapText="1"/>
      <protection/>
    </xf>
    <xf numFmtId="173" fontId="20" fillId="0" borderId="24" xfId="0" applyNumberFormat="1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wrapText="1"/>
      <protection/>
    </xf>
    <xf numFmtId="164" fontId="0" fillId="0" borderId="0" xfId="0" applyFont="1" applyAlignment="1" applyProtection="1">
      <alignment horizontal="center" wrapText="1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16" xfId="0" applyFont="1" applyBorder="1" applyAlignment="1" applyProtection="1">
      <alignment horizontal="center" wrapText="1"/>
      <protection/>
    </xf>
    <xf numFmtId="164" fontId="0" fillId="0" borderId="31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vertical="center" wrapText="1"/>
      <protection/>
    </xf>
    <xf numFmtId="164" fontId="20" fillId="10" borderId="33" xfId="0" applyFont="1" applyFill="1" applyBorder="1" applyAlignment="1" applyProtection="1">
      <alignment horizontal="center" vertical="center" wrapText="1"/>
      <protection locked="0"/>
    </xf>
    <xf numFmtId="164" fontId="0" fillId="10" borderId="34" xfId="0" applyFont="1" applyFill="1" applyBorder="1" applyAlignment="1" applyProtection="1">
      <alignment horizontal="center" vertical="center" wrapText="1"/>
      <protection locked="0"/>
    </xf>
    <xf numFmtId="164" fontId="0" fillId="0" borderId="35" xfId="0" applyFont="1" applyFill="1" applyBorder="1" applyAlignment="1" applyProtection="1">
      <alignment horizontal="center" vertical="center" wrapText="1"/>
      <protection/>
    </xf>
    <xf numFmtId="164" fontId="0" fillId="10" borderId="25" xfId="0" applyFont="1" applyFill="1" applyBorder="1" applyAlignment="1" applyProtection="1">
      <alignment horizontal="center" vertical="center" wrapText="1"/>
      <protection locked="0"/>
    </xf>
    <xf numFmtId="164" fontId="0" fillId="10" borderId="26" xfId="0" applyFont="1" applyFill="1" applyBorder="1" applyAlignment="1" applyProtection="1">
      <alignment horizontal="left" vertical="center" wrapText="1"/>
      <protection locked="0"/>
    </xf>
    <xf numFmtId="164" fontId="0" fillId="10" borderId="26" xfId="0" applyFont="1" applyFill="1" applyBorder="1" applyAlignment="1" applyProtection="1">
      <alignment horizontal="center" vertical="center" wrapText="1"/>
      <protection locked="0"/>
    </xf>
    <xf numFmtId="169" fontId="20" fillId="10" borderId="26" xfId="0" applyNumberFormat="1" applyFont="1" applyFill="1" applyBorder="1" applyAlignment="1" applyProtection="1">
      <alignment horizontal="center" vertical="center" shrinkToFit="1"/>
      <protection locked="0"/>
    </xf>
    <xf numFmtId="174" fontId="20" fillId="0" borderId="26" xfId="0" applyNumberFormat="1" applyFont="1" applyFill="1" applyBorder="1" applyAlignment="1" applyProtection="1">
      <alignment horizontal="center" vertical="center" wrapText="1"/>
      <protection/>
    </xf>
    <xf numFmtId="167" fontId="0" fillId="10" borderId="27" xfId="0" applyNumberFormat="1" applyFont="1" applyFill="1" applyBorder="1" applyAlignment="1" applyProtection="1">
      <alignment horizontal="center" vertical="center" wrapText="1"/>
      <protection locked="0"/>
    </xf>
    <xf numFmtId="175" fontId="0" fillId="4" borderId="36" xfId="17" applyNumberFormat="1" applyFont="1" applyFill="1" applyBorder="1" applyAlignment="1" applyProtection="1">
      <alignment horizontal="center" vertical="center" shrinkToFit="1"/>
      <protection/>
    </xf>
    <xf numFmtId="175" fontId="0" fillId="4" borderId="37" xfId="17" applyNumberFormat="1" applyFont="1" applyFill="1" applyBorder="1" applyAlignment="1" applyProtection="1">
      <alignment horizontal="center" vertical="center" shrinkToFit="1"/>
      <protection/>
    </xf>
    <xf numFmtId="175" fontId="0" fillId="4" borderId="38" xfId="17" applyNumberFormat="1" applyFont="1" applyFill="1" applyBorder="1" applyAlignment="1" applyProtection="1">
      <alignment horizontal="center" vertical="center" shrinkToFit="1"/>
      <protection/>
    </xf>
    <xf numFmtId="172" fontId="0" fillId="10" borderId="33" xfId="17" applyNumberFormat="1" applyFont="1" applyFill="1" applyBorder="1" applyAlignment="1" applyProtection="1">
      <alignment horizontal="center" vertical="center" shrinkToFit="1"/>
      <protection locked="0"/>
    </xf>
    <xf numFmtId="164" fontId="0" fillId="10" borderId="33" xfId="0" applyNumberFormat="1" applyFont="1" applyFill="1" applyBorder="1" applyAlignment="1" applyProtection="1">
      <alignment horizontal="center" vertical="center" shrinkToFit="1"/>
      <protection locked="0"/>
    </xf>
    <xf numFmtId="172" fontId="0" fillId="1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10" borderId="27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0" xfId="0" applyFont="1" applyAlignment="1" applyProtection="1">
      <alignment horizontal="center" vertical="center" wrapText="1"/>
      <protection/>
    </xf>
    <xf numFmtId="169" fontId="0" fillId="0" borderId="0" xfId="17" applyNumberFormat="1" applyFont="1" applyFill="1" applyBorder="1" applyAlignment="1" applyProtection="1">
      <alignment vertical="center" wrapText="1"/>
      <protection/>
    </xf>
    <xf numFmtId="169" fontId="0" fillId="0" borderId="0" xfId="0" applyNumberFormat="1" applyFont="1" applyAlignment="1" applyProtection="1">
      <alignment vertical="center" wrapText="1"/>
      <protection/>
    </xf>
    <xf numFmtId="164" fontId="20" fillId="0" borderId="0" xfId="0" applyFont="1" applyAlignment="1" applyProtection="1">
      <alignment/>
      <protection/>
    </xf>
    <xf numFmtId="164" fontId="0" fillId="9" borderId="32" xfId="0" applyFill="1" applyBorder="1" applyAlignment="1" applyProtection="1">
      <alignment vertical="center" wrapText="1"/>
      <protection/>
    </xf>
    <xf numFmtId="164" fontId="20" fillId="9" borderId="10" xfId="0" applyFont="1" applyFill="1" applyBorder="1" applyAlignment="1" applyProtection="1">
      <alignment horizontal="center" vertical="center" wrapText="1"/>
      <protection/>
    </xf>
    <xf numFmtId="164" fontId="0" fillId="9" borderId="39" xfId="0" applyFill="1" applyBorder="1" applyAlignment="1" applyProtection="1">
      <alignment vertical="center" wrapText="1"/>
      <protection/>
    </xf>
    <xf numFmtId="164" fontId="0" fillId="9" borderId="40" xfId="0" applyFill="1" applyBorder="1" applyAlignment="1" applyProtection="1">
      <alignment vertical="center" wrapText="1"/>
      <protection/>
    </xf>
    <xf numFmtId="164" fontId="20" fillId="9" borderId="40" xfId="0" applyFont="1" applyFill="1" applyBorder="1" applyAlignment="1" applyProtection="1">
      <alignment vertical="center" wrapText="1"/>
      <protection/>
    </xf>
    <xf numFmtId="164" fontId="20" fillId="9" borderId="41" xfId="0" applyFont="1" applyFill="1" applyBorder="1" applyAlignment="1" applyProtection="1">
      <alignment vertical="center" wrapText="1"/>
      <protection/>
    </xf>
    <xf numFmtId="176" fontId="14" fillId="9" borderId="9" xfId="17" applyNumberFormat="1" applyFont="1" applyFill="1" applyBorder="1" applyAlignment="1" applyProtection="1">
      <alignment horizontal="center" vertical="center" wrapText="1"/>
      <protection/>
    </xf>
    <xf numFmtId="176" fontId="14" fillId="9" borderId="17" xfId="17" applyNumberFormat="1" applyFont="1" applyFill="1" applyBorder="1" applyAlignment="1" applyProtection="1">
      <alignment horizontal="center" vertical="center" wrapText="1"/>
      <protection/>
    </xf>
    <xf numFmtId="176" fontId="14" fillId="9" borderId="42" xfId="17" applyNumberFormat="1" applyFont="1" applyFill="1" applyBorder="1" applyAlignment="1" applyProtection="1">
      <alignment horizontal="center" vertical="center" wrapText="1"/>
      <protection/>
    </xf>
    <xf numFmtId="176" fontId="14" fillId="9" borderId="32" xfId="17" applyNumberFormat="1" applyFont="1" applyFill="1" applyBorder="1" applyAlignment="1" applyProtection="1">
      <alignment horizontal="center" vertical="center" wrapText="1"/>
      <protection/>
    </xf>
    <xf numFmtId="164" fontId="20" fillId="9" borderId="32" xfId="0" applyFont="1" applyFill="1" applyBorder="1" applyAlignment="1" applyProtection="1">
      <alignment/>
      <protection/>
    </xf>
    <xf numFmtId="164" fontId="20" fillId="9" borderId="39" xfId="0" applyFont="1" applyFill="1" applyBorder="1" applyAlignment="1" applyProtection="1">
      <alignment/>
      <protection/>
    </xf>
    <xf numFmtId="164" fontId="20" fillId="9" borderId="41" xfId="0" applyFont="1" applyFill="1" applyBorder="1" applyAlignment="1" applyProtection="1">
      <alignment/>
      <protection/>
    </xf>
    <xf numFmtId="164" fontId="28" fillId="9" borderId="15" xfId="0" applyFont="1" applyFill="1" applyBorder="1" applyAlignment="1" applyProtection="1">
      <alignment vertical="center" wrapText="1"/>
      <protection/>
    </xf>
    <xf numFmtId="164" fontId="0" fillId="9" borderId="43" xfId="0" applyFill="1" applyBorder="1" applyAlignment="1" applyProtection="1">
      <alignment vertical="center" wrapText="1"/>
      <protection/>
    </xf>
    <xf numFmtId="164" fontId="0" fillId="9" borderId="44" xfId="0" applyFill="1" applyBorder="1" applyAlignment="1" applyProtection="1">
      <alignment vertical="center" wrapText="1"/>
      <protection/>
    </xf>
    <xf numFmtId="164" fontId="20" fillId="9" borderId="44" xfId="0" applyFont="1" applyFill="1" applyBorder="1" applyAlignment="1" applyProtection="1">
      <alignment vertical="center" wrapText="1"/>
      <protection/>
    </xf>
    <xf numFmtId="164" fontId="20" fillId="9" borderId="45" xfId="0" applyFont="1" applyFill="1" applyBorder="1" applyAlignment="1" applyProtection="1">
      <alignment vertical="center" wrapText="1"/>
      <protection/>
    </xf>
    <xf numFmtId="175" fontId="19" fillId="9" borderId="46" xfId="17" applyNumberFormat="1" applyFont="1" applyFill="1" applyBorder="1" applyAlignment="1" applyProtection="1">
      <alignment horizontal="center" vertical="center" shrinkToFit="1"/>
      <protection/>
    </xf>
    <xf numFmtId="172" fontId="19" fillId="9" borderId="15" xfId="17" applyNumberFormat="1" applyFont="1" applyFill="1" applyBorder="1" applyAlignment="1" applyProtection="1">
      <alignment horizontal="center" vertical="center" shrinkToFit="1"/>
      <protection/>
    </xf>
    <xf numFmtId="164" fontId="20" fillId="9" borderId="15" xfId="0" applyFont="1" applyFill="1" applyBorder="1" applyAlignment="1" applyProtection="1">
      <alignment/>
      <protection/>
    </xf>
    <xf numFmtId="164" fontId="20" fillId="9" borderId="43" xfId="0" applyFont="1" applyFill="1" applyBorder="1" applyAlignment="1" applyProtection="1">
      <alignment/>
      <protection/>
    </xf>
    <xf numFmtId="164" fontId="20" fillId="9" borderId="45" xfId="0" applyFont="1" applyFill="1" applyBorder="1" applyAlignment="1" applyProtection="1">
      <alignment/>
      <protection/>
    </xf>
    <xf numFmtId="169" fontId="0" fillId="0" borderId="31" xfId="0" applyNumberFormat="1" applyFont="1" applyBorder="1" applyAlignment="1" applyProtection="1">
      <alignment vertical="center" wrapText="1"/>
      <protection/>
    </xf>
    <xf numFmtId="169" fontId="0" fillId="0" borderId="0" xfId="0" applyNumberFormat="1" applyAlignment="1" applyProtection="1">
      <alignment/>
      <protection/>
    </xf>
    <xf numFmtId="169" fontId="0" fillId="0" borderId="31" xfId="0" applyNumberFormat="1" applyFont="1" applyBorder="1" applyAlignment="1" applyProtection="1">
      <alignment horizontal="center" vertical="center" wrapText="1"/>
      <protection/>
    </xf>
    <xf numFmtId="164" fontId="0" fillId="0" borderId="34" xfId="0" applyFont="1" applyFill="1" applyBorder="1" applyAlignment="1" applyProtection="1">
      <alignment horizontal="center" vertical="center" wrapText="1"/>
      <protection/>
    </xf>
    <xf numFmtId="164" fontId="28" fillId="9" borderId="47" xfId="0" applyFont="1" applyFill="1" applyBorder="1" applyAlignment="1" applyProtection="1">
      <alignment horizontal="center" vertical="center" wrapText="1"/>
      <protection/>
    </xf>
    <xf numFmtId="164" fontId="0" fillId="9" borderId="48" xfId="0" applyFill="1" applyBorder="1" applyAlignment="1" applyProtection="1">
      <alignment horizontal="center" vertical="center" wrapText="1"/>
      <protection/>
    </xf>
    <xf numFmtId="164" fontId="0" fillId="9" borderId="10" xfId="0" applyFill="1" applyBorder="1" applyAlignment="1" applyProtection="1">
      <alignment horizontal="center" vertical="center" wrapText="1"/>
      <protection/>
    </xf>
    <xf numFmtId="164" fontId="20" fillId="0" borderId="0" xfId="0" applyFont="1" applyFill="1" applyAlignment="1" applyProtection="1">
      <alignment/>
      <protection/>
    </xf>
    <xf numFmtId="164" fontId="20" fillId="0" borderId="17" xfId="0" applyFont="1" applyBorder="1" applyAlignment="1" applyProtection="1">
      <alignment/>
      <protection/>
    </xf>
    <xf numFmtId="164" fontId="0" fillId="0" borderId="17" xfId="0" applyBorder="1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Border="1" applyAlignment="1" applyProtection="1">
      <alignment vertical="center" wrapText="1"/>
      <protection/>
    </xf>
    <xf numFmtId="164" fontId="29" fillId="0" borderId="0" xfId="0" applyFont="1" applyAlignment="1" applyProtection="1">
      <alignment/>
      <protection/>
    </xf>
    <xf numFmtId="164" fontId="0" fillId="0" borderId="0" xfId="0" applyAlignment="1" applyProtection="1">
      <alignment horizontal="left" vertical="center" wrapText="1"/>
      <protection/>
    </xf>
    <xf numFmtId="164" fontId="0" fillId="0" borderId="21" xfId="0" applyFont="1" applyBorder="1" applyAlignment="1" applyProtection="1">
      <alignment horizontal="left" vertical="center" wrapText="1"/>
      <protection/>
    </xf>
    <xf numFmtId="164" fontId="0" fillId="0" borderId="16" xfId="0" applyBorder="1" applyAlignment="1" applyProtection="1">
      <alignment/>
      <protection/>
    </xf>
    <xf numFmtId="164" fontId="0" fillId="10" borderId="14" xfId="0" applyFont="1" applyFill="1" applyBorder="1" applyAlignment="1" applyProtection="1">
      <alignment horizontal="left" vertical="top" wrapText="1"/>
      <protection locked="0"/>
    </xf>
    <xf numFmtId="164" fontId="0" fillId="0" borderId="17" xfId="0" applyBorder="1" applyAlignment="1" applyProtection="1">
      <alignment vertical="center" wrapText="1"/>
      <protection/>
    </xf>
    <xf numFmtId="164" fontId="29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 horizontal="left" vertical="center" wrapText="1"/>
      <protection/>
    </xf>
    <xf numFmtId="164" fontId="0" fillId="0" borderId="17" xfId="0" applyBorder="1" applyAlignment="1" applyProtection="1">
      <alignment/>
      <protection/>
    </xf>
    <xf numFmtId="164" fontId="20" fillId="0" borderId="47" xfId="0" applyFont="1" applyFill="1" applyBorder="1" applyAlignment="1" applyProtection="1">
      <alignment horizontal="center" vertical="center" wrapText="1"/>
      <protection/>
    </xf>
    <xf numFmtId="164" fontId="20" fillId="10" borderId="49" xfId="0" applyFont="1" applyFill="1" applyBorder="1" applyAlignment="1" applyProtection="1">
      <alignment horizontal="center" vertical="center" wrapText="1"/>
      <protection locked="0"/>
    </xf>
    <xf numFmtId="175" fontId="19" fillId="9" borderId="50" xfId="17" applyNumberFormat="1" applyFont="1" applyFill="1" applyBorder="1" applyAlignment="1" applyProtection="1">
      <alignment horizontal="center" vertical="center" shrinkToFit="1"/>
      <protection/>
    </xf>
    <xf numFmtId="172" fontId="19" fillId="9" borderId="51" xfId="17" applyNumberFormat="1" applyFont="1" applyFill="1" applyBorder="1" applyAlignment="1" applyProtection="1">
      <alignment horizontal="center" vertical="center" shrinkToFit="1"/>
      <protection/>
    </xf>
    <xf numFmtId="164" fontId="20" fillId="10" borderId="25" xfId="0" applyFont="1" applyFill="1" applyBorder="1" applyAlignment="1" applyProtection="1">
      <alignment horizontal="center" vertical="center" wrapText="1"/>
      <protection locked="0"/>
    </xf>
    <xf numFmtId="175" fontId="19" fillId="9" borderId="26" xfId="17" applyNumberFormat="1" applyFont="1" applyFill="1" applyBorder="1" applyAlignment="1" applyProtection="1">
      <alignment horizontal="center" vertical="center" shrinkToFit="1"/>
      <protection/>
    </xf>
    <xf numFmtId="172" fontId="19" fillId="9" borderId="27" xfId="17" applyNumberFormat="1" applyFont="1" applyFill="1" applyBorder="1" applyAlignment="1" applyProtection="1">
      <alignment horizontal="center" vertical="center" shrinkToFit="1"/>
      <protection/>
    </xf>
    <xf numFmtId="164" fontId="0" fillId="0" borderId="46" xfId="0" applyBorder="1" applyAlignment="1" applyProtection="1">
      <alignment/>
      <protection/>
    </xf>
    <xf numFmtId="164" fontId="20" fillId="0" borderId="46" xfId="58" applyFont="1" applyBorder="1" applyAlignment="1" applyProtection="1">
      <alignment vertical="top" wrapText="1"/>
      <protection/>
    </xf>
    <xf numFmtId="164" fontId="20" fillId="10" borderId="28" xfId="0" applyFont="1" applyFill="1" applyBorder="1" applyAlignment="1" applyProtection="1">
      <alignment horizontal="center" vertical="center" wrapText="1"/>
      <protection locked="0"/>
    </xf>
    <xf numFmtId="175" fontId="19" fillId="9" borderId="29" xfId="17" applyNumberFormat="1" applyFont="1" applyFill="1" applyBorder="1" applyAlignment="1" applyProtection="1">
      <alignment horizontal="center" vertical="center" shrinkToFit="1"/>
      <protection/>
    </xf>
    <xf numFmtId="172" fontId="19" fillId="9" borderId="30" xfId="17" applyNumberFormat="1" applyFont="1" applyFill="1" applyBorder="1" applyAlignment="1" applyProtection="1">
      <alignment horizontal="center" vertical="center" shrinkToFit="1"/>
      <protection/>
    </xf>
    <xf numFmtId="164" fontId="20" fillId="0" borderId="17" xfId="58" applyFont="1" applyBorder="1" applyAlignment="1" applyProtection="1">
      <alignment horizontal="left" vertical="top" wrapText="1"/>
      <protection/>
    </xf>
    <xf numFmtId="164" fontId="20" fillId="0" borderId="0" xfId="58" applyFont="1" applyBorder="1" applyAlignment="1" applyProtection="1">
      <alignment vertical="top" wrapText="1"/>
      <protection/>
    </xf>
    <xf numFmtId="164" fontId="0" fillId="10" borderId="0" xfId="0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77" fontId="0" fillId="1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64" fontId="20" fillId="0" borderId="16" xfId="0" applyFont="1" applyBorder="1" applyAlignment="1" applyProtection="1">
      <alignment horizontal="left"/>
      <protection/>
    </xf>
    <xf numFmtId="164" fontId="20" fillId="0" borderId="0" xfId="0" applyFont="1" applyAlignment="1" applyProtection="1">
      <alignment/>
      <protection/>
    </xf>
    <xf numFmtId="164" fontId="20" fillId="0" borderId="0" xfId="0" applyFont="1" applyBorder="1" applyAlignment="1" applyProtection="1">
      <alignment horizontal="left"/>
      <protection/>
    </xf>
    <xf numFmtId="164" fontId="20" fillId="0" borderId="17" xfId="0" applyFont="1" applyBorder="1" applyAlignment="1" applyProtection="1">
      <alignment horizontal="right"/>
      <protection/>
    </xf>
    <xf numFmtId="164" fontId="0" fillId="0" borderId="0" xfId="0" applyFont="1" applyAlignment="1" applyProtection="1">
      <alignment wrapText="1"/>
      <protection/>
    </xf>
    <xf numFmtId="164" fontId="0" fillId="0" borderId="0" xfId="0" applyBorder="1" applyAlignment="1" applyProtection="1">
      <alignment horizontal="center" vertical="center" wrapText="1"/>
      <protection/>
    </xf>
    <xf numFmtId="164" fontId="20" fillId="0" borderId="0" xfId="0" applyFont="1" applyAlignment="1" applyProtection="1">
      <alignment horizontal="center"/>
      <protection/>
    </xf>
    <xf numFmtId="164" fontId="20" fillId="0" borderId="0" xfId="0" applyFont="1" applyAlignment="1" applyProtection="1">
      <alignment horizontal="center" wrapText="1"/>
      <protection/>
    </xf>
    <xf numFmtId="164" fontId="0" fillId="0" borderId="0" xfId="0" applyAlignment="1" applyProtection="1">
      <alignment horizontal="center"/>
      <protection locked="0"/>
    </xf>
    <xf numFmtId="164" fontId="0" fillId="10" borderId="0" xfId="0" applyFont="1" applyFill="1" applyBorder="1" applyAlignment="1" applyProtection="1">
      <alignment horizontal="center" vertical="center"/>
      <protection locked="0"/>
    </xf>
    <xf numFmtId="178" fontId="0" fillId="10" borderId="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/>
      <protection/>
    </xf>
    <xf numFmtId="164" fontId="22" fillId="0" borderId="0" xfId="0" applyFont="1" applyAlignment="1" applyProtection="1">
      <alignment horizontal="center" vertical="center" wrapText="1"/>
      <protection/>
    </xf>
    <xf numFmtId="164" fontId="31" fillId="0" borderId="14" xfId="0" applyFont="1" applyBorder="1" applyAlignment="1" applyProtection="1">
      <alignment horizontal="center" vertical="center"/>
      <protection/>
    </xf>
    <xf numFmtId="164" fontId="20" fillId="0" borderId="15" xfId="0" applyFont="1" applyBorder="1" applyAlignment="1" applyProtection="1">
      <alignment horizontal="center" vertical="center" wrapText="1"/>
      <protection/>
    </xf>
    <xf numFmtId="164" fontId="20" fillId="0" borderId="0" xfId="0" applyFont="1" applyBorder="1" applyAlignment="1" applyProtection="1">
      <alignment horizontal="center" vertical="center"/>
      <protection/>
    </xf>
    <xf numFmtId="164" fontId="20" fillId="0" borderId="15" xfId="0" applyFont="1" applyBorder="1" applyAlignment="1" applyProtection="1">
      <alignment horizontal="center" vertical="center"/>
      <protection/>
    </xf>
    <xf numFmtId="164" fontId="32" fillId="0" borderId="21" xfId="0" applyFont="1" applyBorder="1" applyAlignment="1" applyProtection="1">
      <alignment horizontal="center" vertical="center" wrapText="1"/>
      <protection/>
    </xf>
    <xf numFmtId="164" fontId="20" fillId="0" borderId="21" xfId="0" applyFont="1" applyBorder="1" applyAlignment="1" applyProtection="1">
      <alignment horizontal="center" vertical="center" wrapText="1"/>
      <protection/>
    </xf>
    <xf numFmtId="164" fontId="20" fillId="0" borderId="0" xfId="0" applyFont="1" applyBorder="1" applyAlignment="1" applyProtection="1">
      <alignment horizontal="center" vertical="center" wrapText="1"/>
      <protection/>
    </xf>
    <xf numFmtId="164" fontId="20" fillId="0" borderId="16" xfId="0" applyFont="1" applyBorder="1" applyAlignment="1" applyProtection="1">
      <alignment horizontal="center" vertical="center" wrapText="1"/>
      <protection/>
    </xf>
    <xf numFmtId="164" fontId="0" fillId="0" borderId="21" xfId="0" applyFont="1" applyBorder="1" applyAlignment="1" applyProtection="1">
      <alignment/>
      <protection/>
    </xf>
    <xf numFmtId="164" fontId="22" fillId="0" borderId="21" xfId="0" applyFont="1" applyFill="1" applyBorder="1" applyAlignment="1" applyProtection="1">
      <alignment horizontal="center" vertical="center" wrapText="1"/>
      <protection/>
    </xf>
    <xf numFmtId="178" fontId="20" fillId="0" borderId="11" xfId="0" applyNumberFormat="1" applyFont="1" applyBorder="1" applyAlignment="1" applyProtection="1">
      <alignment horizontal="center" vertical="center" wrapText="1"/>
      <protection/>
    </xf>
    <xf numFmtId="178" fontId="20" fillId="0" borderId="46" xfId="0" applyNumberFormat="1" applyFont="1" applyBorder="1" applyAlignment="1" applyProtection="1">
      <alignment horizontal="center" vertical="center" wrapText="1"/>
      <protection/>
    </xf>
    <xf numFmtId="178" fontId="20" fillId="0" borderId="52" xfId="0" applyNumberFormat="1" applyFont="1" applyBorder="1" applyAlignment="1" applyProtection="1">
      <alignment horizontal="center" vertical="center" wrapText="1"/>
      <protection/>
    </xf>
    <xf numFmtId="164" fontId="0" fillId="9" borderId="9" xfId="0" applyFill="1" applyBorder="1" applyAlignment="1" applyProtection="1">
      <alignment vertical="center" wrapText="1"/>
      <protection/>
    </xf>
    <xf numFmtId="164" fontId="0" fillId="9" borderId="42" xfId="0" applyFill="1" applyBorder="1" applyAlignment="1" applyProtection="1">
      <alignment vertical="center" wrapText="1"/>
      <protection/>
    </xf>
    <xf numFmtId="164" fontId="20" fillId="9" borderId="42" xfId="0" applyFont="1" applyFill="1" applyBorder="1" applyAlignment="1" applyProtection="1">
      <alignment horizontal="right" vertical="center" textRotation="90" wrapText="1"/>
      <protection/>
    </xf>
    <xf numFmtId="172" fontId="20" fillId="9" borderId="32" xfId="0" applyNumberFormat="1" applyFont="1" applyFill="1" applyBorder="1" applyAlignment="1" applyProtection="1">
      <alignment horizontal="center" vertical="center" wrapText="1"/>
      <protection/>
    </xf>
    <xf numFmtId="169" fontId="20" fillId="9" borderId="9" xfId="0" applyNumberFormat="1" applyFont="1" applyFill="1" applyBorder="1" applyAlignment="1" applyProtection="1">
      <alignment horizontal="center" vertical="center" wrapText="1"/>
      <protection/>
    </xf>
    <xf numFmtId="170" fontId="21" fillId="9" borderId="9" xfId="0" applyNumberFormat="1" applyFont="1" applyFill="1" applyBorder="1" applyAlignment="1" applyProtection="1">
      <alignment horizontal="center" vertical="center" wrapText="1"/>
      <protection/>
    </xf>
    <xf numFmtId="170" fontId="21" fillId="9" borderId="17" xfId="0" applyNumberFormat="1" applyFont="1" applyFill="1" applyBorder="1" applyAlignment="1" applyProtection="1">
      <alignment horizontal="center" vertical="center" wrapText="1"/>
      <protection/>
    </xf>
    <xf numFmtId="170" fontId="21" fillId="9" borderId="42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center"/>
      <protection/>
    </xf>
    <xf numFmtId="164" fontId="0" fillId="9" borderId="14" xfId="0" applyFill="1" applyBorder="1" applyAlignment="1" applyProtection="1">
      <alignment vertical="center" wrapText="1"/>
      <protection/>
    </xf>
    <xf numFmtId="164" fontId="0" fillId="9" borderId="21" xfId="0" applyFill="1" applyBorder="1" applyAlignment="1" applyProtection="1">
      <alignment vertical="center" wrapText="1"/>
      <protection/>
    </xf>
    <xf numFmtId="164" fontId="0" fillId="9" borderId="16" xfId="0" applyFill="1" applyBorder="1" applyAlignment="1" applyProtection="1">
      <alignment vertical="center" wrapText="1"/>
      <protection/>
    </xf>
    <xf numFmtId="175" fontId="20" fillId="0" borderId="14" xfId="0" applyNumberFormat="1" applyFont="1" applyFill="1" applyBorder="1" applyAlignment="1" applyProtection="1">
      <alignment horizontal="center" vertical="center" wrapText="1"/>
      <protection/>
    </xf>
    <xf numFmtId="169" fontId="20" fillId="0" borderId="21" xfId="0" applyNumberFormat="1" applyFont="1" applyFill="1" applyBorder="1" applyAlignment="1" applyProtection="1">
      <alignment horizontal="center" vertical="center" wrapText="1"/>
      <protection/>
    </xf>
    <xf numFmtId="169" fontId="20" fillId="0" borderId="21" xfId="0" applyNumberFormat="1" applyFont="1" applyFill="1" applyBorder="1" applyAlignment="1" applyProtection="1">
      <alignment horizontal="center" vertical="center" shrinkToFit="1"/>
      <protection/>
    </xf>
    <xf numFmtId="169" fontId="20" fillId="0" borderId="0" xfId="0" applyNumberFormat="1" applyFont="1" applyFill="1" applyBorder="1" applyAlignment="1" applyProtection="1">
      <alignment horizontal="center" vertical="center" shrinkToFit="1"/>
      <protection/>
    </xf>
    <xf numFmtId="169" fontId="20" fillId="0" borderId="16" xfId="0" applyNumberFormat="1" applyFont="1" applyFill="1" applyBorder="1" applyAlignment="1" applyProtection="1">
      <alignment horizontal="center" vertical="center" shrinkToFit="1"/>
      <protection/>
    </xf>
    <xf numFmtId="175" fontId="19" fillId="9" borderId="15" xfId="0" applyNumberFormat="1" applyFont="1" applyFill="1" applyBorder="1" applyAlignment="1" applyProtection="1">
      <alignment horizontal="center" vertical="center" wrapText="1"/>
      <protection/>
    </xf>
    <xf numFmtId="169" fontId="20" fillId="9" borderId="11" xfId="0" applyNumberFormat="1" applyFont="1" applyFill="1" applyBorder="1" applyAlignment="1" applyProtection="1">
      <alignment horizontal="center" vertical="center" wrapText="1"/>
      <protection/>
    </xf>
    <xf numFmtId="169" fontId="19" fillId="9" borderId="11" xfId="0" applyNumberFormat="1" applyFont="1" applyFill="1" applyBorder="1" applyAlignment="1" applyProtection="1">
      <alignment horizontal="center" vertical="center" shrinkToFit="1"/>
      <protection/>
    </xf>
    <xf numFmtId="169" fontId="19" fillId="9" borderId="46" xfId="0" applyNumberFormat="1" applyFont="1" applyFill="1" applyBorder="1" applyAlignment="1" applyProtection="1">
      <alignment horizontal="center" vertical="center" shrinkToFit="1"/>
      <protection/>
    </xf>
    <xf numFmtId="169" fontId="19" fillId="9" borderId="52" xfId="0" applyNumberFormat="1" applyFont="1" applyFill="1" applyBorder="1" applyAlignment="1" applyProtection="1">
      <alignment horizontal="center" vertical="center" shrinkToFit="1"/>
      <protection/>
    </xf>
    <xf numFmtId="164" fontId="21" fillId="9" borderId="15" xfId="0" applyFont="1" applyFill="1" applyBorder="1" applyAlignment="1" applyProtection="1">
      <alignment horizontal="right" vertical="center" textRotation="90" wrapText="1"/>
      <protection/>
    </xf>
    <xf numFmtId="175" fontId="20" fillId="9" borderId="32" xfId="17" applyNumberFormat="1" applyFont="1" applyFill="1" applyBorder="1" applyAlignment="1" applyProtection="1">
      <alignment horizontal="center" vertical="center" wrapText="1"/>
      <protection/>
    </xf>
    <xf numFmtId="164" fontId="20" fillId="0" borderId="21" xfId="0" applyFont="1" applyBorder="1" applyAlignment="1" applyProtection="1">
      <alignment/>
      <protection/>
    </xf>
    <xf numFmtId="169" fontId="20" fillId="0" borderId="14" xfId="0" applyNumberFormat="1" applyFont="1" applyFill="1" applyBorder="1" applyAlignment="1" applyProtection="1">
      <alignment horizontal="center" vertical="center" wrapText="1"/>
      <protection/>
    </xf>
    <xf numFmtId="169" fontId="20" fillId="10" borderId="21" xfId="0" applyNumberFormat="1" applyFont="1" applyFill="1" applyBorder="1" applyAlignment="1" applyProtection="1">
      <alignment horizontal="center" vertical="center" shrinkToFit="1"/>
      <protection locked="0"/>
    </xf>
    <xf numFmtId="169" fontId="20" fillId="10" borderId="0" xfId="0" applyNumberFormat="1" applyFont="1" applyFill="1" applyBorder="1" applyAlignment="1" applyProtection="1">
      <alignment horizontal="center" vertical="center" shrinkToFit="1"/>
      <protection locked="0"/>
    </xf>
    <xf numFmtId="169" fontId="20" fillId="10" borderId="16" xfId="0" applyNumberFormat="1" applyFont="1" applyFill="1" applyBorder="1" applyAlignment="1" applyProtection="1">
      <alignment horizontal="center" vertical="center" shrinkToFit="1"/>
      <protection locked="0"/>
    </xf>
    <xf numFmtId="164" fontId="22" fillId="9" borderId="11" xfId="0" applyFont="1" applyFill="1" applyBorder="1" applyAlignment="1" applyProtection="1">
      <alignment vertical="center" wrapText="1"/>
      <protection/>
    </xf>
    <xf numFmtId="164" fontId="0" fillId="9" borderId="52" xfId="0" applyFill="1" applyBorder="1" applyAlignment="1" applyProtection="1">
      <alignment vertical="center" wrapText="1"/>
      <protection/>
    </xf>
    <xf numFmtId="169" fontId="19" fillId="9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53" xfId="0" applyFont="1" applyFill="1" applyBorder="1" applyAlignment="1" applyProtection="1">
      <alignment horizontal="center" vertical="center" wrapText="1"/>
      <protection/>
    </xf>
    <xf numFmtId="164" fontId="0" fillId="0" borderId="54" xfId="0" applyFont="1" applyFill="1" applyBorder="1" applyAlignment="1" applyProtection="1">
      <alignment horizontal="center" vertical="center" wrapText="1"/>
      <protection/>
    </xf>
    <xf numFmtId="164" fontId="0" fillId="0" borderId="55" xfId="0" applyFont="1" applyFill="1" applyBorder="1" applyAlignment="1" applyProtection="1">
      <alignment horizontal="center" vertical="center" wrapText="1"/>
      <protection/>
    </xf>
    <xf numFmtId="180" fontId="0" fillId="0" borderId="53" xfId="0" applyNumberFormat="1" applyFont="1" applyFill="1" applyBorder="1" applyAlignment="1" applyProtection="1">
      <alignment horizontal="left" vertical="center" wrapText="1"/>
      <protection/>
    </xf>
    <xf numFmtId="169" fontId="0" fillId="0" borderId="56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70" fontId="0" fillId="0" borderId="21" xfId="0" applyNumberFormat="1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Font="1" applyFill="1" applyBorder="1" applyAlignment="1" applyProtection="1">
      <alignment horizontal="center" vertical="center" wrapText="1"/>
      <protection/>
    </xf>
    <xf numFmtId="170" fontId="0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Font="1" applyBorder="1" applyAlignment="1" applyProtection="1">
      <alignment vertical="center" wrapText="1"/>
      <protection/>
    </xf>
    <xf numFmtId="169" fontId="0" fillId="0" borderId="0" xfId="0" applyNumberFormat="1" applyFont="1" applyAlignment="1" applyProtection="1">
      <alignment horizontal="center" vertical="center" wrapText="1"/>
      <protection/>
    </xf>
    <xf numFmtId="169" fontId="0" fillId="0" borderId="54" xfId="0" applyNumberFormat="1" applyFont="1" applyFill="1" applyBorder="1" applyAlignment="1" applyProtection="1">
      <alignment horizontal="center" vertical="center" wrapText="1"/>
      <protection/>
    </xf>
    <xf numFmtId="169" fontId="0" fillId="10" borderId="54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10" borderId="57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10" borderId="55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33" xfId="0" applyFont="1" applyFill="1" applyBorder="1" applyAlignment="1" applyProtection="1">
      <alignment vertical="center" wrapText="1"/>
      <protection/>
    </xf>
    <xf numFmtId="164" fontId="0" fillId="0" borderId="36" xfId="0" applyFont="1" applyFill="1" applyBorder="1" applyAlignment="1" applyProtection="1">
      <alignment vertical="center" wrapText="1"/>
      <protection/>
    </xf>
    <xf numFmtId="164" fontId="0" fillId="0" borderId="38" xfId="0" applyFont="1" applyFill="1" applyBorder="1" applyAlignment="1" applyProtection="1">
      <alignment vertical="center" wrapText="1"/>
      <protection/>
    </xf>
    <xf numFmtId="180" fontId="0" fillId="0" borderId="33" xfId="0" applyNumberFormat="1" applyFont="1" applyFill="1" applyBorder="1" applyAlignment="1" applyProtection="1">
      <alignment vertical="center" wrapText="1"/>
      <protection/>
    </xf>
    <xf numFmtId="164" fontId="32" fillId="18" borderId="36" xfId="0" applyNumberFormat="1" applyFont="1" applyFill="1" applyBorder="1" applyAlignment="1" applyProtection="1">
      <alignment horizontal="center" vertical="center" wrapText="1"/>
      <protection/>
    </xf>
    <xf numFmtId="169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69" fontId="32" fillId="18" borderId="36" xfId="0" applyNumberFormat="1" applyFont="1" applyFill="1" applyBorder="1" applyAlignment="1" applyProtection="1">
      <alignment horizontal="center" vertical="center" wrapText="1"/>
      <protection/>
    </xf>
    <xf numFmtId="164" fontId="22" fillId="9" borderId="48" xfId="0" applyFont="1" applyFill="1" applyBorder="1" applyAlignment="1" applyProtection="1">
      <alignment horizontal="center" vertical="center" wrapText="1"/>
      <protection/>
    </xf>
    <xf numFmtId="164" fontId="0" fillId="9" borderId="58" xfId="0" applyFill="1" applyBorder="1" applyAlignment="1" applyProtection="1">
      <alignment horizontal="center" vertical="center" wrapText="1"/>
      <protection/>
    </xf>
    <xf numFmtId="164" fontId="0" fillId="4" borderId="21" xfId="0" applyFill="1" applyBorder="1" applyAlignment="1" applyProtection="1">
      <alignment horizontal="center" vertical="center" wrapText="1"/>
      <protection/>
    </xf>
    <xf numFmtId="164" fontId="0" fillId="0" borderId="16" xfId="0" applyBorder="1" applyAlignment="1" applyProtection="1">
      <alignment horizontal="left" vertical="center" wrapText="1"/>
      <protection/>
    </xf>
    <xf numFmtId="164" fontId="0" fillId="10" borderId="15" xfId="0" applyFill="1" applyBorder="1" applyAlignment="1" applyProtection="1">
      <alignment horizontal="left" vertical="top" wrapText="1"/>
      <protection locked="0"/>
    </xf>
    <xf numFmtId="164" fontId="0" fillId="0" borderId="46" xfId="0" applyBorder="1" applyAlignment="1" applyProtection="1">
      <alignment horizontal="left" vertical="center" wrapText="1"/>
      <protection/>
    </xf>
    <xf numFmtId="164" fontId="20" fillId="0" borderId="0" xfId="58" applyFont="1" applyBorder="1" applyAlignment="1" applyProtection="1">
      <alignment horizontal="right" vertical="top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20" fillId="0" borderId="0" xfId="58" applyFont="1" applyBorder="1" applyAlignment="1" applyProtection="1">
      <alignment horizontal="left" vertical="top" wrapText="1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164" fontId="14" fillId="0" borderId="14" xfId="0" applyFont="1" applyBorder="1" applyAlignment="1" applyProtection="1">
      <alignment horizontal="center"/>
      <protection/>
    </xf>
    <xf numFmtId="164" fontId="20" fillId="0" borderId="0" xfId="0" applyFont="1" applyBorder="1" applyAlignment="1" applyProtection="1">
      <alignment horizontal="center"/>
      <protection/>
    </xf>
    <xf numFmtId="164" fontId="14" fillId="0" borderId="15" xfId="0" applyFont="1" applyBorder="1" applyAlignment="1" applyProtection="1">
      <alignment horizontal="center"/>
      <protection/>
    </xf>
    <xf numFmtId="164" fontId="0" fillId="0" borderId="47" xfId="0" applyFont="1" applyFill="1" applyBorder="1" applyAlignment="1" applyProtection="1">
      <alignment horizontal="center" wrapText="1"/>
      <protection/>
    </xf>
    <xf numFmtId="164" fontId="0" fillId="0" borderId="10" xfId="0" applyFont="1" applyFill="1" applyBorder="1" applyAlignment="1" applyProtection="1">
      <alignment horizontal="center" wrapText="1"/>
      <protection/>
    </xf>
    <xf numFmtId="164" fontId="22" fillId="0" borderId="0" xfId="0" applyFont="1" applyAlignment="1">
      <alignment/>
    </xf>
    <xf numFmtId="164" fontId="20" fillId="0" borderId="32" xfId="0" applyFont="1" applyBorder="1" applyAlignment="1" applyProtection="1">
      <alignment horizontal="center"/>
      <protection/>
    </xf>
    <xf numFmtId="164" fontId="20" fillId="0" borderId="42" xfId="0" applyFont="1" applyBorder="1" applyAlignment="1" applyProtection="1">
      <alignment horizontal="center"/>
      <protection/>
    </xf>
    <xf numFmtId="164" fontId="20" fillId="0" borderId="31" xfId="0" applyFont="1" applyFill="1" applyBorder="1" applyAlignment="1" applyProtection="1">
      <alignment horizontal="center" vertical="center" wrapText="1"/>
      <protection/>
    </xf>
    <xf numFmtId="164" fontId="0" fillId="10" borderId="31" xfId="0" applyFill="1" applyBorder="1" applyAlignment="1" applyProtection="1">
      <alignment horizontal="center" vertical="center" wrapText="1"/>
      <protection locked="0"/>
    </xf>
    <xf numFmtId="164" fontId="27" fillId="0" borderId="0" xfId="0" applyFont="1" applyBorder="1" applyAlignment="1" applyProtection="1">
      <alignment horizontal="center" vertical="center" wrapText="1"/>
      <protection/>
    </xf>
    <xf numFmtId="164" fontId="0" fillId="0" borderId="21" xfId="0" applyBorder="1" applyAlignment="1" applyProtection="1">
      <alignment/>
      <protection/>
    </xf>
    <xf numFmtId="164" fontId="20" fillId="0" borderId="31" xfId="0" applyFont="1" applyFill="1" applyBorder="1" applyAlignment="1" applyProtection="1">
      <alignment horizontal="right" vertical="center" wrapText="1"/>
      <protection/>
    </xf>
    <xf numFmtId="181" fontId="20" fillId="0" borderId="31" xfId="17" applyNumberFormat="1" applyFont="1" applyFill="1" applyBorder="1" applyAlignment="1" applyProtection="1">
      <alignment horizontal="right" vertical="center" shrinkToFit="1"/>
      <protection/>
    </xf>
    <xf numFmtId="164" fontId="20" fillId="0" borderId="15" xfId="0" applyFont="1" applyBorder="1" applyAlignment="1" applyProtection="1">
      <alignment horizontal="center"/>
      <protection/>
    </xf>
    <xf numFmtId="178" fontId="20" fillId="0" borderId="46" xfId="0" applyNumberFormat="1" applyFont="1" applyBorder="1" applyAlignment="1" applyProtection="1">
      <alignment horizontal="center"/>
      <protection/>
    </xf>
    <xf numFmtId="170" fontId="20" fillId="0" borderId="52" xfId="0" applyNumberFormat="1" applyFont="1" applyBorder="1" applyAlignment="1" applyProtection="1">
      <alignment horizontal="center" shrinkToFit="1"/>
      <protection/>
    </xf>
    <xf numFmtId="181" fontId="0" fillId="0" borderId="15" xfId="0" applyNumberFormat="1" applyBorder="1" applyAlignment="1" applyProtection="1">
      <alignment horizontal="center" shrinkToFit="1"/>
      <protection/>
    </xf>
    <xf numFmtId="181" fontId="22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center" vertical="center" wrapText="1"/>
      <protection/>
    </xf>
    <xf numFmtId="181" fontId="0" fillId="0" borderId="0" xfId="0" applyNumberFormat="1" applyBorder="1" applyAlignment="1" applyProtection="1">
      <alignment horizontal="center"/>
      <protection/>
    </xf>
    <xf numFmtId="164" fontId="36" fillId="0" borderId="17" xfId="0" applyFont="1" applyBorder="1" applyAlignment="1" applyProtection="1">
      <alignment horizontal="right" vertical="center"/>
      <protection/>
    </xf>
    <xf numFmtId="164" fontId="27" fillId="0" borderId="0" xfId="0" applyFont="1" applyBorder="1" applyAlignment="1" applyProtection="1">
      <alignment vertical="center" wrapText="1"/>
      <protection/>
    </xf>
    <xf numFmtId="164" fontId="20" fillId="0" borderId="16" xfId="0" applyFont="1" applyBorder="1" applyAlignment="1" applyProtection="1">
      <alignment horizontal="center"/>
      <protection/>
    </xf>
    <xf numFmtId="164" fontId="21" fillId="0" borderId="16" xfId="0" applyFont="1" applyBorder="1" applyAlignment="1" applyProtection="1">
      <alignment horizontal="center" wrapText="1"/>
      <protection/>
    </xf>
    <xf numFmtId="164" fontId="20" fillId="0" borderId="31" xfId="0" applyFont="1" applyFill="1" applyBorder="1" applyAlignment="1" applyProtection="1">
      <alignment horizontal="center"/>
      <protection/>
    </xf>
    <xf numFmtId="164" fontId="21" fillId="0" borderId="59" xfId="0" applyFont="1" applyBorder="1" applyAlignment="1" applyProtection="1">
      <alignment horizontal="center" vertical="center" wrapText="1"/>
      <protection/>
    </xf>
    <xf numFmtId="164" fontId="21" fillId="0" borderId="60" xfId="0" applyFont="1" applyBorder="1" applyAlignment="1" applyProtection="1">
      <alignment horizontal="center" vertical="center" wrapText="1"/>
      <protection/>
    </xf>
    <xf numFmtId="164" fontId="21" fillId="0" borderId="61" xfId="0" applyFont="1" applyBorder="1" applyAlignment="1" applyProtection="1">
      <alignment horizontal="center" vertical="center" wrapText="1"/>
      <protection/>
    </xf>
    <xf numFmtId="164" fontId="21" fillId="0" borderId="62" xfId="0" applyFont="1" applyBorder="1" applyAlignment="1" applyProtection="1">
      <alignment horizontal="center" vertical="center" wrapText="1"/>
      <protection/>
    </xf>
    <xf numFmtId="164" fontId="20" fillId="0" borderId="21" xfId="0" applyFont="1" applyBorder="1" applyAlignment="1" applyProtection="1">
      <alignment horizontal="center" vertical="center"/>
      <protection/>
    </xf>
    <xf numFmtId="164" fontId="20" fillId="0" borderId="16" xfId="0" applyFont="1" applyBorder="1" applyAlignment="1" applyProtection="1">
      <alignment horizontal="center" vertical="center"/>
      <protection/>
    </xf>
    <xf numFmtId="164" fontId="20" fillId="0" borderId="53" xfId="0" applyFont="1" applyBorder="1" applyAlignment="1" applyProtection="1">
      <alignment horizontal="center" vertical="center" wrapText="1"/>
      <protection/>
    </xf>
    <xf numFmtId="164" fontId="20" fillId="0" borderId="16" xfId="0" applyFont="1" applyBorder="1" applyAlignment="1" applyProtection="1">
      <alignment horizontal="center" vertical="center" wrapText="1"/>
      <protection/>
    </xf>
    <xf numFmtId="164" fontId="32" fillId="18" borderId="0" xfId="0" applyFont="1" applyFill="1" applyBorder="1" applyAlignment="1" applyProtection="1">
      <alignment horizontal="center" vertical="center" wrapText="1"/>
      <protection/>
    </xf>
    <xf numFmtId="164" fontId="20" fillId="0" borderId="21" xfId="0" applyFont="1" applyBorder="1" applyAlignment="1" applyProtection="1">
      <alignment horizontal="center" vertical="center" wrapText="1"/>
      <protection/>
    </xf>
    <xf numFmtId="164" fontId="21" fillId="0" borderId="16" xfId="0" applyFont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horizontal="center"/>
      <protection/>
    </xf>
    <xf numFmtId="181" fontId="20" fillId="0" borderId="59" xfId="17" applyNumberFormat="1" applyFont="1" applyFill="1" applyBorder="1" applyAlignment="1" applyProtection="1">
      <alignment horizontal="center" vertical="center" shrinkToFit="1"/>
      <protection/>
    </xf>
    <xf numFmtId="181" fontId="20" fillId="0" borderId="62" xfId="17" applyNumberFormat="1" applyFont="1" applyFill="1" applyBorder="1" applyAlignment="1" applyProtection="1">
      <alignment horizontal="center" vertical="center" shrinkToFit="1"/>
      <protection/>
    </xf>
    <xf numFmtId="182" fontId="20" fillId="10" borderId="59" xfId="17" applyNumberFormat="1" applyFont="1" applyFill="1" applyBorder="1" applyAlignment="1" applyProtection="1">
      <alignment horizontal="center" vertical="center" shrinkToFit="1"/>
      <protection locked="0"/>
    </xf>
    <xf numFmtId="182" fontId="20" fillId="0" borderId="60" xfId="17" applyNumberFormat="1" applyFont="1" applyFill="1" applyBorder="1" applyAlignment="1" applyProtection="1">
      <alignment horizontal="center" vertical="center" shrinkToFit="1"/>
      <protection/>
    </xf>
    <xf numFmtId="182" fontId="20" fillId="0" borderId="62" xfId="17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Font="1" applyFill="1" applyAlignment="1" applyProtection="1">
      <alignment wrapText="1"/>
      <protection/>
    </xf>
    <xf numFmtId="164" fontId="0" fillId="0" borderId="0" xfId="0" applyFont="1" applyFill="1" applyAlignment="1" applyProtection="1">
      <alignment horizontal="center" wrapText="1"/>
      <protection/>
    </xf>
    <xf numFmtId="164" fontId="0" fillId="0" borderId="33" xfId="0" applyFont="1" applyFill="1" applyBorder="1" applyAlignment="1" applyProtection="1">
      <alignment horizontal="center" vertical="center" wrapText="1"/>
      <protection/>
    </xf>
    <xf numFmtId="164" fontId="0" fillId="0" borderId="36" xfId="0" applyFont="1" applyFill="1" applyBorder="1" applyAlignment="1" applyProtection="1">
      <alignment horizontal="center" vertical="center" wrapText="1"/>
      <protection/>
    </xf>
    <xf numFmtId="164" fontId="0" fillId="0" borderId="38" xfId="0" applyFont="1" applyFill="1" applyBorder="1" applyAlignment="1" applyProtection="1">
      <alignment horizontal="center" vertical="center" wrapText="1"/>
      <protection/>
    </xf>
    <xf numFmtId="180" fontId="0" fillId="0" borderId="33" xfId="0" applyNumberFormat="1" applyFont="1" applyFill="1" applyBorder="1" applyAlignment="1" applyProtection="1">
      <alignment horizontal="left" vertical="center" wrapText="1"/>
      <protection/>
    </xf>
    <xf numFmtId="180" fontId="0" fillId="0" borderId="33" xfId="0" applyNumberFormat="1" applyFont="1" applyFill="1" applyBorder="1" applyAlignment="1" applyProtection="1">
      <alignment horizontal="center" vertical="center" wrapText="1"/>
      <protection/>
    </xf>
    <xf numFmtId="169" fontId="20" fillId="0" borderId="36" xfId="0" applyNumberFormat="1" applyFont="1" applyFill="1" applyBorder="1" applyAlignment="1" applyProtection="1">
      <alignment horizontal="center" vertical="center" shrinkToFit="1"/>
      <protection/>
    </xf>
    <xf numFmtId="164" fontId="20" fillId="0" borderId="37" xfId="0" applyNumberFormat="1" applyFont="1" applyFill="1" applyBorder="1" applyAlignment="1" applyProtection="1">
      <alignment horizontal="center" vertical="center" wrapText="1"/>
      <protection/>
    </xf>
    <xf numFmtId="180" fontId="0" fillId="0" borderId="63" xfId="0" applyNumberFormat="1" applyFont="1" applyFill="1" applyBorder="1" applyAlignment="1" applyProtection="1">
      <alignment horizontal="center" vertical="center" wrapText="1"/>
      <protection/>
    </xf>
    <xf numFmtId="164" fontId="0" fillId="10" borderId="6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8" xfId="0" applyNumberFormat="1" applyFont="1" applyFill="1" applyBorder="1" applyAlignment="1" applyProtection="1">
      <alignment horizontal="center" vertical="center" shrinkToFit="1"/>
      <protection/>
    </xf>
    <xf numFmtId="169" fontId="0" fillId="0" borderId="0" xfId="0" applyNumberFormat="1" applyFont="1" applyFill="1" applyBorder="1" applyAlignment="1" applyProtection="1">
      <alignment horizontal="center" vertical="center" shrinkToFit="1"/>
      <protection/>
    </xf>
    <xf numFmtId="175" fontId="0" fillId="0" borderId="37" xfId="17" applyNumberFormat="1" applyFont="1" applyFill="1" applyBorder="1" applyAlignment="1" applyProtection="1">
      <alignment horizontal="center" vertical="center" shrinkToFit="1"/>
      <protection/>
    </xf>
    <xf numFmtId="175" fontId="0" fillId="0" borderId="37" xfId="0" applyNumberFormat="1" applyFont="1" applyFill="1" applyBorder="1" applyAlignment="1" applyProtection="1">
      <alignment horizontal="center" vertical="center" shrinkToFit="1"/>
      <protection/>
    </xf>
    <xf numFmtId="175" fontId="0" fillId="0" borderId="0" xfId="0" applyNumberFormat="1" applyFont="1" applyFill="1" applyBorder="1" applyAlignment="1" applyProtection="1">
      <alignment horizontal="center" vertical="center" shrinkToFit="1"/>
      <protection/>
    </xf>
    <xf numFmtId="175" fontId="0" fillId="0" borderId="64" xfId="17" applyNumberFormat="1" applyFont="1" applyFill="1" applyBorder="1" applyAlignment="1" applyProtection="1">
      <alignment horizontal="center" vertical="center" shrinkToFit="1"/>
      <protection/>
    </xf>
    <xf numFmtId="183" fontId="0" fillId="0" borderId="38" xfId="0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 wrapText="1"/>
      <protection/>
    </xf>
    <xf numFmtId="169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Font="1" applyAlignment="1" applyProtection="1">
      <alignment vertical="center" wrapText="1"/>
      <protection locked="0"/>
    </xf>
    <xf numFmtId="181" fontId="0" fillId="10" borderId="22" xfId="17" applyNumberFormat="1" applyFont="1" applyFill="1" applyBorder="1" applyAlignment="1" applyProtection="1">
      <alignment horizontal="center" vertical="center" wrapText="1" shrinkToFit="1"/>
      <protection locked="0"/>
    </xf>
    <xf numFmtId="181" fontId="0" fillId="10" borderId="24" xfId="17" applyNumberFormat="1" applyFont="1" applyFill="1" applyBorder="1" applyAlignment="1" applyProtection="1">
      <alignment horizontal="center" vertical="center" wrapText="1" shrinkToFit="1"/>
      <protection locked="0"/>
    </xf>
    <xf numFmtId="181" fontId="0" fillId="10" borderId="22" xfId="17" applyNumberFormat="1" applyFont="1" applyFill="1" applyBorder="1" applyAlignment="1" applyProtection="1">
      <alignment horizontal="center" vertical="center" shrinkToFit="1"/>
      <protection locked="0"/>
    </xf>
    <xf numFmtId="181" fontId="0" fillId="10" borderId="23" xfId="17" applyNumberFormat="1" applyFont="1" applyFill="1" applyBorder="1" applyAlignment="1" applyProtection="1">
      <alignment horizontal="center" vertical="center" shrinkToFit="1"/>
      <protection locked="0"/>
    </xf>
    <xf numFmtId="181" fontId="0" fillId="10" borderId="24" xfId="17" applyNumberFormat="1" applyFont="1" applyFill="1" applyBorder="1" applyAlignment="1" applyProtection="1">
      <alignment horizontal="center" vertical="center" shrinkToFit="1"/>
      <protection locked="0"/>
    </xf>
    <xf numFmtId="164" fontId="20" fillId="9" borderId="31" xfId="0" applyFont="1" applyFill="1" applyBorder="1" applyAlignment="1" applyProtection="1">
      <alignment horizontal="center" vertical="center" wrapText="1"/>
      <protection/>
    </xf>
    <xf numFmtId="164" fontId="20" fillId="9" borderId="32" xfId="0" applyFont="1" applyFill="1" applyBorder="1" applyAlignment="1" applyProtection="1">
      <alignment vertical="center" wrapText="1"/>
      <protection/>
    </xf>
    <xf numFmtId="164" fontId="20" fillId="9" borderId="9" xfId="0" applyFont="1" applyFill="1" applyBorder="1" applyAlignment="1" applyProtection="1">
      <alignment vertical="center" wrapText="1"/>
      <protection/>
    </xf>
    <xf numFmtId="169" fontId="20" fillId="9" borderId="42" xfId="0" applyNumberFormat="1" applyFont="1" applyFill="1" applyBorder="1" applyAlignment="1" applyProtection="1">
      <alignment vertical="center" wrapText="1"/>
      <protection/>
    </xf>
    <xf numFmtId="164" fontId="20" fillId="0" borderId="32" xfId="0" applyFont="1" applyFill="1" applyBorder="1" applyAlignment="1" applyProtection="1">
      <alignment horizontal="right" vertical="center" wrapText="1"/>
      <protection/>
    </xf>
    <xf numFmtId="181" fontId="20" fillId="0" borderId="42" xfId="17" applyNumberFormat="1" applyFont="1" applyFill="1" applyBorder="1" applyAlignment="1" applyProtection="1">
      <alignment horizontal="center" vertical="center" shrinkToFit="1"/>
      <protection/>
    </xf>
    <xf numFmtId="164" fontId="32" fillId="18" borderId="0" xfId="0" applyFont="1" applyFill="1" applyBorder="1" applyAlignment="1" applyProtection="1">
      <alignment horizontal="center" vertical="center" wrapText="1"/>
      <protection/>
    </xf>
    <xf numFmtId="181" fontId="20" fillId="0" borderId="9" xfId="17" applyNumberFormat="1" applyFont="1" applyFill="1" applyBorder="1" applyAlignment="1" applyProtection="1">
      <alignment horizontal="center" vertical="center" shrinkToFit="1"/>
      <protection/>
    </xf>
    <xf numFmtId="181" fontId="20" fillId="0" borderId="17" xfId="17" applyNumberFormat="1" applyFont="1" applyFill="1" applyBorder="1" applyAlignment="1" applyProtection="1">
      <alignment horizontal="center" vertical="center" shrinkToFit="1"/>
      <protection/>
    </xf>
    <xf numFmtId="170" fontId="19" fillId="9" borderId="10" xfId="17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Font="1" applyFill="1" applyAlignment="1" applyProtection="1">
      <alignment/>
      <protection/>
    </xf>
    <xf numFmtId="181" fontId="20" fillId="0" borderId="25" xfId="17" applyNumberFormat="1" applyFont="1" applyFill="1" applyBorder="1" applyAlignment="1" applyProtection="1">
      <alignment horizontal="center" vertical="center" shrinkToFit="1"/>
      <protection/>
    </xf>
    <xf numFmtId="181" fontId="20" fillId="0" borderId="27" xfId="17" applyNumberFormat="1" applyFont="1" applyFill="1" applyBorder="1" applyAlignment="1" applyProtection="1">
      <alignment horizontal="center" vertical="center" shrinkToFit="1"/>
      <protection/>
    </xf>
    <xf numFmtId="181" fontId="20" fillId="0" borderId="26" xfId="17" applyNumberFormat="1" applyFont="1" applyFill="1" applyBorder="1" applyAlignment="1" applyProtection="1">
      <alignment horizontal="center" vertical="center" shrinkToFit="1"/>
      <protection/>
    </xf>
    <xf numFmtId="164" fontId="20" fillId="9" borderId="14" xfId="0" applyFont="1" applyFill="1" applyBorder="1" applyAlignment="1" applyProtection="1">
      <alignment vertical="center" wrapText="1"/>
      <protection/>
    </xf>
    <xf numFmtId="164" fontId="20" fillId="9" borderId="21" xfId="0" applyFont="1" applyFill="1" applyBorder="1" applyAlignment="1" applyProtection="1">
      <alignment vertical="center" wrapText="1"/>
      <protection/>
    </xf>
    <xf numFmtId="164" fontId="20" fillId="9" borderId="16" xfId="0" applyFont="1" applyFill="1" applyBorder="1" applyAlignment="1" applyProtection="1">
      <alignment vertical="center" wrapText="1"/>
      <protection/>
    </xf>
    <xf numFmtId="164" fontId="20" fillId="0" borderId="14" xfId="0" applyFont="1" applyFill="1" applyBorder="1" applyAlignment="1" applyProtection="1">
      <alignment horizontal="right" vertical="center" wrapText="1"/>
      <protection/>
    </xf>
    <xf numFmtId="181" fontId="20" fillId="0" borderId="16" xfId="17" applyNumberFormat="1" applyFont="1" applyFill="1" applyBorder="1" applyAlignment="1" applyProtection="1">
      <alignment horizontal="center" vertical="center" shrinkToFit="1"/>
      <protection/>
    </xf>
    <xf numFmtId="181" fontId="20" fillId="0" borderId="21" xfId="17" applyNumberFormat="1" applyFont="1" applyFill="1" applyBorder="1" applyAlignment="1" applyProtection="1">
      <alignment horizontal="center" vertical="center" shrinkToFit="1"/>
      <protection/>
    </xf>
    <xf numFmtId="181" fontId="20" fillId="0" borderId="0" xfId="17" applyNumberFormat="1" applyFont="1" applyFill="1" applyBorder="1" applyAlignment="1" applyProtection="1">
      <alignment horizontal="center" vertical="center" shrinkToFit="1"/>
      <protection/>
    </xf>
    <xf numFmtId="164" fontId="0" fillId="0" borderId="31" xfId="0" applyBorder="1" applyAlignment="1" applyProtection="1">
      <alignment/>
      <protection/>
    </xf>
    <xf numFmtId="181" fontId="20" fillId="10" borderId="36" xfId="17" applyNumberFormat="1" applyFont="1" applyFill="1" applyBorder="1" applyAlignment="1" applyProtection="1">
      <alignment horizontal="center" vertical="center" shrinkToFit="1"/>
      <protection locked="0"/>
    </xf>
    <xf numFmtId="181" fontId="20" fillId="10" borderId="27" xfId="17" applyNumberFormat="1" applyFont="1" applyFill="1" applyBorder="1" applyAlignment="1" applyProtection="1">
      <alignment horizontal="center" vertical="center" shrinkToFit="1"/>
      <protection locked="0"/>
    </xf>
    <xf numFmtId="181" fontId="20" fillId="10" borderId="25" xfId="17" applyNumberFormat="1" applyFont="1" applyFill="1" applyBorder="1" applyAlignment="1" applyProtection="1">
      <alignment horizontal="center" vertical="center" shrinkToFit="1"/>
      <protection locked="0"/>
    </xf>
    <xf numFmtId="181" fontId="20" fillId="10" borderId="26" xfId="17" applyNumberFormat="1" applyFont="1" applyFill="1" applyBorder="1" applyAlignment="1" applyProtection="1">
      <alignment horizontal="center" vertical="center" shrinkToFit="1"/>
      <protection locked="0"/>
    </xf>
    <xf numFmtId="164" fontId="20" fillId="0" borderId="14" xfId="0" applyFont="1" applyFill="1" applyBorder="1" applyAlignment="1" applyProtection="1">
      <alignment horizontal="right" vertical="center" shrinkToFit="1"/>
      <protection/>
    </xf>
    <xf numFmtId="181" fontId="20" fillId="10" borderId="65" xfId="17" applyNumberFormat="1" applyFont="1" applyFill="1" applyBorder="1" applyAlignment="1" applyProtection="1">
      <alignment horizontal="center" vertical="center" shrinkToFit="1"/>
      <protection locked="0"/>
    </xf>
    <xf numFmtId="181" fontId="20" fillId="10" borderId="30" xfId="17" applyNumberFormat="1" applyFont="1" applyFill="1" applyBorder="1" applyAlignment="1" applyProtection="1">
      <alignment horizontal="center" vertical="center" shrinkToFit="1"/>
      <protection locked="0"/>
    </xf>
    <xf numFmtId="181" fontId="20" fillId="10" borderId="28" xfId="17" applyNumberFormat="1" applyFont="1" applyFill="1" applyBorder="1" applyAlignment="1" applyProtection="1">
      <alignment horizontal="center" vertical="center" shrinkToFit="1"/>
      <protection locked="0"/>
    </xf>
    <xf numFmtId="181" fontId="20" fillId="10" borderId="29" xfId="17" applyNumberFormat="1" applyFont="1" applyFill="1" applyBorder="1" applyAlignment="1" applyProtection="1">
      <alignment horizontal="center" vertical="center" shrinkToFit="1"/>
      <protection locked="0"/>
    </xf>
    <xf numFmtId="164" fontId="0" fillId="9" borderId="15" xfId="0" applyFill="1" applyBorder="1" applyAlignment="1" applyProtection="1">
      <alignment vertical="center" wrapText="1"/>
      <protection/>
    </xf>
    <xf numFmtId="164" fontId="20" fillId="9" borderId="15" xfId="0" applyFont="1" applyFill="1" applyBorder="1" applyAlignment="1" applyProtection="1">
      <alignment vertical="center" wrapText="1"/>
      <protection/>
    </xf>
    <xf numFmtId="164" fontId="20" fillId="9" borderId="11" xfId="0" applyFont="1" applyFill="1" applyBorder="1" applyAlignment="1" applyProtection="1">
      <alignment vertical="center" wrapText="1"/>
      <protection/>
    </xf>
    <xf numFmtId="164" fontId="20" fillId="9" borderId="52" xfId="0" applyFont="1" applyFill="1" applyBorder="1" applyAlignment="1" applyProtection="1">
      <alignment vertical="center" wrapText="1"/>
      <protection/>
    </xf>
    <xf numFmtId="164" fontId="20" fillId="9" borderId="15" xfId="0" applyFont="1" applyFill="1" applyBorder="1" applyAlignment="1" applyProtection="1">
      <alignment horizontal="right" vertical="center" wrapText="1"/>
      <protection/>
    </xf>
    <xf numFmtId="181" fontId="19" fillId="9" borderId="52" xfId="17" applyNumberFormat="1" applyFont="1" applyFill="1" applyBorder="1" applyAlignment="1" applyProtection="1">
      <alignment horizontal="center" vertical="center" shrinkToFit="1"/>
      <protection/>
    </xf>
    <xf numFmtId="181" fontId="19" fillId="9" borderId="11" xfId="17" applyNumberFormat="1" applyFont="1" applyFill="1" applyBorder="1" applyAlignment="1" applyProtection="1">
      <alignment horizontal="center" vertical="center" shrinkToFit="1"/>
      <protection/>
    </xf>
    <xf numFmtId="181" fontId="19" fillId="9" borderId="46" xfId="17" applyNumberFormat="1" applyFont="1" applyFill="1" applyBorder="1" applyAlignment="1" applyProtection="1">
      <alignment horizontal="center" vertical="center" shrinkToFit="1"/>
      <protection/>
    </xf>
    <xf numFmtId="181" fontId="20" fillId="14" borderId="59" xfId="17" applyNumberFormat="1" applyFont="1" applyFill="1" applyBorder="1" applyAlignment="1" applyProtection="1">
      <alignment horizontal="center" vertical="center" shrinkToFit="1"/>
      <protection/>
    </xf>
    <xf numFmtId="181" fontId="20" fillId="14" borderId="62" xfId="17" applyNumberFormat="1" applyFont="1" applyFill="1" applyBorder="1" applyAlignment="1" applyProtection="1">
      <alignment horizontal="center" vertical="center" shrinkToFit="1"/>
      <protection/>
    </xf>
    <xf numFmtId="181" fontId="20" fillId="14" borderId="60" xfId="17" applyNumberFormat="1" applyFont="1" applyFill="1" applyBorder="1" applyAlignment="1" applyProtection="1">
      <alignment horizontal="center" vertical="center" shrinkToFit="1"/>
      <protection/>
    </xf>
    <xf numFmtId="164" fontId="0" fillId="9" borderId="47" xfId="0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left" vertical="center" wrapText="1"/>
      <protection/>
    </xf>
    <xf numFmtId="164" fontId="0" fillId="0" borderId="16" xfId="0" applyBorder="1" applyAlignment="1" applyProtection="1">
      <alignment vertical="center" wrapText="1"/>
      <protection/>
    </xf>
    <xf numFmtId="170" fontId="0" fillId="0" borderId="0" xfId="0" applyNumberFormat="1" applyFill="1" applyAlignment="1" applyProtection="1">
      <alignment/>
      <protection/>
    </xf>
    <xf numFmtId="164" fontId="0" fillId="0" borderId="46" xfId="0" applyBorder="1" applyAlignment="1" applyProtection="1">
      <alignment horizontal="center"/>
      <protection/>
    </xf>
    <xf numFmtId="164" fontId="0" fillId="0" borderId="46" xfId="0" applyBorder="1" applyAlignment="1" applyProtection="1">
      <alignment/>
      <protection/>
    </xf>
    <xf numFmtId="164" fontId="20" fillId="0" borderId="17" xfId="58" applyFont="1" applyBorder="1" applyAlignment="1" applyProtection="1">
      <alignment horizontal="left"/>
      <protection/>
    </xf>
    <xf numFmtId="164" fontId="20" fillId="0" borderId="17" xfId="58" applyFont="1" applyBorder="1" applyAlignment="1" applyProtection="1">
      <alignment horizontal="left" wrapText="1"/>
      <protection/>
    </xf>
    <xf numFmtId="164" fontId="26" fillId="0" borderId="0" xfId="0" applyFont="1" applyBorder="1" applyAlignment="1" applyProtection="1">
      <alignment vertical="center" wrapText="1"/>
      <protection/>
    </xf>
    <xf numFmtId="164" fontId="0" fillId="10" borderId="0" xfId="58" applyFont="1" applyFill="1" applyBorder="1" applyAlignment="1" applyProtection="1">
      <alignment horizontal="left" vertical="top" wrapText="1"/>
      <protection locked="0"/>
    </xf>
    <xf numFmtId="164" fontId="20" fillId="0" borderId="0" xfId="58" applyFont="1" applyBorder="1" applyAlignment="1" applyProtection="1">
      <alignment horizontal="left" vertical="top" wrapText="1"/>
      <protection/>
    </xf>
    <xf numFmtId="164" fontId="20" fillId="0" borderId="46" xfId="58" applyFont="1" applyBorder="1" applyAlignment="1" applyProtection="1">
      <alignment horizontal="left" vertical="top"/>
      <protection/>
    </xf>
    <xf numFmtId="164" fontId="20" fillId="0" borderId="46" xfId="58" applyFont="1" applyBorder="1" applyAlignment="1" applyProtection="1">
      <alignment horizontal="right" vertical="top" wrapText="1"/>
      <protection/>
    </xf>
    <xf numFmtId="164" fontId="0" fillId="0" borderId="0" xfId="57">
      <alignment/>
      <protection/>
    </xf>
    <xf numFmtId="164" fontId="14" fillId="0" borderId="0" xfId="57" applyFont="1" applyBorder="1" applyAlignment="1" applyProtection="1">
      <alignment horizontal="center"/>
      <protection/>
    </xf>
    <xf numFmtId="164" fontId="14" fillId="0" borderId="0" xfId="57" applyFont="1" applyProtection="1">
      <alignment/>
      <protection/>
    </xf>
    <xf numFmtId="164" fontId="14" fillId="0" borderId="0" xfId="57" applyFont="1" applyFill="1" applyBorder="1" applyAlignment="1" applyProtection="1">
      <alignment/>
      <protection/>
    </xf>
    <xf numFmtId="164" fontId="14" fillId="0" borderId="17" xfId="0" applyFont="1" applyBorder="1" applyAlignment="1" applyProtection="1">
      <alignment horizontal="right"/>
      <protection/>
    </xf>
    <xf numFmtId="164" fontId="14" fillId="0" borderId="0" xfId="57" applyFont="1" applyFill="1" applyBorder="1" applyAlignment="1" applyProtection="1">
      <alignment horizontal="left"/>
      <protection/>
    </xf>
    <xf numFmtId="184" fontId="14" fillId="0" borderId="0" xfId="57" applyNumberFormat="1" applyFont="1" applyFill="1" applyBorder="1" applyAlignment="1" applyProtection="1">
      <alignment horizontal="left"/>
      <protection/>
    </xf>
    <xf numFmtId="167" fontId="14" fillId="5" borderId="0" xfId="57" applyNumberFormat="1" applyFont="1" applyFill="1" applyBorder="1" applyAlignment="1" applyProtection="1">
      <alignment horizontal="left"/>
      <protection locked="0"/>
    </xf>
    <xf numFmtId="184" fontId="14" fillId="0" borderId="0" xfId="57" applyNumberFormat="1" applyFont="1" applyFill="1" applyBorder="1" applyAlignment="1" applyProtection="1">
      <alignment horizontal="right"/>
      <protection/>
    </xf>
    <xf numFmtId="164" fontId="21" fillId="0" borderId="0" xfId="57" applyFont="1" applyFill="1" applyBorder="1" applyAlignment="1" applyProtection="1">
      <alignment horizontal="left"/>
      <protection/>
    </xf>
    <xf numFmtId="164" fontId="14" fillId="5" borderId="0" xfId="57" applyFont="1" applyFill="1" applyBorder="1" applyAlignment="1" applyProtection="1">
      <alignment vertical="top"/>
      <protection locked="0"/>
    </xf>
    <xf numFmtId="164" fontId="14" fillId="5" borderId="0" xfId="57" applyFont="1" applyFill="1" applyBorder="1" applyAlignment="1" applyProtection="1">
      <alignment horizontal="left" vertical="top"/>
      <protection locked="0"/>
    </xf>
    <xf numFmtId="164" fontId="14" fillId="0" borderId="0" xfId="57" applyFont="1" applyFill="1" applyBorder="1" applyAlignment="1" applyProtection="1">
      <alignment horizontal="left" vertical="top"/>
      <protection/>
    </xf>
    <xf numFmtId="164" fontId="21" fillId="0" borderId="0" xfId="57" applyFont="1" applyFill="1" applyBorder="1" applyAlignment="1" applyProtection="1">
      <alignment vertical="top"/>
      <protection/>
    </xf>
    <xf numFmtId="164" fontId="14" fillId="0" borderId="0" xfId="57" applyFont="1" applyFill="1" applyBorder="1" applyAlignment="1" applyProtection="1">
      <alignment horizontal="left"/>
      <protection/>
    </xf>
    <xf numFmtId="164" fontId="14" fillId="0" borderId="0" xfId="57" applyFont="1" applyFill="1" applyBorder="1" applyAlignment="1" applyProtection="1">
      <alignment horizontal="left" shrinkToFit="1"/>
      <protection/>
    </xf>
    <xf numFmtId="164" fontId="14" fillId="0" borderId="0" xfId="57" applyNumberFormat="1" applyFont="1" applyFill="1" applyBorder="1" applyAlignment="1" applyProtection="1">
      <alignment/>
      <protection/>
    </xf>
    <xf numFmtId="164" fontId="14" fillId="0" borderId="0" xfId="57" applyNumberFormat="1" applyFont="1" applyFill="1" applyBorder="1" applyAlignment="1" applyProtection="1">
      <alignment horizontal="left"/>
      <protection/>
    </xf>
    <xf numFmtId="164" fontId="0" fillId="0" borderId="0" xfId="57" applyBorder="1" applyAlignment="1">
      <alignment horizontal="left"/>
      <protection/>
    </xf>
    <xf numFmtId="164" fontId="14" fillId="0" borderId="0" xfId="57" applyFont="1" applyFill="1" applyBorder="1" applyAlignment="1" applyProtection="1">
      <alignment horizontal="left" vertical="top"/>
      <protection/>
    </xf>
    <xf numFmtId="164" fontId="14" fillId="0" borderId="0" xfId="57" applyNumberFormat="1" applyFont="1" applyFill="1" applyBorder="1" applyAlignment="1" applyProtection="1">
      <alignment horizontal="left" vertical="top" wrapText="1"/>
      <protection/>
    </xf>
    <xf numFmtId="164" fontId="14" fillId="0" borderId="0" xfId="57" applyNumberFormat="1" applyFont="1" applyFill="1" applyBorder="1" applyAlignment="1" applyProtection="1">
      <alignment vertical="top" wrapText="1"/>
      <protection/>
    </xf>
    <xf numFmtId="164" fontId="14" fillId="0" borderId="0" xfId="57" applyFont="1" applyFill="1" applyBorder="1" applyAlignment="1" applyProtection="1">
      <alignment horizontal="left" wrapText="1"/>
      <protection/>
    </xf>
    <xf numFmtId="164" fontId="14" fillId="0" borderId="0" xfId="57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/>
    </xf>
    <xf numFmtId="164" fontId="14" fillId="0" borderId="0" xfId="57" applyFont="1" applyBorder="1" applyAlignment="1" applyProtection="1">
      <alignment horizontal="left" wrapText="1"/>
      <protection/>
    </xf>
    <xf numFmtId="164" fontId="14" fillId="0" borderId="0" xfId="57" applyFont="1" applyAlignment="1" applyProtection="1">
      <alignment wrapText="1"/>
      <protection/>
    </xf>
    <xf numFmtId="164" fontId="14" fillId="0" borderId="0" xfId="0" applyFont="1" applyAlignment="1" applyProtection="1">
      <alignment/>
      <protection/>
    </xf>
    <xf numFmtId="164" fontId="14" fillId="0" borderId="0" xfId="57" applyFont="1" applyBorder="1" applyAlignment="1" applyProtection="1">
      <alignment horizontal="left" vertical="top" wrapText="1"/>
      <protection/>
    </xf>
    <xf numFmtId="164" fontId="21" fillId="0" borderId="0" xfId="57" applyFont="1" applyBorder="1" applyAlignment="1" applyProtection="1">
      <alignment wrapText="1"/>
      <protection/>
    </xf>
    <xf numFmtId="164" fontId="21" fillId="0" borderId="46" xfId="57" applyFont="1" applyBorder="1" applyAlignment="1" applyProtection="1">
      <alignment wrapText="1"/>
      <protection/>
    </xf>
    <xf numFmtId="164" fontId="21" fillId="0" borderId="0" xfId="57" applyFont="1" applyAlignment="1" applyProtection="1">
      <alignment wrapText="1"/>
      <protection/>
    </xf>
    <xf numFmtId="167" fontId="14" fillId="0" borderId="49" xfId="57" applyNumberFormat="1" applyFont="1" applyFill="1" applyBorder="1" applyAlignment="1" applyProtection="1">
      <alignment wrapText="1"/>
      <protection/>
    </xf>
    <xf numFmtId="164" fontId="37" fillId="0" borderId="50" xfId="57" applyNumberFormat="1" applyFont="1" applyFill="1" applyBorder="1" applyAlignment="1" applyProtection="1">
      <alignment horizontal="left" vertical="center" shrinkToFit="1"/>
      <protection/>
    </xf>
    <xf numFmtId="164" fontId="37" fillId="0" borderId="50" xfId="57" applyNumberFormat="1" applyFont="1" applyFill="1" applyBorder="1" applyAlignment="1" applyProtection="1">
      <alignment horizontal="left" shrinkToFit="1"/>
      <protection/>
    </xf>
    <xf numFmtId="169" fontId="14" fillId="0" borderId="51" xfId="57" applyNumberFormat="1" applyFont="1" applyFill="1" applyBorder="1" applyAlignment="1" applyProtection="1">
      <alignment horizontal="right" wrapText="1"/>
      <protection/>
    </xf>
    <xf numFmtId="164" fontId="14" fillId="0" borderId="0" xfId="57" applyFont="1" applyAlignment="1" applyProtection="1">
      <alignment horizontal="center"/>
      <protection/>
    </xf>
    <xf numFmtId="167" fontId="14" fillId="0" borderId="25" xfId="57" applyNumberFormat="1" applyFont="1" applyFill="1" applyBorder="1" applyAlignment="1" applyProtection="1">
      <alignment wrapText="1"/>
      <protection/>
    </xf>
    <xf numFmtId="164" fontId="37" fillId="0" borderId="26" xfId="57" applyNumberFormat="1" applyFont="1" applyFill="1" applyBorder="1" applyAlignment="1" applyProtection="1">
      <alignment horizontal="left" vertical="center" shrinkToFit="1"/>
      <protection/>
    </xf>
    <xf numFmtId="164" fontId="37" fillId="0" borderId="26" xfId="57" applyNumberFormat="1" applyFont="1" applyFill="1" applyBorder="1" applyAlignment="1" applyProtection="1">
      <alignment horizontal="left" shrinkToFit="1"/>
      <protection/>
    </xf>
    <xf numFmtId="169" fontId="14" fillId="0" borderId="27" xfId="57" applyNumberFormat="1" applyFont="1" applyFill="1" applyBorder="1" applyAlignment="1" applyProtection="1">
      <alignment horizontal="right" wrapText="1"/>
      <protection/>
    </xf>
    <xf numFmtId="164" fontId="14" fillId="0" borderId="49" xfId="57" applyFont="1" applyBorder="1" applyAlignment="1" applyProtection="1">
      <alignment horizontal="center"/>
      <protection/>
    </xf>
    <xf numFmtId="164" fontId="14" fillId="0" borderId="50" xfId="57" applyFont="1" applyFill="1" applyBorder="1" applyAlignment="1" applyProtection="1">
      <alignment horizontal="center" vertical="center" wrapText="1"/>
      <protection/>
    </xf>
    <xf numFmtId="164" fontId="14" fillId="0" borderId="51" xfId="57" applyFont="1" applyBorder="1" applyAlignment="1" applyProtection="1">
      <alignment horizontal="center" vertical="center" wrapText="1"/>
      <protection/>
    </xf>
    <xf numFmtId="164" fontId="14" fillId="0" borderId="25" xfId="57" applyFont="1" applyBorder="1" applyAlignment="1" applyProtection="1">
      <alignment horizontal="right"/>
      <protection/>
    </xf>
    <xf numFmtId="185" fontId="21" fillId="0" borderId="26" xfId="57" applyNumberFormat="1" applyFont="1" applyFill="1" applyBorder="1" applyAlignment="1" applyProtection="1">
      <alignment horizontal="center" vertical="top" shrinkToFit="1"/>
      <protection/>
    </xf>
    <xf numFmtId="185" fontId="21" fillId="0" borderId="27" xfId="57" applyNumberFormat="1" applyFont="1" applyFill="1" applyBorder="1" applyAlignment="1" applyProtection="1">
      <alignment horizontal="center" vertical="top" shrinkToFit="1"/>
      <protection/>
    </xf>
    <xf numFmtId="164" fontId="14" fillId="0" borderId="28" xfId="57" applyFont="1" applyBorder="1" applyAlignment="1" applyProtection="1">
      <alignment horizontal="right"/>
      <protection/>
    </xf>
    <xf numFmtId="170" fontId="21" fillId="0" borderId="29" xfId="57" applyNumberFormat="1" applyFont="1" applyFill="1" applyBorder="1" applyAlignment="1" applyProtection="1">
      <alignment horizontal="center" vertical="top" shrinkToFit="1"/>
      <protection/>
    </xf>
    <xf numFmtId="170" fontId="21" fillId="0" borderId="30" xfId="57" applyNumberFormat="1" applyFont="1" applyFill="1" applyBorder="1" applyAlignment="1" applyProtection="1">
      <alignment horizontal="center" vertical="top" shrinkToFit="1"/>
      <protection/>
    </xf>
    <xf numFmtId="164" fontId="14" fillId="0" borderId="0" xfId="57" applyFont="1" applyBorder="1" applyAlignment="1" applyProtection="1">
      <alignment vertical="center"/>
      <protection/>
    </xf>
    <xf numFmtId="164" fontId="14" fillId="5" borderId="0" xfId="57" applyFont="1" applyFill="1" applyBorder="1" applyAlignment="1" applyProtection="1">
      <alignment horizontal="left" vertical="top"/>
      <protection locked="0"/>
    </xf>
    <xf numFmtId="164" fontId="14" fillId="5" borderId="0" xfId="57" applyFont="1" applyFill="1" applyBorder="1" applyAlignment="1" applyProtection="1">
      <alignment horizontal="left" vertical="top" wrapText="1"/>
      <protection locked="0"/>
    </xf>
    <xf numFmtId="164" fontId="14" fillId="5" borderId="0" xfId="57" applyFont="1" applyFill="1" applyBorder="1" applyAlignment="1" applyProtection="1">
      <alignment vertical="top" wrapText="1"/>
      <protection locked="0"/>
    </xf>
    <xf numFmtId="164" fontId="14" fillId="0" borderId="0" xfId="0" applyFont="1" applyAlignment="1" applyProtection="1">
      <alignment/>
      <protection/>
    </xf>
    <xf numFmtId="164" fontId="14" fillId="0" borderId="0" xfId="57" applyFont="1" applyFill="1" applyBorder="1" applyAlignment="1" applyProtection="1">
      <alignment vertical="top" wrapText="1"/>
      <protection/>
    </xf>
    <xf numFmtId="164" fontId="14" fillId="0" borderId="0" xfId="57" applyFont="1">
      <alignment/>
      <protection/>
    </xf>
    <xf numFmtId="164" fontId="14" fillId="0" borderId="46" xfId="57" applyFont="1" applyBorder="1" applyAlignment="1" applyProtection="1">
      <alignment/>
      <protection/>
    </xf>
    <xf numFmtId="164" fontId="14" fillId="0" borderId="0" xfId="57" applyFont="1" applyBorder="1" applyAlignment="1" applyProtection="1">
      <alignment/>
      <protection/>
    </xf>
    <xf numFmtId="164" fontId="14" fillId="0" borderId="46" xfId="57" applyFont="1" applyBorder="1" applyProtection="1">
      <alignment/>
      <protection/>
    </xf>
    <xf numFmtId="164" fontId="14" fillId="0" borderId="0" xfId="57" applyNumberFormat="1" applyFont="1" applyFill="1" applyBorder="1" applyAlignment="1" applyProtection="1">
      <alignment horizontal="left" vertical="top"/>
      <protection/>
    </xf>
    <xf numFmtId="164" fontId="14" fillId="0" borderId="0" xfId="57" applyNumberFormat="1" applyFont="1" applyFill="1" applyBorder="1" applyAlignment="1" applyProtection="1">
      <alignment vertical="top"/>
      <protection/>
    </xf>
    <xf numFmtId="184" fontId="14" fillId="0" borderId="0" xfId="57" applyNumberFormat="1" applyFont="1" applyFill="1" applyBorder="1" applyAlignment="1" applyProtection="1">
      <alignment vertical="top"/>
      <protection/>
    </xf>
    <xf numFmtId="164" fontId="0" fillId="0" borderId="0" xfId="0" applyAlignment="1">
      <alignment horizontal="center"/>
    </xf>
    <xf numFmtId="164" fontId="0" fillId="0" borderId="47" xfId="0" applyBorder="1" applyAlignment="1">
      <alignment/>
    </xf>
    <xf numFmtId="164" fontId="20" fillId="0" borderId="1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15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2" xfId="48"/>
    <cellStyle name="Heading 1 3" xfId="49"/>
    <cellStyle name="Heading 2 4" xfId="50"/>
    <cellStyle name="Heading 3" xfId="51"/>
    <cellStyle name="Heading 4" xfId="52"/>
    <cellStyle name="Input" xfId="53"/>
    <cellStyle name="Linked Cell" xfId="54"/>
    <cellStyle name="Moeda 2" xfId="55"/>
    <cellStyle name="Neutral 5" xfId="56"/>
    <cellStyle name="Normal 2" xfId="57"/>
    <cellStyle name="Normal_FICHA DE VERIFICAÇÃO PRELIMINAR - Plano R" xfId="58"/>
    <cellStyle name="Note 6" xfId="59"/>
    <cellStyle name="Output" xfId="60"/>
    <cellStyle name="Title" xfId="61"/>
    <cellStyle name="Warning Text" xfId="62"/>
  </cellStyles>
  <dxfs count="22">
    <dxf>
      <font>
        <b/>
        <i val="0"/>
      </font>
      <border/>
    </dxf>
    <dxf>
      <font>
        <b val="0"/>
        <i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FFFF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</font>
      <fill>
        <patternFill patternType="solid">
          <fgColor rgb="FFFFFFCC"/>
          <bgColor rgb="FFFFFF99"/>
        </patternFill>
      </fill>
      <border/>
    </dxf>
    <dxf>
      <font>
        <b/>
        <i val="0"/>
      </font>
      <fill>
        <patternFill patternType="solid">
          <fgColor rgb="FF969696"/>
          <bgColor rgb="FFA6A6A6"/>
        </patternFill>
      </fill>
      <border/>
    </dxf>
    <dxf>
      <font>
        <b val="0"/>
        <color rgb="FFFFFFFF"/>
      </font>
      <border/>
    </dxf>
    <dxf>
      <font>
        <b/>
        <i val="0"/>
      </font>
      <fill>
        <patternFill patternType="solid">
          <fgColor rgb="FFFFC000"/>
          <bgColor rgb="FFFFCC00"/>
        </patternFill>
      </fill>
      <border/>
    </dxf>
    <dxf>
      <font>
        <b/>
        <i val="0"/>
      </font>
      <fill>
        <patternFill patternType="solid">
          <fgColor rgb="FFA6A6A6"/>
          <bgColor rgb="FF969696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</font>
      <fill>
        <patternFill patternType="solid">
          <fgColor rgb="FFA6A6A6"/>
          <bgColor rgb="FF96969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808080"/>
      </font>
      <fill>
        <patternFill patternType="solid">
          <fgColor rgb="FF969696"/>
          <bgColor rgb="FF808080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ill>
        <patternFill patternType="solid">
          <fgColor rgb="FFA6A6A6"/>
          <bgColor rgb="FF969696"/>
        </patternFill>
      </fill>
      <border/>
    </dxf>
    <dxf>
      <font>
        <b/>
        <i val="0"/>
      </font>
      <fill>
        <patternFill patternType="solid">
          <fgColor rgb="FFFFCC00"/>
          <bgColor rgb="FFFFC000"/>
        </patternFill>
      </fill>
      <border/>
    </dxf>
    <dxf>
      <font>
        <b val="0"/>
        <color rgb="FFC0C0C0"/>
      </font>
      <fill>
        <patternFill patternType="solid">
          <fgColor rgb="FFCCCCFF"/>
          <bgColor rgb="FFC0C0C0"/>
        </patternFill>
      </fill>
      <border/>
    </dxf>
    <dxf>
      <font>
        <b/>
        <i val="0"/>
      </font>
      <fill>
        <patternFill patternType="solid">
          <fgColor rgb="FFA6A6A6"/>
          <bgColor rgb="FF969696"/>
        </patternFill>
      </fill>
      <border/>
    </dxf>
    <dxf>
      <font>
        <b/>
        <i val="0"/>
      </font>
      <fill>
        <patternFill patternType="solid">
          <fgColor rgb="FF33CCCC"/>
          <bgColor rgb="FF00FF00"/>
        </patternFill>
      </fill>
      <border/>
    </dxf>
    <dxf>
      <font>
        <b val="0"/>
        <color rgb="FF969696"/>
      </font>
      <fill>
        <patternFill patternType="solid">
          <fgColor rgb="FFA6A6A6"/>
          <bgColor rgb="FF969696"/>
        </patternFill>
      </fill>
      <border/>
    </dxf>
    <dxf>
      <font>
        <b/>
        <i val="0"/>
        <color rgb="FF000000"/>
      </font>
      <fill>
        <patternFill patternType="solid">
          <fgColor rgb="FFA6A6A6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781050</xdr:colOff>
      <xdr:row>40</xdr:row>
      <xdr:rowOff>28575</xdr:rowOff>
    </xdr:from>
    <xdr:to>
      <xdr:col>2</xdr:col>
      <xdr:colOff>209550</xdr:colOff>
      <xdr:row>43</xdr:row>
      <xdr:rowOff>76200</xdr:rowOff>
    </xdr:to>
    <xdr:sp macro="[0]!Módulo_Iniciar.start1">
      <xdr:nvSpPr>
        <xdr:cNvPr id="1" name="FiltroButton"/>
        <xdr:cNvSpPr>
          <a:spLocks/>
        </xdr:cNvSpPr>
      </xdr:nvSpPr>
      <xdr:spPr>
        <a:xfrm>
          <a:off x="781050" y="6562725"/>
          <a:ext cx="1657350" cy="53340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PREENCHER QCI</a:t>
          </a:r>
        </a:p>
      </xdr:txBody>
    </xdr:sp>
    <xdr:clientData/>
  </xdr:twoCellAnchor>
  <xdr:twoCellAnchor editAs="absolute">
    <xdr:from>
      <xdr:col>4</xdr:col>
      <xdr:colOff>1771650</xdr:colOff>
      <xdr:row>12</xdr:row>
      <xdr:rowOff>57150</xdr:rowOff>
    </xdr:from>
    <xdr:to>
      <xdr:col>5</xdr:col>
      <xdr:colOff>733425</xdr:colOff>
      <xdr:row>15</xdr:row>
      <xdr:rowOff>104775</xdr:rowOff>
    </xdr:to>
    <xdr:sp macro="[0]!Módulo_Importar.ImportQCI">
      <xdr:nvSpPr>
        <xdr:cNvPr id="2" name="FiltroButton"/>
        <xdr:cNvSpPr>
          <a:spLocks/>
        </xdr:cNvSpPr>
      </xdr:nvSpPr>
      <xdr:spPr>
        <a:xfrm>
          <a:off x="6562725" y="2314575"/>
          <a:ext cx="1676400" cy="533400"/>
        </a:xfrm>
        <a:prstGeom prst="rect">
          <a:avLst/>
        </a:prstGeom>
        <a:solidFill>
          <a:srgbClr val="BFBFB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IMPORTAR DE OUTRO QCI
MO 41.211</a:t>
          </a:r>
        </a:p>
      </xdr:txBody>
    </xdr:sp>
    <xdr:clientData/>
  </xdr:twoCellAnchor>
  <xdr:twoCellAnchor editAs="absolute">
    <xdr:from>
      <xdr:col>5</xdr:col>
      <xdr:colOff>1219200</xdr:colOff>
      <xdr:row>12</xdr:row>
      <xdr:rowOff>57150</xdr:rowOff>
    </xdr:from>
    <xdr:to>
      <xdr:col>6</xdr:col>
      <xdr:colOff>1438275</xdr:colOff>
      <xdr:row>15</xdr:row>
      <xdr:rowOff>104775</xdr:rowOff>
    </xdr:to>
    <xdr:sp macro="[0]!Módulo_Importar.ImportCabecalho">
      <xdr:nvSpPr>
        <xdr:cNvPr id="3" name="FiltroButton"/>
        <xdr:cNvSpPr>
          <a:spLocks/>
        </xdr:cNvSpPr>
      </xdr:nvSpPr>
      <xdr:spPr>
        <a:xfrm>
          <a:off x="8724900" y="2314575"/>
          <a:ext cx="1600200" cy="533400"/>
        </a:xfrm>
        <a:prstGeom prst="rect">
          <a:avLst/>
        </a:prstGeom>
        <a:solidFill>
          <a:srgbClr val="BFBFB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IMPORTAR CABEÇALHO DE OUTRO MO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1409700</xdr:rowOff>
    </xdr:from>
    <xdr:to>
      <xdr:col>3</xdr:col>
      <xdr:colOff>171450</xdr:colOff>
      <xdr:row>6</xdr:row>
      <xdr:rowOff>76200</xdr:rowOff>
    </xdr:to>
    <xdr:sp macro="[0]!Módulo_Linha.EditarPlan">
      <xdr:nvSpPr>
        <xdr:cNvPr id="1" name="FiltroButton"/>
        <xdr:cNvSpPr>
          <a:spLocks/>
        </xdr:cNvSpPr>
      </xdr:nvSpPr>
      <xdr:spPr>
        <a:xfrm>
          <a:off x="304800" y="1733550"/>
          <a:ext cx="1066800" cy="285750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EDITAR QUADRO</a:t>
          </a:r>
        </a:p>
      </xdr:txBody>
    </xdr:sp>
    <xdr:clientData/>
  </xdr:twoCellAnchor>
  <xdr:twoCellAnchor editAs="absolute">
    <xdr:from>
      <xdr:col>1</xdr:col>
      <xdr:colOff>114300</xdr:colOff>
      <xdr:row>0</xdr:row>
      <xdr:rowOff>0</xdr:rowOff>
    </xdr:from>
    <xdr:to>
      <xdr:col>3</xdr:col>
      <xdr:colOff>285750</xdr:colOff>
      <xdr:row>2</xdr:row>
      <xdr:rowOff>133350</xdr:rowOff>
    </xdr:to>
    <xdr:sp>
      <xdr:nvSpPr>
        <xdr:cNvPr id="2" name="Object 95" hidden="1"/>
        <xdr:cNvSpPr>
          <a:spLocks/>
        </xdr:cNvSpPr>
      </xdr:nvSpPr>
      <xdr:spPr>
        <a:xfrm>
          <a:off x="219075" y="0"/>
          <a:ext cx="1266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152400</xdr:colOff>
      <xdr:row>31</xdr:row>
      <xdr:rowOff>76200</xdr:rowOff>
    </xdr:from>
    <xdr:to>
      <xdr:col>3</xdr:col>
      <xdr:colOff>123825</xdr:colOff>
      <xdr:row>33</xdr:row>
      <xdr:rowOff>104775</xdr:rowOff>
    </xdr:to>
    <xdr:sp macro="[0]!Observações.ObsGeral">
      <xdr:nvSpPr>
        <xdr:cNvPr id="3" name="QCI.ObsButton"/>
        <xdr:cNvSpPr>
          <a:spLocks/>
        </xdr:cNvSpPr>
      </xdr:nvSpPr>
      <xdr:spPr>
        <a:xfrm>
          <a:off x="257175" y="5010150"/>
          <a:ext cx="1066800" cy="352425"/>
        </a:xfrm>
        <a:prstGeom prst="rect">
          <a:avLst/>
        </a:prstGeom>
        <a:solidFill>
          <a:srgbClr val="A6A6A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EXIBIR OBSERVAÇÕES</a:t>
          </a:r>
        </a:p>
      </xdr:txBody>
    </xdr:sp>
    <xdr:clientData/>
  </xdr:twoCellAnchor>
  <xdr:twoCellAnchor editAs="absolute">
    <xdr:from>
      <xdr:col>1</xdr:col>
      <xdr:colOff>114300</xdr:colOff>
      <xdr:row>0</xdr:row>
      <xdr:rowOff>0</xdr:rowOff>
    </xdr:from>
    <xdr:to>
      <xdr:col>3</xdr:col>
      <xdr:colOff>285750</xdr:colOff>
      <xdr:row>2</xdr:row>
      <xdr:rowOff>133350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266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95250</xdr:colOff>
      <xdr:row>3</xdr:row>
      <xdr:rowOff>85725</xdr:rowOff>
    </xdr:from>
    <xdr:to>
      <xdr:col>14</xdr:col>
      <xdr:colOff>942975</xdr:colOff>
      <xdr:row>3</xdr:row>
      <xdr:rowOff>1257300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09575"/>
          <a:ext cx="145351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10</xdr:row>
      <xdr:rowOff>0</xdr:rowOff>
    </xdr:from>
    <xdr:to>
      <xdr:col>7</xdr:col>
      <xdr:colOff>1066800</xdr:colOff>
      <xdr:row>12</xdr:row>
      <xdr:rowOff>76200</xdr:rowOff>
    </xdr:to>
    <xdr:sp macro="[0]!Módulo_RRE_CRONO.IncluirParc">
      <xdr:nvSpPr>
        <xdr:cNvPr id="1" name="IncButton"/>
        <xdr:cNvSpPr>
          <a:spLocks/>
        </xdr:cNvSpPr>
      </xdr:nvSpPr>
      <xdr:spPr>
        <a:xfrm>
          <a:off x="1571625" y="2914650"/>
          <a:ext cx="838200" cy="381000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INCLUIR 8 PARCELAS</a:t>
          </a:r>
        </a:p>
      </xdr:txBody>
    </xdr:sp>
    <xdr:clientData/>
  </xdr:twoCellAnchor>
  <xdr:twoCellAnchor editAs="absolute">
    <xdr:from>
      <xdr:col>7</xdr:col>
      <xdr:colOff>238125</xdr:colOff>
      <xdr:row>13</xdr:row>
      <xdr:rowOff>123825</xdr:rowOff>
    </xdr:from>
    <xdr:to>
      <xdr:col>7</xdr:col>
      <xdr:colOff>1038225</xdr:colOff>
      <xdr:row>16</xdr:row>
      <xdr:rowOff>47625</xdr:rowOff>
    </xdr:to>
    <xdr:sp macro="[0]!Módulo_RRE_CRONO.ExcluirParc">
      <xdr:nvSpPr>
        <xdr:cNvPr id="2" name="ExcButton"/>
        <xdr:cNvSpPr>
          <a:spLocks/>
        </xdr:cNvSpPr>
      </xdr:nvSpPr>
      <xdr:spPr>
        <a:xfrm>
          <a:off x="1581150" y="3495675"/>
          <a:ext cx="800100" cy="381000"/>
        </a:xfrm>
        <a:prstGeom prst="rect">
          <a:avLst/>
        </a:prstGeom>
        <a:solidFill>
          <a:srgbClr val="9933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EXCLUIR  8 PARCELAS</a:t>
          </a:r>
        </a:p>
      </xdr:txBody>
    </xdr:sp>
    <xdr:clientData/>
  </xdr:twoCellAnchor>
  <xdr:twoCellAnchor editAs="absolute">
    <xdr:from>
      <xdr:col>4</xdr:col>
      <xdr:colOff>123825</xdr:colOff>
      <xdr:row>0</xdr:row>
      <xdr:rowOff>19050</xdr:rowOff>
    </xdr:from>
    <xdr:to>
      <xdr:col>6</xdr:col>
      <xdr:colOff>295275</xdr:colOff>
      <xdr:row>1</xdr:row>
      <xdr:rowOff>152400</xdr:rowOff>
    </xdr:to>
    <xdr:sp>
      <xdr:nvSpPr>
        <xdr:cNvPr id="3" name="Object 3" hidden="1"/>
        <xdr:cNvSpPr>
          <a:spLocks/>
        </xdr:cNvSpPr>
      </xdr:nvSpPr>
      <xdr:spPr>
        <a:xfrm>
          <a:off x="123825" y="19050"/>
          <a:ext cx="1133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</xdr:row>
      <xdr:rowOff>295275</xdr:rowOff>
    </xdr:from>
    <xdr:to>
      <xdr:col>7</xdr:col>
      <xdr:colOff>1771650</xdr:colOff>
      <xdr:row>7</xdr:row>
      <xdr:rowOff>9525</xdr:rowOff>
    </xdr:to>
    <xdr:sp>
      <xdr:nvSpPr>
        <xdr:cNvPr id="4" name="BoxColuna"/>
        <xdr:cNvSpPr>
          <a:spLocks/>
        </xdr:cNvSpPr>
      </xdr:nvSpPr>
      <xdr:spPr>
        <a:xfrm flipH="1">
          <a:off x="1628775" y="2076450"/>
          <a:ext cx="1485900" cy="36195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Informação da 1ª Coluna:</a:t>
          </a:r>
        </a:p>
      </xdr:txBody>
    </xdr:sp>
    <xdr:clientData/>
  </xdr:twoCellAnchor>
  <xdr:twoCellAnchor editAs="absolute">
    <xdr:from>
      <xdr:col>4</xdr:col>
      <xdr:colOff>114300</xdr:colOff>
      <xdr:row>75</xdr:row>
      <xdr:rowOff>47625</xdr:rowOff>
    </xdr:from>
    <xdr:to>
      <xdr:col>7</xdr:col>
      <xdr:colOff>590550</xdr:colOff>
      <xdr:row>75</xdr:row>
      <xdr:rowOff>219075</xdr:rowOff>
    </xdr:to>
    <xdr:sp macro="[0]!Observações.ObsGeral">
      <xdr:nvSpPr>
        <xdr:cNvPr id="5" name="CRONO.ObsButton"/>
        <xdr:cNvSpPr>
          <a:spLocks/>
        </xdr:cNvSpPr>
      </xdr:nvSpPr>
      <xdr:spPr>
        <a:xfrm>
          <a:off x="114300" y="7800975"/>
          <a:ext cx="1819275" cy="171450"/>
        </a:xfrm>
        <a:prstGeom prst="rect">
          <a:avLst/>
        </a:prstGeom>
        <a:solidFill>
          <a:srgbClr val="A6A6A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EXIBIR OBSERVAÇÕES</a:t>
          </a:r>
        </a:p>
      </xdr:txBody>
    </xdr:sp>
    <xdr:clientData/>
  </xdr:twoCellAnchor>
  <xdr:twoCellAnchor editAs="absolute">
    <xdr:from>
      <xdr:col>4</xdr:col>
      <xdr:colOff>123825</xdr:colOff>
      <xdr:row>0</xdr:row>
      <xdr:rowOff>19050</xdr:rowOff>
    </xdr:from>
    <xdr:to>
      <xdr:col>6</xdr:col>
      <xdr:colOff>295275</xdr:colOff>
      <xdr:row>1</xdr:row>
      <xdr:rowOff>152400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1334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104775</xdr:colOff>
      <xdr:row>3</xdr:row>
      <xdr:rowOff>0</xdr:rowOff>
    </xdr:from>
    <xdr:to>
      <xdr:col>10</xdr:col>
      <xdr:colOff>9525</xdr:colOff>
      <xdr:row>3</xdr:row>
      <xdr:rowOff>1200150</xdr:rowOff>
    </xdr:to>
    <xdr:pic>
      <xdr:nvPicPr>
        <xdr:cNvPr id="7" name="PI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47675"/>
          <a:ext cx="55911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28575</xdr:colOff>
      <xdr:row>3</xdr:row>
      <xdr:rowOff>0</xdr:rowOff>
    </xdr:from>
    <xdr:to>
      <xdr:col>17</xdr:col>
      <xdr:colOff>1104900</xdr:colOff>
      <xdr:row>3</xdr:row>
      <xdr:rowOff>1200150</xdr:rowOff>
    </xdr:to>
    <xdr:pic>
      <xdr:nvPicPr>
        <xdr:cNvPr id="8" name="PIC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447675"/>
          <a:ext cx="93440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0</xdr:rowOff>
    </xdr:from>
    <xdr:to>
      <xdr:col>2</xdr:col>
      <xdr:colOff>257175</xdr:colOff>
      <xdr:row>2</xdr:row>
      <xdr:rowOff>133350</xdr:rowOff>
    </xdr:to>
    <xdr:sp>
      <xdr:nvSpPr>
        <xdr:cNvPr id="1" name="Object 16" hidden="1"/>
        <xdr:cNvSpPr>
          <a:spLocks/>
        </xdr:cNvSpPr>
      </xdr:nvSpPr>
      <xdr:spPr>
        <a:xfrm>
          <a:off x="85725" y="0"/>
          <a:ext cx="1266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123825</xdr:colOff>
      <xdr:row>3</xdr:row>
      <xdr:rowOff>1247775</xdr:rowOff>
    </xdr:from>
    <xdr:to>
      <xdr:col>2</xdr:col>
      <xdr:colOff>200025</xdr:colOff>
      <xdr:row>6</xdr:row>
      <xdr:rowOff>95250</xdr:rowOff>
    </xdr:to>
    <xdr:sp macro="[0]!Módulo_RRE_CRONO.RRE">
      <xdr:nvSpPr>
        <xdr:cNvPr id="2" name="RREButton"/>
        <xdr:cNvSpPr>
          <a:spLocks/>
        </xdr:cNvSpPr>
      </xdr:nvSpPr>
      <xdr:spPr>
        <a:xfrm flipH="1">
          <a:off x="123825" y="1571625"/>
          <a:ext cx="1171575" cy="4381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HABILITAR RRE CAIXA</a:t>
          </a:r>
        </a:p>
      </xdr:txBody>
    </xdr:sp>
    <xdr:clientData/>
  </xdr:twoCellAnchor>
  <xdr:twoCellAnchor editAs="absolute">
    <xdr:from>
      <xdr:col>19</xdr:col>
      <xdr:colOff>0</xdr:colOff>
      <xdr:row>3</xdr:row>
      <xdr:rowOff>1190625</xdr:rowOff>
    </xdr:from>
    <xdr:to>
      <xdr:col>19</xdr:col>
      <xdr:colOff>0</xdr:colOff>
      <xdr:row>6</xdr:row>
      <xdr:rowOff>0</xdr:rowOff>
    </xdr:to>
    <xdr:sp macro="[0]!Módulo_RRE_CRONO.CopyMed">
      <xdr:nvSpPr>
        <xdr:cNvPr id="3" name="RREButton"/>
        <xdr:cNvSpPr>
          <a:spLocks/>
        </xdr:cNvSpPr>
      </xdr:nvSpPr>
      <xdr:spPr>
        <a:xfrm flipH="1">
          <a:off x="12620625" y="1514475"/>
          <a:ext cx="0" cy="400050"/>
        </a:xfrm>
        <a:prstGeom prst="rect">
          <a:avLst/>
        </a:prstGeom>
        <a:solidFill>
          <a:srgbClr val="FFC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COPIAR DA MEDIÇÃO</a:t>
          </a:r>
        </a:p>
      </xdr:txBody>
    </xdr:sp>
    <xdr:clientData/>
  </xdr:twoCellAnchor>
  <xdr:twoCellAnchor editAs="absolute">
    <xdr:from>
      <xdr:col>0</xdr:col>
      <xdr:colOff>57150</xdr:colOff>
      <xdr:row>32</xdr:row>
      <xdr:rowOff>104775</xdr:rowOff>
    </xdr:from>
    <xdr:to>
      <xdr:col>3</xdr:col>
      <xdr:colOff>400050</xdr:colOff>
      <xdr:row>32</xdr:row>
      <xdr:rowOff>323850</xdr:rowOff>
    </xdr:to>
    <xdr:sp macro="[0]!Observações.ObsGeral">
      <xdr:nvSpPr>
        <xdr:cNvPr id="4" name="RRE.ObsButton"/>
        <xdr:cNvSpPr>
          <a:spLocks/>
        </xdr:cNvSpPr>
      </xdr:nvSpPr>
      <xdr:spPr>
        <a:xfrm>
          <a:off x="57150" y="5257800"/>
          <a:ext cx="1819275" cy="219075"/>
        </a:xfrm>
        <a:prstGeom prst="rect">
          <a:avLst/>
        </a:prstGeom>
        <a:solidFill>
          <a:srgbClr val="A6A6A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2304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EXIBIR OBSERVAÇÕES</a:t>
          </a:r>
        </a:p>
      </xdr:txBody>
    </xdr:sp>
    <xdr:clientData/>
  </xdr:twoCellAnchor>
  <xdr:twoCellAnchor editAs="absolute">
    <xdr:from>
      <xdr:col>0</xdr:col>
      <xdr:colOff>85725</xdr:colOff>
      <xdr:row>0</xdr:row>
      <xdr:rowOff>0</xdr:rowOff>
    </xdr:from>
    <xdr:to>
      <xdr:col>2</xdr:col>
      <xdr:colOff>257175</xdr:colOff>
      <xdr:row>2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66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0</xdr:row>
      <xdr:rowOff>0</xdr:rowOff>
    </xdr:from>
    <xdr:to>
      <xdr:col>2</xdr:col>
      <xdr:colOff>257175</xdr:colOff>
      <xdr:row>2</xdr:row>
      <xdr:rowOff>133350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668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76200</xdr:colOff>
      <xdr:row>3</xdr:row>
      <xdr:rowOff>152400</xdr:rowOff>
    </xdr:from>
    <xdr:to>
      <xdr:col>17</xdr:col>
      <xdr:colOff>514350</xdr:colOff>
      <xdr:row>3</xdr:row>
      <xdr:rowOff>1123950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0"/>
          <a:ext cx="122586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190500</xdr:colOff>
      <xdr:row>1</xdr:row>
      <xdr:rowOff>28575</xdr:rowOff>
    </xdr:from>
    <xdr:to>
      <xdr:col>2</xdr:col>
      <xdr:colOff>933450</xdr:colOff>
      <xdr:row>2</xdr:row>
      <xdr:rowOff>219075</xdr:rowOff>
    </xdr:to>
    <xdr:sp macro="[0]!Plan4.Insere">
      <xdr:nvSpPr>
        <xdr:cNvPr id="1" name="Retângulo 1"/>
        <xdr:cNvSpPr>
          <a:spLocks/>
        </xdr:cNvSpPr>
      </xdr:nvSpPr>
      <xdr:spPr>
        <a:xfrm>
          <a:off x="1685925" y="190500"/>
          <a:ext cx="742950" cy="352425"/>
        </a:xfrm>
        <a:prstGeom prst="rect">
          <a:avLst/>
        </a:prstGeom>
        <a:solidFill>
          <a:srgbClr val="D0CECE"/>
        </a:solidFill>
        <a:ln w="6480" cmpd="sng">
          <a:solidFill>
            <a:srgbClr val="43729D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Inserir Brasão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="90" zoomScaleNormal="90" zoomScaleSheetLayoutView="100" workbookViewId="0" topLeftCell="F19">
      <selection activeCell="H28" sqref="H28"/>
    </sheetView>
  </sheetViews>
  <sheetFormatPr defaultColWidth="8.00390625" defaultRowHeight="12.75"/>
  <cols>
    <col min="1" max="1" width="16.7109375" style="1" customWidth="1"/>
    <col min="2" max="2" width="16.7109375" style="0" customWidth="1"/>
    <col min="3" max="3" width="22.7109375" style="0" customWidth="1"/>
    <col min="4" max="4" width="15.7109375" style="2" customWidth="1"/>
    <col min="5" max="5" width="40.7109375" style="0" customWidth="1"/>
    <col min="6" max="6" width="20.7109375" style="0" customWidth="1"/>
    <col min="7" max="7" width="45.7109375" style="0" customWidth="1"/>
    <col min="8" max="10" width="16.7109375" style="0" customWidth="1"/>
    <col min="11" max="16384" width="8.7109375" style="0" customWidth="1"/>
  </cols>
  <sheetData>
    <row r="1" spans="1:11" ht="12.75" customHeight="1">
      <c r="A1" s="3">
        <v>41211</v>
      </c>
      <c r="B1" s="4" t="s">
        <v>0</v>
      </c>
      <c r="C1" s="4"/>
      <c r="D1" s="4"/>
      <c r="E1" s="4"/>
      <c r="F1" s="4"/>
      <c r="G1" s="4"/>
      <c r="H1" s="4"/>
      <c r="I1" s="4"/>
      <c r="J1" s="4"/>
      <c r="K1" s="5"/>
    </row>
    <row r="2" spans="1:11" ht="13.5" customHeight="1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5"/>
    </row>
    <row r="4" spans="1:11" ht="12.75">
      <c r="A4" s="8"/>
      <c r="B4" s="9"/>
      <c r="C4" s="9"/>
      <c r="D4" s="10"/>
      <c r="E4" s="9"/>
      <c r="F4" s="9"/>
      <c r="G4" s="9"/>
      <c r="H4" s="9"/>
      <c r="I4" s="9"/>
      <c r="J4" s="9"/>
      <c r="K4" s="5"/>
    </row>
    <row r="5" spans="1:11" s="1" customFormat="1" ht="24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 customHeight="1">
      <c r="A6" s="8"/>
      <c r="B6" s="13"/>
      <c r="C6" s="13"/>
      <c r="D6" s="10"/>
      <c r="E6" s="13"/>
      <c r="F6" s="13"/>
      <c r="G6" s="13"/>
      <c r="H6" s="13"/>
      <c r="I6" s="13"/>
      <c r="J6" s="13"/>
      <c r="K6" s="5"/>
    </row>
    <row r="7" spans="1:11" ht="12.75" customHeight="1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5"/>
    </row>
    <row r="8" spans="1:11" ht="12.75" customHeight="1">
      <c r="A8" s="15" t="s">
        <v>5</v>
      </c>
      <c r="B8" s="16"/>
      <c r="C8" s="15"/>
      <c r="D8" s="15"/>
      <c r="E8" s="15"/>
      <c r="F8" s="15"/>
      <c r="G8" s="15"/>
      <c r="H8" s="15"/>
      <c r="I8" s="17"/>
      <c r="J8" s="17"/>
      <c r="K8" s="5"/>
    </row>
    <row r="9" spans="1:11" ht="24.75" customHeight="1">
      <c r="A9" s="18" t="s">
        <v>6</v>
      </c>
      <c r="B9" s="18"/>
      <c r="C9" s="18"/>
      <c r="D9" s="18"/>
      <c r="E9" s="18"/>
      <c r="F9" s="18"/>
      <c r="G9" s="18"/>
      <c r="H9" s="18"/>
      <c r="I9" s="17"/>
      <c r="J9" s="17"/>
      <c r="K9" s="5"/>
    </row>
    <row r="10" spans="1:11" ht="12.75">
      <c r="A10" s="8"/>
      <c r="B10" s="9"/>
      <c r="C10" s="9"/>
      <c r="D10" s="10"/>
      <c r="E10" s="9"/>
      <c r="F10" s="9"/>
      <c r="G10" s="9"/>
      <c r="H10" s="9"/>
      <c r="I10" s="9"/>
      <c r="J10" s="9"/>
      <c r="K10" s="5"/>
    </row>
    <row r="11" spans="1:11" ht="12.75" customHeight="1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5"/>
    </row>
    <row r="12" spans="1:11" ht="12.75">
      <c r="A12" s="8"/>
      <c r="B12" s="9"/>
      <c r="C12" s="9"/>
      <c r="D12" s="10"/>
      <c r="E12" s="9"/>
      <c r="F12" s="9"/>
      <c r="G12" s="9"/>
      <c r="H12" s="9"/>
      <c r="I12" s="9"/>
      <c r="J12" s="9"/>
      <c r="K12" s="5"/>
    </row>
    <row r="13" spans="1:11" ht="12.75" customHeight="1">
      <c r="A13" s="11" t="s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5"/>
    </row>
    <row r="14" spans="1:11" ht="12.75" customHeight="1">
      <c r="A14" s="15" t="s">
        <v>9</v>
      </c>
      <c r="C14" s="19"/>
      <c r="D14" s="19"/>
      <c r="E14" s="19"/>
      <c r="F14" s="19"/>
      <c r="G14" s="19"/>
      <c r="H14" s="19"/>
      <c r="I14" s="19"/>
      <c r="J14" s="19"/>
      <c r="K14" s="5"/>
    </row>
    <row r="15" spans="1:11" ht="12.75" customHeight="1">
      <c r="A15" s="20" t="s">
        <v>10</v>
      </c>
      <c r="B15" s="9"/>
      <c r="C15" s="9"/>
      <c r="E15" s="19"/>
      <c r="F15" s="19"/>
      <c r="G15" s="19"/>
      <c r="H15" s="19"/>
      <c r="I15" s="19"/>
      <c r="J15" s="19"/>
      <c r="K15" s="5"/>
    </row>
    <row r="16" spans="1:11" ht="12.75">
      <c r="A16" s="21"/>
      <c r="B16" s="5"/>
      <c r="C16" s="5"/>
      <c r="D16" s="22"/>
      <c r="E16" s="5"/>
      <c r="F16" s="5"/>
      <c r="G16" s="5"/>
      <c r="H16" s="5"/>
      <c r="I16" s="5"/>
      <c r="J16" s="5"/>
      <c r="K16" s="5"/>
    </row>
    <row r="17" spans="1:11" ht="12.75">
      <c r="A17" s="21"/>
      <c r="B17" s="5"/>
      <c r="C17" s="5"/>
      <c r="D17" s="22"/>
      <c r="E17" s="5"/>
      <c r="F17" s="5"/>
      <c r="G17" s="5"/>
      <c r="H17" s="5"/>
      <c r="J17" s="23"/>
      <c r="K17" s="5"/>
    </row>
    <row r="18" spans="1:11" ht="12.75">
      <c r="A18" s="21"/>
      <c r="B18" s="5"/>
      <c r="C18" s="5"/>
      <c r="D18" s="22"/>
      <c r="E18" s="5"/>
      <c r="F18" s="5"/>
      <c r="G18" s="5"/>
      <c r="H18" s="5"/>
      <c r="J18" s="23"/>
      <c r="K18" s="5"/>
    </row>
    <row r="19" spans="1:11" ht="12.75">
      <c r="A19" s="21"/>
      <c r="B19" s="5"/>
      <c r="C19" s="5"/>
      <c r="D19" s="22"/>
      <c r="E19" s="5"/>
      <c r="F19" s="5"/>
      <c r="G19" s="5"/>
      <c r="H19" s="5"/>
      <c r="I19" s="5"/>
      <c r="J19" s="5"/>
      <c r="K19" s="5"/>
    </row>
    <row r="20" spans="1:11" ht="12.75">
      <c r="A20" s="21"/>
      <c r="B20" s="5"/>
      <c r="C20" s="5"/>
      <c r="D20" s="22"/>
      <c r="E20" s="5"/>
      <c r="F20" s="5"/>
      <c r="G20" s="5"/>
      <c r="H20" s="5"/>
      <c r="I20" s="5"/>
      <c r="J20" s="5"/>
      <c r="K20" s="5"/>
    </row>
    <row r="21" spans="1:11" ht="12.75" customHeight="1">
      <c r="A21" s="24" t="s">
        <v>11</v>
      </c>
      <c r="B21" s="24" t="s">
        <v>12</v>
      </c>
      <c r="C21" s="25" t="s">
        <v>13</v>
      </c>
      <c r="D21" s="25"/>
      <c r="E21" s="25" t="s">
        <v>14</v>
      </c>
      <c r="F21" s="25"/>
      <c r="G21" s="25" t="s">
        <v>15</v>
      </c>
      <c r="H21" s="25"/>
      <c r="I21" s="25"/>
      <c r="J21" s="24" t="s">
        <v>16</v>
      </c>
      <c r="K21" s="5"/>
    </row>
    <row r="22" spans="1:11" ht="12.75" customHeight="1">
      <c r="A22" s="26" t="s">
        <v>17</v>
      </c>
      <c r="B22" s="27">
        <v>873566</v>
      </c>
      <c r="C22" s="27" t="s">
        <v>18</v>
      </c>
      <c r="D22" s="27"/>
      <c r="E22" s="28" t="s">
        <v>19</v>
      </c>
      <c r="F22" s="28"/>
      <c r="G22" s="28" t="s">
        <v>20</v>
      </c>
      <c r="H22" s="28"/>
      <c r="I22" s="28"/>
      <c r="J22" s="29" t="s">
        <v>21</v>
      </c>
      <c r="K22" s="5"/>
    </row>
    <row r="23" spans="1:10" ht="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1" ht="12.75">
      <c r="A24" s="25" t="s">
        <v>22</v>
      </c>
      <c r="B24" s="25"/>
      <c r="C24" s="25"/>
      <c r="D24" s="25"/>
      <c r="E24" s="24" t="s">
        <v>23</v>
      </c>
      <c r="F24" s="25" t="s">
        <v>24</v>
      </c>
      <c r="G24" s="25"/>
      <c r="H24" s="31"/>
      <c r="I24" s="30"/>
      <c r="J24" s="32"/>
      <c r="K24" s="5"/>
    </row>
    <row r="25" spans="1:11" ht="12.75" customHeight="1">
      <c r="A25" s="26" t="s">
        <v>25</v>
      </c>
      <c r="B25" s="26"/>
      <c r="C25" s="26"/>
      <c r="D25" s="26"/>
      <c r="E25" s="27" t="s">
        <v>26</v>
      </c>
      <c r="F25" s="27" t="s">
        <v>27</v>
      </c>
      <c r="G25" s="27"/>
      <c r="H25" s="33" t="s">
        <v>28</v>
      </c>
      <c r="I25" s="33"/>
      <c r="J25" s="33"/>
      <c r="K25" s="5"/>
    </row>
    <row r="26" spans="1:10" ht="6" customHeight="1">
      <c r="A26" s="30"/>
      <c r="B26" s="30"/>
      <c r="C26" s="30"/>
      <c r="D26" s="30"/>
      <c r="E26" s="30"/>
      <c r="F26" s="30"/>
      <c r="G26" s="30"/>
      <c r="H26" s="30"/>
      <c r="I26" s="30"/>
      <c r="J26" s="32"/>
    </row>
    <row r="27" spans="1:11" ht="12.75" customHeight="1">
      <c r="A27" s="25" t="s">
        <v>29</v>
      </c>
      <c r="B27" s="25"/>
      <c r="C27" s="25"/>
      <c r="D27" s="25"/>
      <c r="E27" s="25"/>
      <c r="F27" s="25" t="s">
        <v>30</v>
      </c>
      <c r="G27" s="25"/>
      <c r="H27" s="34">
        <f>IF($J$22="FGTS","FINANCIAMENTO","REPASSE")</f>
        <v>0</v>
      </c>
      <c r="I27" s="34" t="s">
        <v>31</v>
      </c>
      <c r="J27" s="34" t="s">
        <v>32</v>
      </c>
      <c r="K27" s="5"/>
    </row>
    <row r="28" spans="1:11" ht="12.75" customHeight="1">
      <c r="A28" s="27" t="s">
        <v>33</v>
      </c>
      <c r="B28" s="27"/>
      <c r="C28" s="27"/>
      <c r="D28" s="27"/>
      <c r="E28" s="27"/>
      <c r="F28" s="27" t="s">
        <v>33</v>
      </c>
      <c r="G28" s="27"/>
      <c r="H28" s="35"/>
      <c r="I28" s="35"/>
      <c r="J28" s="36">
        <f>H28+I28</f>
        <v>0</v>
      </c>
      <c r="K28" s="5"/>
    </row>
    <row r="29" spans="1:10" ht="6" customHeight="1">
      <c r="A29" s="30"/>
      <c r="B29" s="30"/>
      <c r="C29" s="30"/>
      <c r="D29" s="30"/>
      <c r="E29" s="30"/>
      <c r="F29" s="30"/>
      <c r="G29" s="30"/>
      <c r="H29" s="30"/>
      <c r="I29" s="30"/>
      <c r="J29" s="37"/>
    </row>
    <row r="30" spans="1:11" ht="12.75">
      <c r="A30" s="12"/>
      <c r="B30" s="5"/>
      <c r="C30" s="5"/>
      <c r="D30" s="22"/>
      <c r="E30" s="5"/>
      <c r="F30" s="5"/>
      <c r="G30" s="5"/>
      <c r="H30" s="5"/>
      <c r="I30" s="5"/>
      <c r="J30" s="5"/>
      <c r="K30" s="5"/>
    </row>
    <row r="31" spans="1:11" ht="12.75">
      <c r="A31" s="12"/>
      <c r="B31" s="5"/>
      <c r="C31" s="5"/>
      <c r="D31" s="22"/>
      <c r="E31" s="5"/>
      <c r="F31" s="5"/>
      <c r="G31" s="5"/>
      <c r="H31" s="5"/>
      <c r="I31" s="5"/>
      <c r="J31" s="5"/>
      <c r="K31" s="5"/>
    </row>
    <row r="32" spans="1:11" ht="12.75">
      <c r="A32" s="12"/>
      <c r="B32" s="5"/>
      <c r="C32" s="5"/>
      <c r="D32" s="22"/>
      <c r="E32" s="5"/>
      <c r="F32" s="5"/>
      <c r="G32" s="5"/>
      <c r="H32" s="5"/>
      <c r="I32" s="5"/>
      <c r="J32" s="5"/>
      <c r="K32" s="5"/>
    </row>
    <row r="33" spans="1:11" ht="12.75">
      <c r="A33" s="12"/>
      <c r="B33" s="5"/>
      <c r="C33" s="5"/>
      <c r="D33" s="22"/>
      <c r="E33" s="5"/>
      <c r="F33" s="5"/>
      <c r="G33" s="5"/>
      <c r="H33" s="5"/>
      <c r="I33" s="5"/>
      <c r="J33" s="5"/>
      <c r="K33" s="5"/>
    </row>
    <row r="34" spans="1:11" ht="12.75">
      <c r="A34" s="20" t="s">
        <v>34</v>
      </c>
      <c r="B34" s="5"/>
      <c r="C34" s="5"/>
      <c r="D34" s="22"/>
      <c r="E34" s="5"/>
      <c r="F34" s="5"/>
      <c r="G34" s="5"/>
      <c r="H34" s="5"/>
      <c r="I34" s="5"/>
      <c r="J34" s="5"/>
      <c r="K34" s="5"/>
    </row>
    <row r="35" spans="1:11" ht="12.75">
      <c r="A35" s="12"/>
      <c r="B35" s="5"/>
      <c r="C35" s="5"/>
      <c r="D35" s="22"/>
      <c r="E35" s="5"/>
      <c r="F35" s="5"/>
      <c r="G35" s="5"/>
      <c r="H35" s="5"/>
      <c r="I35" s="5"/>
      <c r="J35" s="5"/>
      <c r="K35" s="5"/>
    </row>
    <row r="36" spans="1:11" ht="12.75">
      <c r="A36" s="12"/>
      <c r="B36" s="24" t="s">
        <v>35</v>
      </c>
      <c r="C36" s="24" t="s">
        <v>36</v>
      </c>
      <c r="E36" s="5"/>
      <c r="F36" s="5"/>
      <c r="G36" s="5"/>
      <c r="H36" s="5"/>
      <c r="I36" s="5"/>
      <c r="J36" s="5"/>
      <c r="K36" s="5"/>
    </row>
    <row r="37" spans="1:11" ht="12.75">
      <c r="A37" s="12"/>
      <c r="B37" s="38"/>
      <c r="C37" s="39"/>
      <c r="E37" s="5"/>
      <c r="F37" s="5"/>
      <c r="G37" s="5"/>
      <c r="H37" s="5"/>
      <c r="I37" s="5"/>
      <c r="J37" s="5"/>
      <c r="K37" s="5"/>
    </row>
    <row r="38" spans="1:11" ht="12.75">
      <c r="A38" s="12"/>
      <c r="B38" s="12"/>
      <c r="E38" s="5"/>
      <c r="F38" s="5"/>
      <c r="G38" s="5"/>
      <c r="H38" s="5"/>
      <c r="I38" s="5"/>
      <c r="J38" s="5"/>
      <c r="K38" s="5"/>
    </row>
    <row r="39" spans="1:11" ht="12.75">
      <c r="A39" s="12"/>
      <c r="B39" s="5"/>
      <c r="E39" s="5"/>
      <c r="F39" s="5"/>
      <c r="G39" s="5"/>
      <c r="H39" s="5"/>
      <c r="I39" s="5"/>
      <c r="J39" s="5"/>
      <c r="K39" s="5"/>
    </row>
    <row r="40" spans="1:11" ht="12.75">
      <c r="A40" s="20" t="s">
        <v>37</v>
      </c>
      <c r="B40" s="5"/>
      <c r="C40" s="5"/>
      <c r="D40" s="22"/>
      <c r="E40" s="5"/>
      <c r="F40" s="5"/>
      <c r="G40" s="5"/>
      <c r="H40" s="5"/>
      <c r="I40" s="5"/>
      <c r="J40" s="5"/>
      <c r="K40" s="5"/>
    </row>
    <row r="41" spans="1:11" ht="12.75">
      <c r="A41" s="12"/>
      <c r="B41" s="5"/>
      <c r="C41" s="5"/>
      <c r="D41" s="22"/>
      <c r="E41" s="5"/>
      <c r="F41" s="5"/>
      <c r="G41" s="5"/>
      <c r="H41" s="5"/>
      <c r="I41" s="5"/>
      <c r="J41" s="5"/>
      <c r="K41" s="5"/>
    </row>
    <row r="42" spans="1:11" ht="12.75">
      <c r="A42" s="12"/>
      <c r="B42" s="5"/>
      <c r="C42" s="5"/>
      <c r="D42" s="22"/>
      <c r="E42" s="5"/>
      <c r="F42" s="5"/>
      <c r="G42" s="5"/>
      <c r="H42" s="5"/>
      <c r="I42" s="5"/>
      <c r="J42" s="5"/>
      <c r="K42" s="5"/>
    </row>
    <row r="43" spans="1:11" ht="12.75">
      <c r="A43" s="12"/>
      <c r="B43" s="5"/>
      <c r="C43" s="5"/>
      <c r="D43" s="22"/>
      <c r="E43" s="5"/>
      <c r="F43" s="5"/>
      <c r="G43" s="5"/>
      <c r="H43" s="5"/>
      <c r="I43" s="5"/>
      <c r="J43" s="5"/>
      <c r="K43" s="5"/>
    </row>
    <row r="44" spans="1:11" ht="12.75">
      <c r="A44" s="12"/>
      <c r="B44" s="5"/>
      <c r="C44" s="5"/>
      <c r="D44" s="22"/>
      <c r="E44" s="5"/>
      <c r="F44" s="5"/>
      <c r="G44" s="5"/>
      <c r="H44" s="5"/>
      <c r="I44" s="5"/>
      <c r="J44" s="5"/>
      <c r="K44" s="5"/>
    </row>
    <row r="45" spans="1:11" ht="12.75">
      <c r="A45" s="12"/>
      <c r="B45" s="5"/>
      <c r="C45" s="5"/>
      <c r="D45" s="22"/>
      <c r="E45" s="5"/>
      <c r="F45" s="5"/>
      <c r="G45" s="5"/>
      <c r="H45" s="5"/>
      <c r="I45" s="5"/>
      <c r="J45" s="5"/>
      <c r="K45" s="5"/>
    </row>
    <row r="46" spans="1:11" ht="12.75" customHeight="1">
      <c r="A46" s="20"/>
      <c r="B46" s="9"/>
      <c r="C46" s="9"/>
      <c r="E46" s="19"/>
      <c r="F46" s="19"/>
      <c r="G46" s="19"/>
      <c r="H46" s="19"/>
      <c r="I46" s="19"/>
      <c r="J46" s="19"/>
      <c r="K46" s="5"/>
    </row>
    <row r="47" spans="1:11" ht="12.75" customHeight="1">
      <c r="A47" s="20" t="s">
        <v>38</v>
      </c>
      <c r="B47" s="9"/>
      <c r="C47" s="9"/>
      <c r="E47" s="19"/>
      <c r="F47" s="19"/>
      <c r="G47" s="19"/>
      <c r="H47" s="19"/>
      <c r="I47" s="19"/>
      <c r="J47" s="19"/>
      <c r="K47" s="5"/>
    </row>
    <row r="48" spans="1:11" ht="12.75" customHeight="1">
      <c r="A48" s="20" t="s">
        <v>39</v>
      </c>
      <c r="B48" s="9"/>
      <c r="C48" s="9"/>
      <c r="E48" s="19"/>
      <c r="F48" s="19"/>
      <c r="G48" s="19"/>
      <c r="H48" s="19"/>
      <c r="I48" s="19"/>
      <c r="J48" s="19"/>
      <c r="K48" s="5"/>
    </row>
    <row r="49" spans="1:11" ht="12.75">
      <c r="A49" s="12"/>
      <c r="B49" s="9"/>
      <c r="C49" s="9"/>
      <c r="D49" s="10"/>
      <c r="E49" s="9"/>
      <c r="F49" s="9"/>
      <c r="G49" s="9"/>
      <c r="H49" s="9"/>
      <c r="I49" s="9"/>
      <c r="J49" s="9"/>
      <c r="K49" s="5"/>
    </row>
    <row r="50" spans="1:11" ht="12.75" customHeight="1">
      <c r="A50" s="15" t="s">
        <v>40</v>
      </c>
      <c r="C50" s="19"/>
      <c r="D50" s="19"/>
      <c r="E50" s="19"/>
      <c r="F50" s="19"/>
      <c r="G50" s="19"/>
      <c r="H50" s="19"/>
      <c r="I50" s="19"/>
      <c r="J50" s="19"/>
      <c r="K50" s="5"/>
    </row>
    <row r="51" spans="1:11" ht="12.75" customHeight="1">
      <c r="A51" s="20" t="s">
        <v>41</v>
      </c>
      <c r="C51" s="9"/>
      <c r="E51" s="19"/>
      <c r="F51" s="19"/>
      <c r="G51" s="19"/>
      <c r="H51" s="19"/>
      <c r="I51" s="19"/>
      <c r="J51" s="19"/>
      <c r="K51" s="5"/>
    </row>
    <row r="52" spans="1:11" ht="12.75" customHeight="1">
      <c r="A52" s="20" t="s">
        <v>42</v>
      </c>
      <c r="C52" s="9"/>
      <c r="E52" s="19"/>
      <c r="F52" s="19"/>
      <c r="G52" s="19"/>
      <c r="H52" s="19"/>
      <c r="I52" s="19"/>
      <c r="J52" s="19"/>
      <c r="K52" s="5"/>
    </row>
    <row r="53" spans="1:11" ht="12.75" customHeight="1">
      <c r="A53" s="20"/>
      <c r="C53" s="9"/>
      <c r="E53" s="19"/>
      <c r="F53" s="19"/>
      <c r="G53" s="19"/>
      <c r="H53" s="19"/>
      <c r="I53" s="19"/>
      <c r="J53" s="19"/>
      <c r="K53" s="5"/>
    </row>
    <row r="54" spans="1:11" ht="12.75">
      <c r="A54" s="13"/>
      <c r="B54" s="40" t="s">
        <v>43</v>
      </c>
      <c r="C54" s="41" t="s">
        <v>44</v>
      </c>
      <c r="D54" s="41"/>
      <c r="E54" s="41"/>
      <c r="F54" s="42" t="s">
        <v>45</v>
      </c>
      <c r="G54" s="9"/>
      <c r="H54" s="9"/>
      <c r="I54" s="9"/>
      <c r="J54" s="9"/>
      <c r="K54" s="5"/>
    </row>
    <row r="55" spans="1:11" ht="12.75" hidden="1">
      <c r="A55" s="13"/>
      <c r="B55" s="43" t="s">
        <v>46</v>
      </c>
      <c r="C55" s="44"/>
      <c r="D55" s="44"/>
      <c r="E55" s="44"/>
      <c r="F55" s="45"/>
      <c r="G55" s="9"/>
      <c r="H55" s="9"/>
      <c r="I55" s="9"/>
      <c r="J55" s="9"/>
      <c r="K55" s="5"/>
    </row>
    <row r="56" spans="1:11" ht="12.75">
      <c r="A56" s="13"/>
      <c r="B56" s="46"/>
      <c r="C56" s="47"/>
      <c r="D56" s="47"/>
      <c r="E56" s="47"/>
      <c r="F56" s="48"/>
      <c r="G56" s="9"/>
      <c r="H56" s="9"/>
      <c r="I56" s="9"/>
      <c r="J56" s="9"/>
      <c r="K56" s="5"/>
    </row>
    <row r="57" spans="1:11" ht="12.75">
      <c r="A57" s="13"/>
      <c r="B57" s="49"/>
      <c r="C57" s="50"/>
      <c r="D57" s="50"/>
      <c r="E57" s="50"/>
      <c r="F57" s="51"/>
      <c r="G57" s="9"/>
      <c r="H57" s="9"/>
      <c r="I57" s="9"/>
      <c r="J57" s="9"/>
      <c r="K57" s="5"/>
    </row>
    <row r="58" spans="1:11" ht="12.75">
      <c r="A58" s="13"/>
      <c r="B58" s="49"/>
      <c r="C58" s="52"/>
      <c r="D58" s="52"/>
      <c r="E58" s="52"/>
      <c r="F58" s="51"/>
      <c r="G58" s="9"/>
      <c r="H58" s="9"/>
      <c r="I58" s="9"/>
      <c r="J58" s="9"/>
      <c r="K58" s="5"/>
    </row>
    <row r="59" spans="1:11" ht="12.75">
      <c r="A59" s="13"/>
      <c r="B59" s="49"/>
      <c r="C59" s="50"/>
      <c r="D59" s="50"/>
      <c r="E59" s="50"/>
      <c r="F59" s="51"/>
      <c r="G59" s="9"/>
      <c r="H59" s="9"/>
      <c r="I59" s="9"/>
      <c r="J59" s="9"/>
      <c r="K59" s="5"/>
    </row>
    <row r="60" spans="1:11" ht="12.75">
      <c r="A60" s="13"/>
      <c r="B60" s="49"/>
      <c r="C60" s="50"/>
      <c r="D60" s="50"/>
      <c r="E60" s="50"/>
      <c r="F60" s="51"/>
      <c r="G60" s="9"/>
      <c r="H60" s="9"/>
      <c r="I60" s="9"/>
      <c r="J60" s="9"/>
      <c r="K60" s="5"/>
    </row>
    <row r="61" spans="1:11" ht="12.75">
      <c r="A61" s="13"/>
      <c r="B61" s="49"/>
      <c r="C61" s="50"/>
      <c r="D61" s="50"/>
      <c r="E61" s="50"/>
      <c r="F61" s="51"/>
      <c r="G61" s="9"/>
      <c r="H61" s="9"/>
      <c r="I61" s="9"/>
      <c r="J61" s="9"/>
      <c r="K61" s="5"/>
    </row>
    <row r="62" spans="1:11" ht="12.75">
      <c r="A62" s="13"/>
      <c r="B62" s="49"/>
      <c r="C62" s="50"/>
      <c r="D62" s="50"/>
      <c r="E62" s="50"/>
      <c r="F62" s="51"/>
      <c r="G62" s="9"/>
      <c r="H62" s="9"/>
      <c r="I62" s="9"/>
      <c r="J62" s="9"/>
      <c r="K62" s="5"/>
    </row>
    <row r="63" spans="1:11" ht="12.75">
      <c r="A63" s="13"/>
      <c r="B63" s="49"/>
      <c r="C63" s="50"/>
      <c r="D63" s="50"/>
      <c r="E63" s="50"/>
      <c r="F63" s="51"/>
      <c r="G63" s="9"/>
      <c r="H63" s="9"/>
      <c r="I63" s="9"/>
      <c r="J63" s="9"/>
      <c r="K63" s="5"/>
    </row>
    <row r="64" spans="1:11" ht="12.75">
      <c r="A64" s="13"/>
      <c r="B64" s="49"/>
      <c r="C64" s="50"/>
      <c r="D64" s="50"/>
      <c r="E64" s="50"/>
      <c r="F64" s="51"/>
      <c r="G64" s="9"/>
      <c r="H64" s="9"/>
      <c r="I64" s="9"/>
      <c r="J64" s="9"/>
      <c r="K64" s="5"/>
    </row>
    <row r="65" spans="1:11" ht="12.75">
      <c r="A65" s="13"/>
      <c r="B65" s="49"/>
      <c r="C65" s="50"/>
      <c r="D65" s="50"/>
      <c r="E65" s="50"/>
      <c r="F65" s="51"/>
      <c r="G65" s="9"/>
      <c r="H65" s="9"/>
      <c r="I65" s="9"/>
      <c r="J65" s="9"/>
      <c r="K65" s="5"/>
    </row>
    <row r="66" spans="1:11" ht="12.75">
      <c r="A66" s="13"/>
      <c r="B66" s="49"/>
      <c r="C66" s="50"/>
      <c r="D66" s="50"/>
      <c r="E66" s="50"/>
      <c r="F66" s="51"/>
      <c r="G66" s="9"/>
      <c r="H66" s="9"/>
      <c r="I66" s="9"/>
      <c r="J66" s="9"/>
      <c r="K66" s="5"/>
    </row>
    <row r="67" spans="1:11" ht="12.75">
      <c r="A67" s="13"/>
      <c r="B67" s="49"/>
      <c r="C67" s="50"/>
      <c r="D67" s="50"/>
      <c r="E67" s="50"/>
      <c r="F67" s="51"/>
      <c r="G67" s="9"/>
      <c r="H67" s="9"/>
      <c r="I67" s="9"/>
      <c r="J67" s="9"/>
      <c r="K67" s="5"/>
    </row>
    <row r="68" spans="1:11" ht="12.75">
      <c r="A68" s="13"/>
      <c r="B68" s="49"/>
      <c r="C68" s="50"/>
      <c r="D68" s="50"/>
      <c r="E68" s="50"/>
      <c r="F68" s="51"/>
      <c r="G68" s="9"/>
      <c r="H68" s="9"/>
      <c r="I68" s="9"/>
      <c r="J68" s="9"/>
      <c r="K68" s="5"/>
    </row>
    <row r="69" spans="1:11" ht="12.75">
      <c r="A69" s="13"/>
      <c r="B69" s="49"/>
      <c r="C69" s="52"/>
      <c r="D69" s="52"/>
      <c r="E69" s="52"/>
      <c r="F69" s="51"/>
      <c r="G69" s="9"/>
      <c r="H69" s="9"/>
      <c r="I69" s="9"/>
      <c r="J69" s="9"/>
      <c r="K69" s="5"/>
    </row>
    <row r="70" spans="1:11" ht="12.75">
      <c r="A70" s="13"/>
      <c r="B70" s="49"/>
      <c r="C70" s="50"/>
      <c r="D70" s="50"/>
      <c r="E70" s="50"/>
      <c r="F70" s="51"/>
      <c r="G70" s="9"/>
      <c r="H70" s="9"/>
      <c r="I70" s="9"/>
      <c r="J70" s="9"/>
      <c r="K70" s="5"/>
    </row>
    <row r="71" spans="1:11" ht="12.75">
      <c r="A71" s="13"/>
      <c r="B71" s="49"/>
      <c r="C71" s="50"/>
      <c r="D71" s="50"/>
      <c r="E71" s="50"/>
      <c r="F71" s="51"/>
      <c r="G71" s="9"/>
      <c r="H71" s="9"/>
      <c r="I71" s="9"/>
      <c r="J71" s="9"/>
      <c r="K71" s="5"/>
    </row>
    <row r="72" spans="1:11" ht="12.75">
      <c r="A72" s="13"/>
      <c r="B72" s="49"/>
      <c r="C72" s="50"/>
      <c r="D72" s="50"/>
      <c r="E72" s="50"/>
      <c r="F72" s="51"/>
      <c r="G72" s="9"/>
      <c r="H72" s="9"/>
      <c r="I72" s="9"/>
      <c r="J72" s="9"/>
      <c r="K72" s="5"/>
    </row>
    <row r="73" spans="1:11" ht="12.75">
      <c r="A73" s="13"/>
      <c r="B73" s="49"/>
      <c r="C73" s="50"/>
      <c r="D73" s="50"/>
      <c r="E73" s="50"/>
      <c r="F73" s="51"/>
      <c r="G73" s="9"/>
      <c r="H73" s="9"/>
      <c r="I73" s="9"/>
      <c r="J73" s="9"/>
      <c r="K73" s="5"/>
    </row>
    <row r="74" spans="1:11" ht="12.75">
      <c r="A74" s="13"/>
      <c r="B74" s="49"/>
      <c r="C74" s="50"/>
      <c r="D74" s="50"/>
      <c r="E74" s="50"/>
      <c r="F74" s="51"/>
      <c r="G74" s="9"/>
      <c r="H74" s="9"/>
      <c r="I74" s="9"/>
      <c r="J74" s="9"/>
      <c r="K74" s="5"/>
    </row>
    <row r="75" spans="1:11" ht="12.75">
      <c r="A75" s="13"/>
      <c r="B75" s="49"/>
      <c r="C75" s="50"/>
      <c r="D75" s="50"/>
      <c r="E75" s="50"/>
      <c r="F75" s="51"/>
      <c r="G75" s="9"/>
      <c r="H75" s="9"/>
      <c r="I75" s="9"/>
      <c r="J75" s="9"/>
      <c r="K75" s="5"/>
    </row>
    <row r="76" spans="1:11" ht="12.75">
      <c r="A76" s="13"/>
      <c r="B76" s="49"/>
      <c r="C76" s="50"/>
      <c r="D76" s="50"/>
      <c r="E76" s="50"/>
      <c r="F76" s="51"/>
      <c r="G76" s="9"/>
      <c r="H76" s="9"/>
      <c r="I76" s="9"/>
      <c r="J76" s="9"/>
      <c r="K76" s="5"/>
    </row>
    <row r="77" spans="1:11" ht="12.75">
      <c r="A77" s="13"/>
      <c r="B77" s="53"/>
      <c r="C77" s="54"/>
      <c r="D77" s="54"/>
      <c r="E77" s="54"/>
      <c r="F77" s="55"/>
      <c r="G77" s="9"/>
      <c r="H77" s="9"/>
      <c r="I77" s="9"/>
      <c r="J77" s="9"/>
      <c r="K77" s="5"/>
    </row>
    <row r="78" spans="1:11" ht="12.75">
      <c r="A78" s="13"/>
      <c r="B78" s="10"/>
      <c r="C78" s="9"/>
      <c r="E78" s="9"/>
      <c r="F78" s="9"/>
      <c r="G78" s="9"/>
      <c r="H78" s="9"/>
      <c r="I78" s="9"/>
      <c r="J78" s="9"/>
      <c r="K78" s="5"/>
    </row>
    <row r="79" spans="1:11" ht="12.75" customHeight="1">
      <c r="A79" s="15" t="s">
        <v>47</v>
      </c>
      <c r="B79" s="19"/>
      <c r="C79" s="19"/>
      <c r="E79" s="19"/>
      <c r="F79" s="19"/>
      <c r="G79" s="19"/>
      <c r="H79" s="19"/>
      <c r="I79" s="19"/>
      <c r="J79" s="19"/>
      <c r="K79" s="5"/>
    </row>
    <row r="80" spans="1:11" ht="12.75" customHeight="1">
      <c r="A80" s="20" t="s">
        <v>48</v>
      </c>
      <c r="C80" s="9"/>
      <c r="E80" s="19"/>
      <c r="F80" s="19"/>
      <c r="G80" s="19"/>
      <c r="H80" s="19"/>
      <c r="I80" s="19"/>
      <c r="J80" s="19"/>
      <c r="K80" s="5"/>
    </row>
    <row r="81" spans="1:11" ht="12.75" customHeight="1">
      <c r="A81" s="20" t="s">
        <v>49</v>
      </c>
      <c r="C81" s="9"/>
      <c r="E81" s="19"/>
      <c r="F81" s="19"/>
      <c r="G81" s="19"/>
      <c r="H81" s="19"/>
      <c r="I81" s="19"/>
      <c r="J81" s="19"/>
      <c r="K81" s="5"/>
    </row>
    <row r="82" spans="1:11" ht="12.75">
      <c r="A82" s="12"/>
      <c r="B82" s="5"/>
      <c r="C82" s="5"/>
      <c r="D82" s="22"/>
      <c r="E82" s="5"/>
      <c r="F82" s="5"/>
      <c r="G82" s="5"/>
      <c r="H82" s="5"/>
      <c r="I82" s="5"/>
      <c r="J82" s="5"/>
      <c r="K82" s="5"/>
    </row>
    <row r="83" spans="1:11" ht="12.75">
      <c r="A83" s="12"/>
      <c r="B83" s="5"/>
      <c r="C83" s="5"/>
      <c r="D83" s="22"/>
      <c r="E83" s="5"/>
      <c r="F83" s="5"/>
      <c r="G83" s="5"/>
      <c r="H83" s="5"/>
      <c r="I83" s="5"/>
      <c r="J83" s="5"/>
      <c r="K83" s="5"/>
    </row>
    <row r="84" spans="1:11" ht="12.75">
      <c r="A84" s="12"/>
      <c r="B84" s="5"/>
      <c r="C84" s="5"/>
      <c r="D84" s="22"/>
      <c r="E84" s="5"/>
      <c r="F84" s="5"/>
      <c r="G84" s="5"/>
      <c r="H84" s="5"/>
      <c r="I84" s="5"/>
      <c r="J84" s="5"/>
      <c r="K84" s="5"/>
    </row>
    <row r="85" spans="1:11" ht="12.75">
      <c r="A85" s="12"/>
      <c r="B85" s="5"/>
      <c r="C85" s="5"/>
      <c r="D85" s="56"/>
      <c r="E85" s="5"/>
      <c r="F85" s="5"/>
      <c r="G85" s="5"/>
      <c r="H85" s="5"/>
      <c r="I85" s="5"/>
      <c r="J85" s="5"/>
      <c r="K85" s="5"/>
    </row>
    <row r="86" spans="1:11" ht="12.75">
      <c r="A86" s="12"/>
      <c r="B86" s="5"/>
      <c r="C86" s="5"/>
      <c r="D86" s="56"/>
      <c r="E86" s="5"/>
      <c r="F86" s="5"/>
      <c r="G86" s="5"/>
      <c r="H86" s="5"/>
      <c r="I86" s="5"/>
      <c r="J86" s="5"/>
      <c r="K86" s="5"/>
    </row>
    <row r="87" spans="1:11" ht="12.75">
      <c r="A87" s="12"/>
      <c r="B87" s="5"/>
      <c r="C87" s="5"/>
      <c r="D87" s="22"/>
      <c r="E87" s="5"/>
      <c r="F87" s="5"/>
      <c r="G87" s="5"/>
      <c r="H87" s="5"/>
      <c r="I87" s="5"/>
      <c r="J87" s="5"/>
      <c r="K87" s="5"/>
    </row>
  </sheetData>
  <sheetProtection password="A71E" sheet="1"/>
  <mergeCells count="45">
    <mergeCell ref="B1:J2"/>
    <mergeCell ref="A3:J3"/>
    <mergeCell ref="A5:J5"/>
    <mergeCell ref="A7:J7"/>
    <mergeCell ref="A9:F9"/>
    <mergeCell ref="A11:J11"/>
    <mergeCell ref="A13:J13"/>
    <mergeCell ref="C21:D21"/>
    <mergeCell ref="E21:F21"/>
    <mergeCell ref="G21:I21"/>
    <mergeCell ref="C22:D22"/>
    <mergeCell ref="E22:F22"/>
    <mergeCell ref="G22:I22"/>
    <mergeCell ref="A24:D24"/>
    <mergeCell ref="F24:G24"/>
    <mergeCell ref="A25:D25"/>
    <mergeCell ref="F25:G25"/>
    <mergeCell ref="H25:J25"/>
    <mergeCell ref="A27:E27"/>
    <mergeCell ref="F27:G27"/>
    <mergeCell ref="A28:E28"/>
    <mergeCell ref="F28:G28"/>
    <mergeCell ref="C54:E54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</mergeCells>
  <dataValidations count="10">
    <dataValidation type="list" allowBlank="1" showInputMessage="1" showErrorMessage="1" promptTitle="RECURSO:" prompt="Selecione na lista." errorTitle="RECURSO" error="Digite somente os valores da lista." sqref="J22">
      <formula1>"OGU PAC,OGU não-PAC,FGTS"</formula1>
      <formula2>0</formula2>
    </dataValidation>
    <dataValidation type="decimal" allowBlank="1" showInputMessage="1" showErrorMessage="1" promptTitle="% Mínimo de Contrapartida:" prompt="Digite o percentual mínimo de Contrapartida exigido pelo Programa." errorTitle="Erro de Valor" error="Digite somente valores entre 0 e 1." sqref="B37">
      <formula1>0</formula1>
      <formula2>1</formula2>
    </dataValidation>
    <dataValidation allowBlank="1" showInputMessage="1" showErrorMessage="1" promptTitle="Nº da OPERAÇÃO:" prompt="nº do Contrato de Repasse ou Termo de Compromisso, firmado com a CAIXA.&#10;Formato 0.000.000-00/0000." sqref="A22">
      <formula1>0</formula1>
      <formula2>0</formula2>
    </dataValidation>
    <dataValidation allowBlank="1" showInputMessage="1" showErrorMessage="1" promptTitle="Gestor:" prompt="Ministério Gestor do Contrato:&#10;Ex: MCIDADES, MTUR, MESPORTE." sqref="C22">
      <formula1>0</formula1>
      <formula2>0</formula2>
    </dataValidation>
    <dataValidation allowBlank="1" showInputMessage="1" showErrorMessage="1" promptTitle="Localidade / Endereço" prompt="Localidade e Endereço da Obra." sqref="F25">
      <formula1>0</formula1>
      <formula2>0</formula2>
    </dataValidation>
    <dataValidation type="decimal" operator="greaterThan" allowBlank="1" showInputMessage="1" showErrorMessage="1" errorTitle="Erro de Valor" error="Digite somente valores maiores que 0." sqref="H28">
      <formula1>0</formula1>
    </dataValidation>
    <dataValidation type="decimal" operator="greaterThanOrEqual" allowBlank="1" showInputMessage="1" showErrorMessage="1" promptTitle="Valor Absoluto de Contrapartida:" prompt="Digite o Valor Financeiro de Contrapartida Mínima, se houver." errorTitle="Erro de Valor" error="Digite valores entre 0 e o valor de Contrapartida contratado." sqref="C37">
      <formula1>0</formula1>
    </dataValidation>
    <dataValidation operator="greaterThan" allowBlank="1" showInputMessage="1" showErrorMessage="1" errorTitle="Erro de Valor" error="Digite somente valores maiores que 0." sqref="J28">
      <formula1>0</formula1>
    </dataValidation>
    <dataValidation allowBlank="1" showInputMessage="1" showErrorMessage="1" promptTitle="Nº SICONV:" prompt="nº do Convênio, ou se não houver, nº da Proposta.&#10;Formato: 000000/0000." sqref="B22">
      <formula1>0</formula1>
      <formula2>0</formula2>
    </dataValidation>
    <dataValidation type="decimal" operator="greaterThanOrEqual" allowBlank="1" showInputMessage="1" showErrorMessage="1" errorTitle="Erro de Valor" error="Digite somente valores maiores ou iguais a 0." sqref="I28">
      <formula1>0</formula1>
    </dataValidation>
  </dataValidations>
  <printOptions/>
  <pageMargins left="0.7875" right="0.7875" top="0.7874999999999996" bottom="0.7868055555555555" header="5.708333333333333" footer="0.5902777777777778"/>
  <pageSetup fitToHeight="1" fitToWidth="1" horizontalDpi="300" verticalDpi="300" orientation="portrait" paperSize="9"/>
  <headerFooter alignWithMargins="0">
    <oddHeader>&amp;L_</oddHeader>
    <oddFooter>&amp;L41.211 v009  micro&amp;R&amp;N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showGridLines="0" tabSelected="1" zoomScaleSheetLayoutView="100" workbookViewId="0" topLeftCell="A2">
      <pane xSplit="4" ySplit="12" topLeftCell="E14" activePane="bottomRight" state="frozen"/>
      <selection pane="topLeft" activeCell="A2" sqref="A2"/>
      <selection pane="topRight" activeCell="E2" sqref="E2"/>
      <selection pane="bottomLeft" activeCell="A14" sqref="A14"/>
      <selection pane="bottomRight" activeCell="I36" sqref="I36"/>
    </sheetView>
  </sheetViews>
  <sheetFormatPr defaultColWidth="2.28125" defaultRowHeight="12.75"/>
  <cols>
    <col min="1" max="1" width="1.57421875" style="5" customWidth="1"/>
    <col min="2" max="2" width="6.7109375" style="5" customWidth="1"/>
    <col min="3" max="3" width="9.7109375" style="5" customWidth="1"/>
    <col min="4" max="4" width="5.7109375" style="5" customWidth="1"/>
    <col min="5" max="5" width="18.7109375" style="5" customWidth="1"/>
    <col min="6" max="6" width="28.7109375" style="5" customWidth="1"/>
    <col min="7" max="7" width="35.7109375" style="5" customWidth="1"/>
    <col min="8" max="8" width="15.7109375" style="5" customWidth="1"/>
    <col min="9" max="9" width="12.7109375" style="5" customWidth="1"/>
    <col min="10" max="10" width="7.7109375" style="5" customWidth="1"/>
    <col min="11" max="11" width="16.7109375" style="5" customWidth="1"/>
    <col min="12" max="15" width="15.7109375" style="5" customWidth="1"/>
    <col min="16" max="16" width="3.28125" style="5" customWidth="1"/>
    <col min="17" max="17" width="15.7109375" style="5" customWidth="1"/>
    <col min="18" max="18" width="13.7109375" style="5" customWidth="1"/>
    <col min="19" max="20" width="15.7109375" style="5" customWidth="1"/>
    <col min="21" max="21" width="3.28125" style="5" customWidth="1"/>
    <col min="22" max="24" width="8.7109375" style="5" hidden="1" customWidth="1"/>
    <col min="25" max="25" width="13.28125" style="5" hidden="1" customWidth="1"/>
    <col min="26" max="29" width="14.7109375" style="5" hidden="1" customWidth="1"/>
    <col min="30" max="30" width="10.7109375" style="5" hidden="1" customWidth="1"/>
    <col min="31" max="31" width="14.7109375" style="5" hidden="1" customWidth="1"/>
    <col min="32" max="32" width="6.7109375" style="5" hidden="1" customWidth="1"/>
    <col min="33" max="33" width="10.7109375" style="5" hidden="1" customWidth="1"/>
    <col min="34" max="35" width="11.7109375" style="5" hidden="1" customWidth="1"/>
    <col min="36" max="16384" width="3.28125" style="5" customWidth="1"/>
  </cols>
  <sheetData>
    <row r="1" spans="13:29" ht="12.75" hidden="1">
      <c r="M1" s="57"/>
      <c r="N1" s="57"/>
      <c r="O1" s="57"/>
      <c r="Q1" s="58" t="s">
        <v>50</v>
      </c>
      <c r="X1" s="57" t="s">
        <v>51</v>
      </c>
      <c r="Y1" s="57"/>
      <c r="AA1" s="57"/>
      <c r="AB1" s="57"/>
      <c r="AC1" s="57"/>
    </row>
    <row r="2" ht="12.75">
      <c r="O2" s="59" t="s">
        <v>52</v>
      </c>
    </row>
    <row r="3" spans="2:15" ht="12.75" customHeight="1">
      <c r="B3" s="60" t="s">
        <v>53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 t="s">
        <v>54</v>
      </c>
    </row>
    <row r="4" ht="114.75" customHeight="1"/>
    <row r="5" ht="9.75" customHeight="1" hidden="1"/>
    <row r="6" spans="7:29" ht="12.75" customHeight="1">
      <c r="G6" s="62">
        <f>CHOOSE(1+LOG(1+2*(OR(AND($O$15&gt;0,$M$14&lt;$Z$7),$M$15&lt;ROUND($AA$7*$O$15,2)))+4*OR($L$7&lt;0,$M$7&lt;0)+8*(COUNTIF($L$15:$L$35,"&lt;0")&gt;0),2),"","ERRO: CONTRAPARTIDA MENOR QUE A MÍNIMA","ERRO: SALDO NEGATIVO","ERRO: VALORES DE REPASSE NEGATIVOS")</f>
        <v>0</v>
      </c>
      <c r="H6" s="62"/>
      <c r="I6" s="62"/>
      <c r="J6" s="62"/>
      <c r="K6" s="63" t="s">
        <v>55</v>
      </c>
      <c r="L6" s="64">
        <f>CRONO!$J$11</f>
        <v>0</v>
      </c>
      <c r="M6" s="64" t="s">
        <v>56</v>
      </c>
      <c r="S6" s="65" t="s">
        <v>57</v>
      </c>
      <c r="Z6" s="65" t="s">
        <v>58</v>
      </c>
      <c r="AA6" s="5" t="s">
        <v>59</v>
      </c>
      <c r="AB6" s="65" t="s">
        <v>60</v>
      </c>
      <c r="AC6" s="65" t="s">
        <v>61</v>
      </c>
    </row>
    <row r="7" spans="7:29" ht="12.75" customHeight="1">
      <c r="G7" s="62"/>
      <c r="H7" s="62"/>
      <c r="I7" s="62"/>
      <c r="J7" s="62"/>
      <c r="K7" s="63"/>
      <c r="L7" s="66">
        <f>DADOS!H$28-L$15</f>
        <v>0</v>
      </c>
      <c r="M7" s="66">
        <f>DADOS!I$28-M$15</f>
        <v>0</v>
      </c>
      <c r="S7" s="67">
        <f>IF(OR($O$15=CalculadoInv,$O$15=0),0,MIN(MAX(0,($AC$7*$O$15-CalculadoCPFin)/($O$15-CalculadoInv)),1))</f>
        <v>0</v>
      </c>
      <c r="Z7" s="68">
        <f>ROUND(DADOS!$B$37,4)</f>
        <v>0</v>
      </c>
      <c r="AA7" s="68">
        <f>IF($O$15=0,0,DADOS!$C$37/$O$15)</f>
        <v>0</v>
      </c>
      <c r="AB7" s="68">
        <f>IF($O$15=0,0,($O$15-$AC$15-DADOS!$H$28)/$O$15)</f>
        <v>0</v>
      </c>
      <c r="AC7" s="68">
        <f>MAX(Z7:AB7)</f>
        <v>0</v>
      </c>
    </row>
    <row r="8" ht="12.75" customHeight="1">
      <c r="Q8" s="69"/>
    </row>
    <row r="9" spans="2:35" s="70" customFormat="1" ht="12.75" customHeight="1">
      <c r="B9" s="71" t="s">
        <v>62</v>
      </c>
      <c r="C9" s="72" t="s">
        <v>63</v>
      </c>
      <c r="D9" s="72"/>
      <c r="E9" s="73" t="s">
        <v>64</v>
      </c>
      <c r="F9" s="74" t="s">
        <v>65</v>
      </c>
      <c r="G9" s="74" t="s">
        <v>66</v>
      </c>
      <c r="H9" s="74" t="s">
        <v>67</v>
      </c>
      <c r="I9" s="74" t="s">
        <v>68</v>
      </c>
      <c r="J9" s="74" t="s">
        <v>69</v>
      </c>
      <c r="K9" s="75" t="s">
        <v>70</v>
      </c>
      <c r="L9" s="76">
        <f>IF(DADOS!$J$22="FGTS","Financiamento","Repasse")</f>
        <v>0</v>
      </c>
      <c r="M9" s="76" t="s">
        <v>71</v>
      </c>
      <c r="N9" s="76" t="s">
        <v>72</v>
      </c>
      <c r="O9" s="77" t="s">
        <v>73</v>
      </c>
      <c r="Q9" s="77" t="s">
        <v>73</v>
      </c>
      <c r="R9" s="78" t="s">
        <v>74</v>
      </c>
      <c r="S9" s="79" t="s">
        <v>71</v>
      </c>
      <c r="T9" s="80">
        <f>N9</f>
        <v>0</v>
      </c>
      <c r="V9" s="81" t="s">
        <v>75</v>
      </c>
      <c r="W9" s="81" t="s">
        <v>76</v>
      </c>
      <c r="X9" s="81" t="s">
        <v>77</v>
      </c>
      <c r="Y9" s="81" t="s">
        <v>78</v>
      </c>
      <c r="Z9" s="82"/>
      <c r="AD9" s="82"/>
      <c r="AE9" s="65"/>
      <c r="AF9" s="65"/>
      <c r="AG9" s="82"/>
      <c r="AH9" s="83" t="s">
        <v>79</v>
      </c>
      <c r="AI9" s="83" t="s">
        <v>80</v>
      </c>
    </row>
    <row r="10" spans="2:35" s="70" customFormat="1" ht="13.5" customHeight="1">
      <c r="B10" s="71"/>
      <c r="C10" s="72"/>
      <c r="D10" s="72"/>
      <c r="E10" s="73"/>
      <c r="F10" s="74"/>
      <c r="G10" s="74"/>
      <c r="H10" s="74"/>
      <c r="I10" s="74"/>
      <c r="J10" s="74"/>
      <c r="K10" s="75"/>
      <c r="L10" s="76"/>
      <c r="M10" s="76"/>
      <c r="N10" s="76"/>
      <c r="O10" s="77"/>
      <c r="Q10" s="77"/>
      <c r="R10" s="78"/>
      <c r="S10" s="79"/>
      <c r="T10" s="80"/>
      <c r="U10" s="84"/>
      <c r="V10" s="81"/>
      <c r="W10" s="81"/>
      <c r="X10" s="81"/>
      <c r="Y10" s="81"/>
      <c r="Z10" s="85"/>
      <c r="AA10" s="86" t="s">
        <v>81</v>
      </c>
      <c r="AB10" s="86"/>
      <c r="AC10" s="86"/>
      <c r="AD10" s="82"/>
      <c r="AE10" s="68"/>
      <c r="AF10" s="68"/>
      <c r="AG10" s="82"/>
      <c r="AH10" s="83"/>
      <c r="AI10" s="83"/>
    </row>
    <row r="11" spans="1:35" ht="12.75" hidden="1">
      <c r="A11" s="87"/>
      <c r="B11" s="88">
        <v>1</v>
      </c>
      <c r="C11" s="89" t="s">
        <v>82</v>
      </c>
      <c r="D11" s="90">
        <f>CONCATENATE($V11,".",IF($C11="Sub-Meta",$W11,""))</f>
        <v>0</v>
      </c>
      <c r="E11" s="91"/>
      <c r="F11" s="92"/>
      <c r="G11" s="92"/>
      <c r="H11" s="93"/>
      <c r="I11" s="94"/>
      <c r="J11" s="95" t="e">
        <f ca="1">VLOOKUP($F11,OFFSET(Listas!$A$2,1,MATCH(QCI!$E11,Listas!$2:$2,0)-1,100,50),2,0)</f>
        <v>#N/A</v>
      </c>
      <c r="K11" s="96"/>
      <c r="L11" s="97">
        <f ca="1">IF($Y11,ROUND(O11,2)-ROUND(N11,2)-ROUND(M11,2),SUM(OFFSET(L11,1,0,$X11)))</f>
        <v>0</v>
      </c>
      <c r="M11" s="98">
        <f ca="1">IF($Y11,AB11-ROUND($AF11,2),SUM(OFFSET(M11,1,0,$X11)))</f>
        <v>0</v>
      </c>
      <c r="N11" s="99">
        <f ca="1">IF($Y11,AC11,SUM(OFFSET(N11,1,0,$X11)))</f>
        <v>0</v>
      </c>
      <c r="O11" s="99">
        <f ca="1">IF($Y11,ROUND($Q11,2),SUM(OFFSET(O11,1,0,$X11)))</f>
        <v>0</v>
      </c>
      <c r="P11" s="87"/>
      <c r="Q11" s="100">
        <v>0</v>
      </c>
      <c r="R11" s="101" t="s">
        <v>83</v>
      </c>
      <c r="S11" s="102">
        <f>IF($K11="Adm. Direta",0,$O11)</f>
        <v>0</v>
      </c>
      <c r="T11" s="103">
        <f>IF($K11="Adm. Direta",$O11,0)</f>
        <v>0</v>
      </c>
      <c r="U11" s="87"/>
      <c r="V11" s="87">
        <f ca="1">IF($C11="Sub-Meta",OFFSET(V11,-1,0),OFFSET(V11,-1,0)+1)</f>
        <v>1</v>
      </c>
      <c r="W11" s="87">
        <f ca="1">IF($C11="Sub-Meta",OFFSET(W11,-1,0)+1,0)</f>
        <v>0</v>
      </c>
      <c r="X11" s="104">
        <f ca="1">IF(Y11,0,COUNTIF(OFFSET($V11,1,0):$V$26,$V11))</f>
        <v>0</v>
      </c>
      <c r="Y11" s="87">
        <f ca="1">NOT(AND($C11&lt;&gt;"Sub-Meta",OFFSET($C11,1,0)="Sub-Meta"))</f>
        <v>1</v>
      </c>
      <c r="Z11" s="87"/>
      <c r="AA11" s="105">
        <f>IF($Y11,$O11-$AB11-$AC11,"-")</f>
        <v>0</v>
      </c>
      <c r="AB11" s="105">
        <f>IF($Y11,IF($R11="Calculado",ROUND($S11,2),ROUND($S$7*$O11,2)),"-")</f>
        <v>0</v>
      </c>
      <c r="AC11" s="105">
        <f>IF($Y11,IF($R11="Calculado",ROUND($T11,2),0),"-")</f>
        <v>0</v>
      </c>
      <c r="AD11" s="106"/>
      <c r="AE11" s="105">
        <f>AND($Y11,$S$7&gt;0,$S$7&lt;1,O11&gt;0,$R11&lt;&gt;"Calculado",OR($AC$7=$AB$7,$AC$7=$AA$7,$AC$7=$Z$7))</f>
        <v>0</v>
      </c>
      <c r="AF11" s="105">
        <f ca="1">IF(AND($AE11,O11&gt;0,COUNTIF(OFFSET($AE11,1,0):$AE$26,1)=0),CHOOSE(1+LOG(1+2*($AC$7=$Z$7)+4*($AC$7=$AA$7)+8*($AC$7=$AB$7),2),0,$AB$15-ROUND(DADOS!$B$37*$O$15,2),$AB$15-DADOS!$C$37,DADOS!$H$28-$AA$15),0)</f>
        <v>0</v>
      </c>
      <c r="AG11" s="87"/>
      <c r="AH11" s="87">
        <f>CONCATENATE("Lote ",ROW(A11)-ROW($A$15))</f>
        <v>0</v>
      </c>
      <c r="AI11" s="87">
        <f>IF($C11="Meta",$B11,0)</f>
        <v>1</v>
      </c>
    </row>
    <row r="12" ht="12.75" hidden="1"/>
    <row r="13" ht="12.75" hidden="1"/>
    <row r="14" spans="2:35" s="107" customFormat="1" ht="12" customHeight="1">
      <c r="B14" s="108"/>
      <c r="C14" s="109" t="s">
        <v>84</v>
      </c>
      <c r="D14" s="109"/>
      <c r="E14" s="110"/>
      <c r="F14" s="111"/>
      <c r="G14" s="111"/>
      <c r="H14" s="111"/>
      <c r="I14" s="112"/>
      <c r="J14" s="112"/>
      <c r="K14" s="113"/>
      <c r="L14" s="114">
        <f>IF(ISERROR(L15/$O15),0,ROUND(L15/$O15,4))</f>
        <v>0</v>
      </c>
      <c r="M14" s="115">
        <f>IF(ISERROR(M15/$O15),0,ROUND(M15/$O15,4))</f>
        <v>0</v>
      </c>
      <c r="N14" s="116">
        <f>IF(ISERROR(N15/$O15),0,ROUND(N15/$O15,4))</f>
        <v>0</v>
      </c>
      <c r="O14" s="117">
        <f>IF(ISERROR(O15/$O15),0,ROUND(O15/$O15,4))</f>
        <v>0</v>
      </c>
      <c r="Q14" s="118"/>
      <c r="R14" s="118"/>
      <c r="S14" s="119"/>
      <c r="T14" s="120"/>
      <c r="AA14" s="82" t="s">
        <v>85</v>
      </c>
      <c r="AB14" s="82" t="s">
        <v>86</v>
      </c>
      <c r="AC14" s="82" t="s">
        <v>87</v>
      </c>
      <c r="AE14" s="81" t="s">
        <v>88</v>
      </c>
      <c r="AF14" s="81"/>
      <c r="AH14" s="87"/>
      <c r="AI14" s="87"/>
    </row>
    <row r="15" spans="2:35" s="107" customFormat="1" ht="13.5" customHeight="1">
      <c r="B15" s="121"/>
      <c r="C15" s="109"/>
      <c r="D15" s="109"/>
      <c r="E15" s="122"/>
      <c r="F15" s="123"/>
      <c r="G15" s="123"/>
      <c r="H15" s="123"/>
      <c r="I15" s="124"/>
      <c r="J15" s="124"/>
      <c r="K15" s="125"/>
      <c r="L15" s="126">
        <f>ROUND(SUMIF($Y$15:$Y$26,1,L$15:L$26),2)</f>
        <v>0</v>
      </c>
      <c r="M15" s="126">
        <f>ROUND(SUMIF($Y$15:$Y$26,1,M$15:M$26),2)</f>
        <v>0</v>
      </c>
      <c r="N15" s="126">
        <f>ROUND(SUMIF($Y$15:$Y$26,1,N$15:N$26),2)</f>
        <v>0</v>
      </c>
      <c r="O15" s="127">
        <f>ROUND(SUMIF($Y$16:$Y$26,1,O$16:O$26),2)</f>
        <v>0</v>
      </c>
      <c r="Q15" s="128"/>
      <c r="R15" s="128"/>
      <c r="S15" s="129"/>
      <c r="T15" s="130"/>
      <c r="Y15" s="5"/>
      <c r="Z15" s="5"/>
      <c r="AA15" s="131">
        <f>ROUND(SUMIF($Y$16:$Y$26,1,AA$16:AA$26),2)</f>
        <v>0</v>
      </c>
      <c r="AB15" s="131">
        <f>ROUND(SUMIF($Y$16:$Y$26,1,AB$16:AB$26),2)</f>
        <v>0</v>
      </c>
      <c r="AC15" s="131">
        <f>ROUND(SUMIF($Y$16:$Y$26,1,AC$16:AC$26),2)</f>
        <v>0</v>
      </c>
      <c r="AD15" s="132"/>
      <c r="AE15" s="133"/>
      <c r="AF15" s="133"/>
      <c r="AG15" s="5"/>
      <c r="AH15" s="87" t="s">
        <v>46</v>
      </c>
      <c r="AI15" s="87"/>
    </row>
    <row r="16" spans="1:35" ht="25.5">
      <c r="A16" s="87"/>
      <c r="B16" s="88">
        <v>1</v>
      </c>
      <c r="C16" s="134" t="s">
        <v>82</v>
      </c>
      <c r="D16" s="90">
        <f aca="true" t="shared" si="0" ref="D16:D25">CONCATENATE($V16,".",IF($C16="Sub-Meta",$W16,""))</f>
        <v>0</v>
      </c>
      <c r="E16" s="91" t="s">
        <v>89</v>
      </c>
      <c r="F16" s="92" t="s">
        <v>90</v>
      </c>
      <c r="G16" s="92" t="s">
        <v>33</v>
      </c>
      <c r="H16" s="93" t="s">
        <v>91</v>
      </c>
      <c r="I16" s="94">
        <v>6288.36</v>
      </c>
      <c r="J16" s="95">
        <f ca="1">VLOOKUP($F16,OFFSET(Listas!$A$2,1,MATCH(QCI!$E16,Listas!$2:$2,0)-1,100,50),2,0)</f>
        <v>0</v>
      </c>
      <c r="K16" s="96"/>
      <c r="L16" s="97">
        <f aca="true" ca="1" t="shared" si="1" ref="L16:L25">IF($Y16,ROUND(O16,2)-ROUND(N16,2)-ROUND(M16,2),SUM(OFFSET(L16,1,0,$X16)))</f>
        <v>0</v>
      </c>
      <c r="M16" s="98">
        <f aca="true" ca="1" t="shared" si="2" ref="M16:M25">IF($Y16,AB16-ROUND($AF16,2),SUM(OFFSET(M16,1,0,$X16)))</f>
        <v>0</v>
      </c>
      <c r="N16" s="99">
        <f aca="true" ca="1" t="shared" si="3" ref="N16:N25">IF($Y16,AC16,SUM(OFFSET(N16,1,0,$X16)))</f>
        <v>0</v>
      </c>
      <c r="O16" s="99">
        <f aca="true" ca="1" t="shared" si="4" ref="O16:O25">IF($Y16,ROUND($Q16,2),SUM(OFFSET(O16,1,0,$X16)))</f>
        <v>0</v>
      </c>
      <c r="P16" s="87"/>
      <c r="Q16" s="100"/>
      <c r="R16" s="101" t="s">
        <v>83</v>
      </c>
      <c r="S16" s="102">
        <f aca="true" t="shared" si="5" ref="S16:S25">IF($K16="Adm. Direta",0,$O16)</f>
        <v>0</v>
      </c>
      <c r="T16" s="103">
        <f aca="true" t="shared" si="6" ref="T16:T25">IF($K16="Adm. Direta",$O16,0)</f>
        <v>0</v>
      </c>
      <c r="U16" s="87"/>
      <c r="V16" s="87">
        <f aca="true" ca="1" t="shared" si="7" ref="V16:V25">IF($C16="Sub-Meta",OFFSET(V16,-1,0),OFFSET(V16,-1,0)+1)</f>
        <v>1</v>
      </c>
      <c r="W16" s="87">
        <f aca="true" ca="1" t="shared" si="8" ref="W16:W25">IF($C16="Sub-Meta",OFFSET(W16,-1,0)+1,0)</f>
        <v>0</v>
      </c>
      <c r="X16" s="104">
        <f aca="true" ca="1" t="shared" si="9" ref="X16:X25">IF(Y16,0,COUNTIF(OFFSET($V16,1,0):$V$26,$V16))</f>
        <v>0</v>
      </c>
      <c r="Y16" s="87">
        <f aca="true" ca="1" t="shared" si="10" ref="Y16:Y25">NOT(AND($C16&lt;&gt;"Sub-Meta",OFFSET($C16,1,0)="Sub-Meta"))</f>
        <v>1</v>
      </c>
      <c r="Z16" s="87"/>
      <c r="AA16" s="105">
        <f aca="true" t="shared" si="11" ref="AA16:AA25">IF($Y16,$O16-$AB16-$AC16,"-")</f>
        <v>0</v>
      </c>
      <c r="AB16" s="105">
        <f aca="true" t="shared" si="12" ref="AB16:AB25">IF($Y16,IF($R16="Calculado",ROUND($S16,2),ROUND($S$7*$O16,2)),"-")</f>
        <v>0</v>
      </c>
      <c r="AC16" s="105">
        <f aca="true" t="shared" si="13" ref="AC16:AC25">IF($Y16,IF($R16="Calculado",ROUND($T16,2),0),"-")</f>
        <v>0</v>
      </c>
      <c r="AD16" s="106"/>
      <c r="AE16" s="105">
        <f aca="true" t="shared" si="14" ref="AE16:AE25">AND($Y16,$S$7&gt;0,$S$7&lt;1,O16&gt;0,$R16&lt;&gt;"Calculado",OR($AC$7=$AB$7,$AC$7=$AA$7,$AC$7=$Z$7))</f>
        <v>0</v>
      </c>
      <c r="AF16" s="105">
        <f ca="1">IF(AND($AE16,O16&gt;0,COUNTIF(OFFSET($AE16,1,0):$AE$26,1)=0),CHOOSE(1+LOG(1+2*($AC$7=$Z$7)+4*($AC$7=$AA$7)+8*($AC$7=$AB$7),2),0,$AB$15-ROUND(DADOS!$B$37*$O$15,2),$AB$15-DADOS!$C$37,DADOS!$H$28-$AA$15),0)</f>
        <v>0</v>
      </c>
      <c r="AG16" s="87"/>
      <c r="AH16" s="87">
        <f aca="true" t="shared" si="15" ref="AH16:AH25">CONCATENATE("Lote ",ROW(A16)-ROW($A$15))</f>
        <v>0</v>
      </c>
      <c r="AI16" s="87">
        <f aca="true" t="shared" si="16" ref="AI16:AI25">IF($C16="Meta",$B16,0)</f>
        <v>1</v>
      </c>
    </row>
    <row r="17" spans="1:35" ht="12.75">
      <c r="A17" s="87"/>
      <c r="B17" s="88">
        <v>1</v>
      </c>
      <c r="C17" s="89" t="s">
        <v>82</v>
      </c>
      <c r="D17" s="90">
        <f t="shared" si="0"/>
        <v>0</v>
      </c>
      <c r="E17" s="91"/>
      <c r="F17" s="92"/>
      <c r="G17" s="92"/>
      <c r="H17" s="93"/>
      <c r="I17" s="94"/>
      <c r="J17" s="95" t="e">
        <f ca="1">VLOOKUP($F17,OFFSET(Listas!$A$2,1,MATCH(QCI!$E17,Listas!$2:$2,0)-1,100,50),2,0)</f>
        <v>#N/A</v>
      </c>
      <c r="K17" s="96"/>
      <c r="L17" s="97">
        <f ca="1" t="shared" si="1"/>
        <v>0</v>
      </c>
      <c r="M17" s="98">
        <f ca="1" t="shared" si="2"/>
        <v>0</v>
      </c>
      <c r="N17" s="99">
        <f ca="1" t="shared" si="3"/>
        <v>0</v>
      </c>
      <c r="O17" s="99">
        <f ca="1" t="shared" si="4"/>
        <v>0</v>
      </c>
      <c r="P17" s="87"/>
      <c r="Q17" s="100">
        <v>0</v>
      </c>
      <c r="R17" s="101" t="s">
        <v>83</v>
      </c>
      <c r="S17" s="102">
        <f t="shared" si="5"/>
        <v>0</v>
      </c>
      <c r="T17" s="103">
        <f t="shared" si="6"/>
        <v>0</v>
      </c>
      <c r="U17" s="87"/>
      <c r="V17" s="87">
        <f ca="1" t="shared" si="7"/>
        <v>2</v>
      </c>
      <c r="W17" s="87">
        <f ca="1" t="shared" si="8"/>
        <v>0</v>
      </c>
      <c r="X17" s="104">
        <f ca="1" t="shared" si="9"/>
        <v>0</v>
      </c>
      <c r="Y17" s="87">
        <f ca="1" t="shared" si="10"/>
        <v>1</v>
      </c>
      <c r="Z17" s="87"/>
      <c r="AA17" s="105">
        <f t="shared" si="11"/>
        <v>0</v>
      </c>
      <c r="AB17" s="105">
        <f t="shared" si="12"/>
        <v>0</v>
      </c>
      <c r="AC17" s="105">
        <f t="shared" si="13"/>
        <v>0</v>
      </c>
      <c r="AD17" s="106"/>
      <c r="AE17" s="105">
        <f t="shared" si="14"/>
        <v>0</v>
      </c>
      <c r="AF17" s="105">
        <f ca="1">IF(AND($AE17,O17&gt;0,COUNTIF(OFFSET($AE17,1,0):$AE$26,1)=0),CHOOSE(1+LOG(1+2*($AC$7=$Z$7)+4*($AC$7=$AA$7)+8*($AC$7=$AB$7),2),0,$AB$15-ROUND(DADOS!$B$37*$O$15,2),$AB$15-DADOS!$C$37,DADOS!$H$28-$AA$15),0)</f>
        <v>0</v>
      </c>
      <c r="AG17" s="87"/>
      <c r="AH17" s="87">
        <f t="shared" si="15"/>
        <v>0</v>
      </c>
      <c r="AI17" s="87">
        <f t="shared" si="16"/>
        <v>1</v>
      </c>
    </row>
    <row r="18" spans="1:35" ht="12.75">
      <c r="A18" s="87"/>
      <c r="B18" s="88">
        <v>1</v>
      </c>
      <c r="C18" s="89" t="s">
        <v>82</v>
      </c>
      <c r="D18" s="90">
        <f t="shared" si="0"/>
        <v>0</v>
      </c>
      <c r="E18" s="91"/>
      <c r="F18" s="92"/>
      <c r="G18" s="92"/>
      <c r="H18" s="93"/>
      <c r="I18" s="94"/>
      <c r="J18" s="95" t="e">
        <f ca="1">VLOOKUP($F18,OFFSET(Listas!$A$2,1,MATCH(QCI!$E18,Listas!$2:$2,0)-1,100,50),2,0)</f>
        <v>#N/A</v>
      </c>
      <c r="K18" s="96"/>
      <c r="L18" s="97">
        <f ca="1" t="shared" si="1"/>
        <v>0</v>
      </c>
      <c r="M18" s="98">
        <f ca="1" t="shared" si="2"/>
        <v>0</v>
      </c>
      <c r="N18" s="99">
        <f ca="1" t="shared" si="3"/>
        <v>0</v>
      </c>
      <c r="O18" s="99">
        <f ca="1" t="shared" si="4"/>
        <v>0</v>
      </c>
      <c r="P18" s="87"/>
      <c r="Q18" s="100">
        <v>0</v>
      </c>
      <c r="R18" s="101" t="s">
        <v>83</v>
      </c>
      <c r="S18" s="102">
        <f t="shared" si="5"/>
        <v>0</v>
      </c>
      <c r="T18" s="103">
        <f t="shared" si="6"/>
        <v>0</v>
      </c>
      <c r="U18" s="87"/>
      <c r="V18" s="87">
        <f ca="1" t="shared" si="7"/>
        <v>3</v>
      </c>
      <c r="W18" s="87">
        <f ca="1" t="shared" si="8"/>
        <v>0</v>
      </c>
      <c r="X18" s="104">
        <f ca="1" t="shared" si="9"/>
        <v>0</v>
      </c>
      <c r="Y18" s="87">
        <f ca="1" t="shared" si="10"/>
        <v>1</v>
      </c>
      <c r="Z18" s="87"/>
      <c r="AA18" s="105">
        <f t="shared" si="11"/>
        <v>0</v>
      </c>
      <c r="AB18" s="105">
        <f t="shared" si="12"/>
        <v>0</v>
      </c>
      <c r="AC18" s="105">
        <f t="shared" si="13"/>
        <v>0</v>
      </c>
      <c r="AD18" s="106"/>
      <c r="AE18" s="105">
        <f t="shared" si="14"/>
        <v>0</v>
      </c>
      <c r="AF18" s="105">
        <f ca="1">IF(AND($AE18,O18&gt;0,COUNTIF(OFFSET($AE18,1,0):$AE$26,1)=0),CHOOSE(1+LOG(1+2*($AC$7=$Z$7)+4*($AC$7=$AA$7)+8*($AC$7=$AB$7),2),0,$AB$15-ROUND(DADOS!$B$37*$O$15,2),$AB$15-DADOS!$C$37,DADOS!$H$28-$AA$15),0)</f>
        <v>0</v>
      </c>
      <c r="AG18" s="87"/>
      <c r="AH18" s="87">
        <f t="shared" si="15"/>
        <v>0</v>
      </c>
      <c r="AI18" s="87">
        <f t="shared" si="16"/>
        <v>1</v>
      </c>
    </row>
    <row r="19" spans="1:35" ht="12.75">
      <c r="A19" s="87"/>
      <c r="B19" s="88">
        <v>1</v>
      </c>
      <c r="C19" s="89" t="s">
        <v>82</v>
      </c>
      <c r="D19" s="90">
        <f t="shared" si="0"/>
        <v>0</v>
      </c>
      <c r="E19" s="91"/>
      <c r="F19" s="92"/>
      <c r="G19" s="92"/>
      <c r="H19" s="93"/>
      <c r="I19" s="94"/>
      <c r="J19" s="95" t="e">
        <f ca="1">VLOOKUP($F19,OFFSET(Listas!$A$2,1,MATCH(QCI!$E19,Listas!$2:$2,0)-1,100,50),2,0)</f>
        <v>#N/A</v>
      </c>
      <c r="K19" s="96"/>
      <c r="L19" s="97">
        <f ca="1" t="shared" si="1"/>
        <v>0</v>
      </c>
      <c r="M19" s="98">
        <f ca="1" t="shared" si="2"/>
        <v>0</v>
      </c>
      <c r="N19" s="99">
        <f ca="1" t="shared" si="3"/>
        <v>0</v>
      </c>
      <c r="O19" s="99">
        <f ca="1" t="shared" si="4"/>
        <v>0</v>
      </c>
      <c r="P19" s="87"/>
      <c r="Q19" s="100">
        <v>0</v>
      </c>
      <c r="R19" s="101" t="s">
        <v>83</v>
      </c>
      <c r="S19" s="102">
        <f t="shared" si="5"/>
        <v>0</v>
      </c>
      <c r="T19" s="103">
        <f t="shared" si="6"/>
        <v>0</v>
      </c>
      <c r="U19" s="87"/>
      <c r="V19" s="87">
        <f ca="1" t="shared" si="7"/>
        <v>4</v>
      </c>
      <c r="W19" s="87">
        <f ca="1" t="shared" si="8"/>
        <v>0</v>
      </c>
      <c r="X19" s="104">
        <f ca="1" t="shared" si="9"/>
        <v>0</v>
      </c>
      <c r="Y19" s="87">
        <f ca="1" t="shared" si="10"/>
        <v>1</v>
      </c>
      <c r="Z19" s="87"/>
      <c r="AA19" s="105">
        <f t="shared" si="11"/>
        <v>0</v>
      </c>
      <c r="AB19" s="105">
        <f t="shared" si="12"/>
        <v>0</v>
      </c>
      <c r="AC19" s="105">
        <f t="shared" si="13"/>
        <v>0</v>
      </c>
      <c r="AD19" s="106"/>
      <c r="AE19" s="105">
        <f t="shared" si="14"/>
        <v>0</v>
      </c>
      <c r="AF19" s="105">
        <f ca="1">IF(AND($AE19,O19&gt;0,COUNTIF(OFFSET($AE19,1,0):$AE$26,1)=0),CHOOSE(1+LOG(1+2*($AC$7=$Z$7)+4*($AC$7=$AA$7)+8*($AC$7=$AB$7),2),0,$AB$15-ROUND(DADOS!$B$37*$O$15,2),$AB$15-DADOS!$C$37,DADOS!$H$28-$AA$15),0)</f>
        <v>0</v>
      </c>
      <c r="AG19" s="87"/>
      <c r="AH19" s="87">
        <f t="shared" si="15"/>
        <v>0</v>
      </c>
      <c r="AI19" s="87">
        <f t="shared" si="16"/>
        <v>1</v>
      </c>
    </row>
    <row r="20" spans="1:35" ht="12.75">
      <c r="A20" s="87"/>
      <c r="B20" s="88">
        <v>1</v>
      </c>
      <c r="C20" s="89" t="s">
        <v>82</v>
      </c>
      <c r="D20" s="90">
        <f t="shared" si="0"/>
        <v>0</v>
      </c>
      <c r="E20" s="91"/>
      <c r="F20" s="92"/>
      <c r="G20" s="92"/>
      <c r="H20" s="93"/>
      <c r="I20" s="94"/>
      <c r="J20" s="95" t="e">
        <f ca="1">VLOOKUP($F20,OFFSET(Listas!$A$2,1,MATCH(QCI!$E20,Listas!$2:$2,0)-1,100,50),2,0)</f>
        <v>#N/A</v>
      </c>
      <c r="K20" s="96"/>
      <c r="L20" s="97">
        <f ca="1" t="shared" si="1"/>
        <v>0</v>
      </c>
      <c r="M20" s="98">
        <f ca="1" t="shared" si="2"/>
        <v>0</v>
      </c>
      <c r="N20" s="99">
        <f ca="1" t="shared" si="3"/>
        <v>0</v>
      </c>
      <c r="O20" s="99">
        <f ca="1" t="shared" si="4"/>
        <v>0</v>
      </c>
      <c r="P20" s="87"/>
      <c r="Q20" s="100">
        <v>0</v>
      </c>
      <c r="R20" s="101" t="s">
        <v>83</v>
      </c>
      <c r="S20" s="102">
        <f t="shared" si="5"/>
        <v>0</v>
      </c>
      <c r="T20" s="103">
        <f t="shared" si="6"/>
        <v>0</v>
      </c>
      <c r="U20" s="87"/>
      <c r="V20" s="87">
        <f ca="1" t="shared" si="7"/>
        <v>5</v>
      </c>
      <c r="W20" s="87">
        <f ca="1" t="shared" si="8"/>
        <v>0</v>
      </c>
      <c r="X20" s="104">
        <f ca="1" t="shared" si="9"/>
        <v>0</v>
      </c>
      <c r="Y20" s="87">
        <f ca="1" t="shared" si="10"/>
        <v>1</v>
      </c>
      <c r="Z20" s="87"/>
      <c r="AA20" s="105">
        <f t="shared" si="11"/>
        <v>0</v>
      </c>
      <c r="AB20" s="105">
        <f t="shared" si="12"/>
        <v>0</v>
      </c>
      <c r="AC20" s="105">
        <f t="shared" si="13"/>
        <v>0</v>
      </c>
      <c r="AD20" s="106"/>
      <c r="AE20" s="105">
        <f t="shared" si="14"/>
        <v>0</v>
      </c>
      <c r="AF20" s="105">
        <f ca="1">IF(AND($AE20,O20&gt;0,COUNTIF(OFFSET($AE20,1,0):$AE$26,1)=0),CHOOSE(1+LOG(1+2*($AC$7=$Z$7)+4*($AC$7=$AA$7)+8*($AC$7=$AB$7),2),0,$AB$15-ROUND(DADOS!$B$37*$O$15,2),$AB$15-DADOS!$C$37,DADOS!$H$28-$AA$15),0)</f>
        <v>0</v>
      </c>
      <c r="AG20" s="87"/>
      <c r="AH20" s="87">
        <f t="shared" si="15"/>
        <v>0</v>
      </c>
      <c r="AI20" s="87">
        <f t="shared" si="16"/>
        <v>1</v>
      </c>
    </row>
    <row r="21" spans="1:35" ht="12.75">
      <c r="A21" s="87"/>
      <c r="B21" s="88">
        <v>1</v>
      </c>
      <c r="C21" s="89" t="s">
        <v>82</v>
      </c>
      <c r="D21" s="90">
        <f t="shared" si="0"/>
        <v>0</v>
      </c>
      <c r="E21" s="91"/>
      <c r="F21" s="92"/>
      <c r="G21" s="92"/>
      <c r="H21" s="93"/>
      <c r="I21" s="94"/>
      <c r="J21" s="95" t="e">
        <f ca="1">VLOOKUP($F21,OFFSET(Listas!$A$2,1,MATCH(QCI!$E21,Listas!$2:$2,0)-1,100,50),2,0)</f>
        <v>#N/A</v>
      </c>
      <c r="K21" s="96"/>
      <c r="L21" s="97">
        <f ca="1" t="shared" si="1"/>
        <v>0</v>
      </c>
      <c r="M21" s="98">
        <f ca="1" t="shared" si="2"/>
        <v>0</v>
      </c>
      <c r="N21" s="99">
        <f ca="1" t="shared" si="3"/>
        <v>0</v>
      </c>
      <c r="O21" s="99">
        <f ca="1" t="shared" si="4"/>
        <v>0</v>
      </c>
      <c r="P21" s="87"/>
      <c r="Q21" s="100">
        <v>0</v>
      </c>
      <c r="R21" s="101" t="s">
        <v>83</v>
      </c>
      <c r="S21" s="102">
        <f t="shared" si="5"/>
        <v>0</v>
      </c>
      <c r="T21" s="103">
        <f t="shared" si="6"/>
        <v>0</v>
      </c>
      <c r="U21" s="87"/>
      <c r="V21" s="87">
        <f ca="1" t="shared" si="7"/>
        <v>6</v>
      </c>
      <c r="W21" s="87">
        <f ca="1" t="shared" si="8"/>
        <v>0</v>
      </c>
      <c r="X21" s="104">
        <f ca="1" t="shared" si="9"/>
        <v>0</v>
      </c>
      <c r="Y21" s="87">
        <f ca="1" t="shared" si="10"/>
        <v>1</v>
      </c>
      <c r="Z21" s="87"/>
      <c r="AA21" s="105">
        <f t="shared" si="11"/>
        <v>0</v>
      </c>
      <c r="AB21" s="105">
        <f t="shared" si="12"/>
        <v>0</v>
      </c>
      <c r="AC21" s="105">
        <f t="shared" si="13"/>
        <v>0</v>
      </c>
      <c r="AD21" s="106"/>
      <c r="AE21" s="105">
        <f t="shared" si="14"/>
        <v>0</v>
      </c>
      <c r="AF21" s="105">
        <f ca="1">IF(AND($AE21,O21&gt;0,COUNTIF(OFFSET($AE21,1,0):$AE$26,1)=0),CHOOSE(1+LOG(1+2*($AC$7=$Z$7)+4*($AC$7=$AA$7)+8*($AC$7=$AB$7),2),0,$AB$15-ROUND(DADOS!$B$37*$O$15,2),$AB$15-DADOS!$C$37,DADOS!$H$28-$AA$15),0)</f>
        <v>0</v>
      </c>
      <c r="AG21" s="87"/>
      <c r="AH21" s="87">
        <f t="shared" si="15"/>
        <v>0</v>
      </c>
      <c r="AI21" s="87">
        <f t="shared" si="16"/>
        <v>1</v>
      </c>
    </row>
    <row r="22" spans="1:35" ht="12.75">
      <c r="A22" s="87"/>
      <c r="B22" s="88">
        <v>1</v>
      </c>
      <c r="C22" s="89" t="s">
        <v>82</v>
      </c>
      <c r="D22" s="90">
        <f t="shared" si="0"/>
        <v>0</v>
      </c>
      <c r="E22" s="91"/>
      <c r="F22" s="92"/>
      <c r="G22" s="92"/>
      <c r="H22" s="93"/>
      <c r="I22" s="94"/>
      <c r="J22" s="95" t="e">
        <f ca="1">VLOOKUP($F22,OFFSET(Listas!$A$2,1,MATCH(QCI!$E22,Listas!$2:$2,0)-1,100,50),2,0)</f>
        <v>#N/A</v>
      </c>
      <c r="K22" s="96"/>
      <c r="L22" s="97">
        <f ca="1" t="shared" si="1"/>
        <v>0</v>
      </c>
      <c r="M22" s="98">
        <f ca="1" t="shared" si="2"/>
        <v>0</v>
      </c>
      <c r="N22" s="99">
        <f ca="1" t="shared" si="3"/>
        <v>0</v>
      </c>
      <c r="O22" s="99">
        <f ca="1" t="shared" si="4"/>
        <v>0</v>
      </c>
      <c r="P22" s="87"/>
      <c r="Q22" s="100">
        <v>0</v>
      </c>
      <c r="R22" s="101" t="s">
        <v>83</v>
      </c>
      <c r="S22" s="102">
        <f t="shared" si="5"/>
        <v>0</v>
      </c>
      <c r="T22" s="103">
        <f t="shared" si="6"/>
        <v>0</v>
      </c>
      <c r="U22" s="87"/>
      <c r="V22" s="87">
        <f ca="1" t="shared" si="7"/>
        <v>7</v>
      </c>
      <c r="W22" s="87">
        <f ca="1" t="shared" si="8"/>
        <v>0</v>
      </c>
      <c r="X22" s="104">
        <f ca="1" t="shared" si="9"/>
        <v>0</v>
      </c>
      <c r="Y22" s="87">
        <f ca="1" t="shared" si="10"/>
        <v>1</v>
      </c>
      <c r="Z22" s="87"/>
      <c r="AA22" s="105">
        <f t="shared" si="11"/>
        <v>0</v>
      </c>
      <c r="AB22" s="105">
        <f t="shared" si="12"/>
        <v>0</v>
      </c>
      <c r="AC22" s="105">
        <f t="shared" si="13"/>
        <v>0</v>
      </c>
      <c r="AD22" s="106"/>
      <c r="AE22" s="105">
        <f t="shared" si="14"/>
        <v>0</v>
      </c>
      <c r="AF22" s="105">
        <f ca="1">IF(AND($AE22,O22&gt;0,COUNTIF(OFFSET($AE22,1,0):$AE$26,1)=0),CHOOSE(1+LOG(1+2*($AC$7=$Z$7)+4*($AC$7=$AA$7)+8*($AC$7=$AB$7),2),0,$AB$15-ROUND(DADOS!$B$37*$O$15,2),$AB$15-DADOS!$C$37,DADOS!$H$28-$AA$15),0)</f>
        <v>0</v>
      </c>
      <c r="AG22" s="87"/>
      <c r="AH22" s="87">
        <f t="shared" si="15"/>
        <v>0</v>
      </c>
      <c r="AI22" s="87">
        <f t="shared" si="16"/>
        <v>1</v>
      </c>
    </row>
    <row r="23" spans="1:35" ht="12.75">
      <c r="A23" s="87"/>
      <c r="B23" s="88">
        <v>1</v>
      </c>
      <c r="C23" s="89" t="s">
        <v>82</v>
      </c>
      <c r="D23" s="90">
        <f t="shared" si="0"/>
        <v>0</v>
      </c>
      <c r="E23" s="91"/>
      <c r="F23" s="92"/>
      <c r="G23" s="92"/>
      <c r="H23" s="93"/>
      <c r="I23" s="94"/>
      <c r="J23" s="95" t="e">
        <f ca="1">VLOOKUP($F23,OFFSET(Listas!$A$2,1,MATCH(QCI!$E23,Listas!$2:$2,0)-1,100,50),2,0)</f>
        <v>#N/A</v>
      </c>
      <c r="K23" s="96"/>
      <c r="L23" s="97">
        <f ca="1" t="shared" si="1"/>
        <v>0</v>
      </c>
      <c r="M23" s="98">
        <f ca="1" t="shared" si="2"/>
        <v>0</v>
      </c>
      <c r="N23" s="99">
        <f ca="1" t="shared" si="3"/>
        <v>0</v>
      </c>
      <c r="O23" s="99">
        <f ca="1" t="shared" si="4"/>
        <v>0</v>
      </c>
      <c r="P23" s="87"/>
      <c r="Q23" s="100">
        <v>0</v>
      </c>
      <c r="R23" s="101" t="s">
        <v>83</v>
      </c>
      <c r="S23" s="102">
        <f t="shared" si="5"/>
        <v>0</v>
      </c>
      <c r="T23" s="103">
        <f t="shared" si="6"/>
        <v>0</v>
      </c>
      <c r="U23" s="87"/>
      <c r="V23" s="87">
        <f ca="1" t="shared" si="7"/>
        <v>8</v>
      </c>
      <c r="W23" s="87">
        <f ca="1" t="shared" si="8"/>
        <v>0</v>
      </c>
      <c r="X23" s="104">
        <f ca="1" t="shared" si="9"/>
        <v>0</v>
      </c>
      <c r="Y23" s="87">
        <f ca="1" t="shared" si="10"/>
        <v>1</v>
      </c>
      <c r="Z23" s="87"/>
      <c r="AA23" s="105">
        <f t="shared" si="11"/>
        <v>0</v>
      </c>
      <c r="AB23" s="105">
        <f t="shared" si="12"/>
        <v>0</v>
      </c>
      <c r="AC23" s="105">
        <f t="shared" si="13"/>
        <v>0</v>
      </c>
      <c r="AD23" s="106"/>
      <c r="AE23" s="105">
        <f t="shared" si="14"/>
        <v>0</v>
      </c>
      <c r="AF23" s="105">
        <f ca="1">IF(AND($AE23,O23&gt;0,COUNTIF(OFFSET($AE23,1,0):$AE$26,1)=0),CHOOSE(1+LOG(1+2*($AC$7=$Z$7)+4*($AC$7=$AA$7)+8*($AC$7=$AB$7),2),0,$AB$15-ROUND(DADOS!$B$37*$O$15,2),$AB$15-DADOS!$C$37,DADOS!$H$28-$AA$15),0)</f>
        <v>0</v>
      </c>
      <c r="AG23" s="87"/>
      <c r="AH23" s="87">
        <f t="shared" si="15"/>
        <v>0</v>
      </c>
      <c r="AI23" s="87">
        <f t="shared" si="16"/>
        <v>1</v>
      </c>
    </row>
    <row r="24" spans="1:35" ht="12.75">
      <c r="A24" s="87"/>
      <c r="B24" s="88">
        <v>1</v>
      </c>
      <c r="C24" s="89" t="s">
        <v>82</v>
      </c>
      <c r="D24" s="90">
        <f t="shared" si="0"/>
        <v>0</v>
      </c>
      <c r="E24" s="91"/>
      <c r="F24" s="92"/>
      <c r="G24" s="92"/>
      <c r="H24" s="93"/>
      <c r="I24" s="94"/>
      <c r="J24" s="95" t="e">
        <f ca="1">VLOOKUP($F24,OFFSET(Listas!$A$2,1,MATCH(QCI!$E24,Listas!$2:$2,0)-1,100,50),2,0)</f>
        <v>#N/A</v>
      </c>
      <c r="K24" s="96"/>
      <c r="L24" s="97">
        <f ca="1" t="shared" si="1"/>
        <v>0</v>
      </c>
      <c r="M24" s="98">
        <f ca="1" t="shared" si="2"/>
        <v>0</v>
      </c>
      <c r="N24" s="99">
        <f ca="1" t="shared" si="3"/>
        <v>0</v>
      </c>
      <c r="O24" s="99">
        <f ca="1" t="shared" si="4"/>
        <v>0</v>
      </c>
      <c r="P24" s="87"/>
      <c r="Q24" s="100">
        <v>0</v>
      </c>
      <c r="R24" s="101" t="s">
        <v>83</v>
      </c>
      <c r="S24" s="102">
        <f t="shared" si="5"/>
        <v>0</v>
      </c>
      <c r="T24" s="103">
        <f t="shared" si="6"/>
        <v>0</v>
      </c>
      <c r="U24" s="87"/>
      <c r="V24" s="87">
        <f ca="1" t="shared" si="7"/>
        <v>9</v>
      </c>
      <c r="W24" s="87">
        <f ca="1" t="shared" si="8"/>
        <v>0</v>
      </c>
      <c r="X24" s="104">
        <f ca="1" t="shared" si="9"/>
        <v>0</v>
      </c>
      <c r="Y24" s="87">
        <f ca="1" t="shared" si="10"/>
        <v>1</v>
      </c>
      <c r="Z24" s="87"/>
      <c r="AA24" s="105">
        <f t="shared" si="11"/>
        <v>0</v>
      </c>
      <c r="AB24" s="105">
        <f t="shared" si="12"/>
        <v>0</v>
      </c>
      <c r="AC24" s="105">
        <f t="shared" si="13"/>
        <v>0</v>
      </c>
      <c r="AD24" s="106"/>
      <c r="AE24" s="105">
        <f t="shared" si="14"/>
        <v>0</v>
      </c>
      <c r="AF24" s="105">
        <f ca="1">IF(AND($AE24,O24&gt;0,COUNTIF(OFFSET($AE24,1,0):$AE$26,1)=0),CHOOSE(1+LOG(1+2*($AC$7=$Z$7)+4*($AC$7=$AA$7)+8*($AC$7=$AB$7),2),0,$AB$15-ROUND(DADOS!$B$37*$O$15,2),$AB$15-DADOS!$C$37,DADOS!$H$28-$AA$15),0)</f>
        <v>0</v>
      </c>
      <c r="AG24" s="87"/>
      <c r="AH24" s="87">
        <f t="shared" si="15"/>
        <v>0</v>
      </c>
      <c r="AI24" s="87">
        <f t="shared" si="16"/>
        <v>1</v>
      </c>
    </row>
    <row r="25" spans="1:35" ht="12.75">
      <c r="A25" s="87"/>
      <c r="B25" s="88">
        <v>1</v>
      </c>
      <c r="C25" s="89" t="s">
        <v>82</v>
      </c>
      <c r="D25" s="90">
        <f t="shared" si="0"/>
        <v>0</v>
      </c>
      <c r="E25" s="91"/>
      <c r="F25" s="92"/>
      <c r="G25" s="92"/>
      <c r="H25" s="93"/>
      <c r="I25" s="94"/>
      <c r="J25" s="95" t="e">
        <f ca="1">VLOOKUP($F25,OFFSET(Listas!$A$2,1,MATCH(QCI!$E25,Listas!$2:$2,0)-1,100,50),2,0)</f>
        <v>#N/A</v>
      </c>
      <c r="K25" s="96"/>
      <c r="L25" s="97">
        <f ca="1" t="shared" si="1"/>
        <v>0</v>
      </c>
      <c r="M25" s="98">
        <f ca="1" t="shared" si="2"/>
        <v>0</v>
      </c>
      <c r="N25" s="99">
        <f ca="1" t="shared" si="3"/>
        <v>0</v>
      </c>
      <c r="O25" s="99">
        <f ca="1" t="shared" si="4"/>
        <v>0</v>
      </c>
      <c r="P25" s="87"/>
      <c r="Q25" s="100">
        <v>0</v>
      </c>
      <c r="R25" s="101" t="s">
        <v>83</v>
      </c>
      <c r="S25" s="102">
        <f t="shared" si="5"/>
        <v>0</v>
      </c>
      <c r="T25" s="103">
        <f t="shared" si="6"/>
        <v>0</v>
      </c>
      <c r="U25" s="87"/>
      <c r="V25" s="87">
        <f ca="1" t="shared" si="7"/>
        <v>10</v>
      </c>
      <c r="W25" s="87">
        <f ca="1" t="shared" si="8"/>
        <v>0</v>
      </c>
      <c r="X25" s="104">
        <f ca="1" t="shared" si="9"/>
        <v>0</v>
      </c>
      <c r="Y25" s="87">
        <f ca="1" t="shared" si="10"/>
        <v>1</v>
      </c>
      <c r="Z25" s="87"/>
      <c r="AA25" s="105">
        <f t="shared" si="11"/>
        <v>0</v>
      </c>
      <c r="AB25" s="105">
        <f t="shared" si="12"/>
        <v>0</v>
      </c>
      <c r="AC25" s="105">
        <f t="shared" si="13"/>
        <v>0</v>
      </c>
      <c r="AD25" s="106"/>
      <c r="AE25" s="105">
        <f t="shared" si="14"/>
        <v>0</v>
      </c>
      <c r="AF25" s="105">
        <f ca="1">IF(AND($AE25,O25&gt;0,COUNTIF(OFFSET($AE25,1,0):$AE$26,1)=0),CHOOSE(1+LOG(1+2*($AC$7=$Z$7)+4*($AC$7=$AA$7)+8*($AC$7=$AB$7),2),0,$AB$15-ROUND(DADOS!$B$37*$O$15,2),$AB$15-DADOS!$C$37,DADOS!$H$28-$AA$15),0)</f>
        <v>0</v>
      </c>
      <c r="AG25" s="87"/>
      <c r="AH25" s="87">
        <f t="shared" si="15"/>
        <v>0</v>
      </c>
      <c r="AI25" s="87">
        <f t="shared" si="16"/>
        <v>1</v>
      </c>
    </row>
    <row r="26" spans="2:20" s="107" customFormat="1" ht="5.25" customHeight="1">
      <c r="B26" s="135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7"/>
      <c r="P26" s="138"/>
      <c r="Q26" s="139"/>
      <c r="R26" s="140"/>
      <c r="S26" s="140"/>
      <c r="T26" s="140"/>
    </row>
    <row r="27" spans="2:17" ht="12.75" customHeight="1">
      <c r="B27" s="141"/>
      <c r="C27" s="141"/>
      <c r="D27" s="142"/>
      <c r="E27" s="143"/>
      <c r="F27" s="142"/>
      <c r="G27" s="141"/>
      <c r="H27" s="144"/>
      <c r="I27" s="144"/>
      <c r="J27" s="144"/>
      <c r="K27" s="144"/>
      <c r="L27" s="144"/>
      <c r="M27" s="144"/>
      <c r="N27" s="144"/>
      <c r="Q27" s="144"/>
    </row>
    <row r="28" spans="2:17" ht="12.75" customHeight="1" hidden="1">
      <c r="B28" s="145" t="s">
        <v>92</v>
      </c>
      <c r="C28" s="145"/>
      <c r="D28" s="145"/>
      <c r="E28" s="143"/>
      <c r="F28" s="142"/>
      <c r="G28" s="141"/>
      <c r="H28" s="144"/>
      <c r="I28" s="144"/>
      <c r="J28" s="144"/>
      <c r="K28" s="144"/>
      <c r="L28" s="144"/>
      <c r="M28" s="144"/>
      <c r="N28" s="144"/>
      <c r="O28" s="146"/>
      <c r="Q28" s="144"/>
    </row>
    <row r="29" spans="2:17" ht="24.75" customHeight="1" hidden="1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Q29" s="144"/>
    </row>
    <row r="30" spans="2:17" ht="24.75" customHeight="1" hidden="1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Q30" s="144"/>
    </row>
    <row r="31" spans="2:17" ht="12.75" customHeight="1" hidden="1">
      <c r="B31" s="148"/>
      <c r="C31" s="148"/>
      <c r="D31" s="148"/>
      <c r="E31" s="149"/>
      <c r="F31" s="148"/>
      <c r="G31" s="148"/>
      <c r="H31" s="150"/>
      <c r="I31" s="150"/>
      <c r="J31" s="150"/>
      <c r="K31" s="150"/>
      <c r="L31" s="150"/>
      <c r="M31" s="150"/>
      <c r="N31" s="150"/>
      <c r="O31" s="151"/>
      <c r="Q31" s="144"/>
    </row>
    <row r="32" spans="2:15" ht="12.75" customHeight="1">
      <c r="B32" s="141"/>
      <c r="G32" s="143"/>
      <c r="H32" s="144"/>
      <c r="I32" s="152" t="s">
        <v>93</v>
      </c>
      <c r="J32" s="152"/>
      <c r="K32" s="153">
        <v>1</v>
      </c>
      <c r="L32" s="154">
        <f aca="true" t="shared" si="17" ref="L32:L34">SUMIF($AI$15:$AI$26,$K32,L$15:L$26)</f>
        <v>0</v>
      </c>
      <c r="M32" s="154">
        <f aca="true" t="shared" si="18" ref="M32:M34">SUMIF($AI$15:$AI$26,$K32,M$15:M$26)</f>
        <v>0</v>
      </c>
      <c r="N32" s="154">
        <f aca="true" t="shared" si="19" ref="N32:N34">SUMIF($AI$15:$AI$26,$K32,N$15:N$26)</f>
        <v>0</v>
      </c>
      <c r="O32" s="155">
        <f aca="true" t="shared" si="20" ref="O32:O34">SUMIF($AI$15:$AI$26,$K32,O$15:O$26)</f>
        <v>0</v>
      </c>
    </row>
    <row r="33" spans="2:15" ht="12.75" customHeight="1">
      <c r="B33" s="141"/>
      <c r="G33" s="141"/>
      <c r="H33" s="144"/>
      <c r="I33" s="152"/>
      <c r="J33" s="152"/>
      <c r="K33" s="156">
        <f aca="true" ca="1" t="shared" si="21" ref="K33:K34">OFFSET(K33,-1,0)+1</f>
        <v>2</v>
      </c>
      <c r="L33" s="157">
        <f t="shared" si="17"/>
        <v>0</v>
      </c>
      <c r="M33" s="157">
        <f t="shared" si="18"/>
        <v>0</v>
      </c>
      <c r="N33" s="157">
        <f t="shared" si="19"/>
        <v>0</v>
      </c>
      <c r="O33" s="158">
        <f t="shared" si="20"/>
        <v>0</v>
      </c>
    </row>
    <row r="34" spans="2:15" ht="12.75" customHeight="1">
      <c r="B34" s="141"/>
      <c r="C34" s="159"/>
      <c r="D34" s="159"/>
      <c r="E34" s="159"/>
      <c r="F34" s="160"/>
      <c r="G34" s="141"/>
      <c r="H34" s="144"/>
      <c r="I34" s="152"/>
      <c r="J34" s="152"/>
      <c r="K34" s="161">
        <f ca="1" t="shared" si="21"/>
        <v>3</v>
      </c>
      <c r="L34" s="162">
        <f t="shared" si="17"/>
        <v>0</v>
      </c>
      <c r="M34" s="162">
        <f t="shared" si="18"/>
        <v>0</v>
      </c>
      <c r="N34" s="162">
        <f t="shared" si="19"/>
        <v>0</v>
      </c>
      <c r="O34" s="163">
        <f t="shared" si="20"/>
        <v>0</v>
      </c>
    </row>
    <row r="35" spans="3:17" ht="12.75" customHeight="1">
      <c r="C35" s="164" t="s">
        <v>94</v>
      </c>
      <c r="D35" s="164"/>
      <c r="E35" s="164"/>
      <c r="F35" s="164"/>
      <c r="G35" s="143"/>
      <c r="H35" s="144"/>
      <c r="I35" s="144"/>
      <c r="J35" s="144"/>
      <c r="K35" s="144"/>
      <c r="L35" s="144"/>
      <c r="M35" s="144"/>
      <c r="N35" s="144"/>
      <c r="Q35" s="144"/>
    </row>
    <row r="36" spans="3:17" ht="12.75" customHeight="1">
      <c r="C36" s="165" t="s">
        <v>95</v>
      </c>
      <c r="D36" s="166"/>
      <c r="E36" s="166"/>
      <c r="F36" s="166"/>
      <c r="G36" s="143"/>
      <c r="H36" s="31" t="s">
        <v>96</v>
      </c>
      <c r="I36" s="166"/>
      <c r="J36" s="166"/>
      <c r="K36" s="166"/>
      <c r="L36" s="166"/>
      <c r="M36" s="167"/>
      <c r="N36" s="167"/>
      <c r="Q36" s="167"/>
    </row>
    <row r="37" spans="3:17" ht="12.75" customHeight="1">
      <c r="C37" s="165" t="s">
        <v>97</v>
      </c>
      <c r="D37" s="166"/>
      <c r="E37" s="166"/>
      <c r="F37" s="166"/>
      <c r="G37" s="143"/>
      <c r="H37" s="31" t="s">
        <v>98</v>
      </c>
      <c r="I37" s="168"/>
      <c r="J37" s="168"/>
      <c r="K37" s="168"/>
      <c r="L37" s="168"/>
      <c r="M37" s="167"/>
      <c r="N37" s="167"/>
      <c r="Q37" s="167"/>
    </row>
    <row r="38" ht="12.75" customHeight="1">
      <c r="G38" s="143"/>
    </row>
    <row r="39" spans="4:7" ht="12.75">
      <c r="D39" s="169"/>
      <c r="E39" s="169"/>
      <c r="F39" s="169"/>
      <c r="G39" s="169"/>
    </row>
    <row r="40" spans="4:7" ht="12.75">
      <c r="D40" s="169"/>
      <c r="E40" s="169"/>
      <c r="F40" s="169"/>
      <c r="G40" s="169"/>
    </row>
    <row r="41" spans="4:17" ht="12.75">
      <c r="D41" s="169"/>
      <c r="E41" s="169"/>
      <c r="F41" s="169"/>
      <c r="G41" s="169"/>
      <c r="H41" s="169"/>
      <c r="I41" s="169"/>
      <c r="J41" s="169"/>
      <c r="K41" s="169"/>
      <c r="L41" s="169"/>
      <c r="M41" s="167"/>
      <c r="N41" s="167"/>
      <c r="Q41" s="167"/>
    </row>
  </sheetData>
  <sheetProtection password="A71E" sheet="1"/>
  <mergeCells count="38">
    <mergeCell ref="B3:N3"/>
    <mergeCell ref="G6:J7"/>
    <mergeCell ref="K6:K7"/>
    <mergeCell ref="B9:B10"/>
    <mergeCell ref="C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Q9:Q10"/>
    <mergeCell ref="R9:R10"/>
    <mergeCell ref="S9:S10"/>
    <mergeCell ref="T9:T10"/>
    <mergeCell ref="V9:V10"/>
    <mergeCell ref="W9:W10"/>
    <mergeCell ref="X9:X10"/>
    <mergeCell ref="Y9:Y10"/>
    <mergeCell ref="AH9:AH10"/>
    <mergeCell ref="AI9:AI10"/>
    <mergeCell ref="AA10:AC10"/>
    <mergeCell ref="C14:D15"/>
    <mergeCell ref="AE14:AF14"/>
    <mergeCell ref="AE15:AF15"/>
    <mergeCell ref="B28:D28"/>
    <mergeCell ref="B29:O30"/>
    <mergeCell ref="I32:J34"/>
    <mergeCell ref="C35:F35"/>
    <mergeCell ref="D36:F36"/>
    <mergeCell ref="I36:L36"/>
    <mergeCell ref="D37:F37"/>
    <mergeCell ref="I37:L37"/>
  </mergeCells>
  <conditionalFormatting sqref="C11:D11 G11 C16:D20 G16:G20 G23:G25 C23:D25">
    <cfRule type="expression" priority="1" dxfId="0" stopIfTrue="1">
      <formula>$C11="Meta"</formula>
    </cfRule>
  </conditionalFormatting>
  <conditionalFormatting sqref="B11 B16:B20 B23:B25">
    <cfRule type="expression" priority="2" dxfId="1" stopIfTrue="1">
      <formula>$C11="Sub-Meta"</formula>
    </cfRule>
  </conditionalFormatting>
  <conditionalFormatting sqref="I11:J11 I16:J20 I23:J25">
    <cfRule type="expression" priority="3" dxfId="2" stopIfTrue="1">
      <formula>OR($C11="Sub-Meta",ISERROR(I11))</formula>
    </cfRule>
  </conditionalFormatting>
  <conditionalFormatting sqref="E11 E16:E20 E23:E25">
    <cfRule type="expression" priority="4" dxfId="3" stopIfTrue="1">
      <formula>$C11="Sub-Meta"</formula>
    </cfRule>
    <cfRule type="expression" priority="5" dxfId="0" stopIfTrue="1">
      <formula>$C11="Meta"</formula>
    </cfRule>
  </conditionalFormatting>
  <conditionalFormatting sqref="F11 F16:F20 F23:F25">
    <cfRule type="expression" priority="6" dxfId="4" stopIfTrue="1">
      <formula>AND(ISERROR($J11),F11&lt;&gt;"")</formula>
    </cfRule>
    <cfRule type="expression" priority="7" dxfId="3" stopIfTrue="1">
      <formula>$C11="Sub-Meta"</formula>
    </cfRule>
    <cfRule type="expression" priority="8" dxfId="0" stopIfTrue="1">
      <formula>$C11="Meta"</formula>
    </cfRule>
  </conditionalFormatting>
  <conditionalFormatting sqref="R11 R16:R20 R23:R25">
    <cfRule type="expression" priority="9" dxfId="2" stopIfTrue="1">
      <formula>NOT($Y11)</formula>
    </cfRule>
  </conditionalFormatting>
  <conditionalFormatting sqref="S11:T11 S16:T20 S23:T25">
    <cfRule type="expression" priority="10" dxfId="2" stopIfTrue="1">
      <formula>OR(NOT($Y11),$R11="Proporcional")</formula>
    </cfRule>
  </conditionalFormatting>
  <conditionalFormatting sqref="H11 K11 H16:H20 H23:H25">
    <cfRule type="expression" priority="11" dxfId="2" stopIfTrue="1">
      <formula>NOT($Y11)</formula>
    </cfRule>
    <cfRule type="expression" priority="12" dxfId="0" stopIfTrue="1">
      <formula>$C11="Meta"</formula>
    </cfRule>
  </conditionalFormatting>
  <conditionalFormatting sqref="Q11 Q23:Q25 Q16:Q20">
    <cfRule type="expression" priority="13" dxfId="3" stopIfTrue="1">
      <formula>NOT($Y11)</formula>
    </cfRule>
    <cfRule type="expression" priority="14" dxfId="5" stopIfTrue="1">
      <formula>$C11="Meta"</formula>
    </cfRule>
  </conditionalFormatting>
  <conditionalFormatting sqref="L11:O11 L16:O20 L23:O25">
    <cfRule type="cellIs" priority="15" dxfId="4" operator="notBetween" stopIfTrue="1">
      <formula>0</formula>
      <formula>ABS($O11)</formula>
    </cfRule>
    <cfRule type="expression" priority="16" dxfId="6" stopIfTrue="1">
      <formula>$Y11=0</formula>
    </cfRule>
    <cfRule type="expression" priority="17" dxfId="0" stopIfTrue="1">
      <formula>$C11="Meta"</formula>
    </cfRule>
  </conditionalFormatting>
  <conditionalFormatting sqref="L7">
    <cfRule type="cellIs" priority="18" dxfId="4" operator="lessThan" stopIfTrue="1">
      <formula>0</formula>
    </cfRule>
  </conditionalFormatting>
  <conditionalFormatting sqref="M15">
    <cfRule type="cellIs" priority="19" dxfId="4" operator="lessThan" stopIfTrue="1">
      <formula>ROUND($AA$7*$O$15,2)</formula>
    </cfRule>
  </conditionalFormatting>
  <conditionalFormatting sqref="M14">
    <cfRule type="expression" priority="20" dxfId="4" stopIfTrue="1">
      <formula>AND($O$15&gt;0,$M$14&lt;$Z$7)</formula>
    </cfRule>
  </conditionalFormatting>
  <conditionalFormatting sqref="M7">
    <cfRule type="cellIs" priority="21" dxfId="4" operator="lessThan" stopIfTrue="1">
      <formula>0</formula>
    </cfRule>
  </conditionalFormatting>
  <conditionalFormatting sqref="C21:D22 G21:G22">
    <cfRule type="expression" priority="22" dxfId="0" stopIfTrue="1">
      <formula>$C21="Meta"</formula>
    </cfRule>
  </conditionalFormatting>
  <conditionalFormatting sqref="B21:B22">
    <cfRule type="expression" priority="23" dxfId="1" stopIfTrue="1">
      <formula>$C21="Sub-Meta"</formula>
    </cfRule>
  </conditionalFormatting>
  <conditionalFormatting sqref="I21:J22">
    <cfRule type="expression" priority="24" dxfId="2" stopIfTrue="1">
      <formula>OR($C21="Sub-Meta",ISERROR(I21))</formula>
    </cfRule>
  </conditionalFormatting>
  <conditionalFormatting sqref="E21:E22">
    <cfRule type="expression" priority="25" dxfId="3" stopIfTrue="1">
      <formula>$C21="Sub-Meta"</formula>
    </cfRule>
    <cfRule type="expression" priority="26" dxfId="0" stopIfTrue="1">
      <formula>$C21="Meta"</formula>
    </cfRule>
  </conditionalFormatting>
  <conditionalFormatting sqref="F21:F22">
    <cfRule type="expression" priority="27" dxfId="4" stopIfTrue="1">
      <formula>AND(ISERROR($J21),F21&lt;&gt;"")</formula>
    </cfRule>
    <cfRule type="expression" priority="28" dxfId="3" stopIfTrue="1">
      <formula>$C21="Sub-Meta"</formula>
    </cfRule>
    <cfRule type="expression" priority="29" dxfId="0" stopIfTrue="1">
      <formula>$C21="Meta"</formula>
    </cfRule>
  </conditionalFormatting>
  <conditionalFormatting sqref="R21:R22">
    <cfRule type="expression" priority="30" dxfId="2" stopIfTrue="1">
      <formula>NOT($Y21)</formula>
    </cfRule>
  </conditionalFormatting>
  <conditionalFormatting sqref="S21:T22">
    <cfRule type="expression" priority="31" dxfId="2" stopIfTrue="1">
      <formula>OR(NOT($Y21),$R21="Proporcional")</formula>
    </cfRule>
  </conditionalFormatting>
  <conditionalFormatting sqref="H21:H22">
    <cfRule type="expression" priority="32" dxfId="2" stopIfTrue="1">
      <formula>NOT($Y21)</formula>
    </cfRule>
    <cfRule type="expression" priority="33" dxfId="0" stopIfTrue="1">
      <formula>$C21="Meta"</formula>
    </cfRule>
  </conditionalFormatting>
  <conditionalFormatting sqref="Q21:Q22">
    <cfRule type="expression" priority="34" dxfId="3" stopIfTrue="1">
      <formula>NOT($Y21)</formula>
    </cfRule>
    <cfRule type="expression" priority="35" dxfId="5" stopIfTrue="1">
      <formula>$C21="Meta"</formula>
    </cfRule>
  </conditionalFormatting>
  <conditionalFormatting sqref="L21:O22">
    <cfRule type="cellIs" priority="36" dxfId="4" operator="notBetween" stopIfTrue="1">
      <formula>0</formula>
      <formula>ABS($O21)</formula>
    </cfRule>
    <cfRule type="expression" priority="37" dxfId="6" stopIfTrue="1">
      <formula>$Y21=0</formula>
    </cfRule>
    <cfRule type="expression" priority="38" dxfId="0" stopIfTrue="1">
      <formula>$C21="Meta"</formula>
    </cfRule>
  </conditionalFormatting>
  <conditionalFormatting sqref="K16:K25">
    <cfRule type="expression" priority="39" dxfId="2" stopIfTrue="1">
      <formula>NOT($Y16)</formula>
    </cfRule>
    <cfRule type="expression" priority="40" dxfId="0" stopIfTrue="1">
      <formula>$C16="Meta"</formula>
    </cfRule>
  </conditionalFormatting>
  <dataValidations count="14">
    <dataValidation allowBlank="1" showInputMessage="1" showErrorMessage="1" prompt="Preencha os valores nas colunas à direita." sqref="L11:O11 L16:O25">
      <formula1>0</formula1>
      <formula2>0</formula2>
    </dataValidation>
    <dataValidation type="whole" operator="greaterThan" allowBlank="1" showInputMessage="1" showErrorMessage="1" promptTitle="Totalizador da Etapa:" prompt="Digite o nº da Etapa para visualizar os valores totais." sqref="K32:K34">
      <formula1>0</formula1>
    </dataValidation>
    <dataValidation type="date" operator="greaterThan" allowBlank="1" showInputMessage="1" showErrorMessage="1" sqref="I37">
      <formula1>36526</formula1>
    </dataValidation>
    <dataValidation type="decimal" allowBlank="1" showInputMessage="1" showErrorMessage="1" promptTitle="Contrapartida Financeira:" prompt="Digite o valor de Contrapartida Financeira para esta Meta/Submeta." errorTitle="Erro de valor" error="Digite somente valor de 0,00 ao valor do Investimento. A Somatória dos valores não deve ultrapassar o valor de Investimento." sqref="S11 S16:S25">
      <formula1>0</formula1>
      <formula2>$O11-$T11</formula2>
    </dataValidation>
    <dataValidation type="decimal" allowBlank="1" showInputMessage="1" showErrorMessage="1" promptTitle="Contrapartida Física / Outros:" prompt="Digite o valor de Contrapartida Física / Outros para esta Meta/Submeta." errorTitle="Erro de valor" error="Digite somente valor de 0,00 ao valor do Investimento. A Somatória dos valores não deve ultrapassar o valor de Investimento." sqref="T11 T16:T25">
      <formula1>0</formula1>
      <formula2>$O11-$S11</formula2>
    </dataValidation>
    <dataValidation type="list" allowBlank="1" showInputMessage="1" showErrorMessage="1" promptTitle="Item de Investimento:" prompt="Selecione na lista." sqref="E11 E16:E25">
      <formula1>ItemInvestimento</formula1>
      <formula2>0</formula2>
    </dataValidation>
    <dataValidation type="whole" operator="greaterThan" allowBlank="1" showInputMessage="1" showErrorMessage="1" sqref="B11 B16:B25">
      <formula1>0</formula1>
    </dataValidation>
    <dataValidation type="list" allowBlank="1" showInputMessage="1" showErrorMessage="1" promptTitle="Meta / Sub-Meta" prompt="Selecione na lista." sqref="C11 C17:C25">
      <formula1>"Meta,Sub-Meta"</formula1>
      <formula2>0</formula2>
    </dataValidation>
    <dataValidation type="list" allowBlank="1" showInputMessage="1" showErrorMessage="1" promptTitle="Sub-Item de Investimento:" prompt="Selecione na lista." sqref="F11 F16:F25">
      <formula1>SubItemInvestimento</formula1>
      <formula2>0</formula2>
    </dataValidation>
    <dataValidation type="list" allowBlank="1" showInputMessage="1" showErrorMessage="1" promptTitle="Divisão do Investimento:" prompt="Selecione na lista." errorTitle="Erro de Entrada" error="Selecione somente os valores da lista." sqref="R11 R16:R25">
      <formula1>"Proporcional,Calculado"</formula1>
      <formula2>0</formula2>
    </dataValidation>
    <dataValidation type="decimal" operator="greaterThanOrEqual" allowBlank="1" showInputMessage="1" showErrorMessage="1" errorTitle="Erro de valor" error="Digite somente valores maiores ou iguais a 0." sqref="Q11 Q16:Q25">
      <formula1>0</formula1>
    </dataValidation>
    <dataValidation type="decimal" operator="greaterThan" allowBlank="1" showInputMessage="1" showErrorMessage="1" sqref="I11 I16:I25">
      <formula1>0</formula1>
    </dataValidation>
    <dataValidation type="list" allowBlank="1" showInputMessage="1" showErrorMessage="1" promptTitle="Situação:" prompt="Selecione na lista." sqref="H11 H16:H25">
      <formula1>"Sem Projeto,Em Análise,Análise Concluída / A Licitar,Licitado / Em Execução,Concluído"</formula1>
      <formula2>0</formula2>
    </dataValidation>
    <dataValidation type="list" allowBlank="1" showInputMessage="1" promptTitle="Lote de Licitação / nº CTEF:" prompt="Para Metas / Sub-Metas não licitadas, selecione na lista o Lote de Licitação.&#10;Para Metas / Sub-Metas licitadas, selecione o nº do CTEF." sqref="K11 K16:K25">
      <formula1>IF(OR($H11="Sem Projeto",$H11="Em Análise",$H11="Análise Concluída / a licitar"),I.Lotes,I.CTEF)</formula1>
      <formula2>0</formula2>
    </dataValidation>
  </dataValidations>
  <printOptions/>
  <pageMargins left="0.7875" right="0.7875" top="0.7868055555555555" bottom="0.7868055555555555" header="0.5902777777777778" footer="0.5902777777777778"/>
  <pageSetup fitToHeight="0" fitToWidth="1" horizontalDpi="300" verticalDpi="300" orientation="landscape" paperSize="9"/>
  <headerFooter alignWithMargins="0">
    <oddHeader>&amp;C&amp;14I</oddHeader>
    <oddFooter>&amp;L41.211 v009  micro&amp;R&amp;N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showGridLines="0" zoomScaleSheetLayoutView="10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A1" sqref="A1"/>
    </sheetView>
  </sheetViews>
  <sheetFormatPr defaultColWidth="2.28125" defaultRowHeight="12.75"/>
  <cols>
    <col min="1" max="1" width="8.7109375" style="5" hidden="1" customWidth="1"/>
    <col min="2" max="2" width="13.7109375" style="5" hidden="1" customWidth="1"/>
    <col min="3" max="3" width="17.7109375" style="5" hidden="1" customWidth="1"/>
    <col min="4" max="4" width="1.57421875" style="5" hidden="1" customWidth="1"/>
    <col min="5" max="5" width="4.7109375" style="5" customWidth="1"/>
    <col min="6" max="6" width="9.7109375" style="5" customWidth="1"/>
    <col min="7" max="7" width="5.7109375" style="5" customWidth="1"/>
    <col min="8" max="8" width="32.7109375" style="5" customWidth="1"/>
    <col min="9" max="9" width="17.7109375" style="5" customWidth="1"/>
    <col min="10" max="10" width="14.7109375" style="5" customWidth="1"/>
    <col min="11" max="18" width="17.7109375" style="5" customWidth="1"/>
    <col min="19" max="19" width="0.85546875" style="5" customWidth="1"/>
    <col min="20" max="23" width="3.28125" style="5" customWidth="1"/>
    <col min="24" max="24" width="17.7109375" style="5" hidden="1" customWidth="1"/>
    <col min="25" max="16384" width="3.28125" style="5" customWidth="1"/>
  </cols>
  <sheetData>
    <row r="1" spans="6:19" ht="12.75">
      <c r="F1" s="58"/>
      <c r="G1" s="70"/>
      <c r="H1" s="70"/>
      <c r="J1" s="58"/>
      <c r="R1" s="59">
        <f>QCI!$O$2</f>
        <v>0</v>
      </c>
      <c r="S1" s="58"/>
    </row>
    <row r="2" spans="10:18" ht="12.75">
      <c r="J2" s="170"/>
      <c r="K2" s="171" t="s">
        <v>99</v>
      </c>
      <c r="L2" s="171"/>
      <c r="M2" s="171"/>
      <c r="N2" s="171"/>
      <c r="O2" s="171"/>
      <c r="P2" s="171"/>
      <c r="Q2" s="171"/>
      <c r="R2" s="61">
        <f>QCI!$O$3</f>
        <v>0</v>
      </c>
    </row>
    <row r="3" spans="7:18" ht="9.75" customHeight="1">
      <c r="G3" s="172"/>
      <c r="I3" s="172"/>
      <c r="J3" s="172"/>
      <c r="K3" s="173"/>
      <c r="L3" s="173"/>
      <c r="M3" s="173"/>
      <c r="N3" s="173"/>
      <c r="O3" s="173"/>
      <c r="P3" s="173"/>
      <c r="Q3" s="173"/>
      <c r="R3" s="174"/>
    </row>
    <row r="4" ht="105" customHeight="1"/>
    <row r="5" spans="2:10" ht="24.75" customHeight="1">
      <c r="B5" s="175" t="s">
        <v>100</v>
      </c>
      <c r="E5" s="176">
        <f ca="1">CHOOSE(1+LOG(1+2*(OFFSET(S16,0,-1)&lt;&gt;$I$16)+4*(COUNTIF($K$15:$S$15,"&gt;1")&gt;0)+8*(OFFSET(S19,0,-1)&lt;&gt;$I$19)+16*(ROUND($I$19,2)=0),2),"","ERRO: DIVISÃO DO INVESTIMENTO NÃO CONFERE","ERRO: PARCELAS MAIORES QUE 100%","ERRO: CRONOGRAMA NÃO FECHA EM 100%","")</f>
        <v>0</v>
      </c>
      <c r="F5" s="176"/>
      <c r="G5" s="176"/>
      <c r="H5" s="177"/>
      <c r="I5" s="178">
        <f>IF($B$6=2,"Qtde de Medições realizadas","")</f>
        <v>0</v>
      </c>
      <c r="J5" s="178">
        <f>IF($B$6=2,"Reinício Previsto","Início Previsto")</f>
        <v>0</v>
      </c>
    </row>
    <row r="6" spans="2:24" ht="13.5" customHeight="1">
      <c r="B6" s="179">
        <v>1</v>
      </c>
      <c r="E6" s="176"/>
      <c r="F6" s="176"/>
      <c r="G6" s="176"/>
      <c r="H6" s="60"/>
      <c r="I6" s="180">
        <v>1</v>
      </c>
      <c r="J6" s="181">
        <v>42948</v>
      </c>
      <c r="K6" s="182"/>
      <c r="X6" s="182"/>
    </row>
    <row r="7" spans="10:24" ht="12.75" customHeight="1">
      <c r="J7" s="183">
        <f>IF(AND($B$6=2,$I$6&gt;0),$I$6-1,0)</f>
        <v>0</v>
      </c>
      <c r="K7" s="183">
        <f ca="1">OFFSET(K7,0,-1)+1</f>
        <v>1</v>
      </c>
      <c r="L7" s="183">
        <f ca="1">OFFSET(L7,0,-1)+1</f>
        <v>2</v>
      </c>
      <c r="M7" s="183">
        <f ca="1">OFFSET(M7,0,-1)+1</f>
        <v>3</v>
      </c>
      <c r="N7" s="183">
        <f ca="1">OFFSET(N7,0,-1)+1</f>
        <v>4</v>
      </c>
      <c r="O7" s="183">
        <f ca="1">OFFSET(O7,0,-1)+1</f>
        <v>5</v>
      </c>
      <c r="P7" s="183">
        <f ca="1">OFFSET(P7,0,-1)+1</f>
        <v>6</v>
      </c>
      <c r="Q7" s="183">
        <f ca="1">OFFSET(Q7,0,-1)+1</f>
        <v>7</v>
      </c>
      <c r="R7" s="183">
        <f ca="1">OFFSET(R7,0,-1)+1</f>
        <v>8</v>
      </c>
      <c r="X7" s="183">
        <f ca="1">OFFSET(X7,0,-1)+1</f>
        <v>1</v>
      </c>
    </row>
    <row r="8" spans="1:24" s="70" customFormat="1" ht="12.75" customHeight="1">
      <c r="A8" s="175"/>
      <c r="E8" s="184" t="s">
        <v>62</v>
      </c>
      <c r="F8" s="185" t="s">
        <v>63</v>
      </c>
      <c r="G8" s="185"/>
      <c r="H8" s="186" t="s">
        <v>66</v>
      </c>
      <c r="I8" s="187" t="s">
        <v>101</v>
      </c>
      <c r="J8" s="188"/>
      <c r="K8" s="189">
        <f>IF(K7=0,CONCATENATE("Parcela ",$I$6),CONCATENATE("Parcela ",K7))</f>
        <v>0</v>
      </c>
      <c r="L8" s="190">
        <f>IF(L7=0,CONCATENATE("Parcela ",$I$6),CONCATENATE("Parcela ",L7))</f>
        <v>0</v>
      </c>
      <c r="M8" s="190">
        <f>IF(M7=0,CONCATENATE("Parcela ",$I$6),CONCATENATE("Parcela ",M7))</f>
        <v>0</v>
      </c>
      <c r="N8" s="190">
        <f>IF(N7=0,CONCATENATE("Parcela ",$I$6),CONCATENATE("Parcela ",N7))</f>
        <v>0</v>
      </c>
      <c r="O8" s="190">
        <f>IF(O7=0,CONCATENATE("Parcela ",$I$6),CONCATENATE("Parcela ",O7))</f>
        <v>0</v>
      </c>
      <c r="P8" s="190">
        <f>IF(P7=0,CONCATENATE("Parcela ",$I$6),CONCATENATE("Parcela ",P7))</f>
        <v>0</v>
      </c>
      <c r="Q8" s="190">
        <f>IF(Q7=0,CONCATENATE("Parcela ",$I$6),CONCATENATE("Parcela ",Q7))</f>
        <v>0</v>
      </c>
      <c r="R8" s="191">
        <f>IF(R7=0,CONCATENATE("Parcela ",$I$6),CONCATENATE("Parcela ",R7))</f>
        <v>0</v>
      </c>
      <c r="S8" s="192"/>
      <c r="X8" s="190">
        <f>IF(X7=0,CONCATENATE("Parcela ",$I$6),CONCATENATE("Parcela ",X7))</f>
        <v>0</v>
      </c>
    </row>
    <row r="9" spans="1:24" s="70" customFormat="1" ht="13.5" customHeight="1">
      <c r="A9" s="82" t="s">
        <v>77</v>
      </c>
      <c r="B9" s="82" t="s">
        <v>102</v>
      </c>
      <c r="C9" s="22" t="s">
        <v>103</v>
      </c>
      <c r="E9" s="184"/>
      <c r="F9" s="185"/>
      <c r="G9" s="185"/>
      <c r="H9" s="186"/>
      <c r="I9" s="187"/>
      <c r="J9" s="193"/>
      <c r="K9" s="194">
        <f>IF(AND($B$6=2,$I$6&gt;0,J8=0),"Executado",DATE(YEAR($J$6),MONTH($J$6)+K7-IF(AND($B$6=2,$I$6&gt;0),$I$6,0),1))</f>
        <v>42979</v>
      </c>
      <c r="L9" s="195">
        <f>IF(AND($B$6=2,$I$6&gt;0,K8=0),"Executado",DATE(YEAR($J$6),MONTH($J$6)+L7-IF(AND($B$6=2,$I$6&gt;0),$I$6,0),1))</f>
        <v>43009</v>
      </c>
      <c r="M9" s="195">
        <f>IF(AND($B$6=2,$I$6&gt;0,L8=0),"Executado",DATE(YEAR($J$6),MONTH($J$6)+M7-IF(AND($B$6=2,$I$6&gt;0),$I$6,0),1))</f>
        <v>43040</v>
      </c>
      <c r="N9" s="195">
        <f>IF(AND($B$6=2,$I$6&gt;0,M8=0),"Executado",DATE(YEAR($J$6),MONTH($J$6)+N7-IF(AND($B$6=2,$I$6&gt;0),$I$6,0),1))</f>
        <v>43070</v>
      </c>
      <c r="O9" s="195">
        <f>IF(AND($B$6=2,$I$6&gt;0,N8=0),"Executado",DATE(YEAR($J$6),MONTH($J$6)+O7-IF(AND($B$6=2,$I$6&gt;0),$I$6,0),1))</f>
        <v>43101</v>
      </c>
      <c r="P9" s="195">
        <f>IF(AND($B$6=2,$I$6&gt;0,O8=0),"Executado",DATE(YEAR($J$6),MONTH($J$6)+P7-IF(AND($B$6=2,$I$6&gt;0),$I$6,0),1))</f>
        <v>43132</v>
      </c>
      <c r="Q9" s="195">
        <f>IF(AND($B$6=2,$I$6&gt;0,P8=0),"Executado",DATE(YEAR($J$6),MONTH($J$6)+Q7-IF(AND($B$6=2,$I$6&gt;0),$I$6,0),1))</f>
        <v>43160</v>
      </c>
      <c r="R9" s="196">
        <f>IF(AND($B$6=2,$I$6&gt;0,Q8=0),"Executado",DATE(YEAR($J$6),MONTH($J$6)+R7-IF(AND($B$6=2,$I$6&gt;0),$I$6,0),1))</f>
        <v>43191</v>
      </c>
      <c r="S9" s="192"/>
      <c r="X9" s="195">
        <f>IF(AND($B$6=2,$I$6&gt;0,W8=0),"Executado",DATE(YEAR($J$6),MONTH($J$6)+X7-IF(AND($B$6=2,$I$6&gt;0),$I$6,0),1))</f>
        <v>42979</v>
      </c>
    </row>
    <row r="10" spans="1:24" ht="12" customHeight="1">
      <c r="A10" s="65"/>
      <c r="B10" s="65"/>
      <c r="D10" s="65"/>
      <c r="E10" s="108"/>
      <c r="F10" s="197"/>
      <c r="G10" s="198"/>
      <c r="H10" s="199" t="s">
        <v>104</v>
      </c>
      <c r="I10" s="200">
        <v>0</v>
      </c>
      <c r="J10" s="201" t="s">
        <v>105</v>
      </c>
      <c r="K10" s="202">
        <f aca="true" t="shared" si="0" ref="K10:K14">IF(COLUMN()-COLUMN($J$8)&gt;1,K15-J15,K15)</f>
        <v>0</v>
      </c>
      <c r="L10" s="203">
        <f aca="true" t="shared" si="1" ref="L10:L14">IF(COLUMN()-COLUMN($J$8)&gt;1,L15-K15,L15)</f>
        <v>0</v>
      </c>
      <c r="M10" s="203">
        <f aca="true" t="shared" si="2" ref="M10:M14">IF(COLUMN()-COLUMN($J$8)&gt;1,M15-L15,M15)</f>
        <v>0</v>
      </c>
      <c r="N10" s="203">
        <f aca="true" t="shared" si="3" ref="N10:N14">IF(COLUMN()-COLUMN($J$8)&gt;1,N15-M15,N15)</f>
        <v>0</v>
      </c>
      <c r="O10" s="203">
        <f aca="true" t="shared" si="4" ref="O10:O14">IF(COLUMN()-COLUMN($J$8)&gt;1,O15-N15,O15)</f>
        <v>0</v>
      </c>
      <c r="P10" s="203">
        <f aca="true" t="shared" si="5" ref="P10:P14">IF(COLUMN()-COLUMN($J$8)&gt;1,P15-O15,P15)</f>
        <v>0</v>
      </c>
      <c r="Q10" s="203">
        <f aca="true" t="shared" si="6" ref="Q10:Q14">IF(COLUMN()-COLUMN($J$8)&gt;1,Q15-P15,Q15)</f>
        <v>0</v>
      </c>
      <c r="R10" s="204">
        <f aca="true" t="shared" si="7" ref="R10:R14">IF(COLUMN()-COLUMN($J$8)&gt;1,R15-Q15,R15)</f>
        <v>0</v>
      </c>
      <c r="S10" s="205"/>
      <c r="T10" s="65"/>
      <c r="U10" s="65"/>
      <c r="X10" s="203">
        <f aca="true" t="shared" si="8" ref="X10:X14">IF(COLUMN()-COLUMN($J$8)&gt;1,X15-W15,X15)</f>
        <v>0</v>
      </c>
    </row>
    <row r="11" spans="1:24" ht="12" customHeight="1">
      <c r="A11" s="10"/>
      <c r="B11" s="206">
        <f aca="true" t="shared" si="9" ref="B11:B14">J11</f>
        <v>0</v>
      </c>
      <c r="D11" s="65"/>
      <c r="E11" s="207"/>
      <c r="F11" s="208"/>
      <c r="G11" s="209"/>
      <c r="H11" s="199"/>
      <c r="I11" s="210">
        <v>0</v>
      </c>
      <c r="J11" s="211">
        <f>IF(DADOS!$J$22="FGTS","Financ. (R$)","Repasse (R$)")</f>
        <v>0</v>
      </c>
      <c r="K11" s="212">
        <f t="shared" si="0"/>
        <v>0</v>
      </c>
      <c r="L11" s="213">
        <f t="shared" si="1"/>
        <v>0</v>
      </c>
      <c r="M11" s="213">
        <f t="shared" si="2"/>
        <v>0</v>
      </c>
      <c r="N11" s="213">
        <f t="shared" si="3"/>
        <v>0</v>
      </c>
      <c r="O11" s="213">
        <f t="shared" si="4"/>
        <v>0</v>
      </c>
      <c r="P11" s="213">
        <f t="shared" si="5"/>
        <v>0</v>
      </c>
      <c r="Q11" s="213">
        <f t="shared" si="6"/>
        <v>0</v>
      </c>
      <c r="R11" s="214">
        <f t="shared" si="7"/>
        <v>0</v>
      </c>
      <c r="S11" s="205"/>
      <c r="T11" s="65"/>
      <c r="U11" s="65"/>
      <c r="X11" s="213">
        <f t="shared" si="8"/>
        <v>0</v>
      </c>
    </row>
    <row r="12" spans="1:24" ht="12" customHeight="1">
      <c r="A12" s="10"/>
      <c r="B12" s="206">
        <f t="shared" si="9"/>
        <v>0</v>
      </c>
      <c r="D12" s="65"/>
      <c r="E12" s="207"/>
      <c r="F12" s="208"/>
      <c r="G12" s="209"/>
      <c r="H12" s="199"/>
      <c r="I12" s="210">
        <v>0</v>
      </c>
      <c r="J12" s="211" t="s">
        <v>106</v>
      </c>
      <c r="K12" s="212">
        <f t="shared" si="0"/>
        <v>0</v>
      </c>
      <c r="L12" s="213">
        <f t="shared" si="1"/>
        <v>0</v>
      </c>
      <c r="M12" s="213">
        <f t="shared" si="2"/>
        <v>0</v>
      </c>
      <c r="N12" s="213">
        <f t="shared" si="3"/>
        <v>0</v>
      </c>
      <c r="O12" s="213">
        <f t="shared" si="4"/>
        <v>0</v>
      </c>
      <c r="P12" s="213">
        <f t="shared" si="5"/>
        <v>0</v>
      </c>
      <c r="Q12" s="213">
        <f t="shared" si="6"/>
        <v>0</v>
      </c>
      <c r="R12" s="214">
        <f t="shared" si="7"/>
        <v>0</v>
      </c>
      <c r="S12" s="205"/>
      <c r="T12" s="65"/>
      <c r="U12" s="65"/>
      <c r="X12" s="213">
        <f t="shared" si="8"/>
        <v>0</v>
      </c>
    </row>
    <row r="13" spans="1:24" ht="12" customHeight="1">
      <c r="A13" s="10"/>
      <c r="B13" s="206">
        <f t="shared" si="9"/>
        <v>0</v>
      </c>
      <c r="D13" s="65"/>
      <c r="E13" s="207"/>
      <c r="F13" s="208"/>
      <c r="G13" s="209"/>
      <c r="H13" s="199"/>
      <c r="I13" s="210">
        <v>0</v>
      </c>
      <c r="J13" s="211">
        <f>IF(QCI!$N$9="Outros","Outros (R$)","CP Fis. (R$)")</f>
        <v>0</v>
      </c>
      <c r="K13" s="212">
        <f t="shared" si="0"/>
        <v>0</v>
      </c>
      <c r="L13" s="213">
        <f t="shared" si="1"/>
        <v>0</v>
      </c>
      <c r="M13" s="213">
        <f t="shared" si="2"/>
        <v>0</v>
      </c>
      <c r="N13" s="213">
        <f t="shared" si="3"/>
        <v>0</v>
      </c>
      <c r="O13" s="213">
        <f t="shared" si="4"/>
        <v>0</v>
      </c>
      <c r="P13" s="213">
        <f t="shared" si="5"/>
        <v>0</v>
      </c>
      <c r="Q13" s="213">
        <f t="shared" si="6"/>
        <v>0</v>
      </c>
      <c r="R13" s="214">
        <f t="shared" si="7"/>
        <v>0</v>
      </c>
      <c r="S13" s="205"/>
      <c r="T13" s="65"/>
      <c r="U13" s="65"/>
      <c r="X13" s="213">
        <f t="shared" si="8"/>
        <v>0</v>
      </c>
    </row>
    <row r="14" spans="1:24" ht="12" customHeight="1">
      <c r="A14" s="10"/>
      <c r="B14" s="206">
        <f t="shared" si="9"/>
        <v>0</v>
      </c>
      <c r="D14" s="65"/>
      <c r="E14" s="207"/>
      <c r="F14" s="208"/>
      <c r="G14" s="209"/>
      <c r="H14" s="199"/>
      <c r="I14" s="215">
        <v>0</v>
      </c>
      <c r="J14" s="216" t="s">
        <v>107</v>
      </c>
      <c r="K14" s="217">
        <f t="shared" si="0"/>
        <v>0</v>
      </c>
      <c r="L14" s="218">
        <f t="shared" si="1"/>
        <v>0</v>
      </c>
      <c r="M14" s="218">
        <f t="shared" si="2"/>
        <v>0</v>
      </c>
      <c r="N14" s="218">
        <f t="shared" si="3"/>
        <v>0</v>
      </c>
      <c r="O14" s="218">
        <f t="shared" si="4"/>
        <v>0</v>
      </c>
      <c r="P14" s="218">
        <f t="shared" si="5"/>
        <v>0</v>
      </c>
      <c r="Q14" s="218">
        <f t="shared" si="6"/>
        <v>0</v>
      </c>
      <c r="R14" s="219">
        <f t="shared" si="7"/>
        <v>0</v>
      </c>
      <c r="S14" s="205"/>
      <c r="T14" s="65"/>
      <c r="U14" s="65"/>
      <c r="X14" s="218">
        <f t="shared" si="8"/>
        <v>0</v>
      </c>
    </row>
    <row r="15" spans="1:24" s="107" customFormat="1" ht="12" customHeight="1">
      <c r="A15" s="10"/>
      <c r="B15" s="206"/>
      <c r="E15" s="207"/>
      <c r="F15" s="208"/>
      <c r="G15" s="209"/>
      <c r="H15" s="220" t="s">
        <v>108</v>
      </c>
      <c r="I15" s="221">
        <v>0</v>
      </c>
      <c r="J15" s="201" t="s">
        <v>105</v>
      </c>
      <c r="K15" s="202">
        <f>ROUND(K19/$I19,4)</f>
        <v>0</v>
      </c>
      <c r="L15" s="203">
        <f>ROUND(L19/$I19,4)</f>
        <v>0</v>
      </c>
      <c r="M15" s="203">
        <f>ROUND(M19/$I19,4)</f>
        <v>0</v>
      </c>
      <c r="N15" s="203">
        <f>ROUND(N19/$I19,4)</f>
        <v>0</v>
      </c>
      <c r="O15" s="203">
        <f>ROUND(O19/$I19,4)</f>
        <v>0</v>
      </c>
      <c r="P15" s="203">
        <f>ROUND(P19/$I19,4)</f>
        <v>0</v>
      </c>
      <c r="Q15" s="203">
        <f>ROUND(Q19/$I19,4)</f>
        <v>0</v>
      </c>
      <c r="R15" s="204">
        <f>ROUND(R19/$I19,4)</f>
        <v>0</v>
      </c>
      <c r="S15" s="222"/>
      <c r="X15" s="203">
        <f>ROUND(X19/$I19,4)</f>
        <v>0</v>
      </c>
    </row>
    <row r="16" spans="1:24" s="107" customFormat="1" ht="12" customHeight="1">
      <c r="A16" s="10"/>
      <c r="B16" s="206">
        <f aca="true" t="shared" si="10" ref="B16:B19">J16</f>
        <v>0</v>
      </c>
      <c r="E16" s="207"/>
      <c r="F16" s="208"/>
      <c r="G16" s="209"/>
      <c r="H16" s="220"/>
      <c r="I16" s="223">
        <f>QCI!$L$15</f>
        <v>0</v>
      </c>
      <c r="J16" s="211">
        <f>J11</f>
        <v>0</v>
      </c>
      <c r="K16" s="212">
        <f>IF(K19=$I$19,$I$16,ROUND(K19,2)-ROUND(K18,2)-ROUND(K17,2))</f>
        <v>0</v>
      </c>
      <c r="L16" s="213">
        <f>IF(L19=$I$19,$I$16,ROUND(L19,2)-ROUND(L18,2)-ROUND(L17,2))</f>
        <v>0</v>
      </c>
      <c r="M16" s="213">
        <f>IF(M19=$I$19,$I$16,ROUND(M19,2)-ROUND(M18,2)-ROUND(M17,2))</f>
        <v>0</v>
      </c>
      <c r="N16" s="213">
        <f>IF(N19=$I$19,$I$16,ROUND(N19,2)-ROUND(N18,2)-ROUND(N17,2))</f>
        <v>0</v>
      </c>
      <c r="O16" s="213">
        <f>IF(O19=$I$19,$I$16,ROUND(O19,2)-ROUND(O18,2)-ROUND(O17,2))</f>
        <v>0</v>
      </c>
      <c r="P16" s="213">
        <f>IF(P19=$I$19,$I$16,ROUND(P19,2)-ROUND(P18,2)-ROUND(P17,2))</f>
        <v>0</v>
      </c>
      <c r="Q16" s="213">
        <f>IF(Q19=$I$19,$I$16,ROUND(Q19,2)-ROUND(Q18,2)-ROUND(Q17,2))</f>
        <v>0</v>
      </c>
      <c r="R16" s="214">
        <f>IF(R19=$I$19,$I$16,ROUND(R19,2)-ROUND(R18,2)-ROUND(R17,2))</f>
        <v>0</v>
      </c>
      <c r="S16" s="222"/>
      <c r="X16" s="213">
        <f>IF(X19=$I$19,$I$16,ROUND(X19,2)-ROUND(X18,2)-ROUND(X17,2))</f>
        <v>0</v>
      </c>
    </row>
    <row r="17" spans="1:24" s="107" customFormat="1" ht="12" customHeight="1">
      <c r="A17" s="10">
        <f aca="true" t="shared" si="11" ref="A17:A19">ROW($A$70)-ROW()-1</f>
        <v>52</v>
      </c>
      <c r="B17" s="206">
        <f t="shared" si="10"/>
        <v>0</v>
      </c>
      <c r="E17" s="207"/>
      <c r="F17" s="208"/>
      <c r="G17" s="209"/>
      <c r="H17" s="220"/>
      <c r="I17" s="223">
        <f>QCI!$M$15</f>
        <v>0</v>
      </c>
      <c r="J17" s="211" t="s">
        <v>106</v>
      </c>
      <c r="K17" s="224">
        <f aca="true" ca="1" t="shared" si="12" ref="K17:K18">IF(K$14&lt;SumCrono-IF(ISNUMBER(J17),J17,0),K$14+IF(ISNUMBER(J17),J17,0),MAX(SumCrono,IF(ISNUMBER(J17),J17,0)))</f>
        <v>0</v>
      </c>
      <c r="L17" s="225">
        <f aca="true" ca="1" t="shared" si="13" ref="L17:L18">IF(L$14&lt;SumCrono-IF(ISNUMBER(K17),K17,0),L$14+IF(ISNUMBER(K17),K17,0),MAX(SumCrono,IF(ISNUMBER(K17),K17,0)))</f>
        <v>0</v>
      </c>
      <c r="M17" s="225">
        <f aca="true" ca="1" t="shared" si="14" ref="M17:M18">IF(M$14&lt;SumCrono-IF(ISNUMBER(L17),L17,0),M$14+IF(ISNUMBER(L17),L17,0),MAX(SumCrono,IF(ISNUMBER(L17),L17,0)))</f>
        <v>0</v>
      </c>
      <c r="N17" s="225">
        <f aca="true" ca="1" t="shared" si="15" ref="N17:N18">IF(N$14&lt;SumCrono-IF(ISNUMBER(M17),M17,0),N$14+IF(ISNUMBER(M17),M17,0),MAX(SumCrono,IF(ISNUMBER(M17),M17,0)))</f>
        <v>0</v>
      </c>
      <c r="O17" s="225">
        <f aca="true" ca="1" t="shared" si="16" ref="O17:O18">IF(O$14&lt;SumCrono-IF(ISNUMBER(N17),N17,0),O$14+IF(ISNUMBER(N17),N17,0),MAX(SumCrono,IF(ISNUMBER(N17),N17,0)))</f>
        <v>0</v>
      </c>
      <c r="P17" s="225">
        <f aca="true" ca="1" t="shared" si="17" ref="P17:P18">IF(P$14&lt;SumCrono-IF(ISNUMBER(O17),O17,0),P$14+IF(ISNUMBER(O17),O17,0),MAX(SumCrono,IF(ISNUMBER(O17),O17,0)))</f>
        <v>0</v>
      </c>
      <c r="Q17" s="225">
        <f aca="true" ca="1" t="shared" si="18" ref="Q17:Q18">IF(Q$14&lt;SumCrono-IF(ISNUMBER(P17),P17,0),Q$14+IF(ISNUMBER(P17),P17,0),MAX(SumCrono,IF(ISNUMBER(P17),P17,0)))</f>
        <v>0</v>
      </c>
      <c r="R17" s="226">
        <f aca="true" ca="1" t="shared" si="19" ref="R17:R18">IF(R$14&lt;SumCrono-IF(ISNUMBER(Q17),Q17,0),R$14+IF(ISNUMBER(Q17),Q17,0),MAX(SumCrono,IF(ISNUMBER(Q17),Q17,0)))</f>
        <v>0</v>
      </c>
      <c r="S17" s="222"/>
      <c r="X17" s="225">
        <f aca="true" ca="1" t="shared" si="20" ref="X17:X18">IF(X$14&lt;SumCrono-IF(ISNUMBER(W17),W17,0),X$14+IF(ISNUMBER(W17),W17,0),MAX(SumCrono,IF(ISNUMBER(W17),W17,0)))</f>
        <v>0</v>
      </c>
    </row>
    <row r="18" spans="1:24" s="107" customFormat="1" ht="12" customHeight="1">
      <c r="A18" s="10">
        <f t="shared" si="11"/>
        <v>51</v>
      </c>
      <c r="B18" s="206">
        <f t="shared" si="10"/>
        <v>0</v>
      </c>
      <c r="E18" s="207"/>
      <c r="F18" s="208"/>
      <c r="G18" s="209"/>
      <c r="H18" s="220"/>
      <c r="I18" s="223">
        <f>QCI!$N$15</f>
        <v>0</v>
      </c>
      <c r="J18" s="211">
        <f>IF(QCI!$N$9="Outros","Outros (R$)","CP Fis. (R$)")</f>
        <v>0</v>
      </c>
      <c r="K18" s="224">
        <f ca="1" t="shared" si="12"/>
        <v>0</v>
      </c>
      <c r="L18" s="225">
        <f ca="1" t="shared" si="13"/>
        <v>0</v>
      </c>
      <c r="M18" s="225">
        <f ca="1" t="shared" si="14"/>
        <v>0</v>
      </c>
      <c r="N18" s="225">
        <f ca="1" t="shared" si="15"/>
        <v>0</v>
      </c>
      <c r="O18" s="225">
        <f ca="1" t="shared" si="16"/>
        <v>0</v>
      </c>
      <c r="P18" s="225">
        <f ca="1" t="shared" si="17"/>
        <v>0</v>
      </c>
      <c r="Q18" s="225">
        <f ca="1" t="shared" si="18"/>
        <v>0</v>
      </c>
      <c r="R18" s="226">
        <f ca="1" t="shared" si="19"/>
        <v>0</v>
      </c>
      <c r="S18" s="222"/>
      <c r="X18" s="225">
        <f ca="1" t="shared" si="20"/>
        <v>0</v>
      </c>
    </row>
    <row r="19" spans="1:24" s="107" customFormat="1" ht="12" customHeight="1">
      <c r="A19" s="10">
        <f t="shared" si="11"/>
        <v>50</v>
      </c>
      <c r="B19" s="206">
        <f t="shared" si="10"/>
        <v>0</v>
      </c>
      <c r="E19" s="121"/>
      <c r="F19" s="227"/>
      <c r="G19" s="228"/>
      <c r="H19" s="220"/>
      <c r="I19" s="229">
        <f>IF(QCI!$O$15=0,10^-12,QCI!$O$15)</f>
        <v>1E-12</v>
      </c>
      <c r="J19" s="216" t="s">
        <v>109</v>
      </c>
      <c r="K19" s="217">
        <f ca="1">IF(ISNUMBER(J19),IF(J19&gt;SumCrono,J19,SumCrono),SumCrono)</f>
        <v>0</v>
      </c>
      <c r="L19" s="218">
        <f ca="1">IF(ISNUMBER(K19),IF(K19&gt;SumCrono,K19,SumCrono),SumCrono)</f>
        <v>0</v>
      </c>
      <c r="M19" s="218">
        <f ca="1">IF(ISNUMBER(L19),IF(L19&gt;SumCrono,L19,SumCrono),SumCrono)</f>
        <v>0</v>
      </c>
      <c r="N19" s="218">
        <f ca="1">IF(ISNUMBER(M19),IF(M19&gt;SumCrono,M19,SumCrono),SumCrono)</f>
        <v>0</v>
      </c>
      <c r="O19" s="218">
        <f ca="1">IF(ISNUMBER(N19),IF(N19&gt;SumCrono,N19,SumCrono),SumCrono)</f>
        <v>0</v>
      </c>
      <c r="P19" s="218">
        <f ca="1">IF(ISNUMBER(O19),IF(O19&gt;SumCrono,O19,SumCrono),SumCrono)</f>
        <v>0</v>
      </c>
      <c r="Q19" s="218">
        <f ca="1">IF(ISNUMBER(P19),IF(P19&gt;SumCrono,P19,SumCrono),SumCrono)</f>
        <v>0</v>
      </c>
      <c r="R19" s="219">
        <f ca="1">IF(ISNUMBER(Q19),IF(Q19&gt;SumCrono,Q19,SumCrono),SumCrono)</f>
        <v>0</v>
      </c>
      <c r="S19" s="222"/>
      <c r="X19" s="218">
        <f ca="1">IF(ISNUMBER(W19),IF(W19&gt;SumCrono,W19,SumCrono),SumCrono)</f>
        <v>0</v>
      </c>
    </row>
    <row r="20" spans="1:24" ht="12.75" customHeight="1">
      <c r="A20" s="104">
        <f ca="1">OFFSET(QCI!X$16,(ROW(A20)-ROW(A$20))/numlinhaCrono,0)*numlinhaCrono</f>
        <v>0</v>
      </c>
      <c r="B20" s="104">
        <f ca="1">OFFSET(QCI!Y$16,(ROW(B20)-ROW(B$20))/numlinhaCrono,0)</f>
        <v>1</v>
      </c>
      <c r="C20" s="87"/>
      <c r="D20" s="87"/>
      <c r="E20" s="230">
        <f ca="1">OFFSET(QCI!B$16,(ROW(E20)-ROW(E$20))/numlinhaCrono,0)</f>
        <v>1</v>
      </c>
      <c r="F20" s="231">
        <f ca="1">OFFSET(QCI!C$16,(ROW(F20)-ROW(F$20))/numlinhaCrono,0)</f>
        <v>0</v>
      </c>
      <c r="G20" s="232">
        <f ca="1">OFFSET(QCI!D$16,(ROW(G20)-ROW(G$20))/numlinhaCrono,0)</f>
        <v>0</v>
      </c>
      <c r="H20" s="233">
        <f ca="1">OFFSET(QCI!G$16,(ROW(H20)-ROW(H$20))/numlinhaCrono,0)</f>
        <v>0</v>
      </c>
      <c r="I20" s="234">
        <f>C21</f>
        <v>0</v>
      </c>
      <c r="J20" s="235" t="s">
        <v>110</v>
      </c>
      <c r="K20" s="236">
        <f>IF($I20=0,0,MIN(1,MAX($K24:K24)/$I20))</f>
        <v>0</v>
      </c>
      <c r="L20" s="237">
        <f>IF($I20=0,0,MIN(1,MAX($K24:L24)/$I20))</f>
        <v>0</v>
      </c>
      <c r="M20" s="237">
        <f>IF($I20=0,0,MIN(1,MAX($K24:M24)/$I20))</f>
        <v>0</v>
      </c>
      <c r="N20" s="237">
        <f>IF($I20=0,0,MIN(1,MAX($K24:N24)/$I20))</f>
        <v>0</v>
      </c>
      <c r="O20" s="237">
        <f>IF($I20=0,0,MIN(1,MAX($K24:O24)/$I20))</f>
        <v>0</v>
      </c>
      <c r="P20" s="237">
        <f>IF($I20=0,0,MIN(1,MAX($K24:P24)/$I20))</f>
        <v>0</v>
      </c>
      <c r="Q20" s="237">
        <f>IF($I20=0,0,MIN(1,MAX($K24:Q24)/$I20))</f>
        <v>0</v>
      </c>
      <c r="R20" s="238">
        <f>IF($I20=0,0,MIN(1,MAX($K24:R24)/$I20))</f>
        <v>0</v>
      </c>
      <c r="S20" s="239"/>
      <c r="T20" s="87"/>
      <c r="U20" s="87"/>
      <c r="X20" s="237">
        <f>IF($I20=0,0,MIN(1,MAX($K24:X24)/$I20))</f>
        <v>0</v>
      </c>
    </row>
    <row r="21" spans="1:24" ht="12.75" customHeight="1">
      <c r="A21" s="104">
        <f aca="true" t="shared" si="21" ref="A21:A24">A20</f>
        <v>0</v>
      </c>
      <c r="B21" s="22"/>
      <c r="C21" s="240">
        <f ca="1">OFFSET(QCI!$O$16,(ROW()-ROW(C$20))/numlinhaCrono,0)</f>
        <v>0</v>
      </c>
      <c r="D21" s="87"/>
      <c r="E21" s="230"/>
      <c r="F21" s="231"/>
      <c r="G21" s="232"/>
      <c r="H21" s="233"/>
      <c r="I21" s="234"/>
      <c r="J21" s="241">
        <f>J$19</f>
        <v>0</v>
      </c>
      <c r="K21" s="242">
        <f>IF($B20,MAX($J24:J24),K24)</f>
        <v>0</v>
      </c>
      <c r="L21" s="243">
        <f>IF($B20,MAX($J24:K24),L24)</f>
        <v>0</v>
      </c>
      <c r="M21" s="243">
        <f>IF($B20,MAX($J24:L24),M24)</f>
        <v>0</v>
      </c>
      <c r="N21" s="243">
        <f>IF($B20,MAX($J24:M24),N24)</f>
        <v>0</v>
      </c>
      <c r="O21" s="243">
        <f>IF($B20,MAX($J24:N24),O24)</f>
        <v>0</v>
      </c>
      <c r="P21" s="243">
        <f>IF($B20,MAX($J24:O24),P24)</f>
        <v>0</v>
      </c>
      <c r="Q21" s="243">
        <f>IF($B20,MAX($J24:P24),Q24)</f>
        <v>0</v>
      </c>
      <c r="R21" s="244">
        <f>IF($B20,MAX($J24:Q24),R24)</f>
        <v>0</v>
      </c>
      <c r="S21" s="239"/>
      <c r="T21" s="87"/>
      <c r="U21" s="87"/>
      <c r="X21" s="243">
        <f>IF($B20,MAX($J24:W24),X24)</f>
        <v>0</v>
      </c>
    </row>
    <row r="22" spans="1:24" ht="12.75" customHeight="1" hidden="1">
      <c r="A22" s="104">
        <f t="shared" si="21"/>
        <v>0</v>
      </c>
      <c r="B22" s="240">
        <f>IF(AND($B20,$C22&gt;0),$J$17,"-")</f>
        <v>0</v>
      </c>
      <c r="C22" s="240">
        <f ca="1">OFFSET(QCI!$M$16,(ROW()-ROW(C$20))/numlinhaCrono,0)</f>
        <v>0</v>
      </c>
      <c r="D22" s="87"/>
      <c r="E22" s="245"/>
      <c r="F22" s="246"/>
      <c r="G22" s="247"/>
      <c r="H22" s="248"/>
      <c r="I22" s="234"/>
      <c r="J22" s="249">
        <f>J$17</f>
        <v>0</v>
      </c>
      <c r="K22" s="250">
        <f ca="1">IF($B20,ROUND($C22*K20,2),ROUND(SumCrono,2))</f>
        <v>0</v>
      </c>
      <c r="L22" s="251">
        <f ca="1">IF($B20,ROUND($C22*L20,2),ROUND(SumCrono,2))</f>
        <v>0</v>
      </c>
      <c r="M22" s="251">
        <f ca="1">IF($B20,ROUND($C22*M20,2),ROUND(SumCrono,2))</f>
        <v>0</v>
      </c>
      <c r="N22" s="251">
        <f ca="1">IF($B20,ROUND($C22*N20,2),ROUND(SumCrono,2))</f>
        <v>0</v>
      </c>
      <c r="O22" s="251">
        <f ca="1">IF($B20,ROUND($C22*O20,2),ROUND(SumCrono,2))</f>
        <v>0</v>
      </c>
      <c r="P22" s="251">
        <f ca="1">IF($B20,ROUND($C22*P20,2),ROUND(SumCrono,2))</f>
        <v>0</v>
      </c>
      <c r="Q22" s="251">
        <f ca="1">IF($B20,ROUND($C22*Q20,2),ROUND(SumCrono,2))</f>
        <v>0</v>
      </c>
      <c r="R22" s="252">
        <f ca="1">IF($B20,ROUND($C22*R20,2),ROUND(SumCrono,2))</f>
        <v>0</v>
      </c>
      <c r="S22" s="239"/>
      <c r="T22" s="87"/>
      <c r="U22" s="87"/>
      <c r="X22" s="251">
        <f ca="1">IF($B20,ROUND($C22*X20,2),ROUND(SumCrono,2))</f>
        <v>0</v>
      </c>
    </row>
    <row r="23" spans="1:24" ht="12.75" customHeight="1" hidden="1">
      <c r="A23" s="104">
        <f t="shared" si="21"/>
        <v>0</v>
      </c>
      <c r="B23" s="240">
        <f>IF(AND($B20,$C23&gt;0),$J$18,"-")</f>
        <v>0</v>
      </c>
      <c r="C23" s="240">
        <f ca="1">OFFSET(QCI!$N$16,(ROW()-ROW(C$20))/numlinhaCrono,0)</f>
        <v>0</v>
      </c>
      <c r="D23" s="87"/>
      <c r="E23" s="245"/>
      <c r="F23" s="246"/>
      <c r="G23" s="247"/>
      <c r="H23" s="248"/>
      <c r="I23" s="234"/>
      <c r="J23" s="249">
        <f>J$18</f>
        <v>0</v>
      </c>
      <c r="K23" s="250">
        <f ca="1">IF($B20,ROUND($C23*K20,2),ROUND(SumCrono,2))</f>
        <v>0</v>
      </c>
      <c r="L23" s="251">
        <f ca="1">IF($B20,ROUND($C23*L20,2),ROUND(SumCrono,2))</f>
        <v>0</v>
      </c>
      <c r="M23" s="251">
        <f ca="1">IF($B20,ROUND($C23*M20,2),ROUND(SumCrono,2))</f>
        <v>0</v>
      </c>
      <c r="N23" s="251">
        <f ca="1">IF($B20,ROUND($C23*N20,2),ROUND(SumCrono,2))</f>
        <v>0</v>
      </c>
      <c r="O23" s="251">
        <f ca="1">IF($B20,ROUND($C23*O20,2),ROUND(SumCrono,2))</f>
        <v>0</v>
      </c>
      <c r="P23" s="251">
        <f ca="1">IF($B20,ROUND($C23*P20,2),ROUND(SumCrono,2))</f>
        <v>0</v>
      </c>
      <c r="Q23" s="251">
        <f ca="1">IF($B20,ROUND($C23*Q20,2),ROUND(SumCrono,2))</f>
        <v>0</v>
      </c>
      <c r="R23" s="252">
        <f ca="1">IF($B20,ROUND($C23*R20,2),ROUND(SumCrono,2))</f>
        <v>0</v>
      </c>
      <c r="S23" s="239"/>
      <c r="T23" s="87"/>
      <c r="U23" s="87"/>
      <c r="X23" s="251">
        <f ca="1">IF($B20,ROUND($C23*X20,2),ROUND(SumCrono,2))</f>
        <v>0</v>
      </c>
    </row>
    <row r="24" spans="1:24" ht="12.75" customHeight="1" hidden="1">
      <c r="A24" s="104">
        <f t="shared" si="21"/>
        <v>0</v>
      </c>
      <c r="B24" s="240">
        <f>IF(AND($B20,$C21&gt;0),$J$19,"-")</f>
        <v>0</v>
      </c>
      <c r="C24" s="240">
        <f ca="1">OFFSET(QCI!$O$16,(ROW()-ROW(C$20))/numlinhaCrono,0)</f>
        <v>0</v>
      </c>
      <c r="D24" s="87"/>
      <c r="E24" s="245"/>
      <c r="F24" s="246"/>
      <c r="G24" s="247"/>
      <c r="H24" s="248"/>
      <c r="I24" s="234"/>
      <c r="J24" s="253">
        <f>J$19</f>
        <v>0</v>
      </c>
      <c r="K24" s="250">
        <f ca="1">IF($B20,MIN($C24,MAX($K21:K21)),SumCrono)</f>
        <v>0</v>
      </c>
      <c r="L24" s="251">
        <f ca="1">IF($B20,MIN($C24,MAX($K21:L21)),SumCrono)</f>
        <v>0</v>
      </c>
      <c r="M24" s="251">
        <f ca="1">IF($B20,MIN($C24,MAX($K21:M21)),SumCrono)</f>
        <v>0</v>
      </c>
      <c r="N24" s="251">
        <f ca="1">IF($B20,MIN($C24,MAX($K21:N21)),SumCrono)</f>
        <v>0</v>
      </c>
      <c r="O24" s="251">
        <f ca="1">IF($B20,MIN($C24,MAX($K21:O21)),SumCrono)</f>
        <v>0</v>
      </c>
      <c r="P24" s="251">
        <f ca="1">IF($B20,MIN($C24,MAX($K21:P21)),SumCrono)</f>
        <v>0</v>
      </c>
      <c r="Q24" s="251">
        <f ca="1">IF($B20,MIN($C24,MAX($K21:Q21)),SumCrono)</f>
        <v>0</v>
      </c>
      <c r="R24" s="252">
        <f ca="1">IF($B20,MIN($C24,MAX($K21:R21)),SumCrono)</f>
        <v>0</v>
      </c>
      <c r="S24" s="239"/>
      <c r="T24" s="87"/>
      <c r="U24" s="87"/>
      <c r="X24" s="251">
        <f ca="1">IF($B20,MIN($C24,MAX($K21:X21)),SumCrono)</f>
        <v>0</v>
      </c>
    </row>
    <row r="25" spans="1:24" ht="12.75" customHeight="1">
      <c r="A25" s="104">
        <f ca="1">OFFSET(QCI!X$16,(ROW(A25)-ROW(A$20))/numlinhaCrono,0)*numlinhaCrono</f>
        <v>0</v>
      </c>
      <c r="B25" s="104">
        <f ca="1">OFFSET(QCI!Y$16,(ROW(B25)-ROW(B$20))/numlinhaCrono,0)</f>
        <v>1</v>
      </c>
      <c r="C25" s="87"/>
      <c r="D25" s="87"/>
      <c r="E25" s="230">
        <f ca="1">OFFSET(QCI!B$16,(ROW(E25)-ROW(E$20))/numlinhaCrono,0)</f>
        <v>1</v>
      </c>
      <c r="F25" s="231">
        <f ca="1">OFFSET(QCI!C$16,(ROW(F25)-ROW(F$20))/numlinhaCrono,0)</f>
        <v>0</v>
      </c>
      <c r="G25" s="232">
        <f ca="1">OFFSET(QCI!D$16,(ROW(G25)-ROW(G$20))/numlinhaCrono,0)</f>
        <v>0</v>
      </c>
      <c r="H25" s="233">
        <f ca="1">OFFSET(QCI!G$16,(ROW(H25)-ROW(H$20))/numlinhaCrono,0)</f>
        <v>0</v>
      </c>
      <c r="I25" s="234">
        <f>C26</f>
        <v>0</v>
      </c>
      <c r="J25" s="235" t="s">
        <v>110</v>
      </c>
      <c r="K25" s="236">
        <f>IF($I25=0,0,MIN(1,MAX($K29:K29)/$I25))</f>
        <v>0</v>
      </c>
      <c r="L25" s="237">
        <f>IF($I25=0,0,MIN(1,MAX($K29:L29)/$I25))</f>
        <v>0</v>
      </c>
      <c r="M25" s="237">
        <f>IF($I25=0,0,MIN(1,MAX($K29:M29)/$I25))</f>
        <v>0</v>
      </c>
      <c r="N25" s="237">
        <f>IF($I25=0,0,MIN(1,MAX($K29:N29)/$I25))</f>
        <v>0</v>
      </c>
      <c r="O25" s="237">
        <f>IF($I25=0,0,MIN(1,MAX($K29:O29)/$I25))</f>
        <v>0</v>
      </c>
      <c r="P25" s="237">
        <f>IF($I25=0,0,MIN(1,MAX($K29:P29)/$I25))</f>
        <v>0</v>
      </c>
      <c r="Q25" s="237">
        <f>IF($I25=0,0,MIN(1,MAX($K29:Q29)/$I25))</f>
        <v>0</v>
      </c>
      <c r="R25" s="238">
        <f>IF($I25=0,0,MIN(1,MAX($K29:R29)/$I25))</f>
        <v>0</v>
      </c>
      <c r="S25" s="239"/>
      <c r="T25" s="87"/>
      <c r="U25" s="87"/>
      <c r="X25" s="237">
        <f>IF($I25=0,0,MIN(1,MAX($K29:X29)/$I25))</f>
        <v>0</v>
      </c>
    </row>
    <row r="26" spans="1:24" ht="12.75" customHeight="1">
      <c r="A26" s="104">
        <f aca="true" t="shared" si="22" ref="A26:A29">A25</f>
        <v>0</v>
      </c>
      <c r="B26" s="22"/>
      <c r="C26" s="240">
        <f ca="1">OFFSET(QCI!$O$16,(ROW()-ROW(C$20))/numlinhaCrono,0)</f>
        <v>0</v>
      </c>
      <c r="D26" s="87"/>
      <c r="E26" s="230"/>
      <c r="F26" s="231"/>
      <c r="G26" s="232"/>
      <c r="H26" s="233"/>
      <c r="I26" s="234"/>
      <c r="J26" s="241">
        <f>J$19</f>
        <v>0</v>
      </c>
      <c r="K26" s="242">
        <f>IF($B25,MAX($J29:J29),K29)</f>
        <v>0</v>
      </c>
      <c r="L26" s="243">
        <f>IF($B25,MAX($J29:K29),L29)</f>
        <v>0</v>
      </c>
      <c r="M26" s="243">
        <f>IF($B25,MAX($J29:L29),M29)</f>
        <v>0</v>
      </c>
      <c r="N26" s="243">
        <f>IF($B25,MAX($J29:M29),N29)</f>
        <v>0</v>
      </c>
      <c r="O26" s="243">
        <f>IF($B25,MAX($J29:N29),O29)</f>
        <v>0</v>
      </c>
      <c r="P26" s="243">
        <f>IF($B25,MAX($J29:O29),P29)</f>
        <v>0</v>
      </c>
      <c r="Q26" s="243">
        <f>IF($B25,MAX($J29:P29),Q29)</f>
        <v>0</v>
      </c>
      <c r="R26" s="244">
        <f>IF($B25,MAX($J29:Q29),R29)</f>
        <v>0</v>
      </c>
      <c r="S26" s="239"/>
      <c r="T26" s="87"/>
      <c r="U26" s="87"/>
      <c r="X26" s="243">
        <f>IF($B25,MAX($J29:W29),X29)</f>
        <v>0</v>
      </c>
    </row>
    <row r="27" spans="1:24" ht="12.75" customHeight="1" hidden="1">
      <c r="A27" s="104">
        <f t="shared" si="22"/>
        <v>0</v>
      </c>
      <c r="B27" s="240">
        <f>IF(AND($B25,$C27&gt;0),$J$17,"-")</f>
        <v>0</v>
      </c>
      <c r="C27" s="240">
        <f ca="1">OFFSET(QCI!$M$16,(ROW()-ROW(C$20))/numlinhaCrono,0)</f>
        <v>0</v>
      </c>
      <c r="D27" s="87"/>
      <c r="E27" s="245"/>
      <c r="F27" s="246"/>
      <c r="G27" s="247"/>
      <c r="H27" s="248"/>
      <c r="I27" s="234"/>
      <c r="J27" s="249">
        <f>J$17</f>
        <v>0</v>
      </c>
      <c r="K27" s="250">
        <f ca="1">IF($B25,ROUND($C27*K25,2),ROUND(SumCrono,2))</f>
        <v>0</v>
      </c>
      <c r="L27" s="251">
        <f ca="1">IF($B25,ROUND($C27*L25,2),ROUND(SumCrono,2))</f>
        <v>0</v>
      </c>
      <c r="M27" s="251">
        <f ca="1">IF($B25,ROUND($C27*M25,2),ROUND(SumCrono,2))</f>
        <v>0</v>
      </c>
      <c r="N27" s="251">
        <f ca="1">IF($B25,ROUND($C27*N25,2),ROUND(SumCrono,2))</f>
        <v>0</v>
      </c>
      <c r="O27" s="251">
        <f ca="1">IF($B25,ROUND($C27*O25,2),ROUND(SumCrono,2))</f>
        <v>0</v>
      </c>
      <c r="P27" s="251">
        <f ca="1">IF($B25,ROUND($C27*P25,2),ROUND(SumCrono,2))</f>
        <v>0</v>
      </c>
      <c r="Q27" s="251">
        <f ca="1">IF($B25,ROUND($C27*Q25,2),ROUND(SumCrono,2))</f>
        <v>0</v>
      </c>
      <c r="R27" s="252">
        <f ca="1">IF($B25,ROUND($C27*R25,2),ROUND(SumCrono,2))</f>
        <v>0</v>
      </c>
      <c r="S27" s="239"/>
      <c r="T27" s="87"/>
      <c r="U27" s="87"/>
      <c r="X27" s="251">
        <f ca="1">IF($B25,ROUND($C27*X25,2),ROUND(SumCrono,2))</f>
        <v>0</v>
      </c>
    </row>
    <row r="28" spans="1:24" ht="12.75" customHeight="1" hidden="1">
      <c r="A28" s="104">
        <f t="shared" si="22"/>
        <v>0</v>
      </c>
      <c r="B28" s="240">
        <f>IF(AND($B25,$C28&gt;0),$J$18,"-")</f>
        <v>0</v>
      </c>
      <c r="C28" s="240">
        <f ca="1">OFFSET(QCI!$N$16,(ROW()-ROW(C$20))/numlinhaCrono,0)</f>
        <v>0</v>
      </c>
      <c r="D28" s="87"/>
      <c r="E28" s="245"/>
      <c r="F28" s="246"/>
      <c r="G28" s="247"/>
      <c r="H28" s="248"/>
      <c r="I28" s="234"/>
      <c r="J28" s="249">
        <f>J$18</f>
        <v>0</v>
      </c>
      <c r="K28" s="250">
        <f ca="1">IF($B25,ROUND($C28*K25,2),ROUND(SumCrono,2))</f>
        <v>0</v>
      </c>
      <c r="L28" s="251">
        <f ca="1">IF($B25,ROUND($C28*L25,2),ROUND(SumCrono,2))</f>
        <v>0</v>
      </c>
      <c r="M28" s="251">
        <f ca="1">IF($B25,ROUND($C28*M25,2),ROUND(SumCrono,2))</f>
        <v>0</v>
      </c>
      <c r="N28" s="251">
        <f ca="1">IF($B25,ROUND($C28*N25,2),ROUND(SumCrono,2))</f>
        <v>0</v>
      </c>
      <c r="O28" s="251">
        <f ca="1">IF($B25,ROUND($C28*O25,2),ROUND(SumCrono,2))</f>
        <v>0</v>
      </c>
      <c r="P28" s="251">
        <f ca="1">IF($B25,ROUND($C28*P25,2),ROUND(SumCrono,2))</f>
        <v>0</v>
      </c>
      <c r="Q28" s="251">
        <f ca="1">IF($B25,ROUND($C28*Q25,2),ROUND(SumCrono,2))</f>
        <v>0</v>
      </c>
      <c r="R28" s="252">
        <f ca="1">IF($B25,ROUND($C28*R25,2),ROUND(SumCrono,2))</f>
        <v>0</v>
      </c>
      <c r="S28" s="239"/>
      <c r="T28" s="87"/>
      <c r="U28" s="87"/>
      <c r="X28" s="251">
        <f ca="1">IF($B25,ROUND($C28*X25,2),ROUND(SumCrono,2))</f>
        <v>0</v>
      </c>
    </row>
    <row r="29" spans="1:24" ht="12.75" customHeight="1" hidden="1">
      <c r="A29" s="104">
        <f t="shared" si="22"/>
        <v>0</v>
      </c>
      <c r="B29" s="240">
        <f>IF(AND($B25,$C26&gt;0),$J$19,"-")</f>
        <v>0</v>
      </c>
      <c r="C29" s="240">
        <f ca="1">OFFSET(QCI!$O$16,(ROW()-ROW(C$20))/numlinhaCrono,0)</f>
        <v>0</v>
      </c>
      <c r="D29" s="87"/>
      <c r="E29" s="245"/>
      <c r="F29" s="246"/>
      <c r="G29" s="247"/>
      <c r="H29" s="248"/>
      <c r="I29" s="234"/>
      <c r="J29" s="253">
        <f>J$19</f>
        <v>0</v>
      </c>
      <c r="K29" s="250">
        <f ca="1">IF($B25,MIN($C29,MAX($K26:K26)),SumCrono)</f>
        <v>0</v>
      </c>
      <c r="L29" s="251">
        <f ca="1">IF($B25,MIN($C29,MAX($K26:L26)),SumCrono)</f>
        <v>0</v>
      </c>
      <c r="M29" s="251">
        <f ca="1">IF($B25,MIN($C29,MAX($K26:M26)),SumCrono)</f>
        <v>0</v>
      </c>
      <c r="N29" s="251">
        <f ca="1">IF($B25,MIN($C29,MAX($K26:N26)),SumCrono)</f>
        <v>0</v>
      </c>
      <c r="O29" s="251">
        <f ca="1">IF($B25,MIN($C29,MAX($K26:O26)),SumCrono)</f>
        <v>0</v>
      </c>
      <c r="P29" s="251">
        <f ca="1">IF($B25,MIN($C29,MAX($K26:P26)),SumCrono)</f>
        <v>0</v>
      </c>
      <c r="Q29" s="251">
        <f ca="1">IF($B25,MIN($C29,MAX($K26:Q26)),SumCrono)</f>
        <v>0</v>
      </c>
      <c r="R29" s="252">
        <f ca="1">IF($B25,MIN($C29,MAX($K26:R26)),SumCrono)</f>
        <v>0</v>
      </c>
      <c r="S29" s="239"/>
      <c r="T29" s="87"/>
      <c r="U29" s="87"/>
      <c r="X29" s="251">
        <f ca="1">IF($B25,MIN($C29,MAX($K26:X26)),SumCrono)</f>
        <v>0</v>
      </c>
    </row>
    <row r="30" spans="1:24" ht="12.75" customHeight="1">
      <c r="A30" s="104">
        <f ca="1">OFFSET(QCI!X$16,(ROW(A30)-ROW(A$20))/numlinhaCrono,0)*numlinhaCrono</f>
        <v>0</v>
      </c>
      <c r="B30" s="104">
        <f ca="1">OFFSET(QCI!Y$16,(ROW(B30)-ROW(B$20))/numlinhaCrono,0)</f>
        <v>1</v>
      </c>
      <c r="C30" s="87"/>
      <c r="D30" s="87"/>
      <c r="E30" s="230">
        <f ca="1">OFFSET(QCI!B$16,(ROW(E30)-ROW(E$20))/numlinhaCrono,0)</f>
        <v>1</v>
      </c>
      <c r="F30" s="231">
        <f ca="1">OFFSET(QCI!C$16,(ROW(F30)-ROW(F$20))/numlinhaCrono,0)</f>
        <v>0</v>
      </c>
      <c r="G30" s="232">
        <f ca="1">OFFSET(QCI!D$16,(ROW(G30)-ROW(G$20))/numlinhaCrono,0)</f>
        <v>0</v>
      </c>
      <c r="H30" s="233">
        <f ca="1">OFFSET(QCI!G$16,(ROW(H30)-ROW(H$20))/numlinhaCrono,0)</f>
        <v>0</v>
      </c>
      <c r="I30" s="234">
        <f>C31</f>
        <v>0</v>
      </c>
      <c r="J30" s="235" t="s">
        <v>110</v>
      </c>
      <c r="K30" s="236">
        <f>IF($I30=0,0,MIN(1,MAX($K34:K34)/$I30))</f>
        <v>0</v>
      </c>
      <c r="L30" s="237">
        <f>IF($I30=0,0,MIN(1,MAX($K34:L34)/$I30))</f>
        <v>0</v>
      </c>
      <c r="M30" s="237">
        <f>IF($I30=0,0,MIN(1,MAX($K34:M34)/$I30))</f>
        <v>0</v>
      </c>
      <c r="N30" s="237">
        <f>IF($I30=0,0,MIN(1,MAX($K34:N34)/$I30))</f>
        <v>0</v>
      </c>
      <c r="O30" s="237">
        <f>IF($I30=0,0,MIN(1,MAX($K34:O34)/$I30))</f>
        <v>0</v>
      </c>
      <c r="P30" s="237">
        <f>IF($I30=0,0,MIN(1,MAX($K34:P34)/$I30))</f>
        <v>0</v>
      </c>
      <c r="Q30" s="237">
        <f>IF($I30=0,0,MIN(1,MAX($K34:Q34)/$I30))</f>
        <v>0</v>
      </c>
      <c r="R30" s="238">
        <f>IF($I30=0,0,MIN(1,MAX($K34:R34)/$I30))</f>
        <v>0</v>
      </c>
      <c r="S30" s="239"/>
      <c r="T30" s="87"/>
      <c r="U30" s="87"/>
      <c r="X30" s="237">
        <f>IF($I30=0,0,MIN(1,MAX($K34:X34)/$I30))</f>
        <v>0</v>
      </c>
    </row>
    <row r="31" spans="1:24" ht="12.75" customHeight="1">
      <c r="A31" s="104">
        <f aca="true" t="shared" si="23" ref="A31:A34">A30</f>
        <v>0</v>
      </c>
      <c r="B31" s="22"/>
      <c r="C31" s="240">
        <f ca="1">OFFSET(QCI!$O$16,(ROW()-ROW(C$20))/numlinhaCrono,0)</f>
        <v>0</v>
      </c>
      <c r="D31" s="87"/>
      <c r="E31" s="230"/>
      <c r="F31" s="231"/>
      <c r="G31" s="232"/>
      <c r="H31" s="233"/>
      <c r="I31" s="234"/>
      <c r="J31" s="241">
        <f>J$19</f>
        <v>0</v>
      </c>
      <c r="K31" s="242">
        <f>IF($B30,MAX($J34:J34),K34)</f>
        <v>0</v>
      </c>
      <c r="L31" s="243">
        <f>IF($B30,MAX($J34:K34),L34)</f>
        <v>0</v>
      </c>
      <c r="M31" s="243">
        <f>IF($B30,MAX($J34:L34),M34)</f>
        <v>0</v>
      </c>
      <c r="N31" s="243">
        <f>IF($B30,MAX($J34:M34),N34)</f>
        <v>0</v>
      </c>
      <c r="O31" s="243">
        <f>IF($B30,MAX($J34:N34),O34)</f>
        <v>0</v>
      </c>
      <c r="P31" s="243">
        <f>IF($B30,MAX($J34:O34),P34)</f>
        <v>0</v>
      </c>
      <c r="Q31" s="243">
        <f>IF($B30,MAX($J34:P34),Q34)</f>
        <v>0</v>
      </c>
      <c r="R31" s="244">
        <f>IF($B30,MAX($J34:Q34),R34)</f>
        <v>0</v>
      </c>
      <c r="S31" s="239"/>
      <c r="T31" s="87"/>
      <c r="U31" s="87"/>
      <c r="X31" s="243">
        <f>IF($B30,MAX($J34:W34),X34)</f>
        <v>0</v>
      </c>
    </row>
    <row r="32" spans="1:24" ht="12.75" customHeight="1" hidden="1">
      <c r="A32" s="104">
        <f t="shared" si="23"/>
        <v>0</v>
      </c>
      <c r="B32" s="240">
        <f>IF(AND($B30,$C32&gt;0),$J$17,"-")</f>
        <v>0</v>
      </c>
      <c r="C32" s="240">
        <f ca="1">OFFSET(QCI!$M$16,(ROW()-ROW(C$20))/numlinhaCrono,0)</f>
        <v>0</v>
      </c>
      <c r="D32" s="87"/>
      <c r="E32" s="245"/>
      <c r="F32" s="246"/>
      <c r="G32" s="247"/>
      <c r="H32" s="248"/>
      <c r="I32" s="234"/>
      <c r="J32" s="249">
        <f>J$17</f>
        <v>0</v>
      </c>
      <c r="K32" s="250">
        <f ca="1">IF($B30,ROUND($C32*K30,2),ROUND(SumCrono,2))</f>
        <v>0</v>
      </c>
      <c r="L32" s="251">
        <f ca="1">IF($B30,ROUND($C32*L30,2),ROUND(SumCrono,2))</f>
        <v>0</v>
      </c>
      <c r="M32" s="251">
        <f ca="1">IF($B30,ROUND($C32*M30,2),ROUND(SumCrono,2))</f>
        <v>0</v>
      </c>
      <c r="N32" s="251">
        <f ca="1">IF($B30,ROUND($C32*N30,2),ROUND(SumCrono,2))</f>
        <v>0</v>
      </c>
      <c r="O32" s="251">
        <f ca="1">IF($B30,ROUND($C32*O30,2),ROUND(SumCrono,2))</f>
        <v>0</v>
      </c>
      <c r="P32" s="251">
        <f ca="1">IF($B30,ROUND($C32*P30,2),ROUND(SumCrono,2))</f>
        <v>0</v>
      </c>
      <c r="Q32" s="251">
        <f ca="1">IF($B30,ROUND($C32*Q30,2),ROUND(SumCrono,2))</f>
        <v>0</v>
      </c>
      <c r="R32" s="252">
        <f ca="1">IF($B30,ROUND($C32*R30,2),ROUND(SumCrono,2))</f>
        <v>0</v>
      </c>
      <c r="S32" s="239"/>
      <c r="T32" s="87"/>
      <c r="U32" s="87"/>
      <c r="X32" s="251">
        <f ca="1">IF($B30,ROUND($C32*X30,2),ROUND(SumCrono,2))</f>
        <v>0</v>
      </c>
    </row>
    <row r="33" spans="1:24" ht="12.75" customHeight="1" hidden="1">
      <c r="A33" s="104">
        <f t="shared" si="23"/>
        <v>0</v>
      </c>
      <c r="B33" s="240">
        <f>IF(AND($B30,$C33&gt;0),$J$18,"-")</f>
        <v>0</v>
      </c>
      <c r="C33" s="240">
        <f ca="1">OFFSET(QCI!$N$16,(ROW()-ROW(C$20))/numlinhaCrono,0)</f>
        <v>0</v>
      </c>
      <c r="D33" s="87"/>
      <c r="E33" s="245"/>
      <c r="F33" s="246"/>
      <c r="G33" s="247"/>
      <c r="H33" s="248"/>
      <c r="I33" s="234"/>
      <c r="J33" s="249">
        <f>J$18</f>
        <v>0</v>
      </c>
      <c r="K33" s="250">
        <f ca="1">IF($B30,ROUND($C33*K30,2),ROUND(SumCrono,2))</f>
        <v>0</v>
      </c>
      <c r="L33" s="251">
        <f ca="1">IF($B30,ROUND($C33*L30,2),ROUND(SumCrono,2))</f>
        <v>0</v>
      </c>
      <c r="M33" s="251">
        <f ca="1">IF($B30,ROUND($C33*M30,2),ROUND(SumCrono,2))</f>
        <v>0</v>
      </c>
      <c r="N33" s="251">
        <f ca="1">IF($B30,ROUND($C33*N30,2),ROUND(SumCrono,2))</f>
        <v>0</v>
      </c>
      <c r="O33" s="251">
        <f ca="1">IF($B30,ROUND($C33*O30,2),ROUND(SumCrono,2))</f>
        <v>0</v>
      </c>
      <c r="P33" s="251">
        <f ca="1">IF($B30,ROUND($C33*P30,2),ROUND(SumCrono,2))</f>
        <v>0</v>
      </c>
      <c r="Q33" s="251">
        <f ca="1">IF($B30,ROUND($C33*Q30,2),ROUND(SumCrono,2))</f>
        <v>0</v>
      </c>
      <c r="R33" s="252">
        <f ca="1">IF($B30,ROUND($C33*R30,2),ROUND(SumCrono,2))</f>
        <v>0</v>
      </c>
      <c r="S33" s="239"/>
      <c r="T33" s="87"/>
      <c r="U33" s="87"/>
      <c r="X33" s="251">
        <f ca="1">IF($B30,ROUND($C33*X30,2),ROUND(SumCrono,2))</f>
        <v>0</v>
      </c>
    </row>
    <row r="34" spans="1:24" ht="12.75" customHeight="1" hidden="1">
      <c r="A34" s="104">
        <f t="shared" si="23"/>
        <v>0</v>
      </c>
      <c r="B34" s="240">
        <f>IF(AND($B30,$C31&gt;0),$J$19,"-")</f>
        <v>0</v>
      </c>
      <c r="C34" s="240">
        <f ca="1">OFFSET(QCI!$O$16,(ROW()-ROW(C$20))/numlinhaCrono,0)</f>
        <v>0</v>
      </c>
      <c r="D34" s="87"/>
      <c r="E34" s="245"/>
      <c r="F34" s="246"/>
      <c r="G34" s="247"/>
      <c r="H34" s="248"/>
      <c r="I34" s="234"/>
      <c r="J34" s="253">
        <f>J$19</f>
        <v>0</v>
      </c>
      <c r="K34" s="250">
        <f ca="1">IF($B30,MIN($C34,MAX($K31:K31)),SumCrono)</f>
        <v>0</v>
      </c>
      <c r="L34" s="251">
        <f ca="1">IF($B30,MIN($C34,MAX($K31:L31)),SumCrono)</f>
        <v>0</v>
      </c>
      <c r="M34" s="251">
        <f ca="1">IF($B30,MIN($C34,MAX($K31:M31)),SumCrono)</f>
        <v>0</v>
      </c>
      <c r="N34" s="251">
        <f ca="1">IF($B30,MIN($C34,MAX($K31:N31)),SumCrono)</f>
        <v>0</v>
      </c>
      <c r="O34" s="251">
        <f ca="1">IF($B30,MIN($C34,MAX($K31:O31)),SumCrono)</f>
        <v>0</v>
      </c>
      <c r="P34" s="251">
        <f ca="1">IF($B30,MIN($C34,MAX($K31:P31)),SumCrono)</f>
        <v>0</v>
      </c>
      <c r="Q34" s="251">
        <f ca="1">IF($B30,MIN($C34,MAX($K31:Q31)),SumCrono)</f>
        <v>0</v>
      </c>
      <c r="R34" s="252">
        <f ca="1">IF($B30,MIN($C34,MAX($K31:R31)),SumCrono)</f>
        <v>0</v>
      </c>
      <c r="S34" s="239"/>
      <c r="T34" s="87"/>
      <c r="U34" s="87"/>
      <c r="X34" s="251">
        <f ca="1">IF($B30,MIN($C34,MAX($K31:X31)),SumCrono)</f>
        <v>0</v>
      </c>
    </row>
    <row r="35" spans="1:24" ht="12.75" customHeight="1">
      <c r="A35" s="104">
        <f ca="1">OFFSET(QCI!X$16,(ROW(A35)-ROW(A$20))/numlinhaCrono,0)*numlinhaCrono</f>
        <v>0</v>
      </c>
      <c r="B35" s="104">
        <f ca="1">OFFSET(QCI!Y$16,(ROW(B35)-ROW(B$20))/numlinhaCrono,0)</f>
        <v>1</v>
      </c>
      <c r="C35" s="87"/>
      <c r="D35" s="87"/>
      <c r="E35" s="230">
        <f ca="1">OFFSET(QCI!B$16,(ROW(E35)-ROW(E$20))/numlinhaCrono,0)</f>
        <v>1</v>
      </c>
      <c r="F35" s="231">
        <f ca="1">OFFSET(QCI!C$16,(ROW(F35)-ROW(F$20))/numlinhaCrono,0)</f>
        <v>0</v>
      </c>
      <c r="G35" s="232">
        <f ca="1">OFFSET(QCI!D$16,(ROW(G35)-ROW(G$20))/numlinhaCrono,0)</f>
        <v>0</v>
      </c>
      <c r="H35" s="233">
        <f ca="1">OFFSET(QCI!G$16,(ROW(H35)-ROW(H$20))/numlinhaCrono,0)</f>
        <v>0</v>
      </c>
      <c r="I35" s="234">
        <f>C36</f>
        <v>0</v>
      </c>
      <c r="J35" s="235" t="s">
        <v>110</v>
      </c>
      <c r="K35" s="236">
        <f>IF($I35=0,0,MIN(1,MAX($K39:K39)/$I35))</f>
        <v>0</v>
      </c>
      <c r="L35" s="237">
        <f>IF($I35=0,0,MIN(1,MAX($K39:L39)/$I35))</f>
        <v>0</v>
      </c>
      <c r="M35" s="237">
        <f>IF($I35=0,0,MIN(1,MAX($K39:M39)/$I35))</f>
        <v>0</v>
      </c>
      <c r="N35" s="237">
        <f>IF($I35=0,0,MIN(1,MAX($K39:N39)/$I35))</f>
        <v>0</v>
      </c>
      <c r="O35" s="237">
        <f>IF($I35=0,0,MIN(1,MAX($K39:O39)/$I35))</f>
        <v>0</v>
      </c>
      <c r="P35" s="237">
        <f>IF($I35=0,0,MIN(1,MAX($K39:P39)/$I35))</f>
        <v>0</v>
      </c>
      <c r="Q35" s="237">
        <f>IF($I35=0,0,MIN(1,MAX($K39:Q39)/$I35))</f>
        <v>0</v>
      </c>
      <c r="R35" s="238">
        <f>IF($I35=0,0,MIN(1,MAX($K39:R39)/$I35))</f>
        <v>0</v>
      </c>
      <c r="S35" s="239"/>
      <c r="T35" s="87"/>
      <c r="U35" s="87"/>
      <c r="X35" s="237">
        <f>IF($I35=0,0,MIN(1,MAX($K39:X39)/$I35))</f>
        <v>0</v>
      </c>
    </row>
    <row r="36" spans="1:24" ht="12.75" customHeight="1">
      <c r="A36" s="104">
        <f aca="true" t="shared" si="24" ref="A36:A39">A35</f>
        <v>0</v>
      </c>
      <c r="B36" s="22"/>
      <c r="C36" s="240">
        <f ca="1">OFFSET(QCI!$O$16,(ROW()-ROW(C$20))/numlinhaCrono,0)</f>
        <v>0</v>
      </c>
      <c r="D36" s="87"/>
      <c r="E36" s="230"/>
      <c r="F36" s="231"/>
      <c r="G36" s="232"/>
      <c r="H36" s="233"/>
      <c r="I36" s="234"/>
      <c r="J36" s="241">
        <f>J$19</f>
        <v>0</v>
      </c>
      <c r="K36" s="242">
        <f>IF($B35,MAX($J39:J39),K39)</f>
        <v>0</v>
      </c>
      <c r="L36" s="243">
        <f>IF($B35,MAX($J39:K39),L39)</f>
        <v>0</v>
      </c>
      <c r="M36" s="243">
        <f>IF($B35,MAX($J39:L39),M39)</f>
        <v>0</v>
      </c>
      <c r="N36" s="243">
        <f>IF($B35,MAX($J39:M39),N39)</f>
        <v>0</v>
      </c>
      <c r="O36" s="243">
        <f>IF($B35,MAX($J39:N39),O39)</f>
        <v>0</v>
      </c>
      <c r="P36" s="243">
        <f>IF($B35,MAX($J39:O39),P39)</f>
        <v>0</v>
      </c>
      <c r="Q36" s="243">
        <f>IF($B35,MAX($J39:P39),Q39)</f>
        <v>0</v>
      </c>
      <c r="R36" s="244">
        <f>IF($B35,MAX($J39:Q39),R39)</f>
        <v>0</v>
      </c>
      <c r="S36" s="239"/>
      <c r="T36" s="87"/>
      <c r="U36" s="87"/>
      <c r="X36" s="243">
        <f>IF($B35,MAX($J39:W39),X39)</f>
        <v>0</v>
      </c>
    </row>
    <row r="37" spans="1:24" ht="12.75" customHeight="1" hidden="1">
      <c r="A37" s="104">
        <f t="shared" si="24"/>
        <v>0</v>
      </c>
      <c r="B37" s="240">
        <f>IF(AND($B35,$C37&gt;0),$J$17,"-")</f>
        <v>0</v>
      </c>
      <c r="C37" s="240">
        <f ca="1">OFFSET(QCI!$M$16,(ROW()-ROW(C$20))/numlinhaCrono,0)</f>
        <v>0</v>
      </c>
      <c r="D37" s="87"/>
      <c r="E37" s="245"/>
      <c r="F37" s="246"/>
      <c r="G37" s="247"/>
      <c r="H37" s="248"/>
      <c r="I37" s="234"/>
      <c r="J37" s="249">
        <f>J$17</f>
        <v>0</v>
      </c>
      <c r="K37" s="250">
        <f ca="1">IF($B35,ROUND($C37*K35,2),ROUND(SumCrono,2))</f>
        <v>0</v>
      </c>
      <c r="L37" s="251">
        <f ca="1">IF($B35,ROUND($C37*L35,2),ROUND(SumCrono,2))</f>
        <v>0</v>
      </c>
      <c r="M37" s="251">
        <f ca="1">IF($B35,ROUND($C37*M35,2),ROUND(SumCrono,2))</f>
        <v>0</v>
      </c>
      <c r="N37" s="251">
        <f ca="1">IF($B35,ROUND($C37*N35,2),ROUND(SumCrono,2))</f>
        <v>0</v>
      </c>
      <c r="O37" s="251">
        <f ca="1">IF($B35,ROUND($C37*O35,2),ROUND(SumCrono,2))</f>
        <v>0</v>
      </c>
      <c r="P37" s="251">
        <f ca="1">IF($B35,ROUND($C37*P35,2),ROUND(SumCrono,2))</f>
        <v>0</v>
      </c>
      <c r="Q37" s="251">
        <f ca="1">IF($B35,ROUND($C37*Q35,2),ROUND(SumCrono,2))</f>
        <v>0</v>
      </c>
      <c r="R37" s="252">
        <f ca="1">IF($B35,ROUND($C37*R35,2),ROUND(SumCrono,2))</f>
        <v>0</v>
      </c>
      <c r="S37" s="239"/>
      <c r="T37" s="87"/>
      <c r="U37" s="87"/>
      <c r="X37" s="251">
        <f ca="1">IF($B35,ROUND($C37*X35,2),ROUND(SumCrono,2))</f>
        <v>0</v>
      </c>
    </row>
    <row r="38" spans="1:24" ht="12.75" customHeight="1" hidden="1">
      <c r="A38" s="104">
        <f t="shared" si="24"/>
        <v>0</v>
      </c>
      <c r="B38" s="240">
        <f>IF(AND($B35,$C38&gt;0),$J$18,"-")</f>
        <v>0</v>
      </c>
      <c r="C38" s="240">
        <f ca="1">OFFSET(QCI!$N$16,(ROW()-ROW(C$20))/numlinhaCrono,0)</f>
        <v>0</v>
      </c>
      <c r="D38" s="87"/>
      <c r="E38" s="245"/>
      <c r="F38" s="246"/>
      <c r="G38" s="247"/>
      <c r="H38" s="248"/>
      <c r="I38" s="234"/>
      <c r="J38" s="249">
        <f>J$18</f>
        <v>0</v>
      </c>
      <c r="K38" s="250">
        <f ca="1">IF($B35,ROUND($C38*K35,2),ROUND(SumCrono,2))</f>
        <v>0</v>
      </c>
      <c r="L38" s="251">
        <f ca="1">IF($B35,ROUND($C38*L35,2),ROUND(SumCrono,2))</f>
        <v>0</v>
      </c>
      <c r="M38" s="251">
        <f ca="1">IF($B35,ROUND($C38*M35,2),ROUND(SumCrono,2))</f>
        <v>0</v>
      </c>
      <c r="N38" s="251">
        <f ca="1">IF($B35,ROUND($C38*N35,2),ROUND(SumCrono,2))</f>
        <v>0</v>
      </c>
      <c r="O38" s="251">
        <f ca="1">IF($B35,ROUND($C38*O35,2),ROUND(SumCrono,2))</f>
        <v>0</v>
      </c>
      <c r="P38" s="251">
        <f ca="1">IF($B35,ROUND($C38*P35,2),ROUND(SumCrono,2))</f>
        <v>0</v>
      </c>
      <c r="Q38" s="251">
        <f ca="1">IF($B35,ROUND($C38*Q35,2),ROUND(SumCrono,2))</f>
        <v>0</v>
      </c>
      <c r="R38" s="252">
        <f ca="1">IF($B35,ROUND($C38*R35,2),ROUND(SumCrono,2))</f>
        <v>0</v>
      </c>
      <c r="S38" s="239"/>
      <c r="T38" s="87"/>
      <c r="U38" s="87"/>
      <c r="X38" s="251">
        <f ca="1">IF($B35,ROUND($C38*X35,2),ROUND(SumCrono,2))</f>
        <v>0</v>
      </c>
    </row>
    <row r="39" spans="1:24" ht="12.75" customHeight="1" hidden="1">
      <c r="A39" s="104">
        <f t="shared" si="24"/>
        <v>0</v>
      </c>
      <c r="B39" s="240">
        <f>IF(AND($B35,$C36&gt;0),$J$19,"-")</f>
        <v>0</v>
      </c>
      <c r="C39" s="240">
        <f ca="1">OFFSET(QCI!$O$16,(ROW()-ROW(C$20))/numlinhaCrono,0)</f>
        <v>0</v>
      </c>
      <c r="D39" s="87"/>
      <c r="E39" s="245"/>
      <c r="F39" s="246"/>
      <c r="G39" s="247"/>
      <c r="H39" s="248"/>
      <c r="I39" s="234"/>
      <c r="J39" s="253">
        <f>J$19</f>
        <v>0</v>
      </c>
      <c r="K39" s="250">
        <f ca="1">IF($B35,MIN($C39,MAX($K36:K36)),SumCrono)</f>
        <v>0</v>
      </c>
      <c r="L39" s="251">
        <f ca="1">IF($B35,MIN($C39,MAX($K36:L36)),SumCrono)</f>
        <v>0</v>
      </c>
      <c r="M39" s="251">
        <f ca="1">IF($B35,MIN($C39,MAX($K36:M36)),SumCrono)</f>
        <v>0</v>
      </c>
      <c r="N39" s="251">
        <f ca="1">IF($B35,MIN($C39,MAX($K36:N36)),SumCrono)</f>
        <v>0</v>
      </c>
      <c r="O39" s="251">
        <f ca="1">IF($B35,MIN($C39,MAX($K36:O36)),SumCrono)</f>
        <v>0</v>
      </c>
      <c r="P39" s="251">
        <f ca="1">IF($B35,MIN($C39,MAX($K36:P36)),SumCrono)</f>
        <v>0</v>
      </c>
      <c r="Q39" s="251">
        <f ca="1">IF($B35,MIN($C39,MAX($K36:Q36)),SumCrono)</f>
        <v>0</v>
      </c>
      <c r="R39" s="252">
        <f ca="1">IF($B35,MIN($C39,MAX($K36:R36)),SumCrono)</f>
        <v>0</v>
      </c>
      <c r="S39" s="239"/>
      <c r="T39" s="87"/>
      <c r="U39" s="87"/>
      <c r="X39" s="251">
        <f ca="1">IF($B35,MIN($C39,MAX($K36:X36)),SumCrono)</f>
        <v>0</v>
      </c>
    </row>
    <row r="40" spans="1:24" ht="12.75" customHeight="1">
      <c r="A40" s="104">
        <f ca="1">OFFSET(QCI!X$16,(ROW(A40)-ROW(A$20))/numlinhaCrono,0)*numlinhaCrono</f>
        <v>0</v>
      </c>
      <c r="B40" s="104">
        <f ca="1">OFFSET(QCI!Y$16,(ROW(B40)-ROW(B$20))/numlinhaCrono,0)</f>
        <v>1</v>
      </c>
      <c r="C40" s="87"/>
      <c r="D40" s="87"/>
      <c r="E40" s="230">
        <f ca="1">OFFSET(QCI!B$16,(ROW(E40)-ROW(E$20))/numlinhaCrono,0)</f>
        <v>1</v>
      </c>
      <c r="F40" s="231">
        <f ca="1">OFFSET(QCI!C$16,(ROW(F40)-ROW(F$20))/numlinhaCrono,0)</f>
        <v>0</v>
      </c>
      <c r="G40" s="232">
        <f ca="1">OFFSET(QCI!D$16,(ROW(G40)-ROW(G$20))/numlinhaCrono,0)</f>
        <v>0</v>
      </c>
      <c r="H40" s="233">
        <f ca="1">OFFSET(QCI!G$16,(ROW(H40)-ROW(H$20))/numlinhaCrono,0)</f>
        <v>0</v>
      </c>
      <c r="I40" s="234">
        <f>C41</f>
        <v>0</v>
      </c>
      <c r="J40" s="235" t="s">
        <v>110</v>
      </c>
      <c r="K40" s="236">
        <f>IF($I40=0,0,MIN(1,MAX($K44:K44)/$I40))</f>
        <v>0</v>
      </c>
      <c r="L40" s="237">
        <f>IF($I40=0,0,MIN(1,MAX($K44:L44)/$I40))</f>
        <v>0</v>
      </c>
      <c r="M40" s="237">
        <f>IF($I40=0,0,MIN(1,MAX($K44:M44)/$I40))</f>
        <v>0</v>
      </c>
      <c r="N40" s="237">
        <f>IF($I40=0,0,MIN(1,MAX($K44:N44)/$I40))</f>
        <v>0</v>
      </c>
      <c r="O40" s="237">
        <f>IF($I40=0,0,MIN(1,MAX($K44:O44)/$I40))</f>
        <v>0</v>
      </c>
      <c r="P40" s="237">
        <f>IF($I40=0,0,MIN(1,MAX($K44:P44)/$I40))</f>
        <v>0</v>
      </c>
      <c r="Q40" s="237">
        <f>IF($I40=0,0,MIN(1,MAX($K44:Q44)/$I40))</f>
        <v>0</v>
      </c>
      <c r="R40" s="238">
        <f>IF($I40=0,0,MIN(1,MAX($K44:R44)/$I40))</f>
        <v>0</v>
      </c>
      <c r="S40" s="239"/>
      <c r="T40" s="87"/>
      <c r="U40" s="87"/>
      <c r="X40" s="237">
        <f>IF($I40=0,0,MIN(1,MAX($K44:X44)/$I40))</f>
        <v>0</v>
      </c>
    </row>
    <row r="41" spans="1:24" ht="12.75" customHeight="1">
      <c r="A41" s="104">
        <f aca="true" t="shared" si="25" ref="A41:A44">A40</f>
        <v>0</v>
      </c>
      <c r="B41" s="22"/>
      <c r="C41" s="240">
        <f ca="1">OFFSET(QCI!$O$16,(ROW()-ROW(C$20))/numlinhaCrono,0)</f>
        <v>0</v>
      </c>
      <c r="D41" s="87"/>
      <c r="E41" s="230"/>
      <c r="F41" s="231"/>
      <c r="G41" s="232"/>
      <c r="H41" s="233"/>
      <c r="I41" s="234"/>
      <c r="J41" s="241">
        <f>J$19</f>
        <v>0</v>
      </c>
      <c r="K41" s="242">
        <f>IF($B40,MAX($J44:J44),K44)</f>
        <v>0</v>
      </c>
      <c r="L41" s="243">
        <f>IF($B40,MAX($J44:K44),L44)</f>
        <v>0</v>
      </c>
      <c r="M41" s="243">
        <f>IF($B40,MAX($J44:L44),M44)</f>
        <v>0</v>
      </c>
      <c r="N41" s="243">
        <f>IF($B40,MAX($J44:M44),N44)</f>
        <v>0</v>
      </c>
      <c r="O41" s="243">
        <f>IF($B40,MAX($J44:N44),O44)</f>
        <v>0</v>
      </c>
      <c r="P41" s="243">
        <f>IF($B40,MAX($J44:O44),P44)</f>
        <v>0</v>
      </c>
      <c r="Q41" s="243">
        <f>IF($B40,MAX($J44:P44),Q44)</f>
        <v>0</v>
      </c>
      <c r="R41" s="244">
        <f>IF($B40,MAX($J44:Q44),R44)</f>
        <v>0</v>
      </c>
      <c r="S41" s="239"/>
      <c r="T41" s="87"/>
      <c r="U41" s="87"/>
      <c r="X41" s="243">
        <f>IF($B40,MAX($J44:W44),X44)</f>
        <v>0</v>
      </c>
    </row>
    <row r="42" spans="1:24" ht="12.75" customHeight="1" hidden="1">
      <c r="A42" s="104">
        <f t="shared" si="25"/>
        <v>0</v>
      </c>
      <c r="B42" s="240">
        <f>IF(AND($B40,$C42&gt;0),$J$17,"-")</f>
        <v>0</v>
      </c>
      <c r="C42" s="240">
        <f ca="1">OFFSET(QCI!$M$16,(ROW()-ROW(C$20))/numlinhaCrono,0)</f>
        <v>0</v>
      </c>
      <c r="D42" s="87"/>
      <c r="E42" s="245"/>
      <c r="F42" s="246"/>
      <c r="G42" s="247"/>
      <c r="H42" s="248"/>
      <c r="I42" s="234"/>
      <c r="J42" s="249">
        <f>J$17</f>
        <v>0</v>
      </c>
      <c r="K42" s="250">
        <f ca="1">IF($B40,ROUND($C42*K40,2),ROUND(SumCrono,2))</f>
        <v>0</v>
      </c>
      <c r="L42" s="251">
        <f ca="1">IF($B40,ROUND($C42*L40,2),ROUND(SumCrono,2))</f>
        <v>0</v>
      </c>
      <c r="M42" s="251">
        <f ca="1">IF($B40,ROUND($C42*M40,2),ROUND(SumCrono,2))</f>
        <v>0</v>
      </c>
      <c r="N42" s="251">
        <f ca="1">IF($B40,ROUND($C42*N40,2),ROUND(SumCrono,2))</f>
        <v>0</v>
      </c>
      <c r="O42" s="251">
        <f ca="1">IF($B40,ROUND($C42*O40,2),ROUND(SumCrono,2))</f>
        <v>0</v>
      </c>
      <c r="P42" s="251">
        <f ca="1">IF($B40,ROUND($C42*P40,2),ROUND(SumCrono,2))</f>
        <v>0</v>
      </c>
      <c r="Q42" s="251">
        <f ca="1">IF($B40,ROUND($C42*Q40,2),ROUND(SumCrono,2))</f>
        <v>0</v>
      </c>
      <c r="R42" s="252">
        <f ca="1">IF($B40,ROUND($C42*R40,2),ROUND(SumCrono,2))</f>
        <v>0</v>
      </c>
      <c r="S42" s="239"/>
      <c r="T42" s="87"/>
      <c r="U42" s="87"/>
      <c r="X42" s="251">
        <f ca="1">IF($B40,ROUND($C42*X40,2),ROUND(SumCrono,2))</f>
        <v>0</v>
      </c>
    </row>
    <row r="43" spans="1:24" ht="12.75" customHeight="1" hidden="1">
      <c r="A43" s="104">
        <f t="shared" si="25"/>
        <v>0</v>
      </c>
      <c r="B43" s="240">
        <f>IF(AND($B40,$C43&gt;0),$J$18,"-")</f>
        <v>0</v>
      </c>
      <c r="C43" s="240">
        <f ca="1">OFFSET(QCI!$N$16,(ROW()-ROW(C$20))/numlinhaCrono,0)</f>
        <v>0</v>
      </c>
      <c r="D43" s="87"/>
      <c r="E43" s="245"/>
      <c r="F43" s="246"/>
      <c r="G43" s="247"/>
      <c r="H43" s="248"/>
      <c r="I43" s="234"/>
      <c r="J43" s="249">
        <f>J$18</f>
        <v>0</v>
      </c>
      <c r="K43" s="250">
        <f ca="1">IF($B40,ROUND($C43*K40,2),ROUND(SumCrono,2))</f>
        <v>0</v>
      </c>
      <c r="L43" s="251">
        <f ca="1">IF($B40,ROUND($C43*L40,2),ROUND(SumCrono,2))</f>
        <v>0</v>
      </c>
      <c r="M43" s="251">
        <f ca="1">IF($B40,ROUND($C43*M40,2),ROUND(SumCrono,2))</f>
        <v>0</v>
      </c>
      <c r="N43" s="251">
        <f ca="1">IF($B40,ROUND($C43*N40,2),ROUND(SumCrono,2))</f>
        <v>0</v>
      </c>
      <c r="O43" s="251">
        <f ca="1">IF($B40,ROUND($C43*O40,2),ROUND(SumCrono,2))</f>
        <v>0</v>
      </c>
      <c r="P43" s="251">
        <f ca="1">IF($B40,ROUND($C43*P40,2),ROUND(SumCrono,2))</f>
        <v>0</v>
      </c>
      <c r="Q43" s="251">
        <f ca="1">IF($B40,ROUND($C43*Q40,2),ROUND(SumCrono,2))</f>
        <v>0</v>
      </c>
      <c r="R43" s="252">
        <f ca="1">IF($B40,ROUND($C43*R40,2),ROUND(SumCrono,2))</f>
        <v>0</v>
      </c>
      <c r="S43" s="239"/>
      <c r="T43" s="87"/>
      <c r="U43" s="87"/>
      <c r="X43" s="251">
        <f ca="1">IF($B40,ROUND($C43*X40,2),ROUND(SumCrono,2))</f>
        <v>0</v>
      </c>
    </row>
    <row r="44" spans="1:24" ht="12.75" customHeight="1" hidden="1">
      <c r="A44" s="104">
        <f t="shared" si="25"/>
        <v>0</v>
      </c>
      <c r="B44" s="240">
        <f>IF(AND($B40,$C41&gt;0),$J$19,"-")</f>
        <v>0</v>
      </c>
      <c r="C44" s="240">
        <f ca="1">OFFSET(QCI!$O$16,(ROW()-ROW(C$20))/numlinhaCrono,0)</f>
        <v>0</v>
      </c>
      <c r="D44" s="87"/>
      <c r="E44" s="245"/>
      <c r="F44" s="246"/>
      <c r="G44" s="247"/>
      <c r="H44" s="248"/>
      <c r="I44" s="234"/>
      <c r="J44" s="253">
        <f>J$19</f>
        <v>0</v>
      </c>
      <c r="K44" s="250">
        <f ca="1">IF($B40,MIN($C44,MAX($K41:K41)),SumCrono)</f>
        <v>0</v>
      </c>
      <c r="L44" s="251">
        <f ca="1">IF($B40,MIN($C44,MAX($K41:L41)),SumCrono)</f>
        <v>0</v>
      </c>
      <c r="M44" s="251">
        <f ca="1">IF($B40,MIN($C44,MAX($K41:M41)),SumCrono)</f>
        <v>0</v>
      </c>
      <c r="N44" s="251">
        <f ca="1">IF($B40,MIN($C44,MAX($K41:N41)),SumCrono)</f>
        <v>0</v>
      </c>
      <c r="O44" s="251">
        <f ca="1">IF($B40,MIN($C44,MAX($K41:O41)),SumCrono)</f>
        <v>0</v>
      </c>
      <c r="P44" s="251">
        <f ca="1">IF($B40,MIN($C44,MAX($K41:P41)),SumCrono)</f>
        <v>0</v>
      </c>
      <c r="Q44" s="251">
        <f ca="1">IF($B40,MIN($C44,MAX($K41:Q41)),SumCrono)</f>
        <v>0</v>
      </c>
      <c r="R44" s="252">
        <f ca="1">IF($B40,MIN($C44,MAX($K41:R41)),SumCrono)</f>
        <v>0</v>
      </c>
      <c r="S44" s="239"/>
      <c r="T44" s="87"/>
      <c r="U44" s="87"/>
      <c r="X44" s="251">
        <f ca="1">IF($B40,MIN($C44,MAX($K41:X41)),SumCrono)</f>
        <v>0</v>
      </c>
    </row>
    <row r="45" spans="1:24" ht="12.75" customHeight="1">
      <c r="A45" s="104">
        <f ca="1">OFFSET(QCI!X$16,(ROW(A45)-ROW(A$20))/numlinhaCrono,0)*numlinhaCrono</f>
        <v>0</v>
      </c>
      <c r="B45" s="104">
        <f ca="1">OFFSET(QCI!Y$16,(ROW(B45)-ROW(B$20))/numlinhaCrono,0)</f>
        <v>1</v>
      </c>
      <c r="C45" s="87"/>
      <c r="D45" s="87"/>
      <c r="E45" s="230">
        <f ca="1">OFFSET(QCI!B$16,(ROW(E45)-ROW(E$20))/numlinhaCrono,0)</f>
        <v>1</v>
      </c>
      <c r="F45" s="231">
        <f ca="1">OFFSET(QCI!C$16,(ROW(F45)-ROW(F$20))/numlinhaCrono,0)</f>
        <v>0</v>
      </c>
      <c r="G45" s="232">
        <f ca="1">OFFSET(QCI!D$16,(ROW(G45)-ROW(G$20))/numlinhaCrono,0)</f>
        <v>0</v>
      </c>
      <c r="H45" s="233">
        <f ca="1">OFFSET(QCI!G$16,(ROW(H45)-ROW(H$20))/numlinhaCrono,0)</f>
        <v>0</v>
      </c>
      <c r="I45" s="234">
        <f>C46</f>
        <v>0</v>
      </c>
      <c r="J45" s="235" t="s">
        <v>110</v>
      </c>
      <c r="K45" s="236">
        <f>IF($I45=0,0,MIN(1,MAX($K49:K49)/$I45))</f>
        <v>0</v>
      </c>
      <c r="L45" s="237">
        <f>IF($I45=0,0,MIN(1,MAX($K49:L49)/$I45))</f>
        <v>0</v>
      </c>
      <c r="M45" s="237">
        <f>IF($I45=0,0,MIN(1,MAX($K49:M49)/$I45))</f>
        <v>0</v>
      </c>
      <c r="N45" s="237">
        <f>IF($I45=0,0,MIN(1,MAX($K49:N49)/$I45))</f>
        <v>0</v>
      </c>
      <c r="O45" s="237">
        <f>IF($I45=0,0,MIN(1,MAX($K49:O49)/$I45))</f>
        <v>0</v>
      </c>
      <c r="P45" s="237">
        <f>IF($I45=0,0,MIN(1,MAX($K49:P49)/$I45))</f>
        <v>0</v>
      </c>
      <c r="Q45" s="237">
        <f>IF($I45=0,0,MIN(1,MAX($K49:Q49)/$I45))</f>
        <v>0</v>
      </c>
      <c r="R45" s="238">
        <f>IF($I45=0,0,MIN(1,MAX($K49:R49)/$I45))</f>
        <v>0</v>
      </c>
      <c r="S45" s="239"/>
      <c r="T45" s="87"/>
      <c r="U45" s="87"/>
      <c r="X45" s="237">
        <f>IF($I45=0,0,MIN(1,MAX($K49:X49)/$I45))</f>
        <v>0</v>
      </c>
    </row>
    <row r="46" spans="1:24" ht="12.75" customHeight="1">
      <c r="A46" s="104">
        <f aca="true" t="shared" si="26" ref="A46:A49">A45</f>
        <v>0</v>
      </c>
      <c r="B46" s="22"/>
      <c r="C46" s="240">
        <f ca="1">OFFSET(QCI!$O$16,(ROW()-ROW(C$20))/numlinhaCrono,0)</f>
        <v>0</v>
      </c>
      <c r="D46" s="87"/>
      <c r="E46" s="230"/>
      <c r="F46" s="231"/>
      <c r="G46" s="232"/>
      <c r="H46" s="233"/>
      <c r="I46" s="234"/>
      <c r="J46" s="241">
        <f>J$19</f>
        <v>0</v>
      </c>
      <c r="K46" s="242">
        <f>IF($B45,MAX($J49:J49),K49)</f>
        <v>0</v>
      </c>
      <c r="L46" s="243">
        <f>IF($B45,MAX($J49:K49),L49)</f>
        <v>0</v>
      </c>
      <c r="M46" s="243">
        <f>IF($B45,MAX($J49:L49),M49)</f>
        <v>0</v>
      </c>
      <c r="N46" s="243">
        <f>IF($B45,MAX($J49:M49),N49)</f>
        <v>0</v>
      </c>
      <c r="O46" s="243">
        <f>IF($B45,MAX($J49:N49),O49)</f>
        <v>0</v>
      </c>
      <c r="P46" s="243">
        <f>IF($B45,MAX($J49:O49),P49)</f>
        <v>0</v>
      </c>
      <c r="Q46" s="243">
        <f>IF($B45,MAX($J49:P49),Q49)</f>
        <v>0</v>
      </c>
      <c r="R46" s="244">
        <f>IF($B45,MAX($J49:Q49),R49)</f>
        <v>0</v>
      </c>
      <c r="S46" s="239"/>
      <c r="T46" s="87"/>
      <c r="U46" s="87"/>
      <c r="X46" s="243">
        <f>IF($B45,MAX($J49:W49),X49)</f>
        <v>0</v>
      </c>
    </row>
    <row r="47" spans="1:24" ht="12.75" customHeight="1" hidden="1">
      <c r="A47" s="104">
        <f t="shared" si="26"/>
        <v>0</v>
      </c>
      <c r="B47" s="240">
        <f>IF(AND($B45,$C47&gt;0),$J$17,"-")</f>
        <v>0</v>
      </c>
      <c r="C47" s="240">
        <f ca="1">OFFSET(QCI!$M$16,(ROW()-ROW(C$20))/numlinhaCrono,0)</f>
        <v>0</v>
      </c>
      <c r="D47" s="87"/>
      <c r="E47" s="245"/>
      <c r="F47" s="246"/>
      <c r="G47" s="247"/>
      <c r="H47" s="248"/>
      <c r="I47" s="234"/>
      <c r="J47" s="249">
        <f>J$17</f>
        <v>0</v>
      </c>
      <c r="K47" s="250">
        <f ca="1">IF($B45,ROUND($C47*K45,2),ROUND(SumCrono,2))</f>
        <v>0</v>
      </c>
      <c r="L47" s="251">
        <f ca="1">IF($B45,ROUND($C47*L45,2),ROUND(SumCrono,2))</f>
        <v>0</v>
      </c>
      <c r="M47" s="251">
        <f ca="1">IF($B45,ROUND($C47*M45,2),ROUND(SumCrono,2))</f>
        <v>0</v>
      </c>
      <c r="N47" s="251">
        <f ca="1">IF($B45,ROUND($C47*N45,2),ROUND(SumCrono,2))</f>
        <v>0</v>
      </c>
      <c r="O47" s="251">
        <f ca="1">IF($B45,ROUND($C47*O45,2),ROUND(SumCrono,2))</f>
        <v>0</v>
      </c>
      <c r="P47" s="251">
        <f ca="1">IF($B45,ROUND($C47*P45,2),ROUND(SumCrono,2))</f>
        <v>0</v>
      </c>
      <c r="Q47" s="251">
        <f ca="1">IF($B45,ROUND($C47*Q45,2),ROUND(SumCrono,2))</f>
        <v>0</v>
      </c>
      <c r="R47" s="252">
        <f ca="1">IF($B45,ROUND($C47*R45,2),ROUND(SumCrono,2))</f>
        <v>0</v>
      </c>
      <c r="S47" s="239"/>
      <c r="T47" s="87"/>
      <c r="U47" s="87"/>
      <c r="X47" s="251">
        <f ca="1">IF($B45,ROUND($C47*X45,2),ROUND(SumCrono,2))</f>
        <v>0</v>
      </c>
    </row>
    <row r="48" spans="1:24" ht="12.75" customHeight="1" hidden="1">
      <c r="A48" s="104">
        <f t="shared" si="26"/>
        <v>0</v>
      </c>
      <c r="B48" s="240">
        <f>IF(AND($B45,$C48&gt;0),$J$18,"-")</f>
        <v>0</v>
      </c>
      <c r="C48" s="240">
        <f ca="1">OFFSET(QCI!$N$16,(ROW()-ROW(C$20))/numlinhaCrono,0)</f>
        <v>0</v>
      </c>
      <c r="D48" s="87"/>
      <c r="E48" s="245"/>
      <c r="F48" s="246"/>
      <c r="G48" s="247"/>
      <c r="H48" s="248"/>
      <c r="I48" s="234"/>
      <c r="J48" s="249">
        <f>J$18</f>
        <v>0</v>
      </c>
      <c r="K48" s="250">
        <f ca="1">IF($B45,ROUND($C48*K45,2),ROUND(SumCrono,2))</f>
        <v>0</v>
      </c>
      <c r="L48" s="251">
        <f ca="1">IF($B45,ROUND($C48*L45,2),ROUND(SumCrono,2))</f>
        <v>0</v>
      </c>
      <c r="M48" s="251">
        <f ca="1">IF($B45,ROUND($C48*M45,2),ROUND(SumCrono,2))</f>
        <v>0</v>
      </c>
      <c r="N48" s="251">
        <f ca="1">IF($B45,ROUND($C48*N45,2),ROUND(SumCrono,2))</f>
        <v>0</v>
      </c>
      <c r="O48" s="251">
        <f ca="1">IF($B45,ROUND($C48*O45,2),ROUND(SumCrono,2))</f>
        <v>0</v>
      </c>
      <c r="P48" s="251">
        <f ca="1">IF($B45,ROUND($C48*P45,2),ROUND(SumCrono,2))</f>
        <v>0</v>
      </c>
      <c r="Q48" s="251">
        <f ca="1">IF($B45,ROUND($C48*Q45,2),ROUND(SumCrono,2))</f>
        <v>0</v>
      </c>
      <c r="R48" s="252">
        <f ca="1">IF($B45,ROUND($C48*R45,2),ROUND(SumCrono,2))</f>
        <v>0</v>
      </c>
      <c r="S48" s="239"/>
      <c r="T48" s="87"/>
      <c r="U48" s="87"/>
      <c r="X48" s="251">
        <f ca="1">IF($B45,ROUND($C48*X45,2),ROUND(SumCrono,2))</f>
        <v>0</v>
      </c>
    </row>
    <row r="49" spans="1:24" ht="12.75" customHeight="1" hidden="1">
      <c r="A49" s="104">
        <f t="shared" si="26"/>
        <v>0</v>
      </c>
      <c r="B49" s="240">
        <f>IF(AND($B45,$C46&gt;0),$J$19,"-")</f>
        <v>0</v>
      </c>
      <c r="C49" s="240">
        <f ca="1">OFFSET(QCI!$O$16,(ROW()-ROW(C$20))/numlinhaCrono,0)</f>
        <v>0</v>
      </c>
      <c r="D49" s="87"/>
      <c r="E49" s="245"/>
      <c r="F49" s="246"/>
      <c r="G49" s="247"/>
      <c r="H49" s="248"/>
      <c r="I49" s="234"/>
      <c r="J49" s="253">
        <f>J$19</f>
        <v>0</v>
      </c>
      <c r="K49" s="250">
        <f ca="1">IF($B45,MIN($C49,MAX($K46:K46)),SumCrono)</f>
        <v>0</v>
      </c>
      <c r="L49" s="251">
        <f ca="1">IF($B45,MIN($C49,MAX($K46:L46)),SumCrono)</f>
        <v>0</v>
      </c>
      <c r="M49" s="251">
        <f ca="1">IF($B45,MIN($C49,MAX($K46:M46)),SumCrono)</f>
        <v>0</v>
      </c>
      <c r="N49" s="251">
        <f ca="1">IF($B45,MIN($C49,MAX($K46:N46)),SumCrono)</f>
        <v>0</v>
      </c>
      <c r="O49" s="251">
        <f ca="1">IF($B45,MIN($C49,MAX($K46:O46)),SumCrono)</f>
        <v>0</v>
      </c>
      <c r="P49" s="251">
        <f ca="1">IF($B45,MIN($C49,MAX($K46:P46)),SumCrono)</f>
        <v>0</v>
      </c>
      <c r="Q49" s="251">
        <f ca="1">IF($B45,MIN($C49,MAX($K46:Q46)),SumCrono)</f>
        <v>0</v>
      </c>
      <c r="R49" s="252">
        <f ca="1">IF($B45,MIN($C49,MAX($K46:R46)),SumCrono)</f>
        <v>0</v>
      </c>
      <c r="S49" s="239"/>
      <c r="T49" s="87"/>
      <c r="U49" s="87"/>
      <c r="X49" s="251">
        <f ca="1">IF($B45,MIN($C49,MAX($K46:X46)),SumCrono)</f>
        <v>0</v>
      </c>
    </row>
    <row r="50" spans="1:24" ht="12.75" customHeight="1">
      <c r="A50" s="104">
        <f ca="1">OFFSET(QCI!X$16,(ROW(A50)-ROW(A$20))/numlinhaCrono,0)*numlinhaCrono</f>
        <v>0</v>
      </c>
      <c r="B50" s="104">
        <f ca="1">OFFSET(QCI!Y$16,(ROW(B50)-ROW(B$20))/numlinhaCrono,0)</f>
        <v>1</v>
      </c>
      <c r="C50" s="87"/>
      <c r="D50" s="87"/>
      <c r="E50" s="230">
        <f ca="1">OFFSET(QCI!B$16,(ROW(E50)-ROW(E$20))/numlinhaCrono,0)</f>
        <v>1</v>
      </c>
      <c r="F50" s="231">
        <f ca="1">OFFSET(QCI!C$16,(ROW(F50)-ROW(F$20))/numlinhaCrono,0)</f>
        <v>0</v>
      </c>
      <c r="G50" s="232">
        <f ca="1">OFFSET(QCI!D$16,(ROW(G50)-ROW(G$20))/numlinhaCrono,0)</f>
        <v>0</v>
      </c>
      <c r="H50" s="233">
        <f ca="1">OFFSET(QCI!G$16,(ROW(H50)-ROW(H$20))/numlinhaCrono,0)</f>
        <v>0</v>
      </c>
      <c r="I50" s="234">
        <f>C51</f>
        <v>0</v>
      </c>
      <c r="J50" s="235" t="s">
        <v>110</v>
      </c>
      <c r="K50" s="236">
        <f>IF($I50=0,0,MIN(1,MAX($K54:K54)/$I50))</f>
        <v>0</v>
      </c>
      <c r="L50" s="237">
        <f>IF($I50=0,0,MIN(1,MAX($K54:L54)/$I50))</f>
        <v>0</v>
      </c>
      <c r="M50" s="237">
        <f>IF($I50=0,0,MIN(1,MAX($K54:M54)/$I50))</f>
        <v>0</v>
      </c>
      <c r="N50" s="237">
        <f>IF($I50=0,0,MIN(1,MAX($K54:N54)/$I50))</f>
        <v>0</v>
      </c>
      <c r="O50" s="237">
        <f>IF($I50=0,0,MIN(1,MAX($K54:O54)/$I50))</f>
        <v>0</v>
      </c>
      <c r="P50" s="237">
        <f>IF($I50=0,0,MIN(1,MAX($K54:P54)/$I50))</f>
        <v>0</v>
      </c>
      <c r="Q50" s="237">
        <f>IF($I50=0,0,MIN(1,MAX($K54:Q54)/$I50))</f>
        <v>0</v>
      </c>
      <c r="R50" s="238">
        <f>IF($I50=0,0,MIN(1,MAX($K54:R54)/$I50))</f>
        <v>0</v>
      </c>
      <c r="S50" s="239"/>
      <c r="T50" s="87"/>
      <c r="U50" s="87"/>
      <c r="X50" s="237">
        <f>IF($I50=0,0,MIN(1,MAX($K54:X54)/$I50))</f>
        <v>0</v>
      </c>
    </row>
    <row r="51" spans="1:24" ht="12.75" customHeight="1">
      <c r="A51" s="104">
        <f aca="true" t="shared" si="27" ref="A51:A54">A50</f>
        <v>0</v>
      </c>
      <c r="B51" s="22"/>
      <c r="C51" s="240">
        <f ca="1">OFFSET(QCI!$O$16,(ROW()-ROW(C$20))/numlinhaCrono,0)</f>
        <v>0</v>
      </c>
      <c r="D51" s="87"/>
      <c r="E51" s="230"/>
      <c r="F51" s="231"/>
      <c r="G51" s="232"/>
      <c r="H51" s="233"/>
      <c r="I51" s="234"/>
      <c r="J51" s="241">
        <f>J$19</f>
        <v>0</v>
      </c>
      <c r="K51" s="242">
        <f>IF($B50,MAX($J54:J54),K54)</f>
        <v>0</v>
      </c>
      <c r="L51" s="243">
        <f>IF($B50,MAX($J54:K54),L54)</f>
        <v>0</v>
      </c>
      <c r="M51" s="243">
        <f>IF($B50,MAX($J54:L54),M54)</f>
        <v>0</v>
      </c>
      <c r="N51" s="243">
        <f>IF($B50,MAX($J54:M54),N54)</f>
        <v>0</v>
      </c>
      <c r="O51" s="243">
        <f>IF($B50,MAX($J54:N54),O54)</f>
        <v>0</v>
      </c>
      <c r="P51" s="243">
        <f>IF($B50,MAX($J54:O54),P54)</f>
        <v>0</v>
      </c>
      <c r="Q51" s="243">
        <f>IF($B50,MAX($J54:P54),Q54)</f>
        <v>0</v>
      </c>
      <c r="R51" s="244">
        <f>IF($B50,MAX($J54:Q54),R54)</f>
        <v>0</v>
      </c>
      <c r="S51" s="239"/>
      <c r="T51" s="87"/>
      <c r="U51" s="87"/>
      <c r="X51" s="243">
        <f>IF($B50,MAX($J54:W54),X54)</f>
        <v>0</v>
      </c>
    </row>
    <row r="52" spans="1:24" ht="12.75" customHeight="1" hidden="1">
      <c r="A52" s="104">
        <f t="shared" si="27"/>
        <v>0</v>
      </c>
      <c r="B52" s="240">
        <f>IF(AND($B50,$C52&gt;0),$J$17,"-")</f>
        <v>0</v>
      </c>
      <c r="C52" s="240">
        <f ca="1">OFFSET(QCI!$M$16,(ROW()-ROW(C$20))/numlinhaCrono,0)</f>
        <v>0</v>
      </c>
      <c r="D52" s="87"/>
      <c r="E52" s="245"/>
      <c r="F52" s="246"/>
      <c r="G52" s="247"/>
      <c r="H52" s="248"/>
      <c r="I52" s="234"/>
      <c r="J52" s="249">
        <f>J$17</f>
        <v>0</v>
      </c>
      <c r="K52" s="250">
        <f ca="1">IF($B50,ROUND($C52*K50,2),ROUND(SumCrono,2))</f>
        <v>0</v>
      </c>
      <c r="L52" s="251">
        <f ca="1">IF($B50,ROUND($C52*L50,2),ROUND(SumCrono,2))</f>
        <v>0</v>
      </c>
      <c r="M52" s="251">
        <f ca="1">IF($B50,ROUND($C52*M50,2),ROUND(SumCrono,2))</f>
        <v>0</v>
      </c>
      <c r="N52" s="251">
        <f ca="1">IF($B50,ROUND($C52*N50,2),ROUND(SumCrono,2))</f>
        <v>0</v>
      </c>
      <c r="O52" s="251">
        <f ca="1">IF($B50,ROUND($C52*O50,2),ROUND(SumCrono,2))</f>
        <v>0</v>
      </c>
      <c r="P52" s="251">
        <f ca="1">IF($B50,ROUND($C52*P50,2),ROUND(SumCrono,2))</f>
        <v>0</v>
      </c>
      <c r="Q52" s="251">
        <f ca="1">IF($B50,ROUND($C52*Q50,2),ROUND(SumCrono,2))</f>
        <v>0</v>
      </c>
      <c r="R52" s="252">
        <f ca="1">IF($B50,ROUND($C52*R50,2),ROUND(SumCrono,2))</f>
        <v>0</v>
      </c>
      <c r="S52" s="239"/>
      <c r="T52" s="87"/>
      <c r="U52" s="87"/>
      <c r="X52" s="251">
        <f ca="1">IF($B50,ROUND($C52*X50,2),ROUND(SumCrono,2))</f>
        <v>0</v>
      </c>
    </row>
    <row r="53" spans="1:24" ht="12.75" customHeight="1" hidden="1">
      <c r="A53" s="104">
        <f t="shared" si="27"/>
        <v>0</v>
      </c>
      <c r="B53" s="240">
        <f>IF(AND($B50,$C53&gt;0),$J$18,"-")</f>
        <v>0</v>
      </c>
      <c r="C53" s="240">
        <f ca="1">OFFSET(QCI!$N$16,(ROW()-ROW(C$20))/numlinhaCrono,0)</f>
        <v>0</v>
      </c>
      <c r="D53" s="87"/>
      <c r="E53" s="245"/>
      <c r="F53" s="246"/>
      <c r="G53" s="247"/>
      <c r="H53" s="248"/>
      <c r="I53" s="234"/>
      <c r="J53" s="249">
        <f>J$18</f>
        <v>0</v>
      </c>
      <c r="K53" s="250">
        <f ca="1">IF($B50,ROUND($C53*K50,2),ROUND(SumCrono,2))</f>
        <v>0</v>
      </c>
      <c r="L53" s="251">
        <f ca="1">IF($B50,ROUND($C53*L50,2),ROUND(SumCrono,2))</f>
        <v>0</v>
      </c>
      <c r="M53" s="251">
        <f ca="1">IF($B50,ROUND($C53*M50,2),ROUND(SumCrono,2))</f>
        <v>0</v>
      </c>
      <c r="N53" s="251">
        <f ca="1">IF($B50,ROUND($C53*N50,2),ROUND(SumCrono,2))</f>
        <v>0</v>
      </c>
      <c r="O53" s="251">
        <f ca="1">IF($B50,ROUND($C53*O50,2),ROUND(SumCrono,2))</f>
        <v>0</v>
      </c>
      <c r="P53" s="251">
        <f ca="1">IF($B50,ROUND($C53*P50,2),ROUND(SumCrono,2))</f>
        <v>0</v>
      </c>
      <c r="Q53" s="251">
        <f ca="1">IF($B50,ROUND($C53*Q50,2),ROUND(SumCrono,2))</f>
        <v>0</v>
      </c>
      <c r="R53" s="252">
        <f ca="1">IF($B50,ROUND($C53*R50,2),ROUND(SumCrono,2))</f>
        <v>0</v>
      </c>
      <c r="S53" s="239"/>
      <c r="T53" s="87"/>
      <c r="U53" s="87"/>
      <c r="X53" s="251">
        <f ca="1">IF($B50,ROUND($C53*X50,2),ROUND(SumCrono,2))</f>
        <v>0</v>
      </c>
    </row>
    <row r="54" spans="1:24" ht="12.75" customHeight="1" hidden="1">
      <c r="A54" s="104">
        <f t="shared" si="27"/>
        <v>0</v>
      </c>
      <c r="B54" s="240">
        <f>IF(AND($B50,$C51&gt;0),$J$19,"-")</f>
        <v>0</v>
      </c>
      <c r="C54" s="240">
        <f ca="1">OFFSET(QCI!$O$16,(ROW()-ROW(C$20))/numlinhaCrono,0)</f>
        <v>0</v>
      </c>
      <c r="D54" s="87"/>
      <c r="E54" s="245"/>
      <c r="F54" s="246"/>
      <c r="G54" s="247"/>
      <c r="H54" s="248"/>
      <c r="I54" s="234"/>
      <c r="J54" s="253">
        <f>J$19</f>
        <v>0</v>
      </c>
      <c r="K54" s="250">
        <f ca="1">IF($B50,MIN($C54,MAX($K51:K51)),SumCrono)</f>
        <v>0</v>
      </c>
      <c r="L54" s="251">
        <f ca="1">IF($B50,MIN($C54,MAX($K51:L51)),SumCrono)</f>
        <v>0</v>
      </c>
      <c r="M54" s="251">
        <f ca="1">IF($B50,MIN($C54,MAX($K51:M51)),SumCrono)</f>
        <v>0</v>
      </c>
      <c r="N54" s="251">
        <f ca="1">IF($B50,MIN($C54,MAX($K51:N51)),SumCrono)</f>
        <v>0</v>
      </c>
      <c r="O54" s="251">
        <f ca="1">IF($B50,MIN($C54,MAX($K51:O51)),SumCrono)</f>
        <v>0</v>
      </c>
      <c r="P54" s="251">
        <f ca="1">IF($B50,MIN($C54,MAX($K51:P51)),SumCrono)</f>
        <v>0</v>
      </c>
      <c r="Q54" s="251">
        <f ca="1">IF($B50,MIN($C54,MAX($K51:Q51)),SumCrono)</f>
        <v>0</v>
      </c>
      <c r="R54" s="252">
        <f ca="1">IF($B50,MIN($C54,MAX($K51:R51)),SumCrono)</f>
        <v>0</v>
      </c>
      <c r="S54" s="239"/>
      <c r="T54" s="87"/>
      <c r="U54" s="87"/>
      <c r="X54" s="251">
        <f ca="1">IF($B50,MIN($C54,MAX($K51:X51)),SumCrono)</f>
        <v>0</v>
      </c>
    </row>
    <row r="55" spans="1:24" ht="12.75" customHeight="1">
      <c r="A55" s="104">
        <f ca="1">OFFSET(QCI!X$16,(ROW(A55)-ROW(A$20))/numlinhaCrono,0)*numlinhaCrono</f>
        <v>0</v>
      </c>
      <c r="B55" s="104">
        <f ca="1">OFFSET(QCI!Y$16,(ROW(B55)-ROW(B$20))/numlinhaCrono,0)</f>
        <v>1</v>
      </c>
      <c r="C55" s="87"/>
      <c r="D55" s="87"/>
      <c r="E55" s="230">
        <f ca="1">OFFSET(QCI!B$16,(ROW(E55)-ROW(E$20))/numlinhaCrono,0)</f>
        <v>1</v>
      </c>
      <c r="F55" s="231">
        <f ca="1">OFFSET(QCI!C$16,(ROW(F55)-ROW(F$20))/numlinhaCrono,0)</f>
        <v>0</v>
      </c>
      <c r="G55" s="232">
        <f ca="1">OFFSET(QCI!D$16,(ROW(G55)-ROW(G$20))/numlinhaCrono,0)</f>
        <v>0</v>
      </c>
      <c r="H55" s="233">
        <f ca="1">OFFSET(QCI!G$16,(ROW(H55)-ROW(H$20))/numlinhaCrono,0)</f>
        <v>0</v>
      </c>
      <c r="I55" s="234">
        <f>C56</f>
        <v>0</v>
      </c>
      <c r="J55" s="235" t="s">
        <v>110</v>
      </c>
      <c r="K55" s="236">
        <f>IF($I55=0,0,MIN(1,MAX($K59:K59)/$I55))</f>
        <v>0</v>
      </c>
      <c r="L55" s="237">
        <f>IF($I55=0,0,MIN(1,MAX($K59:L59)/$I55))</f>
        <v>0</v>
      </c>
      <c r="M55" s="237">
        <f>IF($I55=0,0,MIN(1,MAX($K59:M59)/$I55))</f>
        <v>0</v>
      </c>
      <c r="N55" s="237">
        <f>IF($I55=0,0,MIN(1,MAX($K59:N59)/$I55))</f>
        <v>0</v>
      </c>
      <c r="O55" s="237">
        <f>IF($I55=0,0,MIN(1,MAX($K59:O59)/$I55))</f>
        <v>0</v>
      </c>
      <c r="P55" s="237">
        <f>IF($I55=0,0,MIN(1,MAX($K59:P59)/$I55))</f>
        <v>0</v>
      </c>
      <c r="Q55" s="237">
        <f>IF($I55=0,0,MIN(1,MAX($K59:Q59)/$I55))</f>
        <v>0</v>
      </c>
      <c r="R55" s="238">
        <f>IF($I55=0,0,MIN(1,MAX($K59:R59)/$I55))</f>
        <v>0</v>
      </c>
      <c r="S55" s="239"/>
      <c r="T55" s="87"/>
      <c r="U55" s="87"/>
      <c r="X55" s="237">
        <f>IF($I55=0,0,MIN(1,MAX($K59:X59)/$I55))</f>
        <v>0</v>
      </c>
    </row>
    <row r="56" spans="1:24" ht="12.75" customHeight="1">
      <c r="A56" s="104">
        <f aca="true" t="shared" si="28" ref="A56:A59">A55</f>
        <v>0</v>
      </c>
      <c r="B56" s="22"/>
      <c r="C56" s="240">
        <f ca="1">OFFSET(QCI!$O$16,(ROW()-ROW(C$20))/numlinhaCrono,0)</f>
        <v>0</v>
      </c>
      <c r="D56" s="87"/>
      <c r="E56" s="230"/>
      <c r="F56" s="231"/>
      <c r="G56" s="232"/>
      <c r="H56" s="233"/>
      <c r="I56" s="234"/>
      <c r="J56" s="241">
        <f>J$19</f>
        <v>0</v>
      </c>
      <c r="K56" s="242">
        <f>IF($B55,MAX($J59:J59),K59)</f>
        <v>0</v>
      </c>
      <c r="L56" s="243">
        <f>IF($B55,MAX($J59:K59),L59)</f>
        <v>0</v>
      </c>
      <c r="M56" s="243">
        <f>IF($B55,MAX($J59:L59),M59)</f>
        <v>0</v>
      </c>
      <c r="N56" s="243">
        <f>IF($B55,MAX($J59:M59),N59)</f>
        <v>0</v>
      </c>
      <c r="O56" s="243">
        <f>IF($B55,MAX($J59:N59),O59)</f>
        <v>0</v>
      </c>
      <c r="P56" s="243">
        <f>IF($B55,MAX($J59:O59),P59)</f>
        <v>0</v>
      </c>
      <c r="Q56" s="243">
        <f>IF($B55,MAX($J59:P59),Q59)</f>
        <v>0</v>
      </c>
      <c r="R56" s="244">
        <f>IF($B55,MAX($J59:Q59),R59)</f>
        <v>0</v>
      </c>
      <c r="S56" s="239"/>
      <c r="T56" s="87"/>
      <c r="U56" s="87"/>
      <c r="X56" s="243">
        <f>IF($B55,MAX($J59:W59),X59)</f>
        <v>0</v>
      </c>
    </row>
    <row r="57" spans="1:24" ht="12.75" customHeight="1" hidden="1">
      <c r="A57" s="104">
        <f t="shared" si="28"/>
        <v>0</v>
      </c>
      <c r="B57" s="240">
        <f>IF(AND($B55,$C57&gt;0),$J$17,"-")</f>
        <v>0</v>
      </c>
      <c r="C57" s="240">
        <f ca="1">OFFSET(QCI!$M$16,(ROW()-ROW(C$20))/numlinhaCrono,0)</f>
        <v>0</v>
      </c>
      <c r="D57" s="87"/>
      <c r="E57" s="245"/>
      <c r="F57" s="246"/>
      <c r="G57" s="247"/>
      <c r="H57" s="248"/>
      <c r="I57" s="234"/>
      <c r="J57" s="249">
        <f>J$17</f>
        <v>0</v>
      </c>
      <c r="K57" s="250">
        <f ca="1">IF($B55,ROUND($C57*K55,2),ROUND(SumCrono,2))</f>
        <v>0</v>
      </c>
      <c r="L57" s="251">
        <f ca="1">IF($B55,ROUND($C57*L55,2),ROUND(SumCrono,2))</f>
        <v>0</v>
      </c>
      <c r="M57" s="251">
        <f ca="1">IF($B55,ROUND($C57*M55,2),ROUND(SumCrono,2))</f>
        <v>0</v>
      </c>
      <c r="N57" s="251">
        <f ca="1">IF($B55,ROUND($C57*N55,2),ROUND(SumCrono,2))</f>
        <v>0</v>
      </c>
      <c r="O57" s="251">
        <f ca="1">IF($B55,ROUND($C57*O55,2),ROUND(SumCrono,2))</f>
        <v>0</v>
      </c>
      <c r="P57" s="251">
        <f ca="1">IF($B55,ROUND($C57*P55,2),ROUND(SumCrono,2))</f>
        <v>0</v>
      </c>
      <c r="Q57" s="251">
        <f ca="1">IF($B55,ROUND($C57*Q55,2),ROUND(SumCrono,2))</f>
        <v>0</v>
      </c>
      <c r="R57" s="252">
        <f ca="1">IF($B55,ROUND($C57*R55,2),ROUND(SumCrono,2))</f>
        <v>0</v>
      </c>
      <c r="S57" s="239"/>
      <c r="T57" s="87"/>
      <c r="U57" s="87"/>
      <c r="X57" s="251">
        <f ca="1">IF($B55,ROUND($C57*X55,2),ROUND(SumCrono,2))</f>
        <v>0</v>
      </c>
    </row>
    <row r="58" spans="1:24" ht="12.75" customHeight="1" hidden="1">
      <c r="A58" s="104">
        <f t="shared" si="28"/>
        <v>0</v>
      </c>
      <c r="B58" s="240">
        <f>IF(AND($B55,$C58&gt;0),$J$18,"-")</f>
        <v>0</v>
      </c>
      <c r="C58" s="240">
        <f ca="1">OFFSET(QCI!$N$16,(ROW()-ROW(C$20))/numlinhaCrono,0)</f>
        <v>0</v>
      </c>
      <c r="D58" s="87"/>
      <c r="E58" s="245"/>
      <c r="F58" s="246"/>
      <c r="G58" s="247"/>
      <c r="H58" s="248"/>
      <c r="I58" s="234"/>
      <c r="J58" s="249">
        <f>J$18</f>
        <v>0</v>
      </c>
      <c r="K58" s="250">
        <f ca="1">IF($B55,ROUND($C58*K55,2),ROUND(SumCrono,2))</f>
        <v>0</v>
      </c>
      <c r="L58" s="251">
        <f ca="1">IF($B55,ROUND($C58*L55,2),ROUND(SumCrono,2))</f>
        <v>0</v>
      </c>
      <c r="M58" s="251">
        <f ca="1">IF($B55,ROUND($C58*M55,2),ROUND(SumCrono,2))</f>
        <v>0</v>
      </c>
      <c r="N58" s="251">
        <f ca="1">IF($B55,ROUND($C58*N55,2),ROUND(SumCrono,2))</f>
        <v>0</v>
      </c>
      <c r="O58" s="251">
        <f ca="1">IF($B55,ROUND($C58*O55,2),ROUND(SumCrono,2))</f>
        <v>0</v>
      </c>
      <c r="P58" s="251">
        <f ca="1">IF($B55,ROUND($C58*P55,2),ROUND(SumCrono,2))</f>
        <v>0</v>
      </c>
      <c r="Q58" s="251">
        <f ca="1">IF($B55,ROUND($C58*Q55,2),ROUND(SumCrono,2))</f>
        <v>0</v>
      </c>
      <c r="R58" s="252">
        <f ca="1">IF($B55,ROUND($C58*R55,2),ROUND(SumCrono,2))</f>
        <v>0</v>
      </c>
      <c r="S58" s="239"/>
      <c r="T58" s="87"/>
      <c r="U58" s="87"/>
      <c r="X58" s="251">
        <f ca="1">IF($B55,ROUND($C58*X55,2),ROUND(SumCrono,2))</f>
        <v>0</v>
      </c>
    </row>
    <row r="59" spans="1:24" ht="12.75" customHeight="1" hidden="1">
      <c r="A59" s="104">
        <f t="shared" si="28"/>
        <v>0</v>
      </c>
      <c r="B59" s="240">
        <f>IF(AND($B55,$C56&gt;0),$J$19,"-")</f>
        <v>0</v>
      </c>
      <c r="C59" s="240">
        <f ca="1">OFFSET(QCI!$O$16,(ROW()-ROW(C$20))/numlinhaCrono,0)</f>
        <v>0</v>
      </c>
      <c r="D59" s="87"/>
      <c r="E59" s="245"/>
      <c r="F59" s="246"/>
      <c r="G59" s="247"/>
      <c r="H59" s="248"/>
      <c r="I59" s="234"/>
      <c r="J59" s="253">
        <f>J$19</f>
        <v>0</v>
      </c>
      <c r="K59" s="250">
        <f ca="1">IF($B55,MIN($C59,MAX($K56:K56)),SumCrono)</f>
        <v>0</v>
      </c>
      <c r="L59" s="251">
        <f ca="1">IF($B55,MIN($C59,MAX($K56:L56)),SumCrono)</f>
        <v>0</v>
      </c>
      <c r="M59" s="251">
        <f ca="1">IF($B55,MIN($C59,MAX($K56:M56)),SumCrono)</f>
        <v>0</v>
      </c>
      <c r="N59" s="251">
        <f ca="1">IF($B55,MIN($C59,MAX($K56:N56)),SumCrono)</f>
        <v>0</v>
      </c>
      <c r="O59" s="251">
        <f ca="1">IF($B55,MIN($C59,MAX($K56:O56)),SumCrono)</f>
        <v>0</v>
      </c>
      <c r="P59" s="251">
        <f ca="1">IF($B55,MIN($C59,MAX($K56:P56)),SumCrono)</f>
        <v>0</v>
      </c>
      <c r="Q59" s="251">
        <f ca="1">IF($B55,MIN($C59,MAX($K56:Q56)),SumCrono)</f>
        <v>0</v>
      </c>
      <c r="R59" s="252">
        <f ca="1">IF($B55,MIN($C59,MAX($K56:R56)),SumCrono)</f>
        <v>0</v>
      </c>
      <c r="S59" s="239"/>
      <c r="T59" s="87"/>
      <c r="U59" s="87"/>
      <c r="X59" s="251">
        <f ca="1">IF($B55,MIN($C59,MAX($K56:X56)),SumCrono)</f>
        <v>0</v>
      </c>
    </row>
    <row r="60" spans="1:24" ht="12.75" customHeight="1">
      <c r="A60" s="104">
        <f ca="1">OFFSET(QCI!X$16,(ROW(A60)-ROW(A$20))/numlinhaCrono,0)*numlinhaCrono</f>
        <v>0</v>
      </c>
      <c r="B60" s="104">
        <f ca="1">OFFSET(QCI!Y$16,(ROW(B60)-ROW(B$20))/numlinhaCrono,0)</f>
        <v>1</v>
      </c>
      <c r="C60" s="87"/>
      <c r="D60" s="87"/>
      <c r="E60" s="230">
        <f ca="1">OFFSET(QCI!B$16,(ROW(E60)-ROW(E$20))/numlinhaCrono,0)</f>
        <v>1</v>
      </c>
      <c r="F60" s="231">
        <f ca="1">OFFSET(QCI!C$16,(ROW(F60)-ROW(F$20))/numlinhaCrono,0)</f>
        <v>0</v>
      </c>
      <c r="G60" s="232">
        <f ca="1">OFFSET(QCI!D$16,(ROW(G60)-ROW(G$20))/numlinhaCrono,0)</f>
        <v>0</v>
      </c>
      <c r="H60" s="233">
        <f ca="1">OFFSET(QCI!G$16,(ROW(H60)-ROW(H$20))/numlinhaCrono,0)</f>
        <v>0</v>
      </c>
      <c r="I60" s="234">
        <f>C61</f>
        <v>0</v>
      </c>
      <c r="J60" s="235" t="s">
        <v>110</v>
      </c>
      <c r="K60" s="236">
        <f>IF($I60=0,0,MIN(1,MAX($K64:K64)/$I60))</f>
        <v>0</v>
      </c>
      <c r="L60" s="237">
        <f>IF($I60=0,0,MIN(1,MAX($K64:L64)/$I60))</f>
        <v>0</v>
      </c>
      <c r="M60" s="237">
        <f>IF($I60=0,0,MIN(1,MAX($K64:M64)/$I60))</f>
        <v>0</v>
      </c>
      <c r="N60" s="237">
        <f>IF($I60=0,0,MIN(1,MAX($K64:N64)/$I60))</f>
        <v>0</v>
      </c>
      <c r="O60" s="237">
        <f>IF($I60=0,0,MIN(1,MAX($K64:O64)/$I60))</f>
        <v>0</v>
      </c>
      <c r="P60" s="237">
        <f>IF($I60=0,0,MIN(1,MAX($K64:P64)/$I60))</f>
        <v>0</v>
      </c>
      <c r="Q60" s="237">
        <f>IF($I60=0,0,MIN(1,MAX($K64:Q64)/$I60))</f>
        <v>0</v>
      </c>
      <c r="R60" s="238">
        <f>IF($I60=0,0,MIN(1,MAX($K64:R64)/$I60))</f>
        <v>0</v>
      </c>
      <c r="S60" s="239"/>
      <c r="T60" s="87"/>
      <c r="U60" s="87"/>
      <c r="X60" s="237">
        <f>IF($I60=0,0,MIN(1,MAX($K64:X64)/$I60))</f>
        <v>0</v>
      </c>
    </row>
    <row r="61" spans="1:24" ht="12.75" customHeight="1">
      <c r="A61" s="104">
        <f aca="true" t="shared" si="29" ref="A61:A64">A60</f>
        <v>0</v>
      </c>
      <c r="B61" s="22"/>
      <c r="C61" s="240">
        <f ca="1">OFFSET(QCI!$O$16,(ROW()-ROW(C$20))/numlinhaCrono,0)</f>
        <v>0</v>
      </c>
      <c r="D61" s="87"/>
      <c r="E61" s="230"/>
      <c r="F61" s="231"/>
      <c r="G61" s="232"/>
      <c r="H61" s="233"/>
      <c r="I61" s="234"/>
      <c r="J61" s="241">
        <f>J$19</f>
        <v>0</v>
      </c>
      <c r="K61" s="242">
        <f>IF($B60,MAX($J64:J64),K64)</f>
        <v>0</v>
      </c>
      <c r="L61" s="243">
        <f>IF($B60,MAX($J64:K64),L64)</f>
        <v>0</v>
      </c>
      <c r="M61" s="243">
        <f>IF($B60,MAX($J64:L64),M64)</f>
        <v>0</v>
      </c>
      <c r="N61" s="243">
        <f>IF($B60,MAX($J64:M64),N64)</f>
        <v>0</v>
      </c>
      <c r="O61" s="243">
        <f>IF($B60,MAX($J64:N64),O64)</f>
        <v>0</v>
      </c>
      <c r="P61" s="243">
        <f>IF($B60,MAX($J64:O64),P64)</f>
        <v>0</v>
      </c>
      <c r="Q61" s="243">
        <f>IF($B60,MAX($J64:P64),Q64)</f>
        <v>0</v>
      </c>
      <c r="R61" s="244">
        <f>IF($B60,MAX($J64:Q64),R64)</f>
        <v>0</v>
      </c>
      <c r="S61" s="239"/>
      <c r="T61" s="87"/>
      <c r="U61" s="87"/>
      <c r="X61" s="243">
        <f>IF($B60,MAX($J64:W64),X64)</f>
        <v>0</v>
      </c>
    </row>
    <row r="62" spans="1:24" ht="12.75" customHeight="1" hidden="1">
      <c r="A62" s="104">
        <f t="shared" si="29"/>
        <v>0</v>
      </c>
      <c r="B62" s="240">
        <f>IF(AND($B60,$C62&gt;0),$J$17,"-")</f>
        <v>0</v>
      </c>
      <c r="C62" s="240">
        <f ca="1">OFFSET(QCI!$M$16,(ROW()-ROW(C$20))/numlinhaCrono,0)</f>
        <v>0</v>
      </c>
      <c r="D62" s="87"/>
      <c r="E62" s="245"/>
      <c r="F62" s="246"/>
      <c r="G62" s="247"/>
      <c r="H62" s="248"/>
      <c r="I62" s="234"/>
      <c r="J62" s="249">
        <f>J$17</f>
        <v>0</v>
      </c>
      <c r="K62" s="250">
        <f ca="1">IF($B60,ROUND($C62*K60,2),ROUND(SumCrono,2))</f>
        <v>0</v>
      </c>
      <c r="L62" s="251">
        <f ca="1">IF($B60,ROUND($C62*L60,2),ROUND(SumCrono,2))</f>
        <v>0</v>
      </c>
      <c r="M62" s="251">
        <f ca="1">IF($B60,ROUND($C62*M60,2),ROUND(SumCrono,2))</f>
        <v>0</v>
      </c>
      <c r="N62" s="251">
        <f ca="1">IF($B60,ROUND($C62*N60,2),ROUND(SumCrono,2))</f>
        <v>0</v>
      </c>
      <c r="O62" s="251">
        <f ca="1">IF($B60,ROUND($C62*O60,2),ROUND(SumCrono,2))</f>
        <v>0</v>
      </c>
      <c r="P62" s="251">
        <f ca="1">IF($B60,ROUND($C62*P60,2),ROUND(SumCrono,2))</f>
        <v>0</v>
      </c>
      <c r="Q62" s="251">
        <f ca="1">IF($B60,ROUND($C62*Q60,2),ROUND(SumCrono,2))</f>
        <v>0</v>
      </c>
      <c r="R62" s="252">
        <f ca="1">IF($B60,ROUND($C62*R60,2),ROUND(SumCrono,2))</f>
        <v>0</v>
      </c>
      <c r="S62" s="239"/>
      <c r="T62" s="87"/>
      <c r="U62" s="87"/>
      <c r="X62" s="251">
        <f ca="1">IF($B60,ROUND($C62*X60,2),ROUND(SumCrono,2))</f>
        <v>0</v>
      </c>
    </row>
    <row r="63" spans="1:24" ht="12.75" customHeight="1" hidden="1">
      <c r="A63" s="104">
        <f t="shared" si="29"/>
        <v>0</v>
      </c>
      <c r="B63" s="240">
        <f>IF(AND($B60,$C63&gt;0),$J$18,"-")</f>
        <v>0</v>
      </c>
      <c r="C63" s="240">
        <f ca="1">OFFSET(QCI!$N$16,(ROW()-ROW(C$20))/numlinhaCrono,0)</f>
        <v>0</v>
      </c>
      <c r="D63" s="87"/>
      <c r="E63" s="245"/>
      <c r="F63" s="246"/>
      <c r="G63" s="247"/>
      <c r="H63" s="248"/>
      <c r="I63" s="234"/>
      <c r="J63" s="249">
        <f>J$18</f>
        <v>0</v>
      </c>
      <c r="K63" s="250">
        <f ca="1">IF($B60,ROUND($C63*K60,2),ROUND(SumCrono,2))</f>
        <v>0</v>
      </c>
      <c r="L63" s="251">
        <f ca="1">IF($B60,ROUND($C63*L60,2),ROUND(SumCrono,2))</f>
        <v>0</v>
      </c>
      <c r="M63" s="251">
        <f ca="1">IF($B60,ROUND($C63*M60,2),ROUND(SumCrono,2))</f>
        <v>0</v>
      </c>
      <c r="N63" s="251">
        <f ca="1">IF($B60,ROUND($C63*N60,2),ROUND(SumCrono,2))</f>
        <v>0</v>
      </c>
      <c r="O63" s="251">
        <f ca="1">IF($B60,ROUND($C63*O60,2),ROUND(SumCrono,2))</f>
        <v>0</v>
      </c>
      <c r="P63" s="251">
        <f ca="1">IF($B60,ROUND($C63*P60,2),ROUND(SumCrono,2))</f>
        <v>0</v>
      </c>
      <c r="Q63" s="251">
        <f ca="1">IF($B60,ROUND($C63*Q60,2),ROUND(SumCrono,2))</f>
        <v>0</v>
      </c>
      <c r="R63" s="252">
        <f ca="1">IF($B60,ROUND($C63*R60,2),ROUND(SumCrono,2))</f>
        <v>0</v>
      </c>
      <c r="S63" s="239"/>
      <c r="T63" s="87"/>
      <c r="U63" s="87"/>
      <c r="X63" s="251">
        <f ca="1">IF($B60,ROUND($C63*X60,2),ROUND(SumCrono,2))</f>
        <v>0</v>
      </c>
    </row>
    <row r="64" spans="1:24" ht="12.75" customHeight="1" hidden="1">
      <c r="A64" s="104">
        <f t="shared" si="29"/>
        <v>0</v>
      </c>
      <c r="B64" s="240">
        <f>IF(AND($B60,$C61&gt;0),$J$19,"-")</f>
        <v>0</v>
      </c>
      <c r="C64" s="240">
        <f ca="1">OFFSET(QCI!$O$16,(ROW()-ROW(C$20))/numlinhaCrono,0)</f>
        <v>0</v>
      </c>
      <c r="D64" s="87"/>
      <c r="E64" s="245"/>
      <c r="F64" s="246"/>
      <c r="G64" s="247"/>
      <c r="H64" s="248"/>
      <c r="I64" s="234"/>
      <c r="J64" s="253">
        <f>J$19</f>
        <v>0</v>
      </c>
      <c r="K64" s="250">
        <f ca="1">IF($B60,MIN($C64,MAX($K61:K61)),SumCrono)</f>
        <v>0</v>
      </c>
      <c r="L64" s="251">
        <f ca="1">IF($B60,MIN($C64,MAX($K61:L61)),SumCrono)</f>
        <v>0</v>
      </c>
      <c r="M64" s="251">
        <f ca="1">IF($B60,MIN($C64,MAX($K61:M61)),SumCrono)</f>
        <v>0</v>
      </c>
      <c r="N64" s="251">
        <f ca="1">IF($B60,MIN($C64,MAX($K61:N61)),SumCrono)</f>
        <v>0</v>
      </c>
      <c r="O64" s="251">
        <f ca="1">IF($B60,MIN($C64,MAX($K61:O61)),SumCrono)</f>
        <v>0</v>
      </c>
      <c r="P64" s="251">
        <f ca="1">IF($B60,MIN($C64,MAX($K61:P61)),SumCrono)</f>
        <v>0</v>
      </c>
      <c r="Q64" s="251">
        <f ca="1">IF($B60,MIN($C64,MAX($K61:Q61)),SumCrono)</f>
        <v>0</v>
      </c>
      <c r="R64" s="252">
        <f ca="1">IF($B60,MIN($C64,MAX($K61:R61)),SumCrono)</f>
        <v>0</v>
      </c>
      <c r="S64" s="239"/>
      <c r="T64" s="87"/>
      <c r="U64" s="87"/>
      <c r="X64" s="251">
        <f ca="1">IF($B60,MIN($C64,MAX($K61:X61)),SumCrono)</f>
        <v>0</v>
      </c>
    </row>
    <row r="65" spans="1:24" ht="12.75" customHeight="1">
      <c r="A65" s="104">
        <f ca="1">OFFSET(QCI!X$16,(ROW(A65)-ROW(A$20))/numlinhaCrono,0)*numlinhaCrono</f>
        <v>0</v>
      </c>
      <c r="B65" s="104">
        <f ca="1">OFFSET(QCI!Y$16,(ROW(B65)-ROW(B$20))/numlinhaCrono,0)</f>
        <v>1</v>
      </c>
      <c r="C65" s="87"/>
      <c r="D65" s="87"/>
      <c r="E65" s="230">
        <f ca="1">OFFSET(QCI!B$16,(ROW(E65)-ROW(E$20))/numlinhaCrono,0)</f>
        <v>1</v>
      </c>
      <c r="F65" s="231">
        <f ca="1">OFFSET(QCI!C$16,(ROW(F65)-ROW(F$20))/numlinhaCrono,0)</f>
        <v>0</v>
      </c>
      <c r="G65" s="232">
        <f ca="1">OFFSET(QCI!D$16,(ROW(G65)-ROW(G$20))/numlinhaCrono,0)</f>
        <v>0</v>
      </c>
      <c r="H65" s="233">
        <f ca="1">OFFSET(QCI!G$16,(ROW(H65)-ROW(H$20))/numlinhaCrono,0)</f>
        <v>0</v>
      </c>
      <c r="I65" s="234">
        <f>C66</f>
        <v>0</v>
      </c>
      <c r="J65" s="235" t="s">
        <v>110</v>
      </c>
      <c r="K65" s="236">
        <f>IF($I65=0,0,MIN(1,MAX($K69:K69)/$I65))</f>
        <v>0</v>
      </c>
      <c r="L65" s="237">
        <f>IF($I65=0,0,MIN(1,MAX($K69:L69)/$I65))</f>
        <v>0</v>
      </c>
      <c r="M65" s="237">
        <f>IF($I65=0,0,MIN(1,MAX($K69:M69)/$I65))</f>
        <v>0</v>
      </c>
      <c r="N65" s="237">
        <f>IF($I65=0,0,MIN(1,MAX($K69:N69)/$I65))</f>
        <v>0</v>
      </c>
      <c r="O65" s="237">
        <f>IF($I65=0,0,MIN(1,MAX($K69:O69)/$I65))</f>
        <v>0</v>
      </c>
      <c r="P65" s="237">
        <f>IF($I65=0,0,MIN(1,MAX($K69:P69)/$I65))</f>
        <v>0</v>
      </c>
      <c r="Q65" s="237">
        <f>IF($I65=0,0,MIN(1,MAX($K69:Q69)/$I65))</f>
        <v>0</v>
      </c>
      <c r="R65" s="238">
        <f>IF($I65=0,0,MIN(1,MAX($K69:R69)/$I65))</f>
        <v>0</v>
      </c>
      <c r="S65" s="239"/>
      <c r="T65" s="87"/>
      <c r="U65" s="87"/>
      <c r="X65" s="237">
        <f>IF($I65=0,0,MIN(1,MAX($K69:X69)/$I65))</f>
        <v>0</v>
      </c>
    </row>
    <row r="66" spans="1:24" ht="12.75" customHeight="1">
      <c r="A66" s="104">
        <f aca="true" t="shared" si="30" ref="A66:A69">A65</f>
        <v>0</v>
      </c>
      <c r="B66" s="22"/>
      <c r="C66" s="240">
        <f ca="1">OFFSET(QCI!$O$16,(ROW()-ROW(C$20))/numlinhaCrono,0)</f>
        <v>0</v>
      </c>
      <c r="D66" s="87"/>
      <c r="E66" s="230"/>
      <c r="F66" s="231"/>
      <c r="G66" s="232"/>
      <c r="H66" s="233"/>
      <c r="I66" s="234"/>
      <c r="J66" s="241">
        <f>J$19</f>
        <v>0</v>
      </c>
      <c r="K66" s="242">
        <f>IF($B65,MAX($J69:J69),K69)</f>
        <v>0</v>
      </c>
      <c r="L66" s="243">
        <f>IF($B65,MAX($J69:K69),L69)</f>
        <v>0</v>
      </c>
      <c r="M66" s="243">
        <f>IF($B65,MAX($J69:L69),M69)</f>
        <v>0</v>
      </c>
      <c r="N66" s="243">
        <f>IF($B65,MAX($J69:M69),N69)</f>
        <v>0</v>
      </c>
      <c r="O66" s="243">
        <f>IF($B65,MAX($J69:N69),O69)</f>
        <v>0</v>
      </c>
      <c r="P66" s="243">
        <f>IF($B65,MAX($J69:O69),P69)</f>
        <v>0</v>
      </c>
      <c r="Q66" s="243">
        <f>IF($B65,MAX($J69:P69),Q69)</f>
        <v>0</v>
      </c>
      <c r="R66" s="244">
        <f>IF($B65,MAX($J69:Q69),R69)</f>
        <v>0</v>
      </c>
      <c r="S66" s="239"/>
      <c r="T66" s="87"/>
      <c r="U66" s="87"/>
      <c r="X66" s="243">
        <f>IF($B65,MAX($J69:W69),X69)</f>
        <v>0</v>
      </c>
    </row>
    <row r="67" spans="1:24" ht="12.75" customHeight="1" hidden="1">
      <c r="A67" s="104">
        <f t="shared" si="30"/>
        <v>0</v>
      </c>
      <c r="B67" s="240">
        <f>IF(AND($B65,$C67&gt;0),$J$17,"-")</f>
        <v>0</v>
      </c>
      <c r="C67" s="240">
        <f ca="1">OFFSET(QCI!$M$16,(ROW()-ROW(C$20))/numlinhaCrono,0)</f>
        <v>0</v>
      </c>
      <c r="D67" s="87"/>
      <c r="E67" s="245"/>
      <c r="F67" s="246"/>
      <c r="G67" s="247"/>
      <c r="H67" s="248"/>
      <c r="I67" s="234"/>
      <c r="J67" s="249">
        <f>J$17</f>
        <v>0</v>
      </c>
      <c r="K67" s="250">
        <f ca="1">IF($B65,ROUND($C67*K65,2),ROUND(SumCrono,2))</f>
        <v>0</v>
      </c>
      <c r="L67" s="251">
        <f ca="1">IF($B65,ROUND($C67*L65,2),ROUND(SumCrono,2))</f>
        <v>0</v>
      </c>
      <c r="M67" s="251">
        <f ca="1">IF($B65,ROUND($C67*M65,2),ROUND(SumCrono,2))</f>
        <v>0</v>
      </c>
      <c r="N67" s="251">
        <f ca="1">IF($B65,ROUND($C67*N65,2),ROUND(SumCrono,2))</f>
        <v>0</v>
      </c>
      <c r="O67" s="251">
        <f ca="1">IF($B65,ROUND($C67*O65,2),ROUND(SumCrono,2))</f>
        <v>0</v>
      </c>
      <c r="P67" s="251">
        <f ca="1">IF($B65,ROUND($C67*P65,2),ROUND(SumCrono,2))</f>
        <v>0</v>
      </c>
      <c r="Q67" s="251">
        <f ca="1">IF($B65,ROUND($C67*Q65,2),ROUND(SumCrono,2))</f>
        <v>0</v>
      </c>
      <c r="R67" s="252">
        <f ca="1">IF($B65,ROUND($C67*R65,2),ROUND(SumCrono,2))</f>
        <v>0</v>
      </c>
      <c r="S67" s="239"/>
      <c r="T67" s="87"/>
      <c r="U67" s="87"/>
      <c r="X67" s="251">
        <f ca="1">IF($B65,ROUND($C67*X65,2),ROUND(SumCrono,2))</f>
        <v>0</v>
      </c>
    </row>
    <row r="68" spans="1:24" ht="12.75" customHeight="1" hidden="1">
      <c r="A68" s="104">
        <f t="shared" si="30"/>
        <v>0</v>
      </c>
      <c r="B68" s="240">
        <f>IF(AND($B65,$C68&gt;0),$J$18,"-")</f>
        <v>0</v>
      </c>
      <c r="C68" s="240">
        <f ca="1">OFFSET(QCI!$N$16,(ROW()-ROW(C$20))/numlinhaCrono,0)</f>
        <v>0</v>
      </c>
      <c r="D68" s="87"/>
      <c r="E68" s="245"/>
      <c r="F68" s="246"/>
      <c r="G68" s="247"/>
      <c r="H68" s="248"/>
      <c r="I68" s="234"/>
      <c r="J68" s="249">
        <f>J$18</f>
        <v>0</v>
      </c>
      <c r="K68" s="250">
        <f ca="1">IF($B65,ROUND($C68*K65,2),ROUND(SumCrono,2))</f>
        <v>0</v>
      </c>
      <c r="L68" s="251">
        <f ca="1">IF($B65,ROUND($C68*L65,2),ROUND(SumCrono,2))</f>
        <v>0</v>
      </c>
      <c r="M68" s="251">
        <f ca="1">IF($B65,ROUND($C68*M65,2),ROUND(SumCrono,2))</f>
        <v>0</v>
      </c>
      <c r="N68" s="251">
        <f ca="1">IF($B65,ROUND($C68*N65,2),ROUND(SumCrono,2))</f>
        <v>0</v>
      </c>
      <c r="O68" s="251">
        <f ca="1">IF($B65,ROUND($C68*O65,2),ROUND(SumCrono,2))</f>
        <v>0</v>
      </c>
      <c r="P68" s="251">
        <f ca="1">IF($B65,ROUND($C68*P65,2),ROUND(SumCrono,2))</f>
        <v>0</v>
      </c>
      <c r="Q68" s="251">
        <f ca="1">IF($B65,ROUND($C68*Q65,2),ROUND(SumCrono,2))</f>
        <v>0</v>
      </c>
      <c r="R68" s="252">
        <f ca="1">IF($B65,ROUND($C68*R65,2),ROUND(SumCrono,2))</f>
        <v>0</v>
      </c>
      <c r="S68" s="239"/>
      <c r="T68" s="87"/>
      <c r="U68" s="87"/>
      <c r="X68" s="251">
        <f ca="1">IF($B65,ROUND($C68*X65,2),ROUND(SumCrono,2))</f>
        <v>0</v>
      </c>
    </row>
    <row r="69" spans="1:24" ht="12.75" customHeight="1" hidden="1">
      <c r="A69" s="104">
        <f t="shared" si="30"/>
        <v>0</v>
      </c>
      <c r="B69" s="240">
        <f>IF(AND($B65,$C66&gt;0),$J$19,"-")</f>
        <v>0</v>
      </c>
      <c r="C69" s="240">
        <f ca="1">OFFSET(QCI!$O$16,(ROW()-ROW(C$20))/numlinhaCrono,0)</f>
        <v>0</v>
      </c>
      <c r="D69" s="87"/>
      <c r="E69" s="245"/>
      <c r="F69" s="246"/>
      <c r="G69" s="247"/>
      <c r="H69" s="248"/>
      <c r="I69" s="234"/>
      <c r="J69" s="253">
        <f>J$19</f>
        <v>0</v>
      </c>
      <c r="K69" s="250">
        <f ca="1">IF($B65,MIN($C69,MAX($K66:K66)),SumCrono)</f>
        <v>0</v>
      </c>
      <c r="L69" s="251">
        <f ca="1">IF($B65,MIN($C69,MAX($K66:L66)),SumCrono)</f>
        <v>0</v>
      </c>
      <c r="M69" s="251">
        <f ca="1">IF($B65,MIN($C69,MAX($K66:M66)),SumCrono)</f>
        <v>0</v>
      </c>
      <c r="N69" s="251">
        <f ca="1">IF($B65,MIN($C69,MAX($K66:N66)),SumCrono)</f>
        <v>0</v>
      </c>
      <c r="O69" s="251">
        <f ca="1">IF($B65,MIN($C69,MAX($K66:O66)),SumCrono)</f>
        <v>0</v>
      </c>
      <c r="P69" s="251">
        <f ca="1">IF($B65,MIN($C69,MAX($K66:P66)),SumCrono)</f>
        <v>0</v>
      </c>
      <c r="Q69" s="251">
        <f ca="1">IF($B65,MIN($C69,MAX($K66:Q66)),SumCrono)</f>
        <v>0</v>
      </c>
      <c r="R69" s="252">
        <f ca="1">IF($B65,MIN($C69,MAX($K66:R66)),SumCrono)</f>
        <v>0</v>
      </c>
      <c r="S69" s="239"/>
      <c r="T69" s="87"/>
      <c r="U69" s="87"/>
      <c r="X69" s="251">
        <f ca="1">IF($B65,MIN($C69,MAX($K66:X66)),SumCrono)</f>
        <v>0</v>
      </c>
    </row>
    <row r="70" spans="5:24" s="107" customFormat="1" ht="5.25" customHeight="1">
      <c r="E70" s="135"/>
      <c r="F70" s="254"/>
      <c r="G70" s="136"/>
      <c r="H70" s="136"/>
      <c r="I70" s="255"/>
      <c r="J70" s="136"/>
      <c r="K70" s="136"/>
      <c r="L70" s="136"/>
      <c r="M70" s="136"/>
      <c r="N70" s="136"/>
      <c r="O70" s="136"/>
      <c r="P70" s="136"/>
      <c r="Q70" s="136"/>
      <c r="R70" s="137"/>
      <c r="S70" s="256"/>
      <c r="X70" s="136"/>
    </row>
    <row r="71" spans="5:19" ht="12.75" customHeight="1">
      <c r="E71" s="141"/>
      <c r="F71" s="141"/>
      <c r="G71" s="142"/>
      <c r="H71" s="141"/>
      <c r="J71" s="144"/>
      <c r="S71" s="69"/>
    </row>
    <row r="72" spans="5:19" ht="12.75" customHeight="1" hidden="1">
      <c r="E72" s="145" t="s">
        <v>92</v>
      </c>
      <c r="F72" s="145"/>
      <c r="G72" s="145"/>
      <c r="H72" s="141"/>
      <c r="J72" s="257"/>
      <c r="S72" s="69"/>
    </row>
    <row r="73" spans="5:19" ht="24.75" customHeight="1" hidden="1">
      <c r="E73" s="258"/>
      <c r="F73" s="258"/>
      <c r="G73" s="258"/>
      <c r="H73" s="258"/>
      <c r="I73" s="258"/>
      <c r="J73" s="258"/>
      <c r="S73" s="69"/>
    </row>
    <row r="74" spans="5:19" ht="24.75" customHeight="1" hidden="1">
      <c r="E74" s="258"/>
      <c r="F74" s="258"/>
      <c r="G74" s="258"/>
      <c r="H74" s="258"/>
      <c r="I74" s="258"/>
      <c r="J74" s="258"/>
      <c r="S74" s="69"/>
    </row>
    <row r="75" spans="5:19" ht="12.75" customHeight="1" hidden="1">
      <c r="E75" s="148"/>
      <c r="F75" s="148"/>
      <c r="G75" s="148"/>
      <c r="H75" s="148"/>
      <c r="I75" s="151"/>
      <c r="J75" s="150"/>
      <c r="S75" s="69"/>
    </row>
    <row r="76" spans="9:24" ht="24.75" customHeight="1">
      <c r="I76" s="144"/>
      <c r="K76" s="144"/>
      <c r="L76" s="144"/>
      <c r="M76" s="259"/>
      <c r="N76" s="159"/>
      <c r="O76" s="159"/>
      <c r="P76" s="159"/>
      <c r="R76" s="144"/>
      <c r="X76" s="144"/>
    </row>
    <row r="77" spans="5:24" ht="12.75" customHeight="1">
      <c r="E77" s="260">
        <f>QCI!H36</f>
        <v>0</v>
      </c>
      <c r="F77" s="260"/>
      <c r="G77" s="260"/>
      <c r="H77" s="261">
        <f>QCI!I36</f>
        <v>0</v>
      </c>
      <c r="I77" s="261"/>
      <c r="J77" s="261"/>
      <c r="K77" s="142"/>
      <c r="L77" s="142"/>
      <c r="M77" s="262" t="s">
        <v>94</v>
      </c>
      <c r="N77" s="262"/>
      <c r="O77" s="262"/>
      <c r="P77" s="262"/>
      <c r="R77" s="144"/>
      <c r="X77" s="142"/>
    </row>
    <row r="78" spans="5:24" ht="12.75" customHeight="1">
      <c r="E78" s="260">
        <f>QCI!H37</f>
        <v>0</v>
      </c>
      <c r="F78" s="260"/>
      <c r="G78" s="260"/>
      <c r="H78" s="263">
        <f>QCI!I37</f>
        <v>0</v>
      </c>
      <c r="I78" s="263"/>
      <c r="J78" s="263"/>
      <c r="K78" s="142"/>
      <c r="L78" s="142"/>
      <c r="M78" s="165" t="s">
        <v>95</v>
      </c>
      <c r="N78" s="261">
        <f>QCI!$D$36</f>
        <v>0</v>
      </c>
      <c r="O78" s="261"/>
      <c r="P78" s="261"/>
      <c r="R78" s="144"/>
      <c r="X78" s="142"/>
    </row>
    <row r="79" spans="7:24" ht="12.75" customHeight="1">
      <c r="G79" s="169"/>
      <c r="H79" s="169"/>
      <c r="I79" s="144"/>
      <c r="J79" s="169"/>
      <c r="K79" s="144"/>
      <c r="L79" s="144"/>
      <c r="M79" s="165" t="s">
        <v>97</v>
      </c>
      <c r="N79" s="261">
        <f>QCI!$D$37</f>
        <v>0</v>
      </c>
      <c r="O79" s="261"/>
      <c r="P79" s="261"/>
      <c r="Q79" s="144"/>
      <c r="R79" s="144"/>
      <c r="X79" s="144"/>
    </row>
    <row r="80" spans="7:24" ht="12.75"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X80" s="169"/>
    </row>
    <row r="81" spans="7:24" ht="12.75"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X81" s="169"/>
    </row>
  </sheetData>
  <sheetProtection password="A71E" sheet="1"/>
  <mergeCells count="68">
    <mergeCell ref="K2:Q2"/>
    <mergeCell ref="K3:Q3"/>
    <mergeCell ref="E5:G6"/>
    <mergeCell ref="E8:E9"/>
    <mergeCell ref="F8:G9"/>
    <mergeCell ref="H8:H9"/>
    <mergeCell ref="I8:I9"/>
    <mergeCell ref="H10:H14"/>
    <mergeCell ref="H15:H19"/>
    <mergeCell ref="E20:E21"/>
    <mergeCell ref="F20:F21"/>
    <mergeCell ref="G20:G21"/>
    <mergeCell ref="H20:H21"/>
    <mergeCell ref="I20:I24"/>
    <mergeCell ref="E25:E26"/>
    <mergeCell ref="F25:F26"/>
    <mergeCell ref="G25:G26"/>
    <mergeCell ref="H25:H26"/>
    <mergeCell ref="I25:I29"/>
    <mergeCell ref="E30:E31"/>
    <mergeCell ref="F30:F31"/>
    <mergeCell ref="G30:G31"/>
    <mergeCell ref="H30:H31"/>
    <mergeCell ref="I30:I34"/>
    <mergeCell ref="E35:E36"/>
    <mergeCell ref="F35:F36"/>
    <mergeCell ref="G35:G36"/>
    <mergeCell ref="H35:H36"/>
    <mergeCell ref="I35:I39"/>
    <mergeCell ref="E40:E41"/>
    <mergeCell ref="F40:F41"/>
    <mergeCell ref="G40:G41"/>
    <mergeCell ref="H40:H41"/>
    <mergeCell ref="I40:I44"/>
    <mergeCell ref="E45:E46"/>
    <mergeCell ref="F45:F46"/>
    <mergeCell ref="G45:G46"/>
    <mergeCell ref="H45:H46"/>
    <mergeCell ref="I45:I49"/>
    <mergeCell ref="E50:E51"/>
    <mergeCell ref="F50:F51"/>
    <mergeCell ref="G50:G51"/>
    <mergeCell ref="H50:H51"/>
    <mergeCell ref="I50:I54"/>
    <mergeCell ref="E55:E56"/>
    <mergeCell ref="F55:F56"/>
    <mergeCell ref="G55:G56"/>
    <mergeCell ref="H55:H56"/>
    <mergeCell ref="I55:I59"/>
    <mergeCell ref="E60:E61"/>
    <mergeCell ref="F60:F61"/>
    <mergeCell ref="G60:G61"/>
    <mergeCell ref="H60:H61"/>
    <mergeCell ref="I60:I64"/>
    <mergeCell ref="E65:E66"/>
    <mergeCell ref="F65:F66"/>
    <mergeCell ref="G65:G66"/>
    <mergeCell ref="H65:H66"/>
    <mergeCell ref="I65:I69"/>
    <mergeCell ref="E72:G72"/>
    <mergeCell ref="E73:J74"/>
    <mergeCell ref="E77:G77"/>
    <mergeCell ref="H77:J77"/>
    <mergeCell ref="M77:P77"/>
    <mergeCell ref="E78:G78"/>
    <mergeCell ref="H78:J78"/>
    <mergeCell ref="N78:P78"/>
    <mergeCell ref="N79:P79"/>
  </mergeCells>
  <conditionalFormatting sqref="J22:J24 J27:J29 J32:J34 J37:J39 J42:J44 J47:J49 J52:J54 J57:J59 J62:J64 J67:J69">
    <cfRule type="expression" priority="1" dxfId="0" stopIfTrue="1">
      <formula>$F22="Meta"</formula>
    </cfRule>
  </conditionalFormatting>
  <conditionalFormatting sqref="D20:D69 S20:U69">
    <cfRule type="expression" priority="2" dxfId="2" stopIfTrue="1">
      <formula>ISERROR($E20)</formula>
    </cfRule>
  </conditionalFormatting>
  <conditionalFormatting sqref="X8:X9 K8:R9">
    <cfRule type="expression" priority="3" dxfId="7" stopIfTrue="1">
      <formula>AND(ISNUMBER(J$15),J$15&gt;=1)</formula>
    </cfRule>
  </conditionalFormatting>
  <conditionalFormatting sqref="X19 K19:R19">
    <cfRule type="expression" priority="4" dxfId="1" stopIfTrue="1">
      <formula>AND(ISNUMBER(J$15),J$15&gt;=1)</formula>
    </cfRule>
  </conditionalFormatting>
  <conditionalFormatting sqref="X10:X14 K10:R14">
    <cfRule type="expression" priority="5" dxfId="1" stopIfTrue="1">
      <formula>AND(ISNUMBER(J$15),J$15&gt;=1)</formula>
    </cfRule>
    <cfRule type="cellIs" priority="6" dxfId="8" operator="lessThan" stopIfTrue="1">
      <formula>0</formula>
    </cfRule>
  </conditionalFormatting>
  <conditionalFormatting sqref="X15 K15:R15">
    <cfRule type="expression" priority="7" dxfId="1" stopIfTrue="1">
      <formula>AND(ISNUMBER(J$15),J$15&gt;=1)</formula>
    </cfRule>
    <cfRule type="cellIs" priority="8" dxfId="4" operator="notBetween" stopIfTrue="1">
      <formula>0</formula>
      <formula>1</formula>
    </cfRule>
  </conditionalFormatting>
  <conditionalFormatting sqref="E20:J20 E25:J25 E30:J30 E35:J35 E40:J40 E45:J45 E50:J50 E55:J55 E60:J60 E65:J65">
    <cfRule type="expression" priority="9" dxfId="2" stopIfTrue="1">
      <formula>$I20=0</formula>
    </cfRule>
    <cfRule type="expression" priority="10" dxfId="9" stopIfTrue="1">
      <formula>$B20=0</formula>
    </cfRule>
    <cfRule type="expression" priority="11" dxfId="10" stopIfTrue="1">
      <formula>$F20="Meta"</formula>
    </cfRule>
  </conditionalFormatting>
  <conditionalFormatting sqref="J21 J26 J31 J36 J41 J46 J51 J56 J61 J66">
    <cfRule type="expression" priority="12" dxfId="2" stopIfTrue="1">
      <formula>$I20=0</formula>
    </cfRule>
    <cfRule type="expression" priority="13" dxfId="11" stopIfTrue="1">
      <formula>$B20=0</formula>
    </cfRule>
    <cfRule type="expression" priority="14" dxfId="12" stopIfTrue="1">
      <formula>$F1="Meta"</formula>
    </cfRule>
  </conditionalFormatting>
  <conditionalFormatting sqref="E21:H21 E26:H26 E31:H31 E36:H36 E41:H41 E46:H46 E51:H51 E56:H56 E61:H61 E66:H66">
    <cfRule type="expression" priority="15" dxfId="2" stopIfTrue="1">
      <formula>$I21=0</formula>
    </cfRule>
    <cfRule type="expression" priority="16" dxfId="9" stopIfTrue="1">
      <formula>$B24=0</formula>
    </cfRule>
    <cfRule type="expression" priority="17" dxfId="10" stopIfTrue="1">
      <formula>$F21="Meta"</formula>
    </cfRule>
  </conditionalFormatting>
  <conditionalFormatting sqref="J9">
    <cfRule type="expression" priority="18" dxfId="13" stopIfTrue="1">
      <formula>OR("#ref!"="(selecione)","#ref!"="Sub-Meta")</formula>
    </cfRule>
  </conditionalFormatting>
  <conditionalFormatting sqref="E5:G6">
    <cfRule type="cellIs" priority="19" dxfId="4" operator="notEqual" stopIfTrue="1">
      <formula>""</formula>
    </cfRule>
  </conditionalFormatting>
  <conditionalFormatting sqref="I6">
    <cfRule type="expression" priority="20" dxfId="1" stopIfTrue="1">
      <formula>$B$6=1</formula>
    </cfRule>
  </conditionalFormatting>
  <conditionalFormatting sqref="X16 K16:R16">
    <cfRule type="expression" priority="21" dxfId="1" stopIfTrue="1">
      <formula>AND(ISNUMBER(J$15),J$15&gt;=1)</formula>
    </cfRule>
    <cfRule type="cellIs" priority="22" dxfId="4" operator="notBetween" stopIfTrue="1">
      <formula>0</formula>
      <formula>$I16</formula>
    </cfRule>
  </conditionalFormatting>
  <conditionalFormatting sqref="I70">
    <cfRule type="expression" priority="23" dxfId="10" stopIfTrue="1">
      <formula>1=1</formula>
    </cfRule>
  </conditionalFormatting>
  <conditionalFormatting sqref="I19">
    <cfRule type="expression" priority="24" dxfId="14" stopIfTrue="1">
      <formula>1=1</formula>
    </cfRule>
  </conditionalFormatting>
  <conditionalFormatting sqref="X17:X18 K17:R18">
    <cfRule type="expression" priority="25" dxfId="1" stopIfTrue="1">
      <formula>AND(ISNUMBER(J$15),J$15&gt;=1)</formula>
    </cfRule>
    <cfRule type="cellIs" priority="26" dxfId="4" operator="notBetween" stopIfTrue="1">
      <formula>MAX($J17:J17)</formula>
      <formula>MAX($K$19,$I17)</formula>
    </cfRule>
  </conditionalFormatting>
  <conditionalFormatting sqref="X20 X25 X30 X35 X40 X45 X50 X55 X60 X65 K30:R30 K35:R35 K40:R40 K45:R45 K50:R50 K55:R55 K20:R20 K60:R60 K65:R65 K25:R25">
    <cfRule type="expression" priority="27" dxfId="2" stopIfTrue="1">
      <formula>OR(MAX($J20:J20)&gt;=1,$I20=0)</formula>
    </cfRule>
    <cfRule type="expression" priority="28" dxfId="4" stopIfTrue="1">
      <formula>OR(AND(COLUMN()-COLUMN($J$8)&gt;1,K21&lt;J21),K21&gt;$I20)</formula>
    </cfRule>
    <cfRule type="expression" priority="29" dxfId="10" stopIfTrue="1">
      <formula>$F20="Meta"</formula>
    </cfRule>
  </conditionalFormatting>
  <conditionalFormatting sqref="X21 X26 X31 X36 X41 X46 X51 X56 X61 X66 K31:R31 K36:R36 K41:R41 K46:R46 K51:R51 K56:R56 K21:R21 K61:R61 K66:R66 K26:R26">
    <cfRule type="expression" priority="30" dxfId="2" stopIfTrue="1">
      <formula>OR(MAX($J20:J20)&gt;=1,$I20=0)</formula>
    </cfRule>
    <cfRule type="expression" priority="31" dxfId="15" stopIfTrue="1">
      <formula>$B20=0</formula>
    </cfRule>
    <cfRule type="cellIs" priority="32" dxfId="4" operator="notBetween" stopIfTrue="1">
      <formula>K24</formula>
      <formula>$I20</formula>
    </cfRule>
  </conditionalFormatting>
  <dataValidations count="5">
    <dataValidation type="date" operator="greaterThan" allowBlank="1" showInputMessage="1" showErrorMessage="1" promptTitle="Início Previsto:" prompt="Digite a data prevista para o início das obras." sqref="J6">
      <formula1>36526</formula1>
    </dataValidation>
    <dataValidation type="whole" operator="greaterThan" allowBlank="1" showInputMessage="1" showErrorMessage="1" sqref="J9">
      <formula1>0</formula1>
    </dataValidation>
    <dataValidation type="whole" operator="greaterThanOrEqual" allowBlank="1" showInputMessage="1" showErrorMessage="1" promptTitle="Qtde de Medições já realizadas:" prompt="Digite a quantidade de medições já realizadas para o CT/TC antes da Reprogramação." errorTitle="Erro de Valor" error="Digite somente números inteiros positivos." sqref="I6">
      <formula1>1</formula1>
    </dataValidation>
    <dataValidation type="decimal" allowBlank="1" showInputMessage="1" showErrorMessage="1" promptTitle="Acumulado Investimento (R$)" prompt="Preencha com os Valores Financeiros de Investimento acumulados." errorTitle="Erro de Entrada" error="O valor não deve ser menor que a parcela anterior e maior que o valor de investimento." sqref="K21:R21 X21 K26:R26 X26 K31:R31 X31 K36:R36 X36 K41:R41 X41 K46:R46 X46 K51:R51 X51 K56:R56 X56 K61:R61 X61 K66:R66 X66">
      <formula1>IF(ISNUMBER(J21),J21,0)</formula1>
      <formula2>$I20</formula2>
    </dataValidation>
    <dataValidation type="decimal" allowBlank="1" showInputMessage="1" showErrorMessage="1" errorTitle="Erro de Valor" error="O Valor deve ser menor que o Valor de Investimento Executado e a Contrapartida Total." sqref="K17:R18 X17:X18">
      <formula1>IF(COLUMN()-COLUMN($J$8)&gt;1,J17,0)</formula1>
      <formula2>MIN(K$19,$I17)</formula2>
    </dataValidation>
  </dataValidations>
  <printOptions horizontalCentered="1"/>
  <pageMargins left="0.7875" right="0.7875" top="0.7868055555555555" bottom="0.7868055555555555" header="0.5902777777777778" footer="0.5902777777777778"/>
  <pageSetup horizontalDpi="300" verticalDpi="300" orientation="landscape" paperSize="9" scale="56"/>
  <headerFooter alignWithMargins="0">
    <oddHeader>&amp;C&amp;14I</oddHeader>
    <oddFooter>&amp;L41.211 v009  micro&amp;R&amp;N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"/>
  <sheetViews>
    <sheetView showGridLines="0" zoomScaleSheetLayoutView="10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2.28125" defaultRowHeight="12.75"/>
  <cols>
    <col min="1" max="1" width="6.7109375" style="5" customWidth="1"/>
    <col min="2" max="2" width="9.7109375" style="5" customWidth="1"/>
    <col min="3" max="3" width="5.7109375" style="5" customWidth="1"/>
    <col min="4" max="4" width="31.7109375" style="5" customWidth="1"/>
    <col min="5" max="5" width="17.7109375" style="5" customWidth="1"/>
    <col min="6" max="6" width="12.7109375" style="5" customWidth="1"/>
    <col min="7" max="7" width="7.7109375" style="5" customWidth="1"/>
    <col min="8" max="8" width="16.7109375" style="5" customWidth="1"/>
    <col min="9" max="9" width="5.7109375" style="5" customWidth="1"/>
    <col min="10" max="10" width="15.7109375" style="5" customWidth="1"/>
    <col min="11" max="11" width="14.8515625" style="5" hidden="1" customWidth="1"/>
    <col min="12" max="12" width="13.57421875" style="5" hidden="1" customWidth="1"/>
    <col min="13" max="14" width="15.7109375" style="5" customWidth="1"/>
    <col min="15" max="15" width="14.8515625" style="5" hidden="1" customWidth="1"/>
    <col min="16" max="16" width="13.57421875" style="5" hidden="1" customWidth="1"/>
    <col min="17" max="17" width="15.7109375" style="5" customWidth="1"/>
    <col min="18" max="18" width="8.7109375" style="5" customWidth="1"/>
    <col min="19" max="19" width="3.28125" style="5" customWidth="1"/>
    <col min="20" max="20" width="10.7109375" style="5" hidden="1" customWidth="1"/>
    <col min="21" max="21" width="15.7109375" style="5" hidden="1" customWidth="1"/>
    <col min="22" max="22" width="13.7109375" style="5" hidden="1" customWidth="1"/>
    <col min="23" max="24" width="15.7109375" style="5" hidden="1" customWidth="1"/>
    <col min="25" max="25" width="3.28125" style="5" hidden="1" customWidth="1"/>
    <col min="26" max="27" width="15.7109375" style="5" hidden="1" customWidth="1"/>
    <col min="28" max="28" width="3.28125" style="0" hidden="1" customWidth="1"/>
    <col min="29" max="52" width="15.7109375" style="5" customWidth="1"/>
    <col min="53" max="16384" width="3.28125" style="0" customWidth="1"/>
  </cols>
  <sheetData>
    <row r="1" spans="2:52" ht="12.75" hidden="1">
      <c r="B1" s="57"/>
      <c r="C1" s="57"/>
      <c r="K1" s="57"/>
      <c r="L1" s="57"/>
      <c r="M1" s="57"/>
      <c r="N1" s="57"/>
      <c r="O1" s="57"/>
      <c r="P1" s="57"/>
      <c r="Q1" s="57"/>
      <c r="T1" s="169" t="s">
        <v>111</v>
      </c>
      <c r="Z1" s="57"/>
      <c r="AA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10:18" ht="12.75">
      <c r="J2" s="69"/>
      <c r="Q2" s="264">
        <f>QCI!O2</f>
        <v>0</v>
      </c>
      <c r="R2" s="264"/>
    </row>
    <row r="3" spans="1:18" ht="12.75" customHeight="1">
      <c r="A3" s="265">
        <f>CONCATENATE("RRE - RELATÓRIO RESUMO DO EMPREENDIMENTO - ",IF(RREMode="RRET","TOMADOR","CAIXA"))</f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172"/>
      <c r="P3" s="172"/>
      <c r="Q3" s="266">
        <f>QCI!O3</f>
        <v>0</v>
      </c>
      <c r="R3" s="266"/>
    </row>
    <row r="4" spans="20:52" ht="99.75" customHeight="1">
      <c r="T4" s="9"/>
      <c r="U4" s="9"/>
      <c r="V4" s="9"/>
      <c r="W4" s="267" t="s">
        <v>112</v>
      </c>
      <c r="X4" s="268" t="s">
        <v>113</v>
      </c>
      <c r="Z4" s="56" t="s">
        <v>114</v>
      </c>
      <c r="AA4" s="56" t="s">
        <v>114</v>
      </c>
      <c r="AB4" s="269"/>
      <c r="AC4" s="56" t="s">
        <v>114</v>
      </c>
      <c r="AD4" s="56" t="s">
        <v>114</v>
      </c>
      <c r="AE4" s="56" t="s">
        <v>114</v>
      </c>
      <c r="AF4" s="56" t="s">
        <v>114</v>
      </c>
      <c r="AG4" s="56" t="s">
        <v>114</v>
      </c>
      <c r="AH4" s="56" t="s">
        <v>114</v>
      </c>
      <c r="AI4" s="56" t="s">
        <v>114</v>
      </c>
      <c r="AJ4" s="56" t="s">
        <v>114</v>
      </c>
      <c r="AK4" s="56" t="s">
        <v>114</v>
      </c>
      <c r="AL4" s="56" t="s">
        <v>114</v>
      </c>
      <c r="AM4" s="56" t="s">
        <v>114</v>
      </c>
      <c r="AN4" s="56" t="s">
        <v>114</v>
      </c>
      <c r="AO4" s="56" t="s">
        <v>114</v>
      </c>
      <c r="AP4" s="56" t="s">
        <v>114</v>
      </c>
      <c r="AQ4" s="56" t="s">
        <v>114</v>
      </c>
      <c r="AR4" s="56" t="s">
        <v>114</v>
      </c>
      <c r="AS4" s="56" t="s">
        <v>114</v>
      </c>
      <c r="AT4" s="56" t="s">
        <v>114</v>
      </c>
      <c r="AU4" s="56" t="s">
        <v>114</v>
      </c>
      <c r="AV4" s="56" t="s">
        <v>114</v>
      </c>
      <c r="AW4" s="56" t="s">
        <v>114</v>
      </c>
      <c r="AX4" s="56" t="s">
        <v>114</v>
      </c>
      <c r="AY4" s="56" t="s">
        <v>114</v>
      </c>
      <c r="AZ4" s="56" t="s">
        <v>114</v>
      </c>
    </row>
    <row r="5" spans="4:52" ht="12.75" customHeight="1">
      <c r="D5" s="270" t="s">
        <v>115</v>
      </c>
      <c r="E5" s="271" t="s">
        <v>116</v>
      </c>
      <c r="F5" s="271"/>
      <c r="H5" s="272" t="s">
        <v>117</v>
      </c>
      <c r="I5" s="273">
        <v>1</v>
      </c>
      <c r="J5" s="63" t="s">
        <v>118</v>
      </c>
      <c r="K5" s="274"/>
      <c r="M5" s="64">
        <f>CRONO!$J$11</f>
        <v>0</v>
      </c>
      <c r="N5" s="64" t="s">
        <v>56</v>
      </c>
      <c r="O5" s="64"/>
      <c r="P5" s="274"/>
      <c r="Q5" s="275"/>
      <c r="T5" s="9"/>
      <c r="U5" s="9"/>
      <c r="V5" s="276" t="s">
        <v>85</v>
      </c>
      <c r="W5" s="277">
        <f>W8-W7-W6</f>
        <v>0</v>
      </c>
      <c r="X5" s="277">
        <f>X8-X7-X6</f>
        <v>0</v>
      </c>
      <c r="Z5" s="56"/>
      <c r="AA5" s="56"/>
      <c r="AB5" s="269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4:52" ht="12.75" customHeight="1">
      <c r="D6" s="278">
        <f>IF(F6="-","-",IF(R12&lt;F6,"Atrasada",IF(R12&gt;F6,"Adiantada","Normal")))</f>
        <v>0</v>
      </c>
      <c r="E6" s="279">
        <f>DATE(YEAR(J32),MONTH(J32),1)</f>
        <v>43739</v>
      </c>
      <c r="F6" s="280">
        <f>IF($E$6&lt;=DATE(YEAR(CRONO!$J$6),MONTH(CRONO!$J$6),1),"-",IF(COUNTIF(CRONO!$K$9:$S$9,RRE!$E$6)=0,1,HLOOKUP(RRE!$E$6,CRONO!$K$9:$S$16,7)))</f>
        <v>1</v>
      </c>
      <c r="G6" s="70"/>
      <c r="H6" s="272"/>
      <c r="I6" s="273"/>
      <c r="J6" s="63"/>
      <c r="K6" s="274"/>
      <c r="M6" s="281">
        <f>QCI!L7</f>
        <v>0</v>
      </c>
      <c r="N6" s="281">
        <f>QCI!M7</f>
        <v>0</v>
      </c>
      <c r="O6" s="281"/>
      <c r="P6" s="274"/>
      <c r="Q6" s="275"/>
      <c r="T6" s="9"/>
      <c r="U6" s="9"/>
      <c r="V6" s="276" t="s">
        <v>119</v>
      </c>
      <c r="W6" s="277">
        <f>ROUND(SUMIF($V$15:$V$26,1,$O$15:$O$26),2)</f>
        <v>0</v>
      </c>
      <c r="X6" s="277">
        <f>IF(OR($Q$15&lt;$M$15,$M13&gt;$W6),MIN($M13,$J13),MIN($W6,$N$15-$N$14+$M13))</f>
        <v>0</v>
      </c>
      <c r="Z6" s="282">
        <f>MIN($J$13,$Q$15-Z$14)</f>
        <v>0</v>
      </c>
      <c r="AA6" s="282">
        <f>MIN($J$13,$Q$15-AA$14)</f>
        <v>0</v>
      </c>
      <c r="AB6" s="269"/>
      <c r="AC6" s="282">
        <f>MIN($J$13,$Q$15-AC$14)</f>
        <v>0</v>
      </c>
      <c r="AD6" s="282">
        <f>MIN($J$13,$Q$15-AD$14)</f>
        <v>0</v>
      </c>
      <c r="AE6" s="282">
        <f>MIN($J$13,$Q$15-AE$14)</f>
        <v>0</v>
      </c>
      <c r="AF6" s="282">
        <f>MIN($J$13,$Q$15-AF$14)</f>
        <v>0</v>
      </c>
      <c r="AG6" s="282">
        <f>MIN($J$13,$Q$15-AG$14)</f>
        <v>0</v>
      </c>
      <c r="AH6" s="282">
        <f>MIN($J$13,$Q$15-AH$14)</f>
        <v>0</v>
      </c>
      <c r="AI6" s="282">
        <f>MIN($J$13,$Q$15-AI$14)</f>
        <v>0</v>
      </c>
      <c r="AJ6" s="282">
        <f>MIN($J$13,$Q$15-AJ$14)</f>
        <v>0</v>
      </c>
      <c r="AK6" s="282">
        <f>MIN($J$13,$Q$15-AK$14)</f>
        <v>0</v>
      </c>
      <c r="AL6" s="282">
        <f>MIN($J$13,$Q$15-AL$14)</f>
        <v>0</v>
      </c>
      <c r="AM6" s="282">
        <f>MIN($J$13,$Q$15-AM$14)</f>
        <v>0</v>
      </c>
      <c r="AN6" s="282">
        <f>MIN($J$13,$Q$15-AN$14)</f>
        <v>0</v>
      </c>
      <c r="AO6" s="282">
        <f>MIN($J$13,$Q$15-AO$14)</f>
        <v>0</v>
      </c>
      <c r="AP6" s="282">
        <f>MIN($J$13,$Q$15-AP$14)</f>
        <v>0</v>
      </c>
      <c r="AQ6" s="282">
        <f>MIN($J$13,$Q$15-AQ$14)</f>
        <v>0</v>
      </c>
      <c r="AR6" s="282">
        <f>MIN($J$13,$Q$15-AR$14)</f>
        <v>0</v>
      </c>
      <c r="AS6" s="282">
        <f>MIN($J$13,$Q$15-AS$14)</f>
        <v>0</v>
      </c>
      <c r="AT6" s="282">
        <f>MIN($J$13,$Q$15-AT$14)</f>
        <v>0</v>
      </c>
      <c r="AU6" s="282">
        <f>MIN($J$13,$Q$15-AU$14)</f>
        <v>0</v>
      </c>
      <c r="AV6" s="282">
        <f>MIN($J$13,$Q$15-AV$14)</f>
        <v>0</v>
      </c>
      <c r="AW6" s="282">
        <f>MIN($J$13,$Q$15-AW$14)</f>
        <v>0</v>
      </c>
      <c r="AX6" s="282">
        <f>MIN($J$13,$Q$15-AX$14)</f>
        <v>0</v>
      </c>
      <c r="AY6" s="282">
        <f>MIN($J$13,$Q$15-AY$14)</f>
        <v>0</v>
      </c>
      <c r="AZ6" s="282">
        <f>MIN($J$13,$Q$15-AZ$14)</f>
        <v>0</v>
      </c>
    </row>
    <row r="7" spans="1:52" ht="9.75" customHeight="1">
      <c r="A7" s="283"/>
      <c r="B7" s="283"/>
      <c r="C7" s="284"/>
      <c r="D7" s="274"/>
      <c r="E7" s="285"/>
      <c r="F7" s="285"/>
      <c r="G7" s="285"/>
      <c r="H7" s="286">
        <f>"Acumulado Anterior:  "&amp;TEXT(M15/(J15+10^-12),"0,00%")</f>
        <v>0</v>
      </c>
      <c r="I7" s="286"/>
      <c r="J7" s="286"/>
      <c r="K7" s="287"/>
      <c r="L7" s="287"/>
      <c r="O7" s="287"/>
      <c r="P7" s="287"/>
      <c r="T7" s="9"/>
      <c r="U7" s="9"/>
      <c r="V7" s="276">
        <f>$H$14</f>
        <v>0</v>
      </c>
      <c r="W7" s="277">
        <f>ROUND(SUMIF($V$15:$V$26,1,$P$15:$P$26),2)</f>
        <v>0</v>
      </c>
      <c r="X7" s="277">
        <f>IF(OR($Q$15&lt;$M$15,$M14&gt;$W7),MIN($M14,$J14),MIN($W7,$N$15+$M14))</f>
        <v>0</v>
      </c>
      <c r="Z7" s="282">
        <f>MIN($J$14,$Q$15-Z$13)</f>
        <v>0</v>
      </c>
      <c r="AA7" s="282">
        <f>MIN($J$14,$Q$15-AA$13)</f>
        <v>0</v>
      </c>
      <c r="AB7" s="269"/>
      <c r="AC7" s="282">
        <f>MIN($J$14,$Q$15-AC$13)</f>
        <v>0</v>
      </c>
      <c r="AD7" s="282">
        <f>MIN($J$14,$Q$15-AD$13)</f>
        <v>0</v>
      </c>
      <c r="AE7" s="282">
        <f>MIN($J$14,$Q$15-AE$13)</f>
        <v>0</v>
      </c>
      <c r="AF7" s="282">
        <f>MIN($J$14,$Q$15-AF$13)</f>
        <v>0</v>
      </c>
      <c r="AG7" s="282">
        <f>MIN($J$14,$Q$15-AG$13)</f>
        <v>0</v>
      </c>
      <c r="AH7" s="282">
        <f>MIN($J$14,$Q$15-AH$13)</f>
        <v>0</v>
      </c>
      <c r="AI7" s="282">
        <f>MIN($J$14,$Q$15-AI$13)</f>
        <v>0</v>
      </c>
      <c r="AJ7" s="282">
        <f>MIN($J$14,$Q$15-AJ$13)</f>
        <v>0</v>
      </c>
      <c r="AK7" s="282">
        <f>MIN($J$14,$Q$15-AK$13)</f>
        <v>0</v>
      </c>
      <c r="AL7" s="282">
        <f>MIN($J$14,$Q$15-AL$13)</f>
        <v>0</v>
      </c>
      <c r="AM7" s="282">
        <f>MIN($J$14,$Q$15-AM$13)</f>
        <v>0</v>
      </c>
      <c r="AN7" s="282">
        <f>MIN($J$14,$Q$15-AN$13)</f>
        <v>0</v>
      </c>
      <c r="AO7" s="282">
        <f>MIN($J$14,$Q$15-AO$13)</f>
        <v>0</v>
      </c>
      <c r="AP7" s="282">
        <f>MIN($J$14,$Q$15-AP$13)</f>
        <v>0</v>
      </c>
      <c r="AQ7" s="282">
        <f>MIN($J$14,$Q$15-AQ$13)</f>
        <v>0</v>
      </c>
      <c r="AR7" s="282">
        <f>MIN($J$14,$Q$15-AR$13)</f>
        <v>0</v>
      </c>
      <c r="AS7" s="282">
        <f>MIN($J$14,$Q$15-AS$13)</f>
        <v>0</v>
      </c>
      <c r="AT7" s="282">
        <f>MIN($J$14,$Q$15-AT$13)</f>
        <v>0</v>
      </c>
      <c r="AU7" s="282">
        <f>MIN($J$14,$Q$15-AU$13)</f>
        <v>0</v>
      </c>
      <c r="AV7" s="282">
        <f>MIN($J$14,$Q$15-AV$13)</f>
        <v>0</v>
      </c>
      <c r="AW7" s="282">
        <f>MIN($J$14,$Q$15-AW$13)</f>
        <v>0</v>
      </c>
      <c r="AX7" s="282">
        <f>MIN($J$14,$Q$15-AX$13)</f>
        <v>0</v>
      </c>
      <c r="AY7" s="282">
        <f>MIN($J$14,$Q$15-AY$13)</f>
        <v>0</v>
      </c>
      <c r="AZ7" s="282">
        <f>MIN($J$14,$Q$15-AZ$13)</f>
        <v>0</v>
      </c>
    </row>
    <row r="8" spans="1:52" ht="12.75" customHeight="1">
      <c r="A8" s="283"/>
      <c r="B8" s="283"/>
      <c r="C8" s="284"/>
      <c r="D8" s="274"/>
      <c r="G8" s="285"/>
      <c r="H8" s="286"/>
      <c r="I8" s="286"/>
      <c r="J8" s="286"/>
      <c r="K8" s="287"/>
      <c r="L8" s="287"/>
      <c r="M8" s="288">
        <f>IF(RREMode="RRET","Valores Medidos (R$)","Valores Aferidos (R$)")</f>
        <v>0</v>
      </c>
      <c r="N8" s="288"/>
      <c r="O8" s="288"/>
      <c r="P8" s="288"/>
      <c r="Q8" s="288"/>
      <c r="R8" s="289" t="s">
        <v>120</v>
      </c>
      <c r="T8" s="9"/>
      <c r="U8" s="9"/>
      <c r="V8" s="276" t="s">
        <v>73</v>
      </c>
      <c r="W8" s="277">
        <f>Q15</f>
        <v>0</v>
      </c>
      <c r="X8" s="277">
        <f>W8</f>
        <v>0</v>
      </c>
      <c r="Z8" s="290" t="s">
        <v>121</v>
      </c>
      <c r="AA8" s="290"/>
      <c r="AC8" s="291" t="s">
        <v>122</v>
      </c>
      <c r="AD8" s="291"/>
      <c r="AE8" s="291"/>
      <c r="AF8" s="292" t="s">
        <v>122</v>
      </c>
      <c r="AG8" s="292"/>
      <c r="AH8" s="292"/>
      <c r="AI8" s="292" t="s">
        <v>122</v>
      </c>
      <c r="AJ8" s="292"/>
      <c r="AK8" s="292"/>
      <c r="AL8" s="292" t="s">
        <v>122</v>
      </c>
      <c r="AM8" s="292"/>
      <c r="AN8" s="292"/>
      <c r="AO8" s="292" t="s">
        <v>122</v>
      </c>
      <c r="AP8" s="292"/>
      <c r="AQ8" s="292"/>
      <c r="AR8" s="292" t="s">
        <v>122</v>
      </c>
      <c r="AS8" s="292"/>
      <c r="AT8" s="292"/>
      <c r="AU8" s="293" t="s">
        <v>122</v>
      </c>
      <c r="AV8" s="293"/>
      <c r="AW8" s="293"/>
      <c r="AX8" s="294" t="s">
        <v>122</v>
      </c>
      <c r="AY8" s="294"/>
      <c r="AZ8" s="294"/>
    </row>
    <row r="9" spans="1:52" ht="12.75" customHeight="1">
      <c r="A9" s="71" t="s">
        <v>62</v>
      </c>
      <c r="B9" s="78" t="s">
        <v>63</v>
      </c>
      <c r="C9" s="78"/>
      <c r="D9" s="71" t="s">
        <v>66</v>
      </c>
      <c r="E9" s="71" t="s">
        <v>67</v>
      </c>
      <c r="F9" s="295" t="s">
        <v>68</v>
      </c>
      <c r="G9" s="296" t="s">
        <v>69</v>
      </c>
      <c r="H9" s="78" t="s">
        <v>123</v>
      </c>
      <c r="I9" s="297" t="s">
        <v>124</v>
      </c>
      <c r="J9" s="298" t="s">
        <v>125</v>
      </c>
      <c r="K9" s="299" t="s">
        <v>126</v>
      </c>
      <c r="L9" s="299"/>
      <c r="M9" s="300" t="s">
        <v>126</v>
      </c>
      <c r="N9" s="72" t="s">
        <v>127</v>
      </c>
      <c r="O9" s="299" t="s">
        <v>128</v>
      </c>
      <c r="P9" s="299"/>
      <c r="Q9" s="301" t="s">
        <v>129</v>
      </c>
      <c r="R9" s="289"/>
      <c r="S9" s="70"/>
      <c r="T9" s="302" t="s">
        <v>77</v>
      </c>
      <c r="U9" s="303" t="s">
        <v>130</v>
      </c>
      <c r="Y9" s="70"/>
      <c r="Z9" s="304" t="s">
        <v>131</v>
      </c>
      <c r="AA9" s="305" t="s">
        <v>132</v>
      </c>
      <c r="AC9" s="306">
        <v>1</v>
      </c>
      <c r="AD9" s="307">
        <f ca="1">OFFSET(AD9,0,-1)+1</f>
        <v>2</v>
      </c>
      <c r="AE9" s="307">
        <f ca="1">OFFSET(AE9,0,-1)+1</f>
        <v>3</v>
      </c>
      <c r="AF9" s="307">
        <f ca="1">OFFSET(AF9,0,-1)+1</f>
        <v>4</v>
      </c>
      <c r="AG9" s="307">
        <f ca="1">OFFSET(AG9,0,-1)+1</f>
        <v>5</v>
      </c>
      <c r="AH9" s="307">
        <f ca="1">OFFSET(AH9,0,-1)+1</f>
        <v>6</v>
      </c>
      <c r="AI9" s="307">
        <f ca="1">OFFSET(AI9,0,-1)+1</f>
        <v>7</v>
      </c>
      <c r="AJ9" s="307">
        <f ca="1">OFFSET(AJ9,0,-1)+1</f>
        <v>8</v>
      </c>
      <c r="AK9" s="307">
        <f ca="1">OFFSET(AK9,0,-1)+1</f>
        <v>9</v>
      </c>
      <c r="AL9" s="307">
        <f ca="1">OFFSET(AL9,0,-1)+1</f>
        <v>10</v>
      </c>
      <c r="AM9" s="307">
        <f ca="1">OFFSET(AM9,0,-1)+1</f>
        <v>11</v>
      </c>
      <c r="AN9" s="307">
        <f ca="1">OFFSET(AN9,0,-1)+1</f>
        <v>12</v>
      </c>
      <c r="AO9" s="307">
        <f ca="1">OFFSET(AO9,0,-1)+1</f>
        <v>13</v>
      </c>
      <c r="AP9" s="307">
        <f ca="1">OFFSET(AP9,0,-1)+1</f>
        <v>14</v>
      </c>
      <c r="AQ9" s="307">
        <f ca="1">OFFSET(AQ9,0,-1)+1</f>
        <v>15</v>
      </c>
      <c r="AR9" s="307">
        <f ca="1">OFFSET(AR9,0,-1)+1</f>
        <v>16</v>
      </c>
      <c r="AS9" s="307">
        <f ca="1">OFFSET(AS9,0,-1)+1</f>
        <v>17</v>
      </c>
      <c r="AT9" s="307">
        <f ca="1">OFFSET(AT9,0,-1)+1</f>
        <v>18</v>
      </c>
      <c r="AU9" s="307">
        <f ca="1">OFFSET(AU9,0,-1)+1</f>
        <v>19</v>
      </c>
      <c r="AV9" s="307">
        <f ca="1">OFFSET(AV9,0,-1)+1</f>
        <v>20</v>
      </c>
      <c r="AW9" s="307">
        <f ca="1">OFFSET(AW9,0,-1)+1</f>
        <v>21</v>
      </c>
      <c r="AX9" s="307">
        <f ca="1">OFFSET(AX9,0,-1)+1</f>
        <v>22</v>
      </c>
      <c r="AY9" s="307">
        <f ca="1">OFFSET(AY9,0,-1)+1</f>
        <v>23</v>
      </c>
      <c r="AZ9" s="308">
        <f ca="1">OFFSET(AZ9,0,-1)+1</f>
        <v>24</v>
      </c>
    </row>
    <row r="10" spans="1:52" ht="13.5" customHeight="1">
      <c r="A10" s="71"/>
      <c r="B10" s="78"/>
      <c r="C10" s="78"/>
      <c r="D10" s="71"/>
      <c r="E10" s="71"/>
      <c r="F10" s="295"/>
      <c r="G10" s="296"/>
      <c r="H10" s="78"/>
      <c r="I10" s="297"/>
      <c r="J10" s="298"/>
      <c r="K10" s="299"/>
      <c r="L10" s="299"/>
      <c r="M10" s="300"/>
      <c r="N10" s="72"/>
      <c r="O10" s="299"/>
      <c r="P10" s="299"/>
      <c r="Q10" s="301"/>
      <c r="R10" s="289"/>
      <c r="S10" s="70"/>
      <c r="T10" s="302"/>
      <c r="U10" s="303"/>
      <c r="V10" s="309" t="s">
        <v>78</v>
      </c>
      <c r="W10" s="310" t="s">
        <v>133</v>
      </c>
      <c r="X10" s="310" t="s">
        <v>134</v>
      </c>
      <c r="Y10" s="70"/>
      <c r="Z10" s="304"/>
      <c r="AA10" s="305"/>
      <c r="AC10" s="306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8"/>
    </row>
    <row r="11" spans="1:52" ht="12.75" hidden="1">
      <c r="A11" s="311">
        <f ca="1">OFFSET(QCI!B$15,ROW(A11)-ROW(A$15),0)</f>
        <v>1</v>
      </c>
      <c r="B11" s="312">
        <f ca="1">OFFSET(QCI!C$15,ROW(B11)-ROW(B$15),0)</f>
        <v>0</v>
      </c>
      <c r="C11" s="313">
        <f ca="1">OFFSET(QCI!D$15,ROW(C11)-ROW(C$15),0)</f>
        <v>0</v>
      </c>
      <c r="D11" s="314">
        <f ca="1">OFFSET(QCI!G$15,ROW(F11)-ROW(F$15),0)</f>
        <v>0</v>
      </c>
      <c r="E11" s="315">
        <f ca="1">IF($V11,OFFSET(QCI!H$15,ROW(G11)-ROW(G$15),0),"")</f>
        <v>0</v>
      </c>
      <c r="F11" s="316">
        <f ca="1">IF($B11="Sub-Meta","",OFFSET(QCI!I$15,ROW(H11)-ROW(H$15),0))</f>
        <v>0</v>
      </c>
      <c r="G11" s="317">
        <f ca="1">IF(ISERROR(OFFSET(QCI!J$15,ROW(J11)-ROW(J$15),0)),"",OFFSET(QCI!J$15,ROW(J11)-ROW(J$15),0))</f>
        <v>0</v>
      </c>
      <c r="H11" s="318">
        <f ca="1">IF($V11,OFFSET(QCI!K$15,ROW(M11)-ROW(M$15),0),"")</f>
        <v>0</v>
      </c>
      <c r="I11" s="319"/>
      <c r="J11" s="320">
        <f ca="1">OFFSET(QCI!O$15,ROW(AB11)-ROW(AB$15),0)</f>
        <v>0</v>
      </c>
      <c r="K11" s="321">
        <f ca="1">ROUND(M11/($J11+10^-12)*OFFSET(QCI!$M$15,ROW(K11)-ROW(K$15),0),2)</f>
        <v>0</v>
      </c>
      <c r="L11" s="321">
        <f ca="1">ROUND(M11/($J11+10^-12)*OFFSET(QCI!$N$15,ROW(L11)-ROW(L$15),0),2)</f>
        <v>0</v>
      </c>
      <c r="M11" s="322">
        <f ca="1">IF($V11,IF(OR($E11="Licitado / em execução",$E11="Concluído"),IF(RREMode="RREV",ROUND(Z11,2),W11),0),SUM(OFFSET(M11,1,0,$T11)))</f>
        <v>0</v>
      </c>
      <c r="N11" s="323">
        <f aca="true" t="shared" si="0" ref="N11:N25">ROUND(Q11,2)-ROUND(M11,2)</f>
        <v>0</v>
      </c>
      <c r="O11" s="324">
        <f ca="1">ROUND(Q11/($J11+10^-12)*OFFSET(QCI!$M$15,ROW(O11)-ROW(O$15),0),2)</f>
        <v>0</v>
      </c>
      <c r="P11" s="324">
        <f ca="1">ROUND(Q11/($J11+10^-12)*OFFSET(QCI!$N$15,ROW(P11)-ROW(P$15),0),2)</f>
        <v>0</v>
      </c>
      <c r="Q11" s="325">
        <f ca="1">IF($V11,IF(OR($E11="Licitado / em execução",$E11="Concluído"),IF(RREMode="RREV",ROUND(AA11,2),X11),0),SUM(OFFSET(Q11,1,0,$T11)))</f>
        <v>0</v>
      </c>
      <c r="R11" s="326">
        <f>Q11/($J11+10^-12)</f>
        <v>0</v>
      </c>
      <c r="S11" s="87"/>
      <c r="T11" s="327">
        <f ca="1">OFFSET(QCI!X$15,ROW(X11)-ROW(W$15),0)</f>
        <v>0</v>
      </c>
      <c r="U11" s="328">
        <f ca="1">IF(AND(COUNTIF($H$9:$H11,$H11)=1,$H11&lt;&gt;"Adm. Direta",SUMIF($H$9:$H$26,$H11,$N$9:$N$26)&gt;0,$V11),OFFSET(U11,-1,0)+1,OFFSET(U11,-1,0))</f>
        <v>0</v>
      </c>
      <c r="V11" s="327">
        <f ca="1">OFFSET(QCI!Y$15,ROW(W11)-ROW(X$15),0)</f>
        <v>1</v>
      </c>
      <c r="W11" s="329">
        <f ca="1">IF(AND(COUNTA(OFFSET($AC11,0,0,1,mcol-1))&gt;0,mcol&gt;1),ROUND((INDEX(OFFSET($AC11,0,0,1,mcol-1),MATCH(9.99999999999999E+307,OFFSET($AC11,0,0,1,mcol-1)))),2),0)</f>
        <v>0</v>
      </c>
      <c r="X11" s="329">
        <f ca="1">IF(AND(COUNTA(OFFSET($AC11,0,0,1,mcol))&gt;0,mcol&gt;0),ROUND((INDEX(OFFSET($AC11,0,0,1,mcol),MATCH(9.99999999999999E+307,OFFSET($AC11,0,0,1,mcol)))),2),0)</f>
        <v>0</v>
      </c>
      <c r="Y11" s="330"/>
      <c r="Z11" s="331"/>
      <c r="AA11" s="332"/>
      <c r="AC11" s="333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5"/>
    </row>
    <row r="12" spans="1:52" ht="12" customHeight="1">
      <c r="A12" s="108"/>
      <c r="B12" s="336" t="s">
        <v>84</v>
      </c>
      <c r="C12" s="336"/>
      <c r="D12" s="108"/>
      <c r="E12" s="337"/>
      <c r="F12" s="338"/>
      <c r="G12" s="339"/>
      <c r="H12" s="340">
        <f>QCI!L9</f>
        <v>0</v>
      </c>
      <c r="I12" s="340"/>
      <c r="J12" s="341">
        <f>QCI!L15</f>
        <v>0</v>
      </c>
      <c r="K12" s="342">
        <f>QCI!$M$9</f>
        <v>0</v>
      </c>
      <c r="L12" s="342">
        <f>QCI!$N$9</f>
        <v>0</v>
      </c>
      <c r="M12" s="343">
        <f>M15-M14-M13</f>
        <v>0</v>
      </c>
      <c r="N12" s="344">
        <f t="shared" si="0"/>
        <v>0</v>
      </c>
      <c r="O12" s="342">
        <f>QCI!$M$9</f>
        <v>0</v>
      </c>
      <c r="P12" s="342">
        <f>QCI!$N$9</f>
        <v>0</v>
      </c>
      <c r="Q12" s="341">
        <f>Q15-Q14-Q13</f>
        <v>0</v>
      </c>
      <c r="R12" s="345">
        <f>Q15/(J15+10^-12)</f>
        <v>0</v>
      </c>
      <c r="S12" s="107"/>
      <c r="T12" s="138"/>
      <c r="U12" s="346"/>
      <c r="Y12" s="107"/>
      <c r="Z12" s="347"/>
      <c r="AA12" s="348"/>
      <c r="AC12" s="347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8"/>
    </row>
    <row r="13" spans="1:52" ht="12" customHeight="1">
      <c r="A13" s="207"/>
      <c r="B13" s="336"/>
      <c r="C13" s="336"/>
      <c r="D13" s="207"/>
      <c r="E13" s="350"/>
      <c r="F13" s="351"/>
      <c r="G13" s="352"/>
      <c r="H13" s="353" t="s">
        <v>119</v>
      </c>
      <c r="I13" s="353"/>
      <c r="J13" s="354">
        <f>QCI!M15</f>
        <v>0</v>
      </c>
      <c r="K13" s="342"/>
      <c r="L13" s="342"/>
      <c r="M13" s="355">
        <f>IF(AND(RREMode="RREV",Z13&lt;&gt;""),ROUND(Z13,2),IF(W13&lt;&gt;"",W13,ROUND(SUMIF($V$15:$V$26,1,K$15:K$26),2)))</f>
        <v>0</v>
      </c>
      <c r="N13" s="356">
        <f t="shared" si="0"/>
        <v>0</v>
      </c>
      <c r="O13" s="342"/>
      <c r="P13" s="342"/>
      <c r="Q13" s="354">
        <f aca="true" t="shared" si="1" ref="Q13:Q14">IF(AND(RREMode="RREV",$AA13&lt;&gt;""),ROUND(AA13,2),IF(X13&lt;&gt;"",X13,X6))</f>
        <v>0</v>
      </c>
      <c r="R13" s="345"/>
      <c r="S13" s="107"/>
      <c r="T13" s="138"/>
      <c r="U13" s="346"/>
      <c r="V13" s="276">
        <f aca="true" t="shared" si="2" ref="V13:V14">H13</f>
        <v>0</v>
      </c>
      <c r="W13" s="357">
        <f aca="true" t="shared" si="3" ref="W13:W14">IF(COUNTIF($AC$9:$BA$9,$I$5-1)=0,"",IF(INDEX($AC13:$BA13,MATCH($I$5-1,$AC$9:$BA$9,0))="","",INDEX($AC13:$BA13,MATCH($I$5-1,$AC$9:$BA$9,0))))</f>
        <v>0</v>
      </c>
      <c r="X13" s="357">
        <f aca="true" t="shared" si="4" ref="X13:X14">IF(COUNTIF($AC$9:$BA$9,$I$5)=0,"",IF(INDEX($AC13:$BA13,MATCH($I$5,$AC$9:$BA$9,0))="","",INDEX($AC13:$BA13,MATCH($I$5,$AC$9:$BA$9,0))))</f>
        <v>0</v>
      </c>
      <c r="Y13" s="107"/>
      <c r="Z13" s="358"/>
      <c r="AA13" s="359"/>
      <c r="AC13" s="360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59"/>
    </row>
    <row r="14" spans="1:52" ht="12" customHeight="1">
      <c r="A14" s="207"/>
      <c r="B14" s="336"/>
      <c r="C14" s="336"/>
      <c r="D14" s="207"/>
      <c r="E14" s="350"/>
      <c r="F14" s="351"/>
      <c r="G14" s="352"/>
      <c r="H14" s="362">
        <f>IF(QCI!N9="Outros","Outros","CP. Física")</f>
        <v>0</v>
      </c>
      <c r="I14" s="362"/>
      <c r="J14" s="354">
        <f>QCI!N15</f>
        <v>0</v>
      </c>
      <c r="K14" s="342"/>
      <c r="L14" s="342"/>
      <c r="M14" s="356">
        <f>IF(AND(RREMode="RREV",Z14&lt;&gt;""),ROUND(Z14,2),IF(W14&lt;&gt;"",W14,ROUND(SUMIF($V$15:$V$26,1,L$15:L$26),2)))</f>
        <v>0</v>
      </c>
      <c r="N14" s="356">
        <f t="shared" si="0"/>
        <v>0</v>
      </c>
      <c r="O14" s="342"/>
      <c r="P14" s="342"/>
      <c r="Q14" s="354">
        <f t="shared" si="1"/>
        <v>0</v>
      </c>
      <c r="R14" s="345"/>
      <c r="S14" s="107"/>
      <c r="T14" s="138"/>
      <c r="U14" s="346"/>
      <c r="V14" s="276">
        <f t="shared" si="2"/>
        <v>0</v>
      </c>
      <c r="W14" s="357">
        <f t="shared" si="3"/>
        <v>0</v>
      </c>
      <c r="X14" s="357">
        <f t="shared" si="4"/>
        <v>0</v>
      </c>
      <c r="Y14" s="107"/>
      <c r="Z14" s="363"/>
      <c r="AA14" s="364"/>
      <c r="AC14" s="365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4"/>
    </row>
    <row r="15" spans="1:52" ht="12" customHeight="1">
      <c r="A15" s="121"/>
      <c r="B15" s="336"/>
      <c r="C15" s="336"/>
      <c r="D15" s="367"/>
      <c r="E15" s="368"/>
      <c r="F15" s="369"/>
      <c r="G15" s="370"/>
      <c r="H15" s="371" t="s">
        <v>73</v>
      </c>
      <c r="I15" s="371"/>
      <c r="J15" s="372">
        <f>QCI!O15</f>
        <v>0</v>
      </c>
      <c r="K15" s="342"/>
      <c r="L15" s="342"/>
      <c r="M15" s="373">
        <f>ROUND(SUMIF($V$15:$V$26,1,M$15:M$26),2)</f>
        <v>0</v>
      </c>
      <c r="N15" s="374">
        <f t="shared" si="0"/>
        <v>0</v>
      </c>
      <c r="O15" s="342"/>
      <c r="P15" s="342"/>
      <c r="Q15" s="372">
        <f>ROUND(SUMIF($V$15:$V$26,1,Q$15:Q$26),2)</f>
        <v>0</v>
      </c>
      <c r="R15" s="345"/>
      <c r="S15" s="107"/>
      <c r="T15" s="138"/>
      <c r="U15" s="346"/>
      <c r="Y15" s="107"/>
      <c r="Z15" s="375"/>
      <c r="AA15" s="376"/>
      <c r="AC15" s="375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6"/>
    </row>
    <row r="16" spans="1:52" ht="12.75">
      <c r="A16" s="311">
        <f ca="1">OFFSET(QCI!B$15,ROW(A16)-ROW(A$15),0)</f>
        <v>1</v>
      </c>
      <c r="B16" s="312">
        <f ca="1">OFFSET(QCI!C$15,ROW(B16)-ROW(B$15),0)</f>
        <v>0</v>
      </c>
      <c r="C16" s="313">
        <f ca="1">OFFSET(QCI!D$15,ROW(C16)-ROW(C$15),0)</f>
        <v>0</v>
      </c>
      <c r="D16" s="314">
        <f ca="1">OFFSET(QCI!G$15,ROW(F16)-ROW(F$15),0)</f>
        <v>0</v>
      </c>
      <c r="E16" s="315">
        <f ca="1">IF($V16,OFFSET(QCI!H$15,ROW(G16)-ROW(G$15),0),"")</f>
        <v>0</v>
      </c>
      <c r="F16" s="316">
        <f ca="1">IF($B16="Sub-Meta","",OFFSET(QCI!I$15,ROW(H16)-ROW(H$15),0))</f>
        <v>6288.36</v>
      </c>
      <c r="G16" s="317">
        <f ca="1">IF(ISERROR(OFFSET(QCI!J$15,ROW(J16)-ROW(J$15),0)),"",OFFSET(QCI!J$15,ROW(J16)-ROW(J$15),0))</f>
        <v>0</v>
      </c>
      <c r="H16" s="318">
        <f ca="1">IF($V16,OFFSET(QCI!K$15,ROW(M16)-ROW(M$15),0),"")</f>
        <v>0</v>
      </c>
      <c r="I16" s="319"/>
      <c r="J16" s="320">
        <f ca="1">OFFSET(QCI!O$15,ROW(AB16)-ROW(AB$15),0)</f>
        <v>0</v>
      </c>
      <c r="K16" s="321">
        <f ca="1">ROUND(M16/($J16+10^-12)*OFFSET(QCI!$M$15,ROW(K16)-ROW(K$15),0),2)</f>
        <v>0</v>
      </c>
      <c r="L16" s="321">
        <f ca="1">ROUND(M16/($J16+10^-12)*OFFSET(QCI!$N$15,ROW(L16)-ROW(L$15),0),2)</f>
        <v>0</v>
      </c>
      <c r="M16" s="322">
        <f aca="true" ca="1" t="shared" si="5" ref="M16:M25">IF($V16,IF(OR($E16="Licitado / em execução",$E16="Concluído"),IF(RREMode="RREV",ROUND(Z16,2),W16),0),SUM(OFFSET(M16,1,0,$T16)))</f>
        <v>0</v>
      </c>
      <c r="N16" s="323">
        <f t="shared" si="0"/>
        <v>0</v>
      </c>
      <c r="O16" s="324">
        <f ca="1">ROUND(Q16/($J16+10^-12)*OFFSET(QCI!$M$15,ROW(O16)-ROW(O$15),0),2)</f>
        <v>0</v>
      </c>
      <c r="P16" s="324">
        <f ca="1">ROUND(Q16/($J16+10^-12)*OFFSET(QCI!$N$15,ROW(P16)-ROW(P$15),0),2)</f>
        <v>0</v>
      </c>
      <c r="Q16" s="325">
        <f aca="true" ca="1" t="shared" si="6" ref="Q16:Q25">IF($V16,IF(OR($E16="Licitado / em execução",$E16="Concluído"),IF(RREMode="RREV",ROUND(AA16,2),X16),0),SUM(OFFSET(Q16,1,0,$T16)))</f>
        <v>0</v>
      </c>
      <c r="R16" s="326">
        <f aca="true" t="shared" si="7" ref="R16:R25">Q16/($J16+10^-12)</f>
        <v>0</v>
      </c>
      <c r="S16" s="87"/>
      <c r="T16" s="327">
        <f ca="1">OFFSET(QCI!X$15,ROW(X16)-ROW(W$15),0)</f>
        <v>0</v>
      </c>
      <c r="U16" s="328">
        <f aca="true" ca="1" t="shared" si="8" ref="U16:U25">IF(AND(COUNTIF($H$9:$H16,$H16)=1,$H16&lt;&gt;"Adm. Direta",SUMIF($H$9:$H$26,$H16,$N$9:$N$26)&gt;0,$V16),OFFSET(U16,-1,0)+1,OFFSET(U16,-1,0))</f>
        <v>0</v>
      </c>
      <c r="V16" s="327">
        <f ca="1">OFFSET(QCI!Y$15,ROW(W16)-ROW(X$15),0)</f>
        <v>1</v>
      </c>
      <c r="W16" s="329">
        <f aca="true" ca="1" t="shared" si="9" ref="W16:W25">IF(AND(COUNTA(OFFSET($AC16,0,0,1,mcol-1))&gt;0,mcol&gt;1),ROUND((INDEX(OFFSET($AC16,0,0,1,mcol-1),MATCH(9.99999999999999E+307,OFFSET($AC16,0,0,1,mcol-1)))),2),0)</f>
        <v>0</v>
      </c>
      <c r="X16" s="329">
        <f aca="true" ca="1" t="shared" si="10" ref="X16:X25">IF(AND(COUNTA(OFFSET($AC16,0,0,1,mcol))&gt;0,mcol&gt;0),ROUND((INDEX(OFFSET($AC16,0,0,1,mcol),MATCH(9.99999999999999E+307,OFFSET($AC16,0,0,1,mcol)))),2),0)</f>
        <v>0</v>
      </c>
      <c r="Y16" s="330"/>
      <c r="Z16" s="331"/>
      <c r="AA16" s="332"/>
      <c r="AC16" s="333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5"/>
    </row>
    <row r="17" spans="1:52" ht="12.75">
      <c r="A17" s="311">
        <f ca="1">OFFSET(QCI!B$15,ROW(A17)-ROW(A$15),0)</f>
        <v>1</v>
      </c>
      <c r="B17" s="312">
        <f ca="1">OFFSET(QCI!C$15,ROW(B17)-ROW(B$15),0)</f>
        <v>0</v>
      </c>
      <c r="C17" s="313">
        <f ca="1">OFFSET(QCI!D$15,ROW(C17)-ROW(C$15),0)</f>
        <v>0</v>
      </c>
      <c r="D17" s="314">
        <f ca="1">OFFSET(QCI!G$15,ROW(F17)-ROW(F$15),0)</f>
        <v>0</v>
      </c>
      <c r="E17" s="315">
        <f ca="1">IF($V17,OFFSET(QCI!H$15,ROW(G17)-ROW(G$15),0),"")</f>
        <v>0</v>
      </c>
      <c r="F17" s="316">
        <f ca="1">IF($B17="Sub-Meta","",OFFSET(QCI!I$15,ROW(H17)-ROW(H$15),0))</f>
        <v>0</v>
      </c>
      <c r="G17" s="317">
        <f ca="1">IF(ISERROR(OFFSET(QCI!J$15,ROW(J17)-ROW(J$15),0)),"",OFFSET(QCI!J$15,ROW(J17)-ROW(J$15),0))</f>
        <v>0</v>
      </c>
      <c r="H17" s="318">
        <f ca="1">IF($V17,OFFSET(QCI!K$15,ROW(M17)-ROW(M$15),0),"")</f>
        <v>0</v>
      </c>
      <c r="I17" s="319"/>
      <c r="J17" s="320">
        <f ca="1">OFFSET(QCI!O$15,ROW(AB17)-ROW(AB$15),0)</f>
        <v>0</v>
      </c>
      <c r="K17" s="321">
        <f ca="1">ROUND(M17/($J17+10^-12)*OFFSET(QCI!$M$15,ROW(K17)-ROW(K$15),0),2)</f>
        <v>0</v>
      </c>
      <c r="L17" s="321">
        <f ca="1">ROUND(M17/($J17+10^-12)*OFFSET(QCI!$N$15,ROW(L17)-ROW(L$15),0),2)</f>
        <v>0</v>
      </c>
      <c r="M17" s="322">
        <f ca="1" t="shared" si="5"/>
        <v>0</v>
      </c>
      <c r="N17" s="323">
        <f t="shared" si="0"/>
        <v>0</v>
      </c>
      <c r="O17" s="324">
        <f ca="1">ROUND(Q17/($J17+10^-12)*OFFSET(QCI!$M$15,ROW(O17)-ROW(O$15),0),2)</f>
        <v>0</v>
      </c>
      <c r="P17" s="324">
        <f ca="1">ROUND(Q17/($J17+10^-12)*OFFSET(QCI!$N$15,ROW(P17)-ROW(P$15),0),2)</f>
        <v>0</v>
      </c>
      <c r="Q17" s="325">
        <f ca="1" t="shared" si="6"/>
        <v>0</v>
      </c>
      <c r="R17" s="326">
        <f t="shared" si="7"/>
        <v>0</v>
      </c>
      <c r="S17" s="87"/>
      <c r="T17" s="327">
        <f ca="1">OFFSET(QCI!X$15,ROW(X17)-ROW(W$15),0)</f>
        <v>0</v>
      </c>
      <c r="U17" s="328">
        <f ca="1" t="shared" si="8"/>
        <v>0</v>
      </c>
      <c r="V17" s="327">
        <f ca="1">OFFSET(QCI!Y$15,ROW(W17)-ROW(X$15),0)</f>
        <v>1</v>
      </c>
      <c r="W17" s="329">
        <f ca="1" t="shared" si="9"/>
        <v>0</v>
      </c>
      <c r="X17" s="329">
        <f ca="1" t="shared" si="10"/>
        <v>0</v>
      </c>
      <c r="Y17" s="330"/>
      <c r="Z17" s="331"/>
      <c r="AA17" s="332"/>
      <c r="AC17" s="333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5"/>
    </row>
    <row r="18" spans="1:52" ht="12.75">
      <c r="A18" s="311">
        <f ca="1">OFFSET(QCI!B$15,ROW(A18)-ROW(A$15),0)</f>
        <v>1</v>
      </c>
      <c r="B18" s="312">
        <f ca="1">OFFSET(QCI!C$15,ROW(B18)-ROW(B$15),0)</f>
        <v>0</v>
      </c>
      <c r="C18" s="313">
        <f ca="1">OFFSET(QCI!D$15,ROW(C18)-ROW(C$15),0)</f>
        <v>0</v>
      </c>
      <c r="D18" s="314">
        <f ca="1">OFFSET(QCI!G$15,ROW(F18)-ROW(F$15),0)</f>
        <v>0</v>
      </c>
      <c r="E18" s="315">
        <f ca="1">IF($V18,OFFSET(QCI!H$15,ROW(G18)-ROW(G$15),0),"")</f>
        <v>0</v>
      </c>
      <c r="F18" s="316">
        <f ca="1">IF($B18="Sub-Meta","",OFFSET(QCI!I$15,ROW(H18)-ROW(H$15),0))</f>
        <v>0</v>
      </c>
      <c r="G18" s="317">
        <f ca="1">IF(ISERROR(OFFSET(QCI!J$15,ROW(J18)-ROW(J$15),0)),"",OFFSET(QCI!J$15,ROW(J18)-ROW(J$15),0))</f>
        <v>0</v>
      </c>
      <c r="H18" s="318">
        <f ca="1">IF($V18,OFFSET(QCI!K$15,ROW(M18)-ROW(M$15),0),"")</f>
        <v>0</v>
      </c>
      <c r="I18" s="319"/>
      <c r="J18" s="320">
        <f ca="1">OFFSET(QCI!O$15,ROW(AB18)-ROW(AB$15),0)</f>
        <v>0</v>
      </c>
      <c r="K18" s="321">
        <f ca="1">ROUND(M18/($J18+10^-12)*OFFSET(QCI!$M$15,ROW(K18)-ROW(K$15),0),2)</f>
        <v>0</v>
      </c>
      <c r="L18" s="321">
        <f ca="1">ROUND(M18/($J18+10^-12)*OFFSET(QCI!$N$15,ROW(L18)-ROW(L$15),0),2)</f>
        <v>0</v>
      </c>
      <c r="M18" s="322">
        <f ca="1" t="shared" si="5"/>
        <v>0</v>
      </c>
      <c r="N18" s="323">
        <f t="shared" si="0"/>
        <v>0</v>
      </c>
      <c r="O18" s="324">
        <f ca="1">ROUND(Q18/($J18+10^-12)*OFFSET(QCI!$M$15,ROW(O18)-ROW(O$15),0),2)</f>
        <v>0</v>
      </c>
      <c r="P18" s="324">
        <f ca="1">ROUND(Q18/($J18+10^-12)*OFFSET(QCI!$N$15,ROW(P18)-ROW(P$15),0),2)</f>
        <v>0</v>
      </c>
      <c r="Q18" s="325">
        <f ca="1" t="shared" si="6"/>
        <v>0</v>
      </c>
      <c r="R18" s="326">
        <f t="shared" si="7"/>
        <v>0</v>
      </c>
      <c r="S18" s="87"/>
      <c r="T18" s="327">
        <f ca="1">OFFSET(QCI!X$15,ROW(X18)-ROW(W$15),0)</f>
        <v>0</v>
      </c>
      <c r="U18" s="328">
        <f ca="1" t="shared" si="8"/>
        <v>0</v>
      </c>
      <c r="V18" s="327">
        <f ca="1">OFFSET(QCI!Y$15,ROW(W18)-ROW(X$15),0)</f>
        <v>1</v>
      </c>
      <c r="W18" s="329">
        <f ca="1" t="shared" si="9"/>
        <v>0</v>
      </c>
      <c r="X18" s="329">
        <f ca="1" t="shared" si="10"/>
        <v>0</v>
      </c>
      <c r="Y18" s="330"/>
      <c r="Z18" s="331"/>
      <c r="AA18" s="332"/>
      <c r="AC18" s="333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5"/>
    </row>
    <row r="19" spans="1:52" ht="12.75">
      <c r="A19" s="311">
        <f ca="1">OFFSET(QCI!B$15,ROW(A19)-ROW(A$15),0)</f>
        <v>1</v>
      </c>
      <c r="B19" s="312">
        <f ca="1">OFFSET(QCI!C$15,ROW(B19)-ROW(B$15),0)</f>
        <v>0</v>
      </c>
      <c r="C19" s="313">
        <f ca="1">OFFSET(QCI!D$15,ROW(C19)-ROW(C$15),0)</f>
        <v>0</v>
      </c>
      <c r="D19" s="314">
        <f ca="1">OFFSET(QCI!G$15,ROW(F19)-ROW(F$15),0)</f>
        <v>0</v>
      </c>
      <c r="E19" s="315">
        <f ca="1">IF($V19,OFFSET(QCI!H$15,ROW(G19)-ROW(G$15),0),"")</f>
        <v>0</v>
      </c>
      <c r="F19" s="316">
        <f ca="1">IF($B19="Sub-Meta","",OFFSET(QCI!I$15,ROW(H19)-ROW(H$15),0))</f>
        <v>0</v>
      </c>
      <c r="G19" s="317">
        <f ca="1">IF(ISERROR(OFFSET(QCI!J$15,ROW(J19)-ROW(J$15),0)),"",OFFSET(QCI!J$15,ROW(J19)-ROW(J$15),0))</f>
        <v>0</v>
      </c>
      <c r="H19" s="318">
        <f ca="1">IF($V19,OFFSET(QCI!K$15,ROW(M19)-ROW(M$15),0),"")</f>
        <v>0</v>
      </c>
      <c r="I19" s="319"/>
      <c r="J19" s="320">
        <f ca="1">OFFSET(QCI!O$15,ROW(AB19)-ROW(AB$15),0)</f>
        <v>0</v>
      </c>
      <c r="K19" s="321">
        <f ca="1">ROUND(M19/($J19+10^-12)*OFFSET(QCI!$M$15,ROW(K19)-ROW(K$15),0),2)</f>
        <v>0</v>
      </c>
      <c r="L19" s="321">
        <f ca="1">ROUND(M19/($J19+10^-12)*OFFSET(QCI!$N$15,ROW(L19)-ROW(L$15),0),2)</f>
        <v>0</v>
      </c>
      <c r="M19" s="322">
        <f ca="1" t="shared" si="5"/>
        <v>0</v>
      </c>
      <c r="N19" s="323">
        <f t="shared" si="0"/>
        <v>0</v>
      </c>
      <c r="O19" s="324">
        <f ca="1">ROUND(Q19/($J19+10^-12)*OFFSET(QCI!$M$15,ROW(O19)-ROW(O$15),0),2)</f>
        <v>0</v>
      </c>
      <c r="P19" s="324">
        <f ca="1">ROUND(Q19/($J19+10^-12)*OFFSET(QCI!$N$15,ROW(P19)-ROW(P$15),0),2)</f>
        <v>0</v>
      </c>
      <c r="Q19" s="325">
        <f ca="1" t="shared" si="6"/>
        <v>0</v>
      </c>
      <c r="R19" s="326">
        <f t="shared" si="7"/>
        <v>0</v>
      </c>
      <c r="S19" s="87"/>
      <c r="T19" s="327">
        <f ca="1">OFFSET(QCI!X$15,ROW(X19)-ROW(W$15),0)</f>
        <v>0</v>
      </c>
      <c r="U19" s="328">
        <f ca="1" t="shared" si="8"/>
        <v>0</v>
      </c>
      <c r="V19" s="327">
        <f ca="1">OFFSET(QCI!Y$15,ROW(W19)-ROW(X$15),0)</f>
        <v>1</v>
      </c>
      <c r="W19" s="329">
        <f ca="1" t="shared" si="9"/>
        <v>0</v>
      </c>
      <c r="X19" s="329">
        <f ca="1" t="shared" si="10"/>
        <v>0</v>
      </c>
      <c r="Y19" s="330"/>
      <c r="Z19" s="331"/>
      <c r="AA19" s="332"/>
      <c r="AC19" s="333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5"/>
    </row>
    <row r="20" spans="1:52" ht="12.75">
      <c r="A20" s="311">
        <f ca="1">OFFSET(QCI!B$15,ROW(A20)-ROW(A$15),0)</f>
        <v>1</v>
      </c>
      <c r="B20" s="312">
        <f ca="1">OFFSET(QCI!C$15,ROW(B20)-ROW(B$15),0)</f>
        <v>0</v>
      </c>
      <c r="C20" s="313">
        <f ca="1">OFFSET(QCI!D$15,ROW(C20)-ROW(C$15),0)</f>
        <v>0</v>
      </c>
      <c r="D20" s="314">
        <f ca="1">OFFSET(QCI!G$15,ROW(F20)-ROW(F$15),0)</f>
        <v>0</v>
      </c>
      <c r="E20" s="315">
        <f ca="1">IF($V20,OFFSET(QCI!H$15,ROW(G20)-ROW(G$15),0),"")</f>
        <v>0</v>
      </c>
      <c r="F20" s="316">
        <f ca="1">IF($B20="Sub-Meta","",OFFSET(QCI!I$15,ROW(H20)-ROW(H$15),0))</f>
        <v>0</v>
      </c>
      <c r="G20" s="317">
        <f ca="1">IF(ISERROR(OFFSET(QCI!J$15,ROW(J20)-ROW(J$15),0)),"",OFFSET(QCI!J$15,ROW(J20)-ROW(J$15),0))</f>
        <v>0</v>
      </c>
      <c r="H20" s="318">
        <f ca="1">IF($V20,OFFSET(QCI!K$15,ROW(M20)-ROW(M$15),0),"")</f>
        <v>0</v>
      </c>
      <c r="I20" s="319"/>
      <c r="J20" s="320">
        <f ca="1">OFFSET(QCI!O$15,ROW(AB20)-ROW(AB$15),0)</f>
        <v>0</v>
      </c>
      <c r="K20" s="321">
        <f ca="1">ROUND(M20/($J20+10^-12)*OFFSET(QCI!$M$15,ROW(K20)-ROW(K$15),0),2)</f>
        <v>0</v>
      </c>
      <c r="L20" s="321">
        <f ca="1">ROUND(M20/($J20+10^-12)*OFFSET(QCI!$N$15,ROW(L20)-ROW(L$15),0),2)</f>
        <v>0</v>
      </c>
      <c r="M20" s="322">
        <f ca="1" t="shared" si="5"/>
        <v>0</v>
      </c>
      <c r="N20" s="323">
        <f t="shared" si="0"/>
        <v>0</v>
      </c>
      <c r="O20" s="324">
        <f ca="1">ROUND(Q20/($J20+10^-12)*OFFSET(QCI!$M$15,ROW(O20)-ROW(O$15),0),2)</f>
        <v>0</v>
      </c>
      <c r="P20" s="324">
        <f ca="1">ROUND(Q20/($J20+10^-12)*OFFSET(QCI!$N$15,ROW(P20)-ROW(P$15),0),2)</f>
        <v>0</v>
      </c>
      <c r="Q20" s="325">
        <f ca="1" t="shared" si="6"/>
        <v>0</v>
      </c>
      <c r="R20" s="326">
        <f t="shared" si="7"/>
        <v>0</v>
      </c>
      <c r="S20" s="87"/>
      <c r="T20" s="327">
        <f ca="1">OFFSET(QCI!X$15,ROW(X20)-ROW(W$15),0)</f>
        <v>0</v>
      </c>
      <c r="U20" s="328">
        <f ca="1" t="shared" si="8"/>
        <v>0</v>
      </c>
      <c r="V20" s="327">
        <f ca="1">OFFSET(QCI!Y$15,ROW(W20)-ROW(X$15),0)</f>
        <v>1</v>
      </c>
      <c r="W20" s="329">
        <f ca="1" t="shared" si="9"/>
        <v>0</v>
      </c>
      <c r="X20" s="329">
        <f ca="1" t="shared" si="10"/>
        <v>0</v>
      </c>
      <c r="Y20" s="330"/>
      <c r="Z20" s="331"/>
      <c r="AA20" s="332"/>
      <c r="AC20" s="333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5"/>
    </row>
    <row r="21" spans="1:52" ht="12.75">
      <c r="A21" s="311">
        <f ca="1">OFFSET(QCI!B$15,ROW(A21)-ROW(A$15),0)</f>
        <v>1</v>
      </c>
      <c r="B21" s="312">
        <f ca="1">OFFSET(QCI!C$15,ROW(B21)-ROW(B$15),0)</f>
        <v>0</v>
      </c>
      <c r="C21" s="313">
        <f ca="1">OFFSET(QCI!D$15,ROW(C21)-ROW(C$15),0)</f>
        <v>0</v>
      </c>
      <c r="D21" s="314">
        <f ca="1">OFFSET(QCI!G$15,ROW(F21)-ROW(F$15),0)</f>
        <v>0</v>
      </c>
      <c r="E21" s="315">
        <f ca="1">IF($V21,OFFSET(QCI!H$15,ROW(G21)-ROW(G$15),0),"")</f>
        <v>0</v>
      </c>
      <c r="F21" s="316">
        <f ca="1">IF($B21="Sub-Meta","",OFFSET(QCI!I$15,ROW(H21)-ROW(H$15),0))</f>
        <v>0</v>
      </c>
      <c r="G21" s="317">
        <f ca="1">IF(ISERROR(OFFSET(QCI!J$15,ROW(J21)-ROW(J$15),0)),"",OFFSET(QCI!J$15,ROW(J21)-ROW(J$15),0))</f>
        <v>0</v>
      </c>
      <c r="H21" s="318">
        <f ca="1">IF($V21,OFFSET(QCI!K$15,ROW(M21)-ROW(M$15),0),"")</f>
        <v>0</v>
      </c>
      <c r="I21" s="319"/>
      <c r="J21" s="320">
        <f ca="1">OFFSET(QCI!O$15,ROW(AB21)-ROW(AB$15),0)</f>
        <v>0</v>
      </c>
      <c r="K21" s="321">
        <f ca="1">ROUND(M21/($J21+10^-12)*OFFSET(QCI!$M$15,ROW(K21)-ROW(K$15),0),2)</f>
        <v>0</v>
      </c>
      <c r="L21" s="321">
        <f ca="1">ROUND(M21/($J21+10^-12)*OFFSET(QCI!$N$15,ROW(L21)-ROW(L$15),0),2)</f>
        <v>0</v>
      </c>
      <c r="M21" s="322">
        <f ca="1" t="shared" si="5"/>
        <v>0</v>
      </c>
      <c r="N21" s="323">
        <f t="shared" si="0"/>
        <v>0</v>
      </c>
      <c r="O21" s="324">
        <f ca="1">ROUND(Q21/($J21+10^-12)*OFFSET(QCI!$M$15,ROW(O21)-ROW(O$15),0),2)</f>
        <v>0</v>
      </c>
      <c r="P21" s="324">
        <f ca="1">ROUND(Q21/($J21+10^-12)*OFFSET(QCI!$N$15,ROW(P21)-ROW(P$15),0),2)</f>
        <v>0</v>
      </c>
      <c r="Q21" s="325">
        <f ca="1" t="shared" si="6"/>
        <v>0</v>
      </c>
      <c r="R21" s="326">
        <f t="shared" si="7"/>
        <v>0</v>
      </c>
      <c r="S21" s="87"/>
      <c r="T21" s="327">
        <f ca="1">OFFSET(QCI!X$15,ROW(X21)-ROW(W$15),0)</f>
        <v>0</v>
      </c>
      <c r="U21" s="328">
        <f ca="1" t="shared" si="8"/>
        <v>0</v>
      </c>
      <c r="V21" s="327">
        <f ca="1">OFFSET(QCI!Y$15,ROW(W21)-ROW(X$15),0)</f>
        <v>1</v>
      </c>
      <c r="W21" s="329">
        <f ca="1" t="shared" si="9"/>
        <v>0</v>
      </c>
      <c r="X21" s="329">
        <f ca="1" t="shared" si="10"/>
        <v>0</v>
      </c>
      <c r="Y21" s="330"/>
      <c r="Z21" s="331"/>
      <c r="AA21" s="332"/>
      <c r="AC21" s="333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5"/>
    </row>
    <row r="22" spans="1:52" ht="12.75">
      <c r="A22" s="311">
        <f ca="1">OFFSET(QCI!B$15,ROW(A22)-ROW(A$15),0)</f>
        <v>1</v>
      </c>
      <c r="B22" s="312">
        <f ca="1">OFFSET(QCI!C$15,ROW(B22)-ROW(B$15),0)</f>
        <v>0</v>
      </c>
      <c r="C22" s="313">
        <f ca="1">OFFSET(QCI!D$15,ROW(C22)-ROW(C$15),0)</f>
        <v>0</v>
      </c>
      <c r="D22" s="314">
        <f ca="1">OFFSET(QCI!G$15,ROW(F22)-ROW(F$15),0)</f>
        <v>0</v>
      </c>
      <c r="E22" s="315">
        <f ca="1">IF($V22,OFFSET(QCI!H$15,ROW(G22)-ROW(G$15),0),"")</f>
        <v>0</v>
      </c>
      <c r="F22" s="316">
        <f ca="1">IF($B22="Sub-Meta","",OFFSET(QCI!I$15,ROW(H22)-ROW(H$15),0))</f>
        <v>0</v>
      </c>
      <c r="G22" s="317">
        <f ca="1">IF(ISERROR(OFFSET(QCI!J$15,ROW(J22)-ROW(J$15),0)),"",OFFSET(QCI!J$15,ROW(J22)-ROW(J$15),0))</f>
        <v>0</v>
      </c>
      <c r="H22" s="318">
        <f ca="1">IF($V22,OFFSET(QCI!K$15,ROW(M22)-ROW(M$15),0),"")</f>
        <v>0</v>
      </c>
      <c r="I22" s="319"/>
      <c r="J22" s="320">
        <f ca="1">OFFSET(QCI!O$15,ROW(AB22)-ROW(AB$15),0)</f>
        <v>0</v>
      </c>
      <c r="K22" s="321">
        <f ca="1">ROUND(M22/($J22+10^-12)*OFFSET(QCI!$M$15,ROW(K22)-ROW(K$15),0),2)</f>
        <v>0</v>
      </c>
      <c r="L22" s="321">
        <f ca="1">ROUND(M22/($J22+10^-12)*OFFSET(QCI!$N$15,ROW(L22)-ROW(L$15),0),2)</f>
        <v>0</v>
      </c>
      <c r="M22" s="322">
        <f ca="1" t="shared" si="5"/>
        <v>0</v>
      </c>
      <c r="N22" s="323">
        <f t="shared" si="0"/>
        <v>0</v>
      </c>
      <c r="O22" s="324">
        <f ca="1">ROUND(Q22/($J22+10^-12)*OFFSET(QCI!$M$15,ROW(O22)-ROW(O$15),0),2)</f>
        <v>0</v>
      </c>
      <c r="P22" s="324">
        <f ca="1">ROUND(Q22/($J22+10^-12)*OFFSET(QCI!$N$15,ROW(P22)-ROW(P$15),0),2)</f>
        <v>0</v>
      </c>
      <c r="Q22" s="325">
        <f ca="1" t="shared" si="6"/>
        <v>0</v>
      </c>
      <c r="R22" s="326">
        <f t="shared" si="7"/>
        <v>0</v>
      </c>
      <c r="S22" s="87"/>
      <c r="T22" s="327">
        <f ca="1">OFFSET(QCI!X$15,ROW(X22)-ROW(W$15),0)</f>
        <v>0</v>
      </c>
      <c r="U22" s="328">
        <f ca="1" t="shared" si="8"/>
        <v>0</v>
      </c>
      <c r="V22" s="327">
        <f ca="1">OFFSET(QCI!Y$15,ROW(W22)-ROW(X$15),0)</f>
        <v>1</v>
      </c>
      <c r="W22" s="329">
        <f ca="1" t="shared" si="9"/>
        <v>0</v>
      </c>
      <c r="X22" s="329">
        <f ca="1" t="shared" si="10"/>
        <v>0</v>
      </c>
      <c r="Y22" s="330"/>
      <c r="Z22" s="331"/>
      <c r="AA22" s="332"/>
      <c r="AC22" s="333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5"/>
    </row>
    <row r="23" spans="1:52" ht="12.75">
      <c r="A23" s="311">
        <f ca="1">OFFSET(QCI!B$15,ROW(A23)-ROW(A$15),0)</f>
        <v>1</v>
      </c>
      <c r="B23" s="312">
        <f ca="1">OFFSET(QCI!C$15,ROW(B23)-ROW(B$15),0)</f>
        <v>0</v>
      </c>
      <c r="C23" s="313">
        <f ca="1">OFFSET(QCI!D$15,ROW(C23)-ROW(C$15),0)</f>
        <v>0</v>
      </c>
      <c r="D23" s="314">
        <f ca="1">OFFSET(QCI!G$15,ROW(F23)-ROW(F$15),0)</f>
        <v>0</v>
      </c>
      <c r="E23" s="315">
        <f ca="1">IF($V23,OFFSET(QCI!H$15,ROW(G23)-ROW(G$15),0),"")</f>
        <v>0</v>
      </c>
      <c r="F23" s="316">
        <f ca="1">IF($B23="Sub-Meta","",OFFSET(QCI!I$15,ROW(H23)-ROW(H$15),0))</f>
        <v>0</v>
      </c>
      <c r="G23" s="317">
        <f ca="1">IF(ISERROR(OFFSET(QCI!J$15,ROW(J23)-ROW(J$15),0)),"",OFFSET(QCI!J$15,ROW(J23)-ROW(J$15),0))</f>
        <v>0</v>
      </c>
      <c r="H23" s="318">
        <f ca="1">IF($V23,OFFSET(QCI!K$15,ROW(M23)-ROW(M$15),0),"")</f>
        <v>0</v>
      </c>
      <c r="I23" s="319"/>
      <c r="J23" s="320">
        <f ca="1">OFFSET(QCI!O$15,ROW(AB23)-ROW(AB$15),0)</f>
        <v>0</v>
      </c>
      <c r="K23" s="321">
        <f ca="1">ROUND(M23/($J23+10^-12)*OFFSET(QCI!$M$15,ROW(K23)-ROW(K$15),0),2)</f>
        <v>0</v>
      </c>
      <c r="L23" s="321">
        <f ca="1">ROUND(M23/($J23+10^-12)*OFFSET(QCI!$N$15,ROW(L23)-ROW(L$15),0),2)</f>
        <v>0</v>
      </c>
      <c r="M23" s="322">
        <f ca="1" t="shared" si="5"/>
        <v>0</v>
      </c>
      <c r="N23" s="323">
        <f t="shared" si="0"/>
        <v>0</v>
      </c>
      <c r="O23" s="324">
        <f ca="1">ROUND(Q23/($J23+10^-12)*OFFSET(QCI!$M$15,ROW(O23)-ROW(O$15),0),2)</f>
        <v>0</v>
      </c>
      <c r="P23" s="324">
        <f ca="1">ROUND(Q23/($J23+10^-12)*OFFSET(QCI!$N$15,ROW(P23)-ROW(P$15),0),2)</f>
        <v>0</v>
      </c>
      <c r="Q23" s="325">
        <f ca="1" t="shared" si="6"/>
        <v>0</v>
      </c>
      <c r="R23" s="326">
        <f t="shared" si="7"/>
        <v>0</v>
      </c>
      <c r="S23" s="87"/>
      <c r="T23" s="327">
        <f ca="1">OFFSET(QCI!X$15,ROW(X23)-ROW(W$15),0)</f>
        <v>0</v>
      </c>
      <c r="U23" s="328">
        <f ca="1" t="shared" si="8"/>
        <v>0</v>
      </c>
      <c r="V23" s="327">
        <f ca="1">OFFSET(QCI!Y$15,ROW(W23)-ROW(X$15),0)</f>
        <v>1</v>
      </c>
      <c r="W23" s="329">
        <f ca="1" t="shared" si="9"/>
        <v>0</v>
      </c>
      <c r="X23" s="329">
        <f ca="1" t="shared" si="10"/>
        <v>0</v>
      </c>
      <c r="Y23" s="330"/>
      <c r="Z23" s="331"/>
      <c r="AA23" s="332"/>
      <c r="AC23" s="333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5"/>
    </row>
    <row r="24" spans="1:52" ht="12.75">
      <c r="A24" s="311">
        <f ca="1">OFFSET(QCI!B$15,ROW(A24)-ROW(A$15),0)</f>
        <v>1</v>
      </c>
      <c r="B24" s="312">
        <f ca="1">OFFSET(QCI!C$15,ROW(B24)-ROW(B$15),0)</f>
        <v>0</v>
      </c>
      <c r="C24" s="313">
        <f ca="1">OFFSET(QCI!D$15,ROW(C24)-ROW(C$15),0)</f>
        <v>0</v>
      </c>
      <c r="D24" s="314">
        <f ca="1">OFFSET(QCI!G$15,ROW(F24)-ROW(F$15),0)</f>
        <v>0</v>
      </c>
      <c r="E24" s="315">
        <f ca="1">IF($V24,OFFSET(QCI!H$15,ROW(G24)-ROW(G$15),0),"")</f>
        <v>0</v>
      </c>
      <c r="F24" s="316">
        <f ca="1">IF($B24="Sub-Meta","",OFFSET(QCI!I$15,ROW(H24)-ROW(H$15),0))</f>
        <v>0</v>
      </c>
      <c r="G24" s="317">
        <f ca="1">IF(ISERROR(OFFSET(QCI!J$15,ROW(J24)-ROW(J$15),0)),"",OFFSET(QCI!J$15,ROW(J24)-ROW(J$15),0))</f>
        <v>0</v>
      </c>
      <c r="H24" s="318">
        <f ca="1">IF($V24,OFFSET(QCI!K$15,ROW(M24)-ROW(M$15),0),"")</f>
        <v>0</v>
      </c>
      <c r="I24" s="319"/>
      <c r="J24" s="320">
        <f ca="1">OFFSET(QCI!O$15,ROW(AB24)-ROW(AB$15),0)</f>
        <v>0</v>
      </c>
      <c r="K24" s="321">
        <f ca="1">ROUND(M24/($J24+10^-12)*OFFSET(QCI!$M$15,ROW(K24)-ROW(K$15),0),2)</f>
        <v>0</v>
      </c>
      <c r="L24" s="321">
        <f ca="1">ROUND(M24/($J24+10^-12)*OFFSET(QCI!$N$15,ROW(L24)-ROW(L$15),0),2)</f>
        <v>0</v>
      </c>
      <c r="M24" s="322">
        <f ca="1" t="shared" si="5"/>
        <v>0</v>
      </c>
      <c r="N24" s="323">
        <f t="shared" si="0"/>
        <v>0</v>
      </c>
      <c r="O24" s="324">
        <f ca="1">ROUND(Q24/($J24+10^-12)*OFFSET(QCI!$M$15,ROW(O24)-ROW(O$15),0),2)</f>
        <v>0</v>
      </c>
      <c r="P24" s="324">
        <f ca="1">ROUND(Q24/($J24+10^-12)*OFFSET(QCI!$N$15,ROW(P24)-ROW(P$15),0),2)</f>
        <v>0</v>
      </c>
      <c r="Q24" s="325">
        <f ca="1" t="shared" si="6"/>
        <v>0</v>
      </c>
      <c r="R24" s="326">
        <f t="shared" si="7"/>
        <v>0</v>
      </c>
      <c r="S24" s="87"/>
      <c r="T24" s="327">
        <f ca="1">OFFSET(QCI!X$15,ROW(X24)-ROW(W$15),0)</f>
        <v>0</v>
      </c>
      <c r="U24" s="328">
        <f ca="1" t="shared" si="8"/>
        <v>0</v>
      </c>
      <c r="V24" s="327">
        <f ca="1">OFFSET(QCI!Y$15,ROW(W24)-ROW(X$15),0)</f>
        <v>1</v>
      </c>
      <c r="W24" s="329">
        <f ca="1" t="shared" si="9"/>
        <v>0</v>
      </c>
      <c r="X24" s="329">
        <f ca="1" t="shared" si="10"/>
        <v>0</v>
      </c>
      <c r="Y24" s="330"/>
      <c r="Z24" s="331"/>
      <c r="AA24" s="332"/>
      <c r="AC24" s="333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5"/>
    </row>
    <row r="25" spans="1:52" ht="12.75">
      <c r="A25" s="311">
        <f ca="1">OFFSET(QCI!B$15,ROW(A25)-ROW(A$15),0)</f>
        <v>1</v>
      </c>
      <c r="B25" s="312">
        <f ca="1">OFFSET(QCI!C$15,ROW(B25)-ROW(B$15),0)</f>
        <v>0</v>
      </c>
      <c r="C25" s="313">
        <f ca="1">OFFSET(QCI!D$15,ROW(C25)-ROW(C$15),0)</f>
        <v>0</v>
      </c>
      <c r="D25" s="314">
        <f ca="1">OFFSET(QCI!G$15,ROW(F25)-ROW(F$15),0)</f>
        <v>0</v>
      </c>
      <c r="E25" s="315">
        <f ca="1">IF($V25,OFFSET(QCI!H$15,ROW(G25)-ROW(G$15),0),"")</f>
        <v>0</v>
      </c>
      <c r="F25" s="316">
        <f ca="1">IF($B25="Sub-Meta","",OFFSET(QCI!I$15,ROW(H25)-ROW(H$15),0))</f>
        <v>0</v>
      </c>
      <c r="G25" s="317">
        <f ca="1">IF(ISERROR(OFFSET(QCI!J$15,ROW(J25)-ROW(J$15),0)),"",OFFSET(QCI!J$15,ROW(J25)-ROW(J$15),0))</f>
        <v>0</v>
      </c>
      <c r="H25" s="318">
        <f ca="1">IF($V25,OFFSET(QCI!K$15,ROW(M25)-ROW(M$15),0),"")</f>
        <v>0</v>
      </c>
      <c r="I25" s="319"/>
      <c r="J25" s="320">
        <f ca="1">OFFSET(QCI!O$15,ROW(AB25)-ROW(AB$15),0)</f>
        <v>0</v>
      </c>
      <c r="K25" s="321">
        <f ca="1">ROUND(M25/($J25+10^-12)*OFFSET(QCI!$M$15,ROW(K25)-ROW(K$15),0),2)</f>
        <v>0</v>
      </c>
      <c r="L25" s="321">
        <f ca="1">ROUND(M25/($J25+10^-12)*OFFSET(QCI!$N$15,ROW(L25)-ROW(L$15),0),2)</f>
        <v>0</v>
      </c>
      <c r="M25" s="322">
        <f ca="1" t="shared" si="5"/>
        <v>0</v>
      </c>
      <c r="N25" s="323">
        <f t="shared" si="0"/>
        <v>0</v>
      </c>
      <c r="O25" s="324">
        <f ca="1">ROUND(Q25/($J25+10^-12)*OFFSET(QCI!$M$15,ROW(O25)-ROW(O$15),0),2)</f>
        <v>0</v>
      </c>
      <c r="P25" s="324">
        <f ca="1">ROUND(Q25/($J25+10^-12)*OFFSET(QCI!$N$15,ROW(P25)-ROW(P$15),0),2)</f>
        <v>0</v>
      </c>
      <c r="Q25" s="325">
        <f ca="1" t="shared" si="6"/>
        <v>0</v>
      </c>
      <c r="R25" s="326">
        <f t="shared" si="7"/>
        <v>0</v>
      </c>
      <c r="S25" s="87"/>
      <c r="T25" s="327">
        <f ca="1">OFFSET(QCI!X$15,ROW(X25)-ROW(W$15),0)</f>
        <v>0</v>
      </c>
      <c r="U25" s="328">
        <f ca="1" t="shared" si="8"/>
        <v>0</v>
      </c>
      <c r="V25" s="327">
        <f ca="1">OFFSET(QCI!Y$15,ROW(W25)-ROW(X$15),0)</f>
        <v>1</v>
      </c>
      <c r="W25" s="329">
        <f ca="1" t="shared" si="9"/>
        <v>0</v>
      </c>
      <c r="X25" s="329">
        <f ca="1" t="shared" si="10"/>
        <v>0</v>
      </c>
      <c r="Y25" s="330"/>
      <c r="Z25" s="331"/>
      <c r="AA25" s="332"/>
      <c r="AC25" s="333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5"/>
    </row>
    <row r="26" spans="1:52" ht="5.2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  <c r="S26" s="107"/>
      <c r="Y26" s="107"/>
      <c r="Z26" s="378"/>
      <c r="AA26" s="137"/>
      <c r="AC26" s="378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7"/>
    </row>
    <row r="27" spans="1:52" ht="12.7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T27" s="9"/>
      <c r="U27" s="9"/>
      <c r="V27" s="9"/>
      <c r="W27" s="9"/>
      <c r="X27" s="9"/>
      <c r="Z27" s="9"/>
      <c r="AA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2.75" customHeight="1" hidden="1">
      <c r="A28" s="379" t="s">
        <v>92</v>
      </c>
      <c r="B28" s="379"/>
      <c r="C28" s="379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380"/>
      <c r="T28" s="9"/>
      <c r="U28" s="9"/>
      <c r="V28" s="9"/>
      <c r="W28" s="9"/>
      <c r="X28" s="9"/>
      <c r="Z28" s="9"/>
      <c r="AA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24.75" customHeight="1" hidden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T29" s="9"/>
      <c r="U29" s="9"/>
      <c r="V29" s="9"/>
      <c r="W29" s="9"/>
      <c r="X29" s="9"/>
      <c r="Z29" s="9"/>
      <c r="AA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24.75" customHeight="1" hidden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T30" s="9"/>
      <c r="U30" s="9"/>
      <c r="V30" s="9"/>
      <c r="W30" s="9"/>
      <c r="X30" s="9"/>
      <c r="Z30" s="9"/>
      <c r="AA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2.75" customHeight="1" hidden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T31" s="9"/>
      <c r="U31" s="9"/>
      <c r="V31" s="9"/>
      <c r="W31" s="9"/>
      <c r="X31" s="9"/>
      <c r="Z31" s="9"/>
      <c r="AA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2.75" customHeight="1">
      <c r="A32" s="44">
        <f>QCI!H36</f>
        <v>0</v>
      </c>
      <c r="B32" s="166"/>
      <c r="C32" s="166"/>
      <c r="D32" s="166"/>
      <c r="E32" s="166"/>
      <c r="F32" s="142"/>
      <c r="G32" s="142"/>
      <c r="I32" s="260">
        <f>QCI!H37</f>
        <v>0</v>
      </c>
      <c r="J32" s="168">
        <f ca="1">TODAY()</f>
        <v>43762</v>
      </c>
      <c r="K32" s="168"/>
      <c r="L32" s="168"/>
      <c r="M32" s="168"/>
      <c r="N32" s="168"/>
      <c r="O32" s="168"/>
      <c r="P32" s="168"/>
      <c r="Q32" s="168"/>
      <c r="R32" s="141"/>
      <c r="T32" s="381"/>
      <c r="U32" s="9"/>
      <c r="V32" s="9"/>
      <c r="W32" s="9"/>
      <c r="X32" s="9"/>
      <c r="Z32" s="9"/>
      <c r="AA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18" ht="39.75" customHeight="1">
      <c r="A33" s="159"/>
      <c r="B33" s="159"/>
      <c r="C33" s="382"/>
      <c r="D33" s="382"/>
      <c r="E33" s="382"/>
      <c r="F33" s="169"/>
      <c r="G33" s="169"/>
      <c r="H33" s="382"/>
      <c r="I33" s="382"/>
      <c r="J33" s="383"/>
      <c r="K33" s="383"/>
      <c r="L33" s="383"/>
      <c r="M33" s="383"/>
      <c r="N33" s="383"/>
      <c r="O33" s="383"/>
      <c r="P33" s="383"/>
      <c r="Q33" s="383"/>
      <c r="R33" s="167"/>
    </row>
    <row r="34" spans="1:30" ht="12.75" customHeight="1">
      <c r="A34" s="384">
        <f>IF(RREMode="RRET","Responsável Técnico","Profissional Responsável CAIXA")</f>
        <v>0</v>
      </c>
      <c r="B34" s="384"/>
      <c r="C34" s="384"/>
      <c r="D34" s="384"/>
      <c r="E34" s="384"/>
      <c r="F34" s="142"/>
      <c r="G34" s="142"/>
      <c r="H34" s="385">
        <f>IF(RREMode="RREV","Responsável Gerencial CAIXA:",QCI!$C$35)</f>
        <v>0</v>
      </c>
      <c r="I34" s="385"/>
      <c r="J34" s="385"/>
      <c r="K34" s="385"/>
      <c r="L34" s="385"/>
      <c r="M34" s="385"/>
      <c r="N34" s="385"/>
      <c r="O34" s="385"/>
      <c r="P34" s="385"/>
      <c r="Q34" s="385"/>
      <c r="R34" s="141"/>
      <c r="AC34" s="69"/>
      <c r="AD34" s="386"/>
    </row>
    <row r="35" spans="1:30" ht="12.75" customHeight="1">
      <c r="A35" s="31" t="s">
        <v>95</v>
      </c>
      <c r="B35" s="31"/>
      <c r="C35" s="166"/>
      <c r="D35" s="166"/>
      <c r="E35" s="166"/>
      <c r="F35" s="142"/>
      <c r="G35" s="142"/>
      <c r="H35" s="31" t="s">
        <v>95</v>
      </c>
      <c r="I35" s="387"/>
      <c r="J35" s="387"/>
      <c r="K35" s="387"/>
      <c r="L35" s="387"/>
      <c r="M35" s="387"/>
      <c r="N35" s="387"/>
      <c r="O35" s="387"/>
      <c r="P35" s="387"/>
      <c r="Q35" s="387"/>
      <c r="R35" s="141"/>
      <c r="AC35" s="386"/>
      <c r="AD35" s="386"/>
    </row>
    <row r="36" spans="1:18" ht="12.75" customHeight="1">
      <c r="A36" s="31">
        <f>IF(RREMode="RREV","Função:","Cargo:")</f>
        <v>0</v>
      </c>
      <c r="B36" s="31"/>
      <c r="C36" s="166"/>
      <c r="D36" s="166"/>
      <c r="E36" s="166"/>
      <c r="F36" s="142"/>
      <c r="G36" s="142"/>
      <c r="H36" s="165">
        <f>IF(RREMode="RREV","Função:","Cargo:")</f>
        <v>0</v>
      </c>
      <c r="I36" s="387"/>
      <c r="J36" s="387"/>
      <c r="K36" s="387"/>
      <c r="L36" s="387"/>
      <c r="M36" s="387"/>
      <c r="N36" s="387"/>
      <c r="O36" s="387"/>
      <c r="P36" s="387"/>
      <c r="Q36" s="387"/>
      <c r="R36" s="141"/>
    </row>
    <row r="37" spans="1:18" ht="12.75" customHeight="1">
      <c r="A37" s="31">
        <f>IF(RREMode="RREV","Matrícula:","ART/RRT Fiscal.:")</f>
        <v>0</v>
      </c>
      <c r="B37" s="31"/>
      <c r="C37" s="166"/>
      <c r="D37" s="166"/>
      <c r="E37" s="166"/>
      <c r="F37" s="142"/>
      <c r="G37" s="142"/>
      <c r="H37" s="388">
        <f>IF(RREMode="RREV","Matrícula:","")</f>
        <v>0</v>
      </c>
      <c r="I37" s="387"/>
      <c r="J37" s="387"/>
      <c r="K37" s="387"/>
      <c r="L37" s="387"/>
      <c r="M37" s="387"/>
      <c r="N37" s="387"/>
      <c r="O37" s="387"/>
      <c r="P37" s="387"/>
      <c r="Q37" s="387"/>
      <c r="R37" s="141"/>
    </row>
    <row r="38" spans="1:18" ht="39.75" customHeight="1">
      <c r="A38" s="389"/>
      <c r="B38" s="389"/>
      <c r="C38" s="389"/>
      <c r="D38" s="389"/>
      <c r="E38" s="389"/>
      <c r="F38" s="142"/>
      <c r="G38" s="142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141"/>
    </row>
    <row r="39" spans="1:18" ht="12.75" customHeight="1">
      <c r="A39" s="384">
        <f>IF(RREMode="RRET","Responsável Social","Responsável Social CAIXA")</f>
        <v>0</v>
      </c>
      <c r="B39" s="384"/>
      <c r="C39" s="384"/>
      <c r="D39" s="384"/>
      <c r="E39" s="384"/>
      <c r="F39" s="142"/>
      <c r="G39" s="142"/>
      <c r="H39" s="385">
        <f>IF(RREMode="RREV","Responsável Operacional CAIXA","Responsável Financeiro")</f>
        <v>0</v>
      </c>
      <c r="I39" s="385"/>
      <c r="J39" s="385"/>
      <c r="K39" s="385"/>
      <c r="L39" s="385"/>
      <c r="M39" s="385"/>
      <c r="N39" s="385"/>
      <c r="O39" s="385"/>
      <c r="P39" s="385"/>
      <c r="Q39" s="385"/>
      <c r="R39" s="141"/>
    </row>
    <row r="40" spans="1:18" ht="12.75" customHeight="1">
      <c r="A40" s="31" t="s">
        <v>95</v>
      </c>
      <c r="B40" s="31"/>
      <c r="C40" s="166"/>
      <c r="D40" s="166"/>
      <c r="E40" s="166"/>
      <c r="F40" s="142"/>
      <c r="G40" s="142"/>
      <c r="H40" s="31" t="s">
        <v>95</v>
      </c>
      <c r="I40" s="387"/>
      <c r="J40" s="387"/>
      <c r="K40" s="387"/>
      <c r="L40" s="387"/>
      <c r="M40" s="387"/>
      <c r="N40" s="387"/>
      <c r="O40" s="387"/>
      <c r="P40" s="387"/>
      <c r="Q40" s="387"/>
      <c r="R40" s="141"/>
    </row>
    <row r="41" spans="1:18" ht="12.75" customHeight="1">
      <c r="A41" s="31">
        <f>IF(RREMode="RREV","Função:","Cargo:")</f>
        <v>0</v>
      </c>
      <c r="B41" s="31"/>
      <c r="C41" s="166"/>
      <c r="D41" s="166"/>
      <c r="E41" s="166"/>
      <c r="F41" s="142"/>
      <c r="G41" s="142"/>
      <c r="H41" s="165">
        <f>IF(RREMode="RREV","Função:","Cargo:")</f>
        <v>0</v>
      </c>
      <c r="I41" s="387"/>
      <c r="J41" s="387"/>
      <c r="K41" s="387"/>
      <c r="L41" s="387"/>
      <c r="M41" s="387"/>
      <c r="N41" s="387"/>
      <c r="O41" s="387"/>
      <c r="P41" s="387"/>
      <c r="Q41" s="387"/>
      <c r="R41" s="141"/>
    </row>
    <row r="42" spans="1:18" ht="12.75" customHeight="1">
      <c r="A42" s="31">
        <f>IF(RREMode="RREV","Matrícula:","")</f>
        <v>0</v>
      </c>
      <c r="B42" s="31"/>
      <c r="C42" s="166"/>
      <c r="D42" s="166"/>
      <c r="E42" s="166"/>
      <c r="F42" s="142"/>
      <c r="G42" s="142"/>
      <c r="H42" s="165">
        <f>IF(RREMode="RREV","Matrícula:","")</f>
        <v>0</v>
      </c>
      <c r="I42" s="387"/>
      <c r="J42" s="387"/>
      <c r="K42" s="387"/>
      <c r="L42" s="387"/>
      <c r="M42" s="387"/>
      <c r="N42" s="387"/>
      <c r="O42" s="387"/>
      <c r="P42" s="387"/>
      <c r="Q42" s="387"/>
      <c r="R42" s="141"/>
    </row>
    <row r="43" spans="3:18" ht="12.75">
      <c r="C43" s="169"/>
      <c r="D43" s="169"/>
      <c r="E43" s="169"/>
      <c r="F43" s="169"/>
      <c r="G43" s="169"/>
      <c r="H43" s="169"/>
      <c r="I43" s="169"/>
      <c r="J43" s="167"/>
      <c r="K43" s="167"/>
      <c r="L43" s="167"/>
      <c r="M43" s="167"/>
      <c r="N43" s="167"/>
      <c r="O43" s="167"/>
      <c r="P43" s="167"/>
      <c r="Q43" s="167"/>
      <c r="R43" s="167"/>
    </row>
    <row r="44" spans="3:18" ht="12.75">
      <c r="C44" s="169"/>
      <c r="D44" s="169"/>
      <c r="E44" s="169"/>
      <c r="F44" s="169"/>
      <c r="G44" s="169"/>
      <c r="H44" s="169"/>
      <c r="I44" s="169"/>
      <c r="J44" s="167"/>
      <c r="K44" s="167"/>
      <c r="L44" s="167"/>
      <c r="M44" s="167"/>
      <c r="N44" s="167"/>
      <c r="O44" s="167"/>
      <c r="P44" s="167"/>
      <c r="Q44" s="167"/>
      <c r="R44" s="167"/>
    </row>
  </sheetData>
  <sheetProtection password="A71E" sheet="1"/>
  <mergeCells count="92">
    <mergeCell ref="Q2:R2"/>
    <mergeCell ref="A3:N3"/>
    <mergeCell ref="Q3:R3"/>
    <mergeCell ref="E5:F5"/>
    <mergeCell ref="H5:H6"/>
    <mergeCell ref="I5:I6"/>
    <mergeCell ref="J5:J6"/>
    <mergeCell ref="N5:O5"/>
    <mergeCell ref="N6:O6"/>
    <mergeCell ref="H7:J8"/>
    <mergeCell ref="M8:Q8"/>
    <mergeCell ref="R8:R10"/>
    <mergeCell ref="Z8:AA8"/>
    <mergeCell ref="AC8:AE8"/>
    <mergeCell ref="AF8:AH8"/>
    <mergeCell ref="AI8:AK8"/>
    <mergeCell ref="AL8:AN8"/>
    <mergeCell ref="AO8:AQ8"/>
    <mergeCell ref="AR8:AT8"/>
    <mergeCell ref="AU8:AW8"/>
    <mergeCell ref="AX8:AZ8"/>
    <mergeCell ref="A9:A10"/>
    <mergeCell ref="B9:C10"/>
    <mergeCell ref="D9:D10"/>
    <mergeCell ref="E9:E10"/>
    <mergeCell ref="F9:F10"/>
    <mergeCell ref="G9:G10"/>
    <mergeCell ref="H9:H10"/>
    <mergeCell ref="I9:I10"/>
    <mergeCell ref="K9:L10"/>
    <mergeCell ref="M9:M10"/>
    <mergeCell ref="N9:N10"/>
    <mergeCell ref="O9:P10"/>
    <mergeCell ref="Q9:Q10"/>
    <mergeCell ref="T9:T10"/>
    <mergeCell ref="U9:U10"/>
    <mergeCell ref="Z9:Z10"/>
    <mergeCell ref="AA9:AA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12:C15"/>
    <mergeCell ref="H12:I12"/>
    <mergeCell ref="K12:K15"/>
    <mergeCell ref="L12:L15"/>
    <mergeCell ref="O12:O15"/>
    <mergeCell ref="P12:P15"/>
    <mergeCell ref="R12:R15"/>
    <mergeCell ref="H13:I13"/>
    <mergeCell ref="H14:I14"/>
    <mergeCell ref="H15:I15"/>
    <mergeCell ref="A28:C28"/>
    <mergeCell ref="A29:R30"/>
    <mergeCell ref="B32:E32"/>
    <mergeCell ref="J32:Q32"/>
    <mergeCell ref="A34:E34"/>
    <mergeCell ref="H34:Q34"/>
    <mergeCell ref="C35:E35"/>
    <mergeCell ref="I35:Q35"/>
    <mergeCell ref="C36:E36"/>
    <mergeCell ref="I36:Q36"/>
    <mergeCell ref="C37:E37"/>
    <mergeCell ref="I37:Q37"/>
    <mergeCell ref="A39:E39"/>
    <mergeCell ref="H39:Q39"/>
    <mergeCell ref="C40:E40"/>
    <mergeCell ref="I40:Q40"/>
    <mergeCell ref="C41:E41"/>
    <mergeCell ref="I41:Q41"/>
    <mergeCell ref="C42:E42"/>
    <mergeCell ref="I42:Q42"/>
  </mergeCells>
  <conditionalFormatting sqref="M12:M15 Q12:Q15 Z15:AA15 AC15:AZ15">
    <cfRule type="cellIs" priority="1" dxfId="16" operator="notBetween" stopIfTrue="1">
      <formula>0</formula>
      <formula>$J12</formula>
    </cfRule>
  </conditionalFormatting>
  <conditionalFormatting sqref="AC11:AZ11 Z11:AA11 AC16:AZ20 Z16:AA20 Z23:AA25 AC23:AZ25">
    <cfRule type="expression" priority="2" dxfId="17" stopIfTrue="1">
      <formula>OR(NOT($V11),$J11=0,AND($E11&lt;&gt;"Licitado / em execução",$E11&lt;&gt;"Concluído"))</formula>
    </cfRule>
    <cfRule type="cellIs" priority="3" dxfId="16" operator="notBetween" stopIfTrue="1">
      <formula>0</formula>
      <formula>$J11</formula>
    </cfRule>
  </conditionalFormatting>
  <conditionalFormatting sqref="Z13:AA14 AC13:AZ14">
    <cfRule type="cellIs" priority="4" dxfId="16" operator="notBetween" stopIfTrue="1">
      <formula>0</formula>
      <formula>$J13</formula>
    </cfRule>
    <cfRule type="expression" priority="5" dxfId="17" stopIfTrue="1">
      <formula>$J13=0</formula>
    </cfRule>
  </conditionalFormatting>
  <conditionalFormatting sqref="A11:D11 A16:D20 A23:D25">
    <cfRule type="expression" priority="6" dxfId="2" stopIfTrue="1">
      <formula>$J11=0</formula>
    </cfRule>
    <cfRule type="expression" priority="7" dxfId="18" stopIfTrue="1">
      <formula>$V11=0</formula>
    </cfRule>
    <cfRule type="expression" priority="8" dxfId="0" stopIfTrue="1">
      <formula>$B11="Meta"</formula>
    </cfRule>
  </conditionalFormatting>
  <conditionalFormatting sqref="N11 J11 R11 N16:N20 J16:J20 R16:R20 R23:R25 J23:J25 N23:N25">
    <cfRule type="expression" priority="9" dxfId="18" stopIfTrue="1">
      <formula>AND($V11=0,$J11&gt;0)</formula>
    </cfRule>
    <cfRule type="expression" priority="10" dxfId="0" stopIfTrue="1">
      <formula>$B11="Meta"</formula>
    </cfRule>
  </conditionalFormatting>
  <conditionalFormatting sqref="M11 Q11 M16:M20 Q16:Q20 Q23:Q25 M23:M25">
    <cfRule type="cellIs" priority="11" dxfId="16" operator="notBetween" stopIfTrue="1">
      <formula>0</formula>
      <formula>$J11</formula>
    </cfRule>
    <cfRule type="expression" priority="12" dxfId="18" stopIfTrue="1">
      <formula>AND($V11=0,$J11&gt;0)</formula>
    </cfRule>
    <cfRule type="expression" priority="13" dxfId="0" stopIfTrue="1">
      <formula>$B11="Meta"</formula>
    </cfRule>
  </conditionalFormatting>
  <conditionalFormatting sqref="AC12:AZ12 Z12:AA12">
    <cfRule type="cellIs" priority="14" dxfId="4" operator="notBetween" stopIfTrue="1">
      <formula>0</formula>
      <formula>"$I12"</formula>
    </cfRule>
  </conditionalFormatting>
  <conditionalFormatting sqref="D6">
    <cfRule type="cellIs" priority="15" dxfId="16" operator="equal" stopIfTrue="1">
      <formula>"Atrasada"</formula>
    </cfRule>
    <cfRule type="cellIs" priority="16" dxfId="19" operator="equal" stopIfTrue="1">
      <formula>"Adiantada"</formula>
    </cfRule>
  </conditionalFormatting>
  <conditionalFormatting sqref="M6:N6">
    <cfRule type="cellIs" priority="17" dxfId="4" operator="lessThan" stopIfTrue="1">
      <formula>0</formula>
    </cfRule>
  </conditionalFormatting>
  <conditionalFormatting sqref="R12:R15">
    <cfRule type="cellIs" priority="18" dxfId="16" operator="notBetween" stopIfTrue="1">
      <formula>0</formula>
      <formula>1</formula>
    </cfRule>
  </conditionalFormatting>
  <conditionalFormatting sqref="I11 I16:I20 I23:I25">
    <cfRule type="expression" priority="19" dxfId="20" stopIfTrue="1">
      <formula>$V11=0</formula>
    </cfRule>
    <cfRule type="expression" priority="20" dxfId="1" stopIfTrue="1">
      <formula>OR($J11=0,AND($E11&lt;&gt;"Licitado / em execução",$E11&lt;&gt;"Concluído"))</formula>
    </cfRule>
    <cfRule type="expression" priority="21" dxfId="0" stopIfTrue="1">
      <formula>$B11="Meta"</formula>
    </cfRule>
  </conditionalFormatting>
  <conditionalFormatting sqref="E16:E20 H16:H20 H23:H25 E23:E25">
    <cfRule type="expression" priority="22" dxfId="1" stopIfTrue="1">
      <formula>$J16=0</formula>
    </cfRule>
    <cfRule type="expression" priority="23" dxfId="20" stopIfTrue="1">
      <formula>$V16=0</formula>
    </cfRule>
    <cfRule type="expression" priority="24" dxfId="0" stopIfTrue="1">
      <formula>$B16="Meta"</formula>
    </cfRule>
  </conditionalFormatting>
  <conditionalFormatting sqref="E11 H11">
    <cfRule type="expression" priority="25" dxfId="1" stopIfTrue="1">
      <formula>$J11=0</formula>
    </cfRule>
    <cfRule type="expression" priority="26" dxfId="20" stopIfTrue="1">
      <formula>$V11=0</formula>
    </cfRule>
    <cfRule type="expression" priority="27" dxfId="0" stopIfTrue="1">
      <formula>$B11="Meta"</formula>
    </cfRule>
  </conditionalFormatting>
  <conditionalFormatting sqref="F11:G11 F16:G20 F23:G25">
    <cfRule type="expression" priority="28" dxfId="1" stopIfTrue="1">
      <formula>$J11=0</formula>
    </cfRule>
    <cfRule type="expression" priority="29" dxfId="21" stopIfTrue="1">
      <formula>$V11=0</formula>
    </cfRule>
    <cfRule type="expression" priority="30" dxfId="0" stopIfTrue="1">
      <formula>$B11="Meta"</formula>
    </cfRule>
  </conditionalFormatting>
  <conditionalFormatting sqref="AC21:AZ22 Z21:AA22">
    <cfRule type="expression" priority="31" dxfId="17" stopIfTrue="1">
      <formula>OR(NOT($V21),$J21=0,AND($E21&lt;&gt;"Licitado / em execução",$E21&lt;&gt;"Concluído"))</formula>
    </cfRule>
    <cfRule type="cellIs" priority="32" dxfId="16" operator="notBetween" stopIfTrue="1">
      <formula>0</formula>
      <formula>$J21</formula>
    </cfRule>
  </conditionalFormatting>
  <conditionalFormatting sqref="A21:D22">
    <cfRule type="expression" priority="33" dxfId="2" stopIfTrue="1">
      <formula>$J21=0</formula>
    </cfRule>
    <cfRule type="expression" priority="34" dxfId="18" stopIfTrue="1">
      <formula>$V21=0</formula>
    </cfRule>
    <cfRule type="expression" priority="35" dxfId="0" stopIfTrue="1">
      <formula>$B21="Meta"</formula>
    </cfRule>
  </conditionalFormatting>
  <conditionalFormatting sqref="N21:N22 J21:J22 R21:R22">
    <cfRule type="expression" priority="36" dxfId="18" stopIfTrue="1">
      <formula>AND($V21=0,$J21&gt;0)</formula>
    </cfRule>
    <cfRule type="expression" priority="37" dxfId="0" stopIfTrue="1">
      <formula>$B21="Meta"</formula>
    </cfRule>
  </conditionalFormatting>
  <conditionalFormatting sqref="M21:M22 Q21:Q22">
    <cfRule type="cellIs" priority="38" dxfId="16" operator="notBetween" stopIfTrue="1">
      <formula>0</formula>
      <formula>$J21</formula>
    </cfRule>
    <cfRule type="expression" priority="39" dxfId="18" stopIfTrue="1">
      <formula>AND($V21=0,$J21&gt;0)</formula>
    </cfRule>
    <cfRule type="expression" priority="40" dxfId="0" stopIfTrue="1">
      <formula>$B21="Meta"</formula>
    </cfRule>
  </conditionalFormatting>
  <conditionalFormatting sqref="I21:I22">
    <cfRule type="expression" priority="41" dxfId="20" stopIfTrue="1">
      <formula>$V21=0</formula>
    </cfRule>
    <cfRule type="expression" priority="42" dxfId="1" stopIfTrue="1">
      <formula>OR($J21=0,AND($E21&lt;&gt;"Licitado / em execução",$E21&lt;&gt;"Concluído"))</formula>
    </cfRule>
    <cfRule type="expression" priority="43" dxfId="0" stopIfTrue="1">
      <formula>$B21="Meta"</formula>
    </cfRule>
  </conditionalFormatting>
  <conditionalFormatting sqref="E21:E22 H21:H22">
    <cfRule type="expression" priority="44" dxfId="1" stopIfTrue="1">
      <formula>$J21=0</formula>
    </cfRule>
    <cfRule type="expression" priority="45" dxfId="20" stopIfTrue="1">
      <formula>$V21=0</formula>
    </cfRule>
    <cfRule type="expression" priority="46" dxfId="0" stopIfTrue="1">
      <formula>$B21="Meta"</formula>
    </cfRule>
  </conditionalFormatting>
  <conditionalFormatting sqref="F21:G22">
    <cfRule type="expression" priority="47" dxfId="1" stopIfTrue="1">
      <formula>$J21=0</formula>
    </cfRule>
    <cfRule type="expression" priority="48" dxfId="21" stopIfTrue="1">
      <formula>$V21=0</formula>
    </cfRule>
    <cfRule type="expression" priority="49" dxfId="0" stopIfTrue="1">
      <formula>$B21="Meta"</formula>
    </cfRule>
  </conditionalFormatting>
  <dataValidations count="17">
    <dataValidation type="decimal" allowBlank="1" showInputMessage="1" showErrorMessage="1" errorTitle="Erro de Entrada" error="Esse valor de Contrapartida implicará em um valor de Repasse negativo." sqref="M13">
      <formula1>0</formula1>
      <formula2>U6</formula2>
    </dataValidation>
    <dataValidation type="decimal" allowBlank="1" showInputMessage="1" showErrorMessage="1" errorTitle="Erro de Entrada" error="Esse valor de Contrapartida implicará em um valor de Repasse negativo." sqref="Q13">
      <formula1>0</formula1>
      <formula2>V6</formula2>
    </dataValidation>
    <dataValidation type="decimal" allowBlank="1" showInputMessage="1" showErrorMessage="1" errorTitle="Erro de Valor" error="Digite valores entre 0 e o valor medido para esta Medição." sqref="AA11 AA16:AA25">
      <formula1>0</formula1>
      <formula2>$X11</formula2>
    </dataValidation>
    <dataValidation errorStyle="warning" type="decimal" allowBlank="1" showInputMessage="1" showErrorMessage="1" promptTitle="CP Financeira Anterior:" prompt="Deixe essa célula em branco para o cálculo automático. Preencha somente para valores de CP diferentes do previsto." errorTitle="Erro de Valor" error="Valor menor que 0,00 ou maior que o valor da Contrapartida/Outros." sqref="Z13">
      <formula1>0</formula1>
      <formula2>Z6</formula2>
    </dataValidation>
    <dataValidation errorStyle="warning" type="decimal" allowBlank="1" showInputMessage="1" showErrorMessage="1" promptTitle="CP Física / Outros Anterior:" prompt="Deixe essa célula em branco para o cálculo automático. Preencha somente para valores de CP/Outros diferentes do previsto." errorTitle="Erro de Valor" error="Valor menor que 0,00 ou maior que o valor da Contrapartida/Outros." sqref="Z14">
      <formula1>0</formula1>
      <formula2>Z7</formula2>
    </dataValidation>
    <dataValidation type="decimal" allowBlank="1" showInputMessage="1" showErrorMessage="1" promptTitle="CP Financeira Acumulada:" prompt="Deixe essa célula em branco para o cálculo automático. Preencha somente para valores de CP diferentes do previsto." errorTitle="Erro de Valor" error="Valor menor que 0,00 ou maior que o valor da Contrapartida/Outros." sqref="AA13">
      <formula1>0</formula1>
      <formula2>AA6</formula2>
    </dataValidation>
    <dataValidation type="decimal" allowBlank="1" showInputMessage="1" showErrorMessage="1" promptTitle="CP Física / Outros Acumulada:" prompt="Deixe essa célula em branco para o cálculo automático. Preencha somente para valores de CP/Outros diferentes do previsto." errorTitle="Erro de Valor" error="Valor menor que 0,00 ou maior que o valor da Contrapartida/Outros." sqref="AA14">
      <formula1>0</formula1>
      <formula2>AA7</formula2>
    </dataValidation>
    <dataValidation errorStyle="warning" type="decimal" allowBlank="1" showInputMessage="1" showErrorMessage="1" promptTitle="CP Financeira:" prompt="Deixe essa célula em branco para o cálculo automático. Preencha somente para valores de CP diferentes do previsto." errorTitle="Erro de Valor" error="Valor menor que 0,00 ou maior que o valor da Contrapartida/Outros." sqref="AC13:AZ13">
      <formula1>0</formula1>
      <formula2>AC6</formula2>
    </dataValidation>
    <dataValidation errorStyle="warning" type="decimal" allowBlank="1" showInputMessage="1" showErrorMessage="1" promptTitle="CP Física / Outros:" prompt="Deixe essa célula em branco para o cálculo automático. Preencha somente para valores de CP/Outros diferentes do previsto." errorTitle="Erro de Valor" error="Valor menor que 0,00 ou maior que o valor da Contrapartida/Outros." sqref="AC14:AZ14">
      <formula1>0</formula1>
      <formula2>AC7</formula2>
    </dataValidation>
    <dataValidation type="date" operator="greaterThan" allowBlank="1" showInputMessage="1" showErrorMessage="1" sqref="J32:Q32">
      <formula1>36526</formula1>
    </dataValidation>
    <dataValidation type="whole" operator="greaterThan" allowBlank="1" showInputMessage="1" showErrorMessage="1" promptTitle="Medição:" prompt="Para medições maiores do que 24 períodos, editar o número da medição nesta célula." errorTitle="Erro de Valor" error="Digite somente números inteiros maiores do que 0." sqref="AC9:AC10">
      <formula1>0</formula1>
    </dataValidation>
    <dataValidation type="whole" operator="greaterThan" allowBlank="1" showInputMessage="1" showErrorMessage="1" promptTitle="Solicitação nº:" prompt="Digite o número da Solicitação de Recursos deste CT/TC." errorTitle="Erro de valor" error="Digite somente números inteiros maiores que 0." sqref="I5:I6">
      <formula1>0</formula1>
    </dataValidation>
    <dataValidation allowBlank="1" showInputMessage="1" showErrorMessage="1" errorTitle="Erro de Entrada" error="Esse valor de Contrapartida implicará em um valor de Repasse negativo." sqref="M14">
      <formula1>0</formula1>
      <formula2>0</formula2>
    </dataValidation>
    <dataValidation allowBlank="1" showInputMessage="1" showErrorMessage="1" prompt="Preencha os valores nas colunas à direita." sqref="M11:N11 Q11 M16:N25 Q16:Q25">
      <formula1>0</formula1>
      <formula2>0</formula2>
    </dataValidation>
    <dataValidation errorStyle="warning" type="decimal" allowBlank="1" showInputMessage="1" showErrorMessage="1" errorTitle="Erro de Valor" error="Valor menor que 0,00 ou maior que o valor de Investimento da Meta/SubMeta." sqref="Z11 Z16:Z25">
      <formula1>0</formula1>
      <formula2>$J11</formula2>
    </dataValidation>
    <dataValidation errorStyle="warning" type="decimal" allowBlank="1" showInputMessage="1" showErrorMessage="1" errorTitle="Erro de Valor" error="Permitida somente a entrada de valores para Metas/SubMetas com a situação &quot;Licitado / Em Execução&quot;.&#10;Os valores devem ser menores ou iguais ao valor de Investimento da Meta / SubMeta." sqref="AC11:AZ11 AC16:AZ25">
      <formula1>0</formula1>
      <formula2>IF(OR($E11="Licitado / em execução",$E11="Concluído"),$J11,0)</formula2>
    </dataValidation>
    <dataValidation type="whole" operator="greaterThan" allowBlank="1" showInputMessage="1" showErrorMessage="1" sqref="I11 I16:I25">
      <formula1>0</formula1>
    </dataValidation>
  </dataValidations>
  <printOptions/>
  <pageMargins left="0.7875" right="0.7875" top="0.7868055555555555" bottom="0.7868055555555555" header="0.5902777777777778" footer="0.5902777777777778"/>
  <pageSetup fitToHeight="0" fitToWidth="1" horizontalDpi="300" verticalDpi="300" orientation="landscape" paperSize="9"/>
  <headerFooter alignWithMargins="0">
    <oddHeader>&amp;C&amp;14I</oddHeader>
    <oddFooter>&amp;L41.211 v009  micro&amp;R&amp;N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SheetLayoutView="115" workbookViewId="0" topLeftCell="A1">
      <selection activeCell="A1" sqref="A1"/>
    </sheetView>
  </sheetViews>
  <sheetFormatPr defaultColWidth="8.00390625" defaultRowHeight="12.75"/>
  <cols>
    <col min="1" max="1" width="15.7109375" style="391" customWidth="1"/>
    <col min="2" max="2" width="6.7109375" style="391" customWidth="1"/>
    <col min="3" max="4" width="20.7109375" style="391" customWidth="1"/>
    <col min="5" max="5" width="8.7109375" style="391" customWidth="1"/>
    <col min="6" max="6" width="12.7109375" style="391" customWidth="1"/>
    <col min="7" max="7" width="15.7109375" style="391" customWidth="1"/>
    <col min="8" max="8" width="41.7109375" style="391" customWidth="1"/>
    <col min="9" max="9" width="15.7109375" style="391" customWidth="1"/>
    <col min="10" max="10" width="13.7109375" style="391" customWidth="1"/>
    <col min="11" max="11" width="12.7109375" style="391" customWidth="1"/>
    <col min="12" max="13" width="9.140625" style="391" hidden="1" customWidth="1"/>
    <col min="14" max="16384" width="9.140625" style="391" customWidth="1"/>
  </cols>
  <sheetData>
    <row r="1" spans="1:13" ht="12.75">
      <c r="A1" s="392"/>
      <c r="B1" s="392"/>
      <c r="C1" s="393"/>
      <c r="D1" s="393"/>
      <c r="E1" s="393"/>
      <c r="F1" s="59" t="s">
        <v>52</v>
      </c>
      <c r="G1" s="393"/>
      <c r="H1" s="393"/>
      <c r="I1" s="393"/>
      <c r="J1" s="393"/>
      <c r="K1" s="393"/>
      <c r="L1" s="393"/>
      <c r="M1" s="393"/>
    </row>
    <row r="2" spans="1:13" ht="12.75">
      <c r="A2" s="392"/>
      <c r="B2" s="392"/>
      <c r="F2" s="61" t="s">
        <v>135</v>
      </c>
      <c r="K2" s="393"/>
      <c r="L2" s="393"/>
      <c r="M2" s="393"/>
    </row>
    <row r="3" spans="1:13" ht="25.5" customHeight="1">
      <c r="A3" s="392"/>
      <c r="B3" s="392"/>
      <c r="C3" s="394"/>
      <c r="D3" s="394"/>
      <c r="E3" s="394"/>
      <c r="F3" s="395"/>
      <c r="G3" s="396"/>
      <c r="H3" s="396"/>
      <c r="I3" s="396"/>
      <c r="J3" s="396"/>
      <c r="K3" s="393"/>
      <c r="L3" s="393"/>
      <c r="M3" s="393"/>
    </row>
    <row r="4" spans="1:13" ht="12.75">
      <c r="A4" s="392"/>
      <c r="B4" s="392"/>
      <c r="K4" s="393"/>
      <c r="L4" s="393"/>
      <c r="M4" s="393"/>
    </row>
    <row r="5" spans="1:13" ht="12.75">
      <c r="A5" s="397"/>
      <c r="B5" s="397"/>
      <c r="C5" s="397"/>
      <c r="D5" s="397"/>
      <c r="E5" s="397"/>
      <c r="F5" s="393"/>
      <c r="G5" s="397"/>
      <c r="H5" s="397"/>
      <c r="I5" s="397"/>
      <c r="J5" s="397"/>
      <c r="K5" s="393"/>
      <c r="L5" s="393"/>
      <c r="M5" s="393"/>
    </row>
    <row r="6" spans="1:13" ht="12.75">
      <c r="A6" s="397" t="s">
        <v>136</v>
      </c>
      <c r="B6" s="398"/>
      <c r="C6" s="398"/>
      <c r="D6" s="397"/>
      <c r="E6" s="397"/>
      <c r="F6" s="393"/>
      <c r="G6" s="397"/>
      <c r="H6" s="397"/>
      <c r="I6" s="397"/>
      <c r="J6" s="397"/>
      <c r="K6" s="393"/>
      <c r="L6" s="393"/>
      <c r="M6" s="393"/>
    </row>
    <row r="7" spans="1:13" ht="12.75">
      <c r="A7" s="399">
        <f>CONCATENATE(RRE!$B$32,", ",TEXT(RRE!$J$32,"dd"" de ""mmmm"" de ""aaaa"))</f>
        <v>0</v>
      </c>
      <c r="B7" s="399"/>
      <c r="C7" s="399"/>
      <c r="D7" s="399"/>
      <c r="E7" s="399"/>
      <c r="F7" s="399"/>
      <c r="G7" s="399">
        <f>A7</f>
        <v>0</v>
      </c>
      <c r="H7" s="399"/>
      <c r="I7" s="399"/>
      <c r="J7" s="399"/>
      <c r="K7" s="393"/>
      <c r="L7" s="393"/>
      <c r="M7" s="393"/>
    </row>
    <row r="8" spans="1:13" ht="12.75">
      <c r="A8" s="396" t="s">
        <v>137</v>
      </c>
      <c r="B8" s="393"/>
      <c r="C8" s="393"/>
      <c r="F8" s="393"/>
      <c r="G8" s="396" t="s">
        <v>137</v>
      </c>
      <c r="H8" s="393"/>
      <c r="I8" s="400"/>
      <c r="J8" s="393"/>
      <c r="K8" s="393"/>
      <c r="L8" s="393"/>
      <c r="M8" s="393"/>
    </row>
    <row r="9" spans="1:13" ht="12.75">
      <c r="A9" s="396" t="s">
        <v>138</v>
      </c>
      <c r="B9" s="396"/>
      <c r="C9" s="396"/>
      <c r="F9" s="393"/>
      <c r="G9" s="396" t="s">
        <v>138</v>
      </c>
      <c r="H9" s="393"/>
      <c r="I9" s="400"/>
      <c r="J9" s="393"/>
      <c r="K9" s="393"/>
      <c r="L9" s="393"/>
      <c r="M9" s="393"/>
    </row>
    <row r="10" spans="1:13" ht="12.75">
      <c r="A10" s="401" t="s">
        <v>139</v>
      </c>
      <c r="B10" s="402"/>
      <c r="C10" s="402"/>
      <c r="F10" s="393"/>
      <c r="G10" s="403">
        <f>CONCATENATE(A10," ",B10)</f>
        <v>0</v>
      </c>
      <c r="H10" s="403"/>
      <c r="I10" s="404"/>
      <c r="J10" s="404"/>
      <c r="K10" s="393"/>
      <c r="L10" s="393"/>
      <c r="M10" s="393"/>
    </row>
    <row r="11" spans="1:13" ht="12.75">
      <c r="A11" s="404"/>
      <c r="B11" s="404"/>
      <c r="C11" s="404"/>
      <c r="D11" s="404"/>
      <c r="E11" s="404"/>
      <c r="F11" s="393"/>
      <c r="G11" s="393"/>
      <c r="H11" s="404"/>
      <c r="I11" s="404"/>
      <c r="J11" s="404"/>
      <c r="K11" s="393"/>
      <c r="L11" s="393"/>
      <c r="M11" s="393"/>
    </row>
    <row r="12" spans="1:13" ht="12.75">
      <c r="A12" s="393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</row>
    <row r="13" spans="1:13" ht="12.75">
      <c r="A13" s="396" t="s">
        <v>140</v>
      </c>
      <c r="B13" s="405">
        <f>CONCATENATE("Solicitação de autorização de ",IF(DADOS!$J$22="FGTS","desembolso","desbloqueio")," de recursos  - Medição n° ",RRE!$I$5)</f>
        <v>0</v>
      </c>
      <c r="C13" s="405"/>
      <c r="D13" s="405"/>
      <c r="E13" s="405"/>
      <c r="F13" s="405"/>
      <c r="G13" s="396" t="s">
        <v>140</v>
      </c>
      <c r="H13" s="396">
        <f>CONCATENATE("Relação de Fornecedores - Medição n° ",RRE!$I$5)</f>
        <v>0</v>
      </c>
      <c r="I13" s="396"/>
      <c r="J13" s="393"/>
      <c r="K13" s="393"/>
      <c r="L13" s="393"/>
      <c r="M13" s="393"/>
    </row>
    <row r="14" spans="1:13" ht="12.75">
      <c r="A14" s="396" t="s">
        <v>141</v>
      </c>
      <c r="B14" s="406">
        <f>CONCATENATE(IF(DADOS!$J$22="FGTS","Contrato de Financiamento",IF(DADOS!$J$22="OGU PAC","Termo de Compromisso","Contrato de Repasse"))," - Operação nº: ",DADOS!$A$22,IF(DADOS!$B$22="","",CONCATENATE(" - SICONV nº: ",DADOS!$B$22)))</f>
        <v>0</v>
      </c>
      <c r="C14" s="406"/>
      <c r="D14" s="406"/>
      <c r="E14" s="406"/>
      <c r="F14" s="406"/>
      <c r="G14" s="396" t="s">
        <v>141</v>
      </c>
      <c r="H14" s="394">
        <f>B14</f>
        <v>0</v>
      </c>
      <c r="I14" s="394"/>
      <c r="J14" s="407"/>
      <c r="K14" s="393"/>
      <c r="L14" s="393"/>
      <c r="M14" s="393"/>
    </row>
    <row r="15" spans="1:13" ht="12.75">
      <c r="A15" s="393"/>
      <c r="B15" s="393"/>
      <c r="C15" s="393"/>
      <c r="D15" s="393"/>
      <c r="E15" s="393"/>
      <c r="F15" s="393"/>
      <c r="G15" s="393"/>
      <c r="H15" s="393"/>
      <c r="I15" s="408"/>
      <c r="J15" s="393"/>
      <c r="K15" s="393"/>
      <c r="L15" s="393"/>
      <c r="M15" s="393"/>
    </row>
    <row r="16" spans="1:13" ht="12.75">
      <c r="A16" s="391" t="s">
        <v>142</v>
      </c>
      <c r="B16" s="409">
        <f>DADOS!$E$22</f>
        <v>0</v>
      </c>
      <c r="C16" s="409"/>
      <c r="D16" s="409"/>
      <c r="E16" s="409"/>
      <c r="F16" s="409"/>
      <c r="G16" s="391" t="s">
        <v>142</v>
      </c>
      <c r="H16" s="409">
        <f aca="true" t="shared" si="0" ref="H16:H18">B16</f>
        <v>0</v>
      </c>
      <c r="I16" s="409"/>
      <c r="J16" s="409"/>
      <c r="K16" s="393"/>
      <c r="L16" s="393"/>
      <c r="M16" s="393"/>
    </row>
    <row r="17" spans="1:13" ht="37.5" customHeight="1">
      <c r="A17" s="410" t="s">
        <v>143</v>
      </c>
      <c r="B17" s="411">
        <f>DADOS!$A$28</f>
        <v>0</v>
      </c>
      <c r="C17" s="411"/>
      <c r="D17" s="411"/>
      <c r="E17" s="411"/>
      <c r="F17" s="411"/>
      <c r="G17" s="410" t="s">
        <v>143</v>
      </c>
      <c r="H17" s="411">
        <f t="shared" si="0"/>
        <v>0</v>
      </c>
      <c r="I17" s="411"/>
      <c r="J17" s="411"/>
      <c r="K17" s="412"/>
      <c r="L17" s="393"/>
      <c r="M17" s="393"/>
    </row>
    <row r="18" spans="1:13" ht="12.75">
      <c r="A18" s="413">
        <f>IF(DADOS!$J$22="OGU não-PAC","Proponente / Tomador:","Proponente / Compromissário:")</f>
        <v>0</v>
      </c>
      <c r="B18" s="414">
        <f>DADOS!$A$25</f>
        <v>0</v>
      </c>
      <c r="C18" s="414"/>
      <c r="D18" s="414"/>
      <c r="E18" s="414"/>
      <c r="F18" s="414"/>
      <c r="G18" s="413">
        <f>A18</f>
        <v>0</v>
      </c>
      <c r="H18" s="414">
        <f t="shared" si="0"/>
        <v>0</v>
      </c>
      <c r="I18" s="414"/>
      <c r="J18" s="414"/>
      <c r="K18" s="407"/>
      <c r="L18" s="393"/>
      <c r="M18" s="393"/>
    </row>
    <row r="19" spans="1:13" ht="12.75">
      <c r="A19" s="413"/>
      <c r="B19" s="414"/>
      <c r="C19" s="414"/>
      <c r="D19" s="414"/>
      <c r="E19" s="414"/>
      <c r="F19" s="414"/>
      <c r="G19" s="413"/>
      <c r="H19" s="414"/>
      <c r="I19" s="414"/>
      <c r="J19" s="414"/>
      <c r="K19" s="393"/>
      <c r="L19" s="393"/>
      <c r="M19" s="393"/>
    </row>
    <row r="20" spans="1:13" ht="12.75">
      <c r="A20" s="393"/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1:13" ht="12.75" customHeight="1">
      <c r="A21" s="415">
        <f>IF(A10="GIGOV","Senhor Gerente","Senhor Superintendente")</f>
        <v>0</v>
      </c>
      <c r="B21" s="415"/>
      <c r="C21" s="393"/>
      <c r="D21" s="393"/>
      <c r="E21" s="393"/>
      <c r="F21" s="393"/>
      <c r="G21" s="416" t="s">
        <v>144</v>
      </c>
      <c r="H21" s="416"/>
      <c r="I21" s="416"/>
      <c r="J21" s="416"/>
      <c r="K21" s="417"/>
      <c r="L21" s="393"/>
      <c r="M21" s="393"/>
    </row>
    <row r="22" spans="1:13" ht="12.75">
      <c r="A22" s="393"/>
      <c r="B22" s="393"/>
      <c r="C22" s="393"/>
      <c r="D22" s="393"/>
      <c r="E22" s="393"/>
      <c r="F22" s="393"/>
      <c r="G22" s="416"/>
      <c r="H22" s="416"/>
      <c r="I22" s="416"/>
      <c r="J22" s="416"/>
      <c r="K22" s="418"/>
      <c r="L22" s="393" t="s">
        <v>130</v>
      </c>
      <c r="M22" s="393" t="s">
        <v>145</v>
      </c>
    </row>
    <row r="23" spans="1:13" ht="12.75" customHeight="1">
      <c r="A23" s="419">
        <f>CONCATENATE("1. Vimos pelo presente, solicitar à Caixa Econômica Federal autorização para ",IF(DADOS!$J$22="FGTS","desembolso","desbloqueio")," da parcela de recursos relativa ao ",IF(DADOS!$J$22="FGTS","Contrato de Financiamento",IF(DADOS!$J$22="OGU PAC","Termo de Compromisso","Contrato de Repasse"))," em referência, conforme valores abaixo discriminados e, para tanto, anexamos a documentação necessária ao pleito.")</f>
        <v>0</v>
      </c>
      <c r="B23" s="419"/>
      <c r="C23" s="419"/>
      <c r="D23" s="419"/>
      <c r="E23" s="419"/>
      <c r="F23" s="419"/>
      <c r="G23" s="420" t="s">
        <v>43</v>
      </c>
      <c r="H23" s="421" t="s">
        <v>44</v>
      </c>
      <c r="I23" s="422" t="s">
        <v>45</v>
      </c>
      <c r="J23" s="422" t="s">
        <v>146</v>
      </c>
      <c r="K23" s="393"/>
      <c r="L23" s="393"/>
      <c r="M23" s="393"/>
    </row>
    <row r="24" spans="1:13" ht="12.75">
      <c r="A24" s="419"/>
      <c r="B24" s="419"/>
      <c r="C24" s="419"/>
      <c r="D24" s="419"/>
      <c r="E24" s="419"/>
      <c r="F24" s="419"/>
      <c r="G24" s="423">
        <f aca="true" t="shared" si="1" ref="G24:G45">IF(ISERROR($M24),"",$M24)</f>
        <v>0</v>
      </c>
      <c r="H24" s="424">
        <f>IF($G24="","",IF(COUNTIF(DADOS!$B$56:$B$77,Ofício!$G24)=0,"(cadastre na aba Dados)",VLOOKUP(Ofício!$G24,DADOS!$B$56:$F$77,2,0)))</f>
        <v>0</v>
      </c>
      <c r="I24" s="425">
        <f>IF(OR($G24="",COUNTIF(DADOS!$B$56:$B$77,Ofício!$G24)=0),"",VLOOKUP(Ofício!$G24,DADOS!$B$56:$F$77,5,0))</f>
        <v>0</v>
      </c>
      <c r="J24" s="426">
        <f>IF(ISERROR(M24),"",SUMIF(RRE!$H$15:$H$26,Ofício!G24,RRE!$N$15:$N$26))</f>
        <v>0</v>
      </c>
      <c r="K24" s="393"/>
      <c r="L24" s="427">
        <f aca="true" ca="1" t="shared" si="2" ref="L24:L45">OFFSET(L24,-1,0)+1</f>
        <v>1</v>
      </c>
      <c r="M24" s="393" t="e">
        <f>INDEX(RRE!$H$15:$H$26,MATCH(Ofício!L24,RRE!$U$15:$U$26,0))</f>
        <v>#N/A</v>
      </c>
    </row>
    <row r="25" spans="1:13" ht="12.75">
      <c r="A25" s="419"/>
      <c r="B25" s="419"/>
      <c r="C25" s="419"/>
      <c r="D25" s="419"/>
      <c r="E25" s="419"/>
      <c r="F25" s="419"/>
      <c r="G25" s="428">
        <f t="shared" si="1"/>
        <v>0</v>
      </c>
      <c r="H25" s="429">
        <f>IF($G25="","",IF(COUNTIF(DADOS!$B$56:$B$77,Ofício!$G25)=0,"(cadastre na aba Dados)",VLOOKUP(Ofício!$G25,DADOS!$B$56:$F$77,2,0)))</f>
        <v>0</v>
      </c>
      <c r="I25" s="430">
        <f>IF(OR($G25="",COUNTIF(DADOS!$B$56:$B$77,Ofício!$G25)=0),"",VLOOKUP(Ofício!$G25,DADOS!$B$56:$F$77,5,0))</f>
        <v>0</v>
      </c>
      <c r="J25" s="431">
        <f>IF(ISERROR(M25),"",SUMIF(RRE!$H$15:$H$26,Ofício!G25,RRE!$N$15:$N$26))</f>
        <v>0</v>
      </c>
      <c r="K25" s="393"/>
      <c r="L25" s="427">
        <f ca="1" t="shared" si="2"/>
        <v>2</v>
      </c>
      <c r="M25" s="393" t="e">
        <f>INDEX(RRE!$H$15:$H$26,MATCH(Ofício!L25,RRE!$U$15:$U$26,0))</f>
        <v>#N/A</v>
      </c>
    </row>
    <row r="26" spans="1:13" ht="12.75">
      <c r="A26" s="393"/>
      <c r="B26" s="393"/>
      <c r="C26" s="393"/>
      <c r="D26" s="393"/>
      <c r="E26" s="393"/>
      <c r="F26" s="393"/>
      <c r="G26" s="428">
        <f t="shared" si="1"/>
        <v>0</v>
      </c>
      <c r="H26" s="429">
        <f>IF($G26="","",IF(COUNTIF(DADOS!$B$56:$B$77,Ofício!$G26)=0,"(cadastre na aba Dados)",VLOOKUP(Ofício!$G26,DADOS!$B$56:$F$77,2,0)))</f>
        <v>0</v>
      </c>
      <c r="I26" s="430">
        <f>IF(OR($G26="",COUNTIF(DADOS!$B$56:$B$77,Ofício!$G26)=0),"",VLOOKUP(Ofício!$G26,DADOS!$B$56:$F$77,5,0))</f>
        <v>0</v>
      </c>
      <c r="J26" s="431">
        <f>IF(ISERROR(M26),"",SUMIF(RRE!$H$15:$H$26,Ofício!G26,RRE!$N$15:$N$26))</f>
        <v>0</v>
      </c>
      <c r="K26" s="393"/>
      <c r="L26" s="427">
        <f ca="1" t="shared" si="2"/>
        <v>3</v>
      </c>
      <c r="M26" s="393" t="e">
        <f>INDEX(RRE!$H$15:$H$26,MATCH(Ofício!L26,RRE!$U$15:$U$26,0))</f>
        <v>#N/A</v>
      </c>
    </row>
    <row r="27" spans="1:13" ht="12.75" customHeight="1">
      <c r="A27" s="432"/>
      <c r="B27" s="432"/>
      <c r="C27" s="433" t="s">
        <v>147</v>
      </c>
      <c r="D27" s="433">
        <f>CONCATENATE("Evolução da ",RRE!$I$5,"ª Medição")</f>
        <v>0</v>
      </c>
      <c r="E27" s="434" t="s">
        <v>148</v>
      </c>
      <c r="F27" s="434"/>
      <c r="G27" s="428">
        <f t="shared" si="1"/>
        <v>0</v>
      </c>
      <c r="H27" s="429">
        <f>IF($G27="","",IF(COUNTIF(DADOS!$B$56:$B$77,Ofício!$G27)=0,"(cadastre na aba Dados)",VLOOKUP(Ofício!$G27,DADOS!$B$56:$F$77,2,0)))</f>
        <v>0</v>
      </c>
      <c r="I27" s="430">
        <f>IF(OR($G27="",COUNTIF(DADOS!$B$56:$B$77,Ofício!$G27)=0),"",VLOOKUP(Ofício!$G27,DADOS!$B$56:$F$77,5,0))</f>
        <v>0</v>
      </c>
      <c r="J27" s="431">
        <f>IF(ISERROR(M27),"",SUMIF(RRE!$H$15:$H$26,Ofício!G27,RRE!$N$15:$N$26))</f>
        <v>0</v>
      </c>
      <c r="K27" s="393"/>
      <c r="L27" s="427">
        <f ca="1" t="shared" si="2"/>
        <v>4</v>
      </c>
      <c r="M27" s="393" t="e">
        <f>INDEX(RRE!$H$15:$H$26,MATCH(Ofício!L27,RRE!$U$15:$U$26,0))</f>
        <v>#N/A</v>
      </c>
    </row>
    <row r="28" spans="1:13" ht="12.75">
      <c r="A28" s="432"/>
      <c r="B28" s="432"/>
      <c r="C28" s="433"/>
      <c r="D28" s="433"/>
      <c r="E28" s="434"/>
      <c r="F28" s="434"/>
      <c r="G28" s="428">
        <f t="shared" si="1"/>
        <v>0</v>
      </c>
      <c r="H28" s="429">
        <f>IF($G28="","",IF(COUNTIF(DADOS!$B$56:$B$77,Ofício!$G28)=0,"(cadastre na aba Dados)",VLOOKUP(Ofício!$G28,DADOS!$B$56:$F$77,2,0)))</f>
        <v>0</v>
      </c>
      <c r="I28" s="430">
        <f>IF(OR($G28="",COUNTIF(DADOS!$B$56:$B$77,Ofício!$G28)=0),"",VLOOKUP(Ofício!$G28,DADOS!$B$56:$F$77,5,0))</f>
        <v>0</v>
      </c>
      <c r="J28" s="431">
        <f>IF(ISERROR(M28),"",SUMIF(RRE!$H$15:$H$26,Ofício!G28,RRE!$N$15:$N$26))</f>
        <v>0</v>
      </c>
      <c r="K28" s="393"/>
      <c r="L28" s="427">
        <f ca="1" t="shared" si="2"/>
        <v>5</v>
      </c>
      <c r="M28" s="393" t="e">
        <f>INDEX(RRE!$H$15:$H$26,MATCH(Ofício!L28,RRE!$U$15:$U$26,0))</f>
        <v>#N/A</v>
      </c>
    </row>
    <row r="29" spans="1:13" ht="12.75">
      <c r="A29" s="435">
        <f>CONCATENATE(QCI!$L$9,":")</f>
        <v>0</v>
      </c>
      <c r="B29" s="435"/>
      <c r="C29" s="436">
        <f>RRE!J12</f>
        <v>0</v>
      </c>
      <c r="D29" s="436">
        <f>RRE!N12</f>
        <v>0</v>
      </c>
      <c r="E29" s="437">
        <f>RRE!Q12</f>
        <v>0</v>
      </c>
      <c r="F29" s="437"/>
      <c r="G29" s="428">
        <f t="shared" si="1"/>
        <v>0</v>
      </c>
      <c r="H29" s="429">
        <f>IF($G29="","",IF(COUNTIF(DADOS!$B$56:$B$77,Ofício!$G29)=0,"(cadastre na aba Dados)",VLOOKUP(Ofício!$G29,DADOS!$B$56:$F$77,2,0)))</f>
        <v>0</v>
      </c>
      <c r="I29" s="430">
        <f>IF(OR($G29="",COUNTIF(DADOS!$B$56:$B$77,Ofício!$G29)=0),"",VLOOKUP(Ofício!$G29,DADOS!$B$56:$F$77,5,0))</f>
        <v>0</v>
      </c>
      <c r="J29" s="431">
        <f>IF(ISERROR(M29),"",SUMIF(RRE!$H$15:$H$26,Ofício!G29,RRE!$N$15:$N$26))</f>
        <v>0</v>
      </c>
      <c r="K29" s="393"/>
      <c r="L29" s="427">
        <f ca="1" t="shared" si="2"/>
        <v>6</v>
      </c>
      <c r="M29" s="393" t="e">
        <f>INDEX(RRE!$H$15:$H$26,MATCH(Ofício!L29,RRE!$U$15:$U$26,0))</f>
        <v>#N/A</v>
      </c>
    </row>
    <row r="30" spans="1:13" ht="12.75">
      <c r="A30" s="435" t="s">
        <v>149</v>
      </c>
      <c r="B30" s="435"/>
      <c r="C30" s="436">
        <f>RRE!J13</f>
        <v>0</v>
      </c>
      <c r="D30" s="436">
        <f>RRE!N13</f>
        <v>0</v>
      </c>
      <c r="E30" s="437">
        <f>RRE!Q13</f>
        <v>0</v>
      </c>
      <c r="F30" s="437"/>
      <c r="G30" s="428">
        <f t="shared" si="1"/>
        <v>0</v>
      </c>
      <c r="H30" s="429">
        <f>IF($G30="","",IF(COUNTIF(DADOS!$B$56:$B$77,Ofício!$G30)=0,"(cadastre na aba Dados)",VLOOKUP(Ofício!$G30,DADOS!$B$56:$F$77,2,0)))</f>
        <v>0</v>
      </c>
      <c r="I30" s="430">
        <f>IF(OR($G30="",COUNTIF(DADOS!$B$56:$B$77,Ofício!$G30)=0),"",VLOOKUP(Ofício!$G30,DADOS!$B$56:$F$77,5,0))</f>
        <v>0</v>
      </c>
      <c r="J30" s="431">
        <f>IF(ISERROR(M30),"",SUMIF(RRE!$H$15:$H$26,Ofício!G30,RRE!$N$15:$N$26))</f>
        <v>0</v>
      </c>
      <c r="K30" s="393"/>
      <c r="L30" s="427">
        <f ca="1" t="shared" si="2"/>
        <v>7</v>
      </c>
      <c r="M30" s="393" t="e">
        <f>INDEX(RRE!$H$15:$H$26,MATCH(Ofício!L30,RRE!$U$15:$U$26,0))</f>
        <v>#N/A</v>
      </c>
    </row>
    <row r="31" spans="1:13" ht="12.75">
      <c r="A31" s="435">
        <f>CONCATENATE(QCI!$N$9,":")</f>
        <v>0</v>
      </c>
      <c r="B31" s="435"/>
      <c r="C31" s="436">
        <f>RRE!J14</f>
        <v>0</v>
      </c>
      <c r="D31" s="436">
        <f>RRE!N14</f>
        <v>0</v>
      </c>
      <c r="E31" s="437">
        <f>RRE!Q14</f>
        <v>0</v>
      </c>
      <c r="F31" s="437"/>
      <c r="G31" s="428">
        <f t="shared" si="1"/>
        <v>0</v>
      </c>
      <c r="H31" s="429">
        <f>IF($G31="","",IF(COUNTIF(DADOS!$B$56:$B$77,Ofício!$G31)=0,"(cadastre na aba Dados)",VLOOKUP(Ofício!$G31,DADOS!$B$56:$F$77,2,0)))</f>
        <v>0</v>
      </c>
      <c r="I31" s="430">
        <f>IF(OR($G31="",COUNTIF(DADOS!$B$56:$B$77,Ofício!$G31)=0),"",VLOOKUP(Ofício!$G31,DADOS!$B$56:$F$77,5,0))</f>
        <v>0</v>
      </c>
      <c r="J31" s="431">
        <f>IF(ISERROR(M31),"",SUMIF(RRE!$H$15:$H$26,Ofício!G31,RRE!$N$15:$N$26))</f>
        <v>0</v>
      </c>
      <c r="K31" s="393"/>
      <c r="L31" s="427">
        <f ca="1" t="shared" si="2"/>
        <v>8</v>
      </c>
      <c r="M31" s="393" t="e">
        <f>INDEX(RRE!$H$15:$H$26,MATCH(Ofício!L31,RRE!$U$15:$U$26,0))</f>
        <v>#N/A</v>
      </c>
    </row>
    <row r="32" spans="1:13" ht="12.75">
      <c r="A32" s="435" t="s">
        <v>150</v>
      </c>
      <c r="B32" s="435"/>
      <c r="C32" s="436">
        <f>RRE!J15</f>
        <v>0</v>
      </c>
      <c r="D32" s="436">
        <f>RRE!N15</f>
        <v>0</v>
      </c>
      <c r="E32" s="437">
        <f>RRE!Q15</f>
        <v>0</v>
      </c>
      <c r="F32" s="437"/>
      <c r="G32" s="428">
        <f t="shared" si="1"/>
        <v>0</v>
      </c>
      <c r="H32" s="429">
        <f>IF($G32="","",IF(COUNTIF(DADOS!$B$56:$B$77,Ofício!$G32)=0,"(cadastre na aba Dados)",VLOOKUP(Ofício!$G32,DADOS!$B$56:$F$77,2,0)))</f>
        <v>0</v>
      </c>
      <c r="I32" s="430">
        <f>IF(OR($G32="",COUNTIF(DADOS!$B$56:$B$77,Ofício!$G32)=0),"",VLOOKUP(Ofício!$G32,DADOS!$B$56:$F$77,5,0))</f>
        <v>0</v>
      </c>
      <c r="J32" s="431">
        <f>IF(ISERROR(M32),"",SUMIF(RRE!$H$15:$H$26,Ofício!G32,RRE!$N$15:$N$26))</f>
        <v>0</v>
      </c>
      <c r="K32" s="393"/>
      <c r="L32" s="427">
        <f ca="1" t="shared" si="2"/>
        <v>9</v>
      </c>
      <c r="M32" s="393" t="e">
        <f>INDEX(RRE!$H$15:$H$26,MATCH(Ofício!L32,RRE!$U$15:$U$26,0))</f>
        <v>#N/A</v>
      </c>
    </row>
    <row r="33" spans="1:13" ht="12.75">
      <c r="A33" s="438" t="s">
        <v>151</v>
      </c>
      <c r="B33" s="438"/>
      <c r="C33" s="439" t="s">
        <v>152</v>
      </c>
      <c r="D33" s="439">
        <f>RRE!N15/(RRE!J15+10^-12)</f>
        <v>0</v>
      </c>
      <c r="E33" s="440">
        <f>RRE!R12</f>
        <v>0</v>
      </c>
      <c r="F33" s="440"/>
      <c r="G33" s="428">
        <f t="shared" si="1"/>
        <v>0</v>
      </c>
      <c r="H33" s="429">
        <f>IF($G33="","",IF(COUNTIF(DADOS!$B$56:$B$77,Ofício!$G33)=0,"(cadastre na aba Dados)",VLOOKUP(Ofício!$G33,DADOS!$B$56:$F$77,2,0)))</f>
        <v>0</v>
      </c>
      <c r="I33" s="430">
        <f>IF(OR($G33="",COUNTIF(DADOS!$B$56:$B$77,Ofício!$G33)=0),"",VLOOKUP(Ofício!$G33,DADOS!$B$56:$F$77,5,0))</f>
        <v>0</v>
      </c>
      <c r="J33" s="431">
        <f>IF(ISERROR(M33),"",SUMIF(RRE!$H$15:$H$26,Ofício!G33,RRE!$N$15:$N$26))</f>
        <v>0</v>
      </c>
      <c r="K33" s="393"/>
      <c r="L33" s="427">
        <f ca="1" t="shared" si="2"/>
        <v>10</v>
      </c>
      <c r="M33" s="393" t="e">
        <f>INDEX(RRE!$H$15:$H$26,MATCH(Ofício!L33,RRE!$U$15:$U$26,0))</f>
        <v>#N/A</v>
      </c>
    </row>
    <row r="34" spans="1:13" ht="12.75">
      <c r="A34" s="441"/>
      <c r="B34" s="393"/>
      <c r="C34" s="393"/>
      <c r="D34" s="393"/>
      <c r="E34" s="393"/>
      <c r="F34" s="393"/>
      <c r="G34" s="428">
        <f t="shared" si="1"/>
        <v>0</v>
      </c>
      <c r="H34" s="429">
        <f>IF($G34="","",IF(COUNTIF(DADOS!$B$56:$B$77,Ofício!$G34)=0,"(cadastre na aba Dados)",VLOOKUP(Ofício!$G34,DADOS!$B$56:$F$77,2,0)))</f>
        <v>0</v>
      </c>
      <c r="I34" s="430">
        <f>IF(OR($G34="",COUNTIF(DADOS!$B$56:$B$77,Ofício!$G34)=0),"",VLOOKUP(Ofício!$G34,DADOS!$B$56:$F$77,5,0))</f>
        <v>0</v>
      </c>
      <c r="J34" s="431">
        <f>IF(ISERROR(M34),"",SUMIF(RRE!$H$15:$H$26,Ofício!G34,RRE!$N$15:$N$26))</f>
        <v>0</v>
      </c>
      <c r="K34" s="393"/>
      <c r="L34" s="427">
        <f ca="1" t="shared" si="2"/>
        <v>11</v>
      </c>
      <c r="M34" s="393" t="e">
        <f>INDEX(RRE!$H$15:$H$26,MATCH(Ofício!L34,RRE!$U$15:$U$26,0))</f>
        <v>#N/A</v>
      </c>
    </row>
    <row r="35" spans="1:13" ht="12.75">
      <c r="A35" s="441"/>
      <c r="B35" s="441"/>
      <c r="C35" s="441"/>
      <c r="D35" s="441"/>
      <c r="E35" s="441"/>
      <c r="F35" s="393"/>
      <c r="G35" s="428">
        <f t="shared" si="1"/>
        <v>0</v>
      </c>
      <c r="H35" s="429">
        <f>IF($G35="","",IF(COUNTIF(DADOS!$B$56:$B$77,Ofício!$G35)=0,"(cadastre na aba Dados)",VLOOKUP(Ofício!$G35,DADOS!$B$56:$F$77,2,0)))</f>
        <v>0</v>
      </c>
      <c r="I35" s="430">
        <f>IF(OR($G35="",COUNTIF(DADOS!$B$56:$B$77,Ofício!$G35)=0),"",VLOOKUP(Ofício!$G35,DADOS!$B$56:$F$77,5,0))</f>
        <v>0</v>
      </c>
      <c r="J35" s="431">
        <f>IF(ISERROR(M35),"",SUMIF(RRE!$H$15:$H$26,Ofício!G35,RRE!$N$15:$N$26))</f>
        <v>0</v>
      </c>
      <c r="K35" s="393"/>
      <c r="L35" s="427">
        <f ca="1" t="shared" si="2"/>
        <v>12</v>
      </c>
      <c r="M35" s="393" t="e">
        <f>INDEX(RRE!$H$15:$H$26,MATCH(Ofício!L35,RRE!$U$15:$U$26,0))</f>
        <v>#N/A</v>
      </c>
    </row>
    <row r="36" spans="1:13" ht="12.75" customHeight="1">
      <c r="A36" s="442">
        <f>IF(RRE.NumMedicao&gt;1,"2. Encaminhamos ainda a documentação relativa à prestação de contas da etapa físico-financeira anterior.","")</f>
        <v>0</v>
      </c>
      <c r="B36" s="442"/>
      <c r="C36" s="442"/>
      <c r="D36" s="442"/>
      <c r="E36" s="442"/>
      <c r="F36" s="442"/>
      <c r="G36" s="428">
        <f t="shared" si="1"/>
        <v>0</v>
      </c>
      <c r="H36" s="429">
        <f>IF($G36="","",IF(COUNTIF(DADOS!$B$56:$B$77,Ofício!$G36)=0,"(cadastre na aba Dados)",VLOOKUP(Ofício!$G36,DADOS!$B$56:$F$77,2,0)))</f>
        <v>0</v>
      </c>
      <c r="I36" s="430">
        <f>IF(OR($G36="",COUNTIF(DADOS!$B$56:$B$77,Ofício!$G36)=0),"",VLOOKUP(Ofício!$G36,DADOS!$B$56:$F$77,5,0))</f>
        <v>0</v>
      </c>
      <c r="J36" s="431">
        <f>IF(ISERROR(M36),"",SUMIF(RRE!$H$15:$H$26,Ofício!G36,RRE!$N$15:$N$26))</f>
        <v>0</v>
      </c>
      <c r="K36" s="393"/>
      <c r="L36" s="427">
        <f ca="1" t="shared" si="2"/>
        <v>13</v>
      </c>
      <c r="M36" s="393" t="e">
        <f>INDEX(RRE!$H$15:$H$26,MATCH(Ofício!L36,RRE!$U$15:$U$26,0))</f>
        <v>#N/A</v>
      </c>
    </row>
    <row r="37" spans="1:13" ht="12.75" customHeight="1">
      <c r="A37" s="442"/>
      <c r="B37" s="442"/>
      <c r="C37" s="442"/>
      <c r="D37" s="442"/>
      <c r="E37" s="442"/>
      <c r="F37" s="442"/>
      <c r="G37" s="428">
        <f t="shared" si="1"/>
        <v>0</v>
      </c>
      <c r="H37" s="429">
        <f>IF($G37="","",IF(COUNTIF(DADOS!$B$56:$B$77,Ofício!$G37)=0,"(cadastre na aba Dados)",VLOOKUP(Ofício!$G37,DADOS!$B$56:$F$77,2,0)))</f>
        <v>0</v>
      </c>
      <c r="I37" s="430">
        <f>IF(OR($G37="",COUNTIF(DADOS!$B$56:$B$77,Ofício!$G37)=0),"",VLOOKUP(Ofício!$G37,DADOS!$B$56:$F$77,5,0))</f>
        <v>0</v>
      </c>
      <c r="J37" s="431">
        <f>IF(ISERROR(M37),"",SUMIF(RRE!$H$15:$H$26,Ofício!G37,RRE!$N$15:$N$26))</f>
        <v>0</v>
      </c>
      <c r="K37" s="393"/>
      <c r="L37" s="427">
        <f ca="1" t="shared" si="2"/>
        <v>14</v>
      </c>
      <c r="M37" s="393" t="e">
        <f>INDEX(RRE!$H$15:$H$26,MATCH(Ofício!L37,RRE!$U$15:$U$26,0))</f>
        <v>#N/A</v>
      </c>
    </row>
    <row r="38" spans="1:13" ht="12.75" customHeight="1">
      <c r="A38" s="443">
        <f ca="1">IF(AND(RRE.NumMedicao&gt;1,NOT(ISBLANK(Import.SICONV))),"3. Na oportunidade, informamos que a execução financeira da parcela anterior está devidamente comprovada no SICONV.","")</f>
        <v>0</v>
      </c>
      <c r="B38" s="443"/>
      <c r="C38" s="443"/>
      <c r="D38" s="443"/>
      <c r="E38" s="443"/>
      <c r="F38" s="443"/>
      <c r="G38" s="428">
        <f t="shared" si="1"/>
        <v>0</v>
      </c>
      <c r="H38" s="429">
        <f>IF($G38="","",IF(COUNTIF(DADOS!$B$56:$B$77,Ofício!$G38)=0,"(cadastre na aba Dados)",VLOOKUP(Ofício!$G38,DADOS!$B$56:$F$77,2,0)))</f>
        <v>0</v>
      </c>
      <c r="I38" s="430">
        <f>IF(OR($G38="",COUNTIF(DADOS!$B$56:$B$77,Ofício!$G38)=0),"",VLOOKUP(Ofício!$G38,DADOS!$B$56:$F$77,5,0))</f>
        <v>0</v>
      </c>
      <c r="J38" s="431">
        <f>IF(ISERROR(M38),"",SUMIF(RRE!$H$15:$H$26,Ofício!G38,RRE!$N$15:$N$26))</f>
        <v>0</v>
      </c>
      <c r="K38" s="393"/>
      <c r="L38" s="427">
        <f ca="1" t="shared" si="2"/>
        <v>15</v>
      </c>
      <c r="M38" s="393" t="e">
        <f>INDEX(RRE!$H$15:$H$26,MATCH(Ofício!L38,RRE!$U$15:$U$26,0))</f>
        <v>#N/A</v>
      </c>
    </row>
    <row r="39" spans="1:13" ht="12.75" customHeight="1">
      <c r="A39" s="443"/>
      <c r="B39" s="443"/>
      <c r="C39" s="443"/>
      <c r="D39" s="443"/>
      <c r="E39" s="443"/>
      <c r="F39" s="443"/>
      <c r="G39" s="428">
        <f t="shared" si="1"/>
        <v>0</v>
      </c>
      <c r="H39" s="429">
        <f>IF($G39="","",IF(COUNTIF(DADOS!$B$56:$B$77,Ofício!$G39)=0,"(cadastre na aba Dados)",VLOOKUP(Ofício!$G39,DADOS!$B$56:$F$77,2,0)))</f>
        <v>0</v>
      </c>
      <c r="I39" s="430">
        <f>IF(OR($G39="",COUNTIF(DADOS!$B$56:$B$77,Ofício!$G39)=0),"",VLOOKUP(Ofício!$G39,DADOS!$B$56:$F$77,5,0))</f>
        <v>0</v>
      </c>
      <c r="J39" s="431">
        <f>IF(ISERROR(M39),"",SUMIF(RRE!$H$15:$H$26,Ofício!G39,RRE!$N$15:$N$26))</f>
        <v>0</v>
      </c>
      <c r="K39" s="393"/>
      <c r="L39" s="427">
        <f ca="1" t="shared" si="2"/>
        <v>16</v>
      </c>
      <c r="M39" s="393" t="e">
        <f>INDEX(RRE!$H$15:$H$26,MATCH(Ofício!L39,RRE!$U$15:$U$26,0))</f>
        <v>#N/A</v>
      </c>
    </row>
    <row r="40" spans="1:13" ht="12.75" customHeight="1">
      <c r="A40" s="444"/>
      <c r="B40" s="401"/>
      <c r="C40" s="401"/>
      <c r="D40" s="401"/>
      <c r="E40" s="401"/>
      <c r="F40" s="401"/>
      <c r="G40" s="428">
        <f t="shared" si="1"/>
        <v>0</v>
      </c>
      <c r="H40" s="429">
        <f>IF($G40="","",IF(COUNTIF(DADOS!$B$56:$B$77,Ofício!$G40)=0,"(cadastre na aba Dados)",VLOOKUP(Ofício!$G40,DADOS!$B$56:$F$77,2,0)))</f>
        <v>0</v>
      </c>
      <c r="I40" s="430">
        <f>IF(OR($G40="",COUNTIF(DADOS!$B$56:$B$77,Ofício!$G40)=0),"",VLOOKUP(Ofício!$G40,DADOS!$B$56:$F$77,5,0))</f>
        <v>0</v>
      </c>
      <c r="J40" s="431">
        <f>IF(ISERROR(M40),"",SUMIF(RRE!$H$15:$H$26,Ofício!G40,RRE!$N$15:$N$26))</f>
        <v>0</v>
      </c>
      <c r="K40" s="393"/>
      <c r="L40" s="427">
        <f ca="1" t="shared" si="2"/>
        <v>17</v>
      </c>
      <c r="M40" s="393" t="e">
        <f>INDEX(RRE!$H$15:$H$26,MATCH(Ofício!L40,RRE!$U$15:$U$26,0))</f>
        <v>#N/A</v>
      </c>
    </row>
    <row r="41" spans="1:13" ht="12.75">
      <c r="A41" s="443">
        <f>IF($A$23="",0,1)+IF($A$36="",0,1)+IF($A$38="",0,1)+1&amp;". Informamos também a manutenção da Placa de Obra em local visível e de acordo com padrão estabelecido pela Presidência da República, constante do Manual Visual de Placas e Adesivos de Obra."</f>
        <v>0</v>
      </c>
      <c r="B41" s="443"/>
      <c r="C41" s="443"/>
      <c r="D41" s="443"/>
      <c r="E41" s="443"/>
      <c r="F41" s="443"/>
      <c r="G41" s="428">
        <f t="shared" si="1"/>
        <v>0</v>
      </c>
      <c r="H41" s="429">
        <f>IF($G41="","",IF(COUNTIF(DADOS!$B$56:$B$77,Ofício!$G41)=0,"(cadastre na aba Dados)",VLOOKUP(Ofício!$G41,DADOS!$B$56:$F$77,2,0)))</f>
        <v>0</v>
      </c>
      <c r="I41" s="430">
        <f>IF(OR($G41="",COUNTIF(DADOS!$B$56:$B$77,Ofício!$G41)=0),"",VLOOKUP(Ofício!$G41,DADOS!$B$56:$F$77,5,0))</f>
        <v>0</v>
      </c>
      <c r="J41" s="431">
        <f>IF(ISERROR(M41),"",SUMIF(RRE!$H$15:$H$26,Ofício!G41,RRE!$N$15:$N$26))</f>
        <v>0</v>
      </c>
      <c r="K41" s="393"/>
      <c r="L41" s="427">
        <f ca="1" t="shared" si="2"/>
        <v>18</v>
      </c>
      <c r="M41" s="393" t="e">
        <f>INDEX(RRE!$H$15:$H$26,MATCH(Ofício!L41,RRE!$U$15:$U$26,0))</f>
        <v>#N/A</v>
      </c>
    </row>
    <row r="42" spans="1:13" ht="12.75">
      <c r="A42" s="443"/>
      <c r="B42" s="443"/>
      <c r="C42" s="443"/>
      <c r="D42" s="443"/>
      <c r="E42" s="443"/>
      <c r="F42" s="443"/>
      <c r="G42" s="428">
        <f t="shared" si="1"/>
        <v>0</v>
      </c>
      <c r="H42" s="429">
        <f>IF($G42="","",IF(COUNTIF(DADOS!$B$56:$B$77,Ofício!$G42)=0,"(cadastre na aba Dados)",VLOOKUP(Ofício!$G42,DADOS!$B$56:$F$77,2,0)))</f>
        <v>0</v>
      </c>
      <c r="I42" s="430">
        <f>IF(OR($G42="",COUNTIF(DADOS!$B$56:$B$77,Ofício!$G42)=0),"",VLOOKUP(Ofício!$G42,DADOS!$B$56:$F$77,5,0))</f>
        <v>0</v>
      </c>
      <c r="J42" s="431">
        <f>IF(ISERROR(M42),"",SUMIF(RRE!$H$15:$H$26,Ofício!G42,RRE!$N$15:$N$26))</f>
        <v>0</v>
      </c>
      <c r="K42" s="393"/>
      <c r="L42" s="427">
        <f ca="1" t="shared" si="2"/>
        <v>19</v>
      </c>
      <c r="M42" s="393" t="e">
        <f>INDEX(RRE!$H$15:$H$26,MATCH(Ofício!L42,RRE!$U$15:$U$26,0))</f>
        <v>#N/A</v>
      </c>
    </row>
    <row r="43" spans="1:13" ht="12.75">
      <c r="A43" s="443"/>
      <c r="B43" s="443"/>
      <c r="C43" s="443"/>
      <c r="D43" s="443"/>
      <c r="E43" s="443"/>
      <c r="F43" s="443"/>
      <c r="G43" s="428">
        <f t="shared" si="1"/>
        <v>0</v>
      </c>
      <c r="H43" s="429">
        <f>IF($G43="","",IF(COUNTIF(DADOS!$B$56:$B$77,Ofício!$G43)=0,"(cadastre na aba Dados)",VLOOKUP(Ofício!$G43,DADOS!$B$56:$F$77,2,0)))</f>
        <v>0</v>
      </c>
      <c r="I43" s="430">
        <f>IF(OR($G43="",COUNTIF(DADOS!$B$56:$B$77,Ofício!$G43)=0),"",VLOOKUP(Ofício!$G43,DADOS!$B$56:$F$77,5,0))</f>
        <v>0</v>
      </c>
      <c r="J43" s="431">
        <f>IF(ISERROR(M43),"",SUMIF(RRE!$H$15:$H$26,Ofício!G43,RRE!$N$15:$N$26))</f>
        <v>0</v>
      </c>
      <c r="K43" s="393"/>
      <c r="L43" s="427">
        <f ca="1" t="shared" si="2"/>
        <v>20</v>
      </c>
      <c r="M43" s="393" t="e">
        <f>INDEX(RRE!$H$15:$H$26,MATCH(Ofício!L43,RRE!$U$15:$U$26,0))</f>
        <v>#N/A</v>
      </c>
    </row>
    <row r="44" spans="1:13" ht="12.75">
      <c r="A44" s="443"/>
      <c r="B44" s="443"/>
      <c r="C44" s="443"/>
      <c r="D44" s="443"/>
      <c r="E44" s="443"/>
      <c r="F44" s="443"/>
      <c r="G44" s="428">
        <f t="shared" si="1"/>
        <v>0</v>
      </c>
      <c r="H44" s="429">
        <f>IF($G44="","",IF(COUNTIF(DADOS!$B$56:$B$77,Ofício!$G44)=0,"(cadastre na aba Dados)",VLOOKUP(Ofício!$G44,DADOS!$B$56:$F$77,2,0)))</f>
        <v>0</v>
      </c>
      <c r="I44" s="430">
        <f>IF(OR($G44="",COUNTIF(DADOS!$B$56:$B$77,Ofício!$G44)=0),"",VLOOKUP(Ofício!$G44,DADOS!$B$56:$F$77,5,0))</f>
        <v>0</v>
      </c>
      <c r="J44" s="431">
        <f>IF(ISERROR(M44),"",SUMIF(RRE!$H$15:$H$26,Ofício!G44,RRE!$N$15:$N$26))</f>
        <v>0</v>
      </c>
      <c r="K44" s="393"/>
      <c r="L44" s="427">
        <f ca="1" t="shared" si="2"/>
        <v>21</v>
      </c>
      <c r="M44" s="393" t="e">
        <f>INDEX(RRE!$H$15:$H$26,MATCH(Ofício!L44,RRE!$U$15:$U$26,0))</f>
        <v>#N/A</v>
      </c>
    </row>
    <row r="45" spans="1:13" ht="12.75">
      <c r="A45" s="443"/>
      <c r="B45" s="443"/>
      <c r="C45" s="443"/>
      <c r="D45" s="443"/>
      <c r="E45" s="443"/>
      <c r="F45" s="443"/>
      <c r="G45" s="428">
        <f t="shared" si="1"/>
        <v>0</v>
      </c>
      <c r="H45" s="429">
        <f>IF($G45="","",IF(COUNTIF(DADOS!$B$56:$B$77,Ofício!$G45)=0,"(cadastre na aba Dados)",VLOOKUP(Ofício!$G45,DADOS!$B$56:$F$77,2,0)))</f>
        <v>0</v>
      </c>
      <c r="I45" s="430">
        <f>IF(OR($G45="",COUNTIF(DADOS!$B$56:$B$77,Ofício!$G45)=0),"",VLOOKUP(Ofício!$G45,DADOS!$B$56:$F$77,5,0))</f>
        <v>0</v>
      </c>
      <c r="J45" s="431">
        <f>IF(ISERROR(M45),"",SUMIF(RRE!$H$15:$H$26,Ofício!G45,RRE!$N$15:$N$26))</f>
        <v>0</v>
      </c>
      <c r="K45" s="393"/>
      <c r="L45" s="427">
        <f ca="1" t="shared" si="2"/>
        <v>22</v>
      </c>
      <c r="M45" s="393" t="e">
        <f>INDEX(RRE!$H$15:$H$26,MATCH(Ofício!L45,RRE!$U$15:$U$26,0))</f>
        <v>#N/A</v>
      </c>
    </row>
    <row r="46" spans="1:13" ht="12.75">
      <c r="A46" s="445"/>
      <c r="B46" s="445"/>
      <c r="C46" s="445"/>
      <c r="D46" s="445"/>
      <c r="E46" s="445"/>
      <c r="F46" s="446"/>
      <c r="G46" s="445"/>
      <c r="H46" s="445"/>
      <c r="I46" s="445"/>
      <c r="J46" s="445"/>
      <c r="K46" s="445"/>
      <c r="L46" s="445"/>
      <c r="M46" s="445"/>
    </row>
    <row r="47" spans="1:13" ht="12.75">
      <c r="A47" s="445"/>
      <c r="B47" s="445"/>
      <c r="C47" s="445"/>
      <c r="D47" s="445"/>
      <c r="E47" s="445"/>
      <c r="F47" s="446"/>
      <c r="G47" s="445"/>
      <c r="H47" s="445"/>
      <c r="I47" s="445"/>
      <c r="J47" s="445"/>
      <c r="K47" s="445"/>
      <c r="L47" s="445"/>
      <c r="M47" s="445"/>
    </row>
    <row r="48" spans="1:13" ht="12.75">
      <c r="A48" s="393" t="s">
        <v>153</v>
      </c>
      <c r="B48" s="445"/>
      <c r="C48" s="445"/>
      <c r="D48" s="445"/>
      <c r="E48" s="445"/>
      <c r="F48" s="446"/>
      <c r="G48" s="393" t="s">
        <v>153</v>
      </c>
      <c r="H48" s="445"/>
      <c r="I48" s="445"/>
      <c r="J48" s="445"/>
      <c r="K48" s="445"/>
      <c r="L48" s="445"/>
      <c r="M48" s="445"/>
    </row>
    <row r="49" spans="1:13" ht="12.75">
      <c r="A49" s="446"/>
      <c r="B49" s="446"/>
      <c r="C49" s="446"/>
      <c r="D49" s="446"/>
      <c r="E49" s="446"/>
      <c r="F49" s="446"/>
      <c r="G49" s="445"/>
      <c r="H49" s="445"/>
      <c r="I49" s="445"/>
      <c r="J49" s="445"/>
      <c r="K49" s="445"/>
      <c r="L49" s="445"/>
      <c r="M49" s="445"/>
    </row>
    <row r="50" spans="1:13" ht="12.75">
      <c r="A50" s="447"/>
      <c r="B50" s="393"/>
      <c r="C50" s="393"/>
      <c r="D50" s="393"/>
      <c r="E50" s="393"/>
      <c r="F50" s="393"/>
      <c r="G50" s="447"/>
      <c r="H50" s="393"/>
      <c r="I50" s="393"/>
      <c r="J50" s="393"/>
      <c r="K50" s="393"/>
      <c r="L50" s="427"/>
      <c r="M50" s="393"/>
    </row>
    <row r="51" spans="1:13" ht="12.75">
      <c r="A51" s="393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</row>
    <row r="52" spans="1:13" ht="12.75">
      <c r="A52" s="448"/>
      <c r="B52" s="448"/>
      <c r="C52" s="448"/>
      <c r="D52" s="449"/>
      <c r="E52" s="449"/>
      <c r="F52" s="449"/>
      <c r="G52" s="450"/>
      <c r="H52" s="448"/>
      <c r="I52" s="449"/>
      <c r="J52" s="449"/>
      <c r="K52" s="449"/>
      <c r="L52" s="393"/>
      <c r="M52" s="393"/>
    </row>
    <row r="53" spans="1:13" ht="12.75">
      <c r="A53" s="451">
        <f>RRE!I35</f>
        <v>0</v>
      </c>
      <c r="B53" s="451"/>
      <c r="C53" s="451"/>
      <c r="D53" s="451"/>
      <c r="E53" s="451"/>
      <c r="F53" s="451"/>
      <c r="G53" s="451">
        <f aca="true" t="shared" si="3" ref="G53:G54">A53</f>
        <v>0</v>
      </c>
      <c r="H53" s="451"/>
      <c r="I53" s="451"/>
      <c r="J53" s="451"/>
      <c r="K53" s="452"/>
      <c r="L53" s="393"/>
      <c r="M53" s="393"/>
    </row>
    <row r="54" spans="1:13" ht="12.75">
      <c r="A54" s="451">
        <f>B18</f>
        <v>0</v>
      </c>
      <c r="B54" s="451"/>
      <c r="C54" s="451"/>
      <c r="D54" s="451"/>
      <c r="E54" s="451"/>
      <c r="F54" s="451"/>
      <c r="G54" s="451">
        <f t="shared" si="3"/>
        <v>0</v>
      </c>
      <c r="H54" s="451"/>
      <c r="I54" s="451"/>
      <c r="J54" s="451"/>
      <c r="K54" s="453"/>
      <c r="L54" s="393"/>
      <c r="M54" s="393"/>
    </row>
    <row r="55" spans="1:13" ht="12.75">
      <c r="A55" s="451"/>
      <c r="B55" s="451"/>
      <c r="C55" s="451"/>
      <c r="D55" s="451"/>
      <c r="E55" s="451"/>
      <c r="F55" s="451"/>
      <c r="G55" s="451"/>
      <c r="H55" s="451"/>
      <c r="I55" s="451"/>
      <c r="J55" s="451"/>
      <c r="K55" s="453"/>
      <c r="L55" s="393"/>
      <c r="M55" s="393"/>
    </row>
  </sheetData>
  <sheetProtection password="A71E" sheet="1"/>
  <mergeCells count="42">
    <mergeCell ref="A1:B4"/>
    <mergeCell ref="G3:J3"/>
    <mergeCell ref="B6:C6"/>
    <mergeCell ref="A7:F7"/>
    <mergeCell ref="G7:J7"/>
    <mergeCell ref="A9:C9"/>
    <mergeCell ref="B10:C10"/>
    <mergeCell ref="G10:H10"/>
    <mergeCell ref="B13:F13"/>
    <mergeCell ref="B14:F14"/>
    <mergeCell ref="B16:F16"/>
    <mergeCell ref="H16:J16"/>
    <mergeCell ref="B17:F17"/>
    <mergeCell ref="H17:J17"/>
    <mergeCell ref="A18:A19"/>
    <mergeCell ref="B18:F19"/>
    <mergeCell ref="G18:G19"/>
    <mergeCell ref="H18:J19"/>
    <mergeCell ref="G21:J22"/>
    <mergeCell ref="A23:F25"/>
    <mergeCell ref="A27:B28"/>
    <mergeCell ref="C27:C28"/>
    <mergeCell ref="D27:D28"/>
    <mergeCell ref="E27:F28"/>
    <mergeCell ref="A29:B29"/>
    <mergeCell ref="E29:F29"/>
    <mergeCell ref="A30:B30"/>
    <mergeCell ref="E30:F30"/>
    <mergeCell ref="A31:B31"/>
    <mergeCell ref="E31:F31"/>
    <mergeCell ref="A32:B32"/>
    <mergeCell ref="E32:F32"/>
    <mergeCell ref="A33:B33"/>
    <mergeCell ref="E33:F33"/>
    <mergeCell ref="A36:F36"/>
    <mergeCell ref="A37:F37"/>
    <mergeCell ref="A38:F39"/>
    <mergeCell ref="A41:F45"/>
    <mergeCell ref="A53:F53"/>
    <mergeCell ref="G53:J53"/>
    <mergeCell ref="A54:F55"/>
    <mergeCell ref="G54:J55"/>
  </mergeCells>
  <conditionalFormatting sqref="E33:F33">
    <cfRule type="cellIs" priority="1" dxfId="4" operator="lessThan" stopIfTrue="1">
      <formula>0</formula>
    </cfRule>
  </conditionalFormatting>
  <conditionalFormatting sqref="E29:F32">
    <cfRule type="cellIs" priority="2" dxfId="4" operator="notBetween" stopIfTrue="1">
      <formula>0</formula>
      <formula>$C29</formula>
    </cfRule>
  </conditionalFormatting>
  <dataValidations count="1">
    <dataValidation type="list" allowBlank="1" showInputMessage="1" showErrorMessage="1" sqref="A10">
      <formula1>"GIGOV,SR"</formula1>
      <formula2>0</formula2>
    </dataValidation>
  </dataValidations>
  <printOptions horizontalCentered="1" verticalCentered="1"/>
  <pageMargins left="0.7875" right="0.7875" top="0.7874999999999996" bottom="0.7868055555555555" header="5.708333333333333" footer="0.5902777777777778"/>
  <pageSetup fitToWidth="2" fitToHeight="1" horizontalDpi="300" verticalDpi="300" orientation="portrait" paperSize="9"/>
  <headerFooter alignWithMargins="0">
    <oddHeader>&amp;L_</oddHeader>
    <oddFooter>&amp;L41.211 v009  micro&amp;R&amp;P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4"/>
  <sheetViews>
    <sheetView workbookViewId="0" topLeftCell="F1">
      <selection activeCell="F1" sqref="F1"/>
    </sheetView>
  </sheetViews>
  <sheetFormatPr defaultColWidth="8.00390625" defaultRowHeight="12.75"/>
  <cols>
    <col min="1" max="1" width="32.140625" style="0" customWidth="1"/>
    <col min="2" max="2" width="49.00390625" style="0" customWidth="1"/>
    <col min="3" max="3" width="22.57421875" style="0" customWidth="1"/>
    <col min="4" max="4" width="8.7109375" style="0" customWidth="1"/>
    <col min="5" max="5" width="52.421875" style="0" customWidth="1"/>
    <col min="6" max="6" width="8.7109375" style="454" customWidth="1"/>
    <col min="7" max="7" width="35.00390625" style="0" customWidth="1"/>
    <col min="8" max="8" width="8.7109375" style="0" customWidth="1"/>
    <col min="9" max="9" width="84.57421875" style="0" customWidth="1"/>
    <col min="10" max="10" width="8.7109375" style="0" customWidth="1"/>
    <col min="11" max="11" width="38.00390625" style="0" customWidth="1"/>
    <col min="12" max="12" width="8.7109375" style="0" customWidth="1"/>
    <col min="13" max="13" width="38.00390625" style="0" customWidth="1"/>
    <col min="14" max="14" width="8.7109375" style="0" customWidth="1"/>
    <col min="15" max="15" width="35.7109375" style="0" customWidth="1"/>
    <col min="16" max="16" width="8.7109375" style="0" customWidth="1"/>
    <col min="17" max="17" width="59.140625" style="0" customWidth="1"/>
    <col min="18" max="18" width="8.7109375" style="0" customWidth="1"/>
    <col min="19" max="19" width="60.28125" style="0" customWidth="1"/>
    <col min="20" max="20" width="8.7109375" style="0" customWidth="1"/>
    <col min="21" max="21" width="30.57421875" style="0" customWidth="1"/>
    <col min="22" max="22" width="8.7109375" style="0" customWidth="1"/>
    <col min="23" max="23" width="20.00390625" style="0" customWidth="1"/>
    <col min="24" max="24" width="8.7109375" style="0" customWidth="1"/>
    <col min="25" max="25" width="36.57421875" style="0" customWidth="1"/>
    <col min="26" max="26" width="8.7109375" style="0" customWidth="1"/>
    <col min="27" max="27" width="31.7109375" style="0" customWidth="1"/>
    <col min="28" max="28" width="8.7109375" style="0" customWidth="1"/>
    <col min="29" max="29" width="53.57421875" style="0" customWidth="1"/>
    <col min="30" max="30" width="8.7109375" style="0" customWidth="1"/>
    <col min="31" max="31" width="47.00390625" style="0" customWidth="1"/>
    <col min="32" max="32" width="8.7109375" style="0" customWidth="1"/>
    <col min="33" max="33" width="15.140625" style="0" customWidth="1"/>
    <col min="34" max="34" width="8.7109375" style="0" customWidth="1"/>
    <col min="35" max="35" width="35.8515625" style="0" customWidth="1"/>
    <col min="36" max="36" width="8.7109375" style="0" customWidth="1"/>
    <col min="37" max="16384" width="8.7109375" style="0" customWidth="1"/>
  </cols>
  <sheetData>
    <row r="1" spans="3:36" ht="12.75">
      <c r="C1" s="455"/>
      <c r="D1" s="456" t="s">
        <v>154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</row>
    <row r="2" spans="2:36" s="457" customFormat="1" ht="12.75">
      <c r="B2" s="457" t="s">
        <v>155</v>
      </c>
      <c r="C2" s="458" t="s">
        <v>156</v>
      </c>
      <c r="D2" s="278">
        <f>COUNTA(C:C)-1</f>
        <v>3</v>
      </c>
      <c r="E2" s="458" t="s">
        <v>157</v>
      </c>
      <c r="F2" s="278">
        <f>COUNTA(E:E)-1</f>
        <v>6</v>
      </c>
      <c r="G2" s="458" t="s">
        <v>89</v>
      </c>
      <c r="H2" s="278">
        <f>COUNTA(G:G)-1</f>
        <v>6</v>
      </c>
      <c r="I2" s="458" t="s">
        <v>158</v>
      </c>
      <c r="J2" s="278">
        <f>COUNTA(I:I)-1</f>
        <v>6</v>
      </c>
      <c r="K2" s="458" t="s">
        <v>159</v>
      </c>
      <c r="L2" s="278">
        <f>COUNTA(K:K)-1</f>
        <v>11</v>
      </c>
      <c r="M2" s="458" t="s">
        <v>160</v>
      </c>
      <c r="N2" s="278">
        <f>COUNTA(M:M)-1</f>
        <v>8</v>
      </c>
      <c r="O2" s="458" t="s">
        <v>161</v>
      </c>
      <c r="P2" s="278">
        <f>COUNTA(O:O)-1</f>
        <v>4</v>
      </c>
      <c r="Q2" s="458" t="s">
        <v>162</v>
      </c>
      <c r="R2" s="278">
        <f>COUNTA(Q:Q)-1</f>
        <v>6</v>
      </c>
      <c r="S2" s="458" t="s">
        <v>163</v>
      </c>
      <c r="T2" s="278">
        <f>COUNTA(S:S)-1</f>
        <v>2</v>
      </c>
      <c r="U2" s="458" t="s">
        <v>164</v>
      </c>
      <c r="V2" s="278">
        <f>COUNTA(U:U)-1</f>
        <v>2</v>
      </c>
      <c r="W2" s="458" t="s">
        <v>165</v>
      </c>
      <c r="X2" s="278">
        <f>COUNTA(W:W)-1</f>
        <v>2</v>
      </c>
      <c r="Y2" s="458" t="s">
        <v>166</v>
      </c>
      <c r="Z2" s="278">
        <f>COUNTA(Y:Y)-1</f>
        <v>1</v>
      </c>
      <c r="AA2" s="458" t="s">
        <v>167</v>
      </c>
      <c r="AB2" s="278">
        <f>COUNTA(AA:AA)-1</f>
        <v>1</v>
      </c>
      <c r="AC2" s="458" t="s">
        <v>168</v>
      </c>
      <c r="AD2" s="278">
        <f>COUNTA(AC:AC)-1</f>
        <v>1</v>
      </c>
      <c r="AE2" s="458" t="s">
        <v>169</v>
      </c>
      <c r="AF2" s="278">
        <f>COUNTA(AE:AE)-1</f>
        <v>3</v>
      </c>
      <c r="AG2" s="458" t="s">
        <v>170</v>
      </c>
      <c r="AH2" s="278">
        <f>COUNTA(AG:AG)-1</f>
        <v>1</v>
      </c>
      <c r="AI2" s="458" t="s">
        <v>171</v>
      </c>
      <c r="AJ2" s="278">
        <f>COUNTA(AI:AI)-1</f>
        <v>4</v>
      </c>
    </row>
    <row r="3" spans="1:36" ht="12.75">
      <c r="A3" s="12"/>
      <c r="B3" s="459" t="s">
        <v>156</v>
      </c>
      <c r="C3" s="5" t="s">
        <v>172</v>
      </c>
      <c r="D3" s="10" t="s">
        <v>173</v>
      </c>
      <c r="E3" s="8" t="s">
        <v>174</v>
      </c>
      <c r="F3" s="10" t="s">
        <v>175</v>
      </c>
      <c r="G3" s="5" t="s">
        <v>176</v>
      </c>
      <c r="H3" s="10" t="s">
        <v>175</v>
      </c>
      <c r="I3" s="9" t="s">
        <v>177</v>
      </c>
      <c r="J3" s="22" t="s">
        <v>178</v>
      </c>
      <c r="K3" s="5" t="s">
        <v>179</v>
      </c>
      <c r="L3" s="22" t="s">
        <v>180</v>
      </c>
      <c r="M3" s="9" t="s">
        <v>181</v>
      </c>
      <c r="N3" s="10" t="s">
        <v>173</v>
      </c>
      <c r="O3" s="5" t="s">
        <v>182</v>
      </c>
      <c r="P3" s="10" t="s">
        <v>173</v>
      </c>
      <c r="Q3" s="5" t="s">
        <v>183</v>
      </c>
      <c r="R3" s="10" t="s">
        <v>173</v>
      </c>
      <c r="S3" s="5" t="s">
        <v>184</v>
      </c>
      <c r="T3" s="10" t="s">
        <v>175</v>
      </c>
      <c r="U3" s="5" t="s">
        <v>185</v>
      </c>
      <c r="V3" s="10" t="s">
        <v>175</v>
      </c>
      <c r="W3" s="5" t="s">
        <v>165</v>
      </c>
      <c r="X3" s="10" t="s">
        <v>175</v>
      </c>
      <c r="Y3" s="5" t="s">
        <v>166</v>
      </c>
      <c r="Z3" s="10" t="s">
        <v>173</v>
      </c>
      <c r="AA3" s="5" t="s">
        <v>167</v>
      </c>
      <c r="AB3" s="10" t="s">
        <v>173</v>
      </c>
      <c r="AC3" s="5" t="s">
        <v>168</v>
      </c>
      <c r="AD3" s="10" t="s">
        <v>173</v>
      </c>
      <c r="AE3" s="70" t="s">
        <v>186</v>
      </c>
      <c r="AF3" s="10" t="s">
        <v>173</v>
      </c>
      <c r="AG3" s="70" t="s">
        <v>170</v>
      </c>
      <c r="AH3" s="22" t="s">
        <v>187</v>
      </c>
      <c r="AI3" s="70" t="s">
        <v>188</v>
      </c>
      <c r="AJ3" s="22" t="s">
        <v>189</v>
      </c>
    </row>
    <row r="4" spans="1:36" ht="12.75">
      <c r="A4" s="12"/>
      <c r="B4" s="459" t="s">
        <v>157</v>
      </c>
      <c r="C4" s="5" t="s">
        <v>190</v>
      </c>
      <c r="D4" s="22" t="s">
        <v>173</v>
      </c>
      <c r="E4" s="5" t="s">
        <v>191</v>
      </c>
      <c r="F4" s="22" t="s">
        <v>175</v>
      </c>
      <c r="G4" s="5" t="s">
        <v>90</v>
      </c>
      <c r="H4" s="10" t="s">
        <v>175</v>
      </c>
      <c r="I4" s="5" t="s">
        <v>192</v>
      </c>
      <c r="J4" s="10" t="s">
        <v>178</v>
      </c>
      <c r="K4" s="5" t="s">
        <v>193</v>
      </c>
      <c r="L4" s="22" t="s">
        <v>180</v>
      </c>
      <c r="M4" s="9" t="s">
        <v>194</v>
      </c>
      <c r="N4" s="10" t="s">
        <v>178</v>
      </c>
      <c r="O4" s="5" t="s">
        <v>195</v>
      </c>
      <c r="P4" s="22" t="s">
        <v>173</v>
      </c>
      <c r="Q4" s="9" t="s">
        <v>196</v>
      </c>
      <c r="R4" s="10" t="s">
        <v>197</v>
      </c>
      <c r="S4" s="5" t="s">
        <v>198</v>
      </c>
      <c r="T4" s="10" t="s">
        <v>175</v>
      </c>
      <c r="U4" s="5" t="s">
        <v>199</v>
      </c>
      <c r="V4" s="10" t="s">
        <v>175</v>
      </c>
      <c r="W4" s="5" t="s">
        <v>200</v>
      </c>
      <c r="X4" s="10" t="s">
        <v>175</v>
      </c>
      <c r="Z4" s="22"/>
      <c r="AB4" s="22"/>
      <c r="AD4" s="22"/>
      <c r="AE4" s="70" t="s">
        <v>201</v>
      </c>
      <c r="AF4" s="10" t="s">
        <v>173</v>
      </c>
      <c r="AI4" s="70" t="s">
        <v>202</v>
      </c>
      <c r="AJ4" s="22" t="s">
        <v>189</v>
      </c>
    </row>
    <row r="5" spans="1:36" ht="12.75">
      <c r="A5" s="12"/>
      <c r="B5" s="459" t="s">
        <v>89</v>
      </c>
      <c r="C5" s="5" t="s">
        <v>203</v>
      </c>
      <c r="D5" s="22" t="s">
        <v>173</v>
      </c>
      <c r="E5" s="5" t="s">
        <v>204</v>
      </c>
      <c r="F5" s="22" t="s">
        <v>175</v>
      </c>
      <c r="G5" s="5" t="s">
        <v>205</v>
      </c>
      <c r="H5" s="22" t="s">
        <v>178</v>
      </c>
      <c r="I5" s="5" t="s">
        <v>206</v>
      </c>
      <c r="J5" s="22" t="s">
        <v>178</v>
      </c>
      <c r="K5" s="5" t="s">
        <v>207</v>
      </c>
      <c r="L5" s="22" t="s">
        <v>180</v>
      </c>
      <c r="M5" s="9" t="s">
        <v>208</v>
      </c>
      <c r="N5" s="10" t="s">
        <v>178</v>
      </c>
      <c r="O5" s="5" t="s">
        <v>209</v>
      </c>
      <c r="P5" s="22" t="s">
        <v>178</v>
      </c>
      <c r="Q5" s="5" t="s">
        <v>210</v>
      </c>
      <c r="R5" s="10" t="s">
        <v>197</v>
      </c>
      <c r="T5" s="22"/>
      <c r="V5" s="22"/>
      <c r="X5" s="22"/>
      <c r="Z5" s="22"/>
      <c r="AB5" s="22"/>
      <c r="AD5" s="22"/>
      <c r="AE5" s="70" t="s">
        <v>211</v>
      </c>
      <c r="AF5" s="10" t="s">
        <v>173</v>
      </c>
      <c r="AI5" s="70" t="s">
        <v>212</v>
      </c>
      <c r="AJ5" s="22" t="s">
        <v>189</v>
      </c>
    </row>
    <row r="6" spans="1:36" ht="12.75">
      <c r="A6" s="12"/>
      <c r="B6" s="459" t="s">
        <v>158</v>
      </c>
      <c r="E6" s="5" t="s">
        <v>213</v>
      </c>
      <c r="F6" s="22" t="s">
        <v>175</v>
      </c>
      <c r="G6" s="5" t="s">
        <v>214</v>
      </c>
      <c r="H6" s="22" t="s">
        <v>175</v>
      </c>
      <c r="I6" s="9" t="s">
        <v>215</v>
      </c>
      <c r="J6" s="22" t="s">
        <v>175</v>
      </c>
      <c r="K6" s="5" t="s">
        <v>216</v>
      </c>
      <c r="L6" s="22" t="s">
        <v>178</v>
      </c>
      <c r="M6" s="5" t="s">
        <v>217</v>
      </c>
      <c r="N6" s="22" t="s">
        <v>178</v>
      </c>
      <c r="O6" s="5" t="s">
        <v>218</v>
      </c>
      <c r="P6" s="22" t="s">
        <v>178</v>
      </c>
      <c r="Q6" s="9" t="s">
        <v>219</v>
      </c>
      <c r="R6" s="10" t="s">
        <v>173</v>
      </c>
      <c r="AI6" s="70" t="s">
        <v>220</v>
      </c>
      <c r="AJ6" s="22" t="s">
        <v>189</v>
      </c>
    </row>
    <row r="7" spans="1:18" ht="12.75">
      <c r="A7" s="12"/>
      <c r="B7" s="459" t="s">
        <v>159</v>
      </c>
      <c r="E7" s="5" t="s">
        <v>221</v>
      </c>
      <c r="F7" s="22" t="s">
        <v>175</v>
      </c>
      <c r="G7" s="5" t="s">
        <v>222</v>
      </c>
      <c r="H7" s="22" t="s">
        <v>175</v>
      </c>
      <c r="I7" s="9" t="s">
        <v>223</v>
      </c>
      <c r="J7" s="22" t="s">
        <v>197</v>
      </c>
      <c r="K7" s="5" t="s">
        <v>224</v>
      </c>
      <c r="L7" s="22" t="s">
        <v>180</v>
      </c>
      <c r="M7" s="5" t="s">
        <v>225</v>
      </c>
      <c r="N7" s="22" t="s">
        <v>180</v>
      </c>
      <c r="O7" s="5"/>
      <c r="Q7" s="5" t="s">
        <v>226</v>
      </c>
      <c r="R7" s="10" t="s">
        <v>173</v>
      </c>
    </row>
    <row r="8" spans="1:18" ht="12.75">
      <c r="A8" s="12"/>
      <c r="B8" s="459" t="s">
        <v>160</v>
      </c>
      <c r="E8" s="5" t="s">
        <v>227</v>
      </c>
      <c r="F8" s="10" t="s">
        <v>175</v>
      </c>
      <c r="G8" s="70" t="s">
        <v>228</v>
      </c>
      <c r="H8" s="22" t="s">
        <v>175</v>
      </c>
      <c r="I8" s="346" t="s">
        <v>229</v>
      </c>
      <c r="J8" s="22" t="s">
        <v>180</v>
      </c>
      <c r="K8" s="5" t="s">
        <v>230</v>
      </c>
      <c r="L8" s="22" t="s">
        <v>180</v>
      </c>
      <c r="M8" s="5" t="s">
        <v>231</v>
      </c>
      <c r="N8" s="22" t="s">
        <v>180</v>
      </c>
      <c r="Q8" s="5" t="s">
        <v>232</v>
      </c>
      <c r="R8" s="10" t="s">
        <v>175</v>
      </c>
    </row>
    <row r="9" spans="1:14" ht="12.75">
      <c r="A9" s="12"/>
      <c r="B9" s="459" t="s">
        <v>161</v>
      </c>
      <c r="K9" s="5" t="s">
        <v>233</v>
      </c>
      <c r="L9" s="22" t="s">
        <v>178</v>
      </c>
      <c r="M9" s="5" t="s">
        <v>234</v>
      </c>
      <c r="N9" s="22" t="s">
        <v>180</v>
      </c>
    </row>
    <row r="10" spans="1:14" ht="12.75">
      <c r="A10" s="12"/>
      <c r="B10" s="459" t="s">
        <v>162</v>
      </c>
      <c r="K10" s="5" t="s">
        <v>235</v>
      </c>
      <c r="L10" s="22" t="s">
        <v>197</v>
      </c>
      <c r="M10" s="5" t="s">
        <v>236</v>
      </c>
      <c r="N10" s="10" t="s">
        <v>173</v>
      </c>
    </row>
    <row r="11" spans="1:12" ht="12.75">
      <c r="A11" s="12"/>
      <c r="B11" s="459" t="s">
        <v>163</v>
      </c>
      <c r="K11" s="5" t="s">
        <v>237</v>
      </c>
      <c r="L11" s="22" t="s">
        <v>178</v>
      </c>
    </row>
    <row r="12" spans="1:12" ht="12.75">
      <c r="A12" s="12"/>
      <c r="B12" s="459" t="s">
        <v>164</v>
      </c>
      <c r="K12" s="5" t="s">
        <v>181</v>
      </c>
      <c r="L12" s="22" t="s">
        <v>173</v>
      </c>
    </row>
    <row r="13" spans="1:12" ht="12.75">
      <c r="A13" s="12"/>
      <c r="B13" s="459" t="s">
        <v>165</v>
      </c>
      <c r="K13" s="5" t="s">
        <v>238</v>
      </c>
      <c r="L13" s="22" t="s">
        <v>178</v>
      </c>
    </row>
    <row r="14" spans="1:2" ht="12.75">
      <c r="A14" s="12"/>
      <c r="B14" s="459" t="s">
        <v>166</v>
      </c>
    </row>
    <row r="15" spans="1:2" ht="12.75">
      <c r="A15" s="12"/>
      <c r="B15" s="459" t="s">
        <v>167</v>
      </c>
    </row>
    <row r="16" spans="1:2" ht="12.75">
      <c r="A16" s="12"/>
      <c r="B16" s="459" t="s">
        <v>168</v>
      </c>
    </row>
    <row r="17" spans="1:2" ht="12.75">
      <c r="A17" s="12"/>
      <c r="B17" s="459" t="s">
        <v>169</v>
      </c>
    </row>
    <row r="18" spans="1:2" ht="12.75">
      <c r="A18" s="12"/>
      <c r="B18" s="459" t="s">
        <v>170</v>
      </c>
    </row>
    <row r="19" spans="1:2" ht="12.75">
      <c r="A19" s="12"/>
      <c r="B19" s="459" t="s">
        <v>171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sheetProtection sheet="1"/>
  <mergeCells count="1">
    <mergeCell ref="D1:AJ1"/>
  </mergeCells>
  <printOptions/>
  <pageMargins left="0.7875" right="0.7875" top="0.7874999999999996" bottom="0.7868055555555555" header="5.708333333333333" footer="0.5902777777777778"/>
  <pageSetup horizontalDpi="300" verticalDpi="300" orientation="portrait" paperSize="9"/>
  <headerFooter alignWithMargins="0">
    <oddHeader>&amp;L_</oddHeader>
    <oddFooter>&amp;L41.211 v009  micro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Nanni</dc:creator>
  <cp:keywords/>
  <dc:description/>
  <cp:lastModifiedBy>Jonas Nanni</cp:lastModifiedBy>
  <cp:lastPrinted>2019-09-23T20:04:52Z</cp:lastPrinted>
  <dcterms:created xsi:type="dcterms:W3CDTF">2014-09-26T20:49:26Z</dcterms:created>
  <dcterms:modified xsi:type="dcterms:W3CDTF">2019-09-23T20:06:31Z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Caixa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